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fredo\Desktop\ROL\Anima\Animate a hacer fichas\"/>
    </mc:Choice>
  </mc:AlternateContent>
  <bookViews>
    <workbookView xWindow="0" yWindow="0" windowWidth="16380" windowHeight="8190" tabRatio="544"/>
  </bookViews>
  <sheets>
    <sheet name="Hoja básica" sheetId="1" r:id="rId1"/>
    <sheet name="Técnicas de Ki" sheetId="12" r:id="rId2"/>
    <sheet name="TS" sheetId="13" state="hidden" r:id="rId3"/>
    <sheet name="Arcana Sepirah" sheetId="11" r:id="rId4"/>
    <sheet name="Hoja1" sheetId="2" state="hidden" r:id="rId5"/>
    <sheet name="Sheet3" sheetId="3" state="hidden" r:id="rId6"/>
    <sheet name="Sheet2" sheetId="4" state="hidden" r:id="rId7"/>
    <sheet name="KI" sheetId="10" state="hidden" r:id="rId8"/>
    <sheet name="Visor de hechizos" sheetId="5" r:id="rId9"/>
    <sheet name="HM" sheetId="6" state="hidden" r:id="rId10"/>
    <sheet name="Sel.Poderes" sheetId="7" state="hidden" r:id="rId11"/>
    <sheet name="HP" sheetId="8" state="hidden" r:id="rId12"/>
  </sheets>
  <definedNames>
    <definedName name="__xlnm._FilterDatabase" localSheetId="0">'Hoja básica'!$L$1:$S$9</definedName>
    <definedName name="__xlnm._FilterDatabase" localSheetId="5">Sheet3!$B$172:$B$189</definedName>
    <definedName name="__xlnm._FilterDatabase_1">'Hoja básica'!$L$1:$S$9</definedName>
    <definedName name="__xlnm._FilterDatabase_1_1">Sheet3!$B$172:$B$189</definedName>
    <definedName name="_xlnm._FilterDatabase" localSheetId="5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básica'!$A$1:$DX$101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b.1">'Hoja básica'!$CF$2</definedName>
    <definedName name="b.2">'Hoja básica'!$CL$2</definedName>
    <definedName name="b.3">'Hoja básica'!$CF$57</definedName>
    <definedName name="b.4">'Hoja básica'!$CL$57</definedName>
    <definedName name="casco">Sheet3!$B$213:$B$220</definedName>
    <definedName name="coste.sepirah">'Arcana Sepirah'!$T$15,'Arcana Sepirah'!$J$15,'Arcana Sepirah'!$O$20,'Arcana Sepirah'!$J$25,'Arcana Sepirah'!$T$25,'Arcana Sepirah'!$J$30,'Arcana Sepirah'!$O$30,'Arcana Sepirah'!$Y$30,'Arcana Sepirah'!$E$35,'Arcana Sepirah'!$J$35,'Arcana Sepirah'!$T$35,'Arcana Sepirah'!$Y$35,'Arcana Sepirah'!$AD$35,'Arcana Sepirah'!$AI$40,'Arcana Sepirah'!$Y$40,'Arcana Sepirah'!$O$40,'Arcana Sepirah'!$J$40,'Arcana Sepirah'!$J$45,'Arcana Sepirah'!$T$45,'Arcana Sepirah'!$O$50,'Arcana Sepirah'!$J$55,'Arcana Sepirah'!$T$55,'Arcana Sepirah'!$AN$65,'Arcana Sepirah'!$AI$60,'Arcana Sepirah'!$AN$60,'Arcana Sepirah'!$AS$60,'Arcana Sepirah'!$AS$55,'Arcana Sepirah'!$AI$55,'Arcana Sepirah'!$AN$50,'Arcana Sepirah'!$AI$45,'Arcana Sepirah'!$AN$45,'Arcana Sepirah'!$AS$45,'Arcana Sepirah'!$AN$40,'Arcana Sepirah'!$AS$35,'Arcana Sepirah'!$BH$55,'Arcana Sepirah'!$BR$55,'Arcana Sepirah'!$BM$50,'Arcana Sepirah'!$BH$45,'Arcana Sepirah'!$BR$45,'Arcana Sepirah'!$BM$40,'Arcana Sepirah'!$BR$40,'Arcana Sepirah'!$BW$35,'Arcana Sepirah'!$BR$30,'Arcana Sepirah'!$BR$35,'Arcana Sepirah'!$BM$30,'Arcana Sepirah'!$BH$35,'Arcana Sepirah'!$BC$35,'Arcana Sepirah'!$BC$40,'Arcana Sepirah'!$BC$30,'Arcana Sepirah'!$AX$35,'Arcana Sepirah'!$AS$30,'Arcana Sepirah'!$BR$25,'Arcana Sepirah'!$BH$25,'Arcana Sepirah'!$BM$20,'Arcana Sepirah'!$BR$15,'Arcana Sepirah'!$BH$15,'Arcana Sepirah'!$AS$15,'Arcana Sepirah'!$AS$10,'Arcana Sepirah'!$AN$5,'Arcana Sepirah'!$AI$10,'Arcana Sepirah'!$AN$10,'Arcana Sepirah'!$AI$15,'Arcana Sepirah'!$AN$20,'Arcana Sepirah'!$AN$25,'Arcana Sepirah'!$AI$25,'Arcana Sepirah'!$AN$30,'Arcana Sepirah'!$AS$25,'Arcana Sepirah'!$AI$35</definedName>
    <definedName name="DAt">Sheet3!$J$253:$K$253</definedName>
    <definedName name="de.1">Sheet3!$G$404:$G$443</definedName>
    <definedName name="de.2">Sheet3!$J$404:$J$459</definedName>
    <definedName name="de.3">Sheet3!$I$404:$I$449</definedName>
    <definedName name="de.4">Sheet3!$H$404:$H$453</definedName>
    <definedName name="e.1">Sheet3!$BA$224</definedName>
    <definedName name="e.10">Sheet3!$BJ$224</definedName>
    <definedName name="e.11">Sheet3!$BK$224</definedName>
    <definedName name="e.12">Sheet3!$BL$224</definedName>
    <definedName name="e.13">Sheet3!$BM$224</definedName>
    <definedName name="e.14">Sheet3!$BN$224</definedName>
    <definedName name="e.2">Sheet3!$BB$224</definedName>
    <definedName name="e.3">Sheet3!$BC$224</definedName>
    <definedName name="e.4">Sheet3!$BD$224</definedName>
    <definedName name="e.5">Sheet3!$BE$224</definedName>
    <definedName name="e.6">Sheet3!$BF$224</definedName>
    <definedName name="e.7">Sheet3!$BG$224</definedName>
    <definedName name="e.8">Sheet3!$BH$224</definedName>
    <definedName name="e.9">Sheet3!$BI$224</definedName>
    <definedName name="ee.1">Sheet3!$BA$226:$BA$237</definedName>
    <definedName name="ee.10">Sheet3!$BJ$226:$BJ$236</definedName>
    <definedName name="ee.11">Sheet3!$BK$226:$BK$238</definedName>
    <definedName name="ee.12">Sheet3!$BL$226:$BL$236</definedName>
    <definedName name="ee.13">Sheet3!$BM$226:$BM$236</definedName>
    <definedName name="ee.14">Sheet3!$BN$226:$BN$238</definedName>
    <definedName name="ee.2">Sheet3!$BB$226:$BB$237</definedName>
    <definedName name="ee.3">Sheet3!$BC$226:$BC$238</definedName>
    <definedName name="ee.4">Sheet3!$BD$226:$BD$238</definedName>
    <definedName name="ee.5">Sheet3!$BE$226:$BE$237</definedName>
    <definedName name="ee.6">Sheet3!$BF$226:$BF$237</definedName>
    <definedName name="ee.7">Sheet3!$BG$226:$BG$238</definedName>
    <definedName name="ee.8">Sheet3!$BH$226:$BH$236</definedName>
    <definedName name="ee.9">Sheet3!$BI$226:$BI$237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Límites">Sheet3!$FL$6:$FL$12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eresAS">'Arcana Sepirah'!$AL$28:$AN$29,'Arcana Sepirah'!$AQ$28:$AS$29,'Arcana Sepirah'!$AQ$23:$AS$24,'Arcana Sepirah'!$AL$23:$AN$24,'Arcana Sepirah'!$AG$23:$AI$24,'Arcana Sepirah'!$AL$18:$AN$19,'Arcana Sepirah'!$AG$13:$AI$14,'Arcana Sepirah'!$AG$8:$AI$9,'Arcana Sepirah'!$AL$8:$AN$9,'Arcana Sepirah'!$AL$3:$AN$4,'Arcana Sepirah'!$AQ$8:$AS$9,'Arcana Sepirah'!$AQ$13:$AS$14,'Arcana Sepirah'!$R$13:$T$14,'Arcana Sepirah'!$H$13:$J$14,'Arcana Sepirah'!$M$18:$O$19,'Arcana Sepirah'!$H$23:$J$24,'Arcana Sepirah'!$R$23:$T$24,'Arcana Sepirah'!$W$28:$Y$29,'Arcana Sepirah'!$AB$33:$AD$34,'Arcana Sepirah'!$W$33:$Y$34,'Arcana Sepirah'!$W$38:$Y$39,'Arcana Sepirah'!$R$33:$T$34,'Arcana Sepirah'!$M$38:$O$39,'Arcana Sepirah'!$M$28:$O$29,'Arcana Sepirah'!$H$33:$J$34,'Arcana Sepirah'!$H$28:$J$29,'Arcana Sepirah'!$C$33:$E$34,'Arcana Sepirah'!$H$38:$J$39,'Arcana Sepirah'!$H$43:$J$44,'Arcana Sepirah'!$R$43:$T$44,'Arcana Sepirah'!$M$48:$O$49,'Arcana Sepirah'!$AG$38:$AI$39,'Arcana Sepirah'!$AG$33:$AI$34,'Arcana Sepirah'!$AL$38:$AN$39,'Arcana Sepirah'!$AQ$33:$AS$34,'Arcana Sepirah'!$AQ$43:$AS$44,'Arcana Sepirah'!$AL$43:$AN$44,'Arcana Sepirah'!$AG$43:$AI$44,'Arcana Sepirah'!$H$53:$J$54,'Arcana Sepirah'!$R$53:$T$54,'Arcana Sepirah'!$AG$58:$AI$59,'Arcana Sepirah'!$AG$53:$AI$54,'Arcana Sepirah'!$AL$48:$AN$49,'Arcana Sepirah'!$AL$58:$AN$59,'Arcana Sepirah'!$AL$63:$AN$64,'Arcana Sepirah'!$AQ$58:$AS$59,'Arcana Sepirah'!$AQ$53:$AS$54,'Arcana Sepirah'!$BF$53:$BH$54,'Arcana Sepirah'!$BP$53:$BR$54,'Arcana Sepirah'!$BK$48:$BM$49,'Arcana Sepirah'!$BF$43:$BH$44,'Arcana Sepirah'!$BA$38:$BC$39,'Arcana Sepirah'!$AV$33:$AX$34,'Arcana Sepirah'!$BA$33:$BC$34,'Arcana Sepirah'!$BA$28:$BC$29,'Arcana Sepirah'!$BF$33:$BH$34,'Arcana Sepirah'!$BK$38:$BM$39,'Arcana Sepirah'!$BP$43:$BR$44,'Arcana Sepirah'!$BP$38:$BR$39,'Arcana Sepirah'!$BP$33:$BR$34,'Arcana Sepirah'!$BU$33:$BW$34,'Arcana Sepirah'!$BP$28:$BR$29,'Arcana Sepirah'!$BK$28:$BM$29,'Arcana Sepirah'!$BP$23:$BR$24,'Arcana Sepirah'!$BF$23:$BH$24,'Arcana Sepirah'!$BK$18:$BM$19,'Arcana Sepirah'!$BP$13:$BR$14,'Arcana Sepirah'!$BF$13</definedName>
    <definedName name="podpsi1">HP!$I$1:$I$14</definedName>
    <definedName name="prueba">Sheet3!$BF$217</definedName>
    <definedName name="Razas">Sheet3!$S$7:$S$29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.1">Sheet3!$R$352:$R$358</definedName>
    <definedName name="v.11">Sheet3!$R$351</definedName>
    <definedName name="v.12">Sheet3!$S$351</definedName>
    <definedName name="v.13">Sheet3!$T$351</definedName>
    <definedName name="v.14">Sheet3!$U$351</definedName>
    <definedName name="v.15">Sheet3!$V$351</definedName>
    <definedName name="v.16">Sheet3!$W$351</definedName>
    <definedName name="v.17">Sheet3!$X$351</definedName>
    <definedName name="v.2">Sheet3!$S$352:$S$389</definedName>
    <definedName name="v.3">Sheet3!$T$352:$T$389</definedName>
    <definedName name="v.4">Sheet3!$U$352:$U$389</definedName>
    <definedName name="v.5">Sheet3!$V$352:$V$389</definedName>
    <definedName name="v.6">Sheet3!$W$352:$W$358</definedName>
    <definedName name="v.7">Sheet3!$X$352:$X$358</definedName>
    <definedName name="ve.1">Sheet3!$A$404:$A$516</definedName>
    <definedName name="ve.2">Sheet3!$D$404:$D$551</definedName>
    <definedName name="ve.3">Sheet3!$C$404:$C$529</definedName>
    <definedName name="ve.4">Sheet3!$B$404:$B$537</definedName>
    <definedName name="vias">HM!$H$91:$H$125</definedName>
  </definedNames>
  <calcPr calcId="152511"/>
  <fileRecoveryPr repairLoad="1"/>
</workbook>
</file>

<file path=xl/calcChain.xml><?xml version="1.0" encoding="utf-8"?>
<calcChain xmlns="http://schemas.openxmlformats.org/spreadsheetml/2006/main">
  <c r="AG100" i="1" l="1"/>
  <c r="AF100" i="1"/>
  <c r="AA100" i="1"/>
  <c r="AB100" i="1"/>
  <c r="AC100" i="1"/>
  <c r="AD100" i="1"/>
  <c r="AE100" i="1"/>
  <c r="Z100" i="1"/>
  <c r="Z93" i="1"/>
  <c r="AG89" i="1"/>
  <c r="Y96" i="1"/>
  <c r="Z95" i="1"/>
  <c r="Z88" i="1"/>
  <c r="AG93" i="1"/>
  <c r="AF93" i="1"/>
  <c r="AA93" i="1"/>
  <c r="AB93" i="1"/>
  <c r="AC93" i="1"/>
  <c r="AD93" i="1"/>
  <c r="AE93" i="1"/>
  <c r="Z86" i="1"/>
  <c r="Y89" i="1"/>
  <c r="Z81" i="1"/>
  <c r="AG86" i="1"/>
  <c r="AF86" i="1"/>
  <c r="AA86" i="1"/>
  <c r="AB86" i="1"/>
  <c r="AC86" i="1"/>
  <c r="AD86" i="1"/>
  <c r="AE86" i="1"/>
  <c r="Z79" i="1"/>
  <c r="AG75" i="1"/>
  <c r="Y82" i="1"/>
  <c r="Y75" i="1"/>
  <c r="Z74" i="1"/>
  <c r="AG79" i="1"/>
  <c r="AF79" i="1"/>
  <c r="AA79" i="1"/>
  <c r="AB79" i="1"/>
  <c r="AC79" i="1"/>
  <c r="AD79" i="1"/>
  <c r="AE79" i="1"/>
  <c r="CT248" i="13"/>
  <c r="CV248" i="13" s="1"/>
  <c r="CV247" i="13"/>
  <c r="CT247" i="13"/>
  <c r="CV246" i="13"/>
  <c r="CT246" i="13"/>
  <c r="CT245" i="13"/>
  <c r="CV245" i="13" s="1"/>
  <c r="CT244" i="13"/>
  <c r="CV244" i="13" s="1"/>
  <c r="CV243" i="13"/>
  <c r="CT243" i="13"/>
  <c r="CV242" i="13"/>
  <c r="CT242" i="13"/>
  <c r="CT241" i="13"/>
  <c r="CV241" i="13" s="1"/>
  <c r="CT240" i="13"/>
  <c r="CV240" i="13" s="1"/>
  <c r="CV239" i="13"/>
  <c r="CT239" i="13"/>
  <c r="CV238" i="13"/>
  <c r="CT238" i="13"/>
  <c r="CT237" i="13"/>
  <c r="CV237" i="13" s="1"/>
  <c r="CT236" i="13"/>
  <c r="CV236" i="13" s="1"/>
  <c r="CV235" i="13"/>
  <c r="CT235" i="13"/>
  <c r="CV234" i="13"/>
  <c r="CT234" i="13"/>
  <c r="CT233" i="13"/>
  <c r="CV233" i="13" s="1"/>
  <c r="CT232" i="13"/>
  <c r="CV232" i="13" s="1"/>
  <c r="CV231" i="13"/>
  <c r="CT231" i="13"/>
  <c r="CV230" i="13"/>
  <c r="CT230" i="13"/>
  <c r="CV229" i="13"/>
  <c r="CT229" i="13"/>
  <c r="CV228" i="13"/>
  <c r="CT228" i="13"/>
  <c r="CT227" i="13"/>
  <c r="CV227" i="13" s="1"/>
  <c r="CR227" i="13"/>
  <c r="CQ227" i="13"/>
  <c r="CP227" i="13"/>
  <c r="CO227" i="13"/>
  <c r="CN227" i="13"/>
  <c r="CM227" i="13"/>
  <c r="CL227" i="13"/>
  <c r="CK227" i="13"/>
  <c r="CJ227" i="13"/>
  <c r="CI227" i="13"/>
  <c r="CH227" i="13"/>
  <c r="CG227" i="13"/>
  <c r="CT226" i="13"/>
  <c r="CV226" i="13" s="1"/>
  <c r="CR226" i="13"/>
  <c r="CQ226" i="13"/>
  <c r="CP226" i="13"/>
  <c r="CO226" i="13"/>
  <c r="CN226" i="13"/>
  <c r="CM226" i="13"/>
  <c r="CL226" i="13"/>
  <c r="CK226" i="13"/>
  <c r="CJ226" i="13"/>
  <c r="CI226" i="13"/>
  <c r="CH226" i="13"/>
  <c r="CG226" i="13"/>
  <c r="CT225" i="13"/>
  <c r="CU226" i="13" s="1"/>
  <c r="CR225" i="13"/>
  <c r="CQ225" i="13"/>
  <c r="CP225" i="13"/>
  <c r="CO225" i="13"/>
  <c r="CN225" i="13"/>
  <c r="CM225" i="13"/>
  <c r="CL225" i="13"/>
  <c r="CK225" i="13"/>
  <c r="CJ225" i="13"/>
  <c r="CI225" i="13"/>
  <c r="CH225" i="13"/>
  <c r="CG225" i="13"/>
  <c r="CR224" i="13"/>
  <c r="CQ224" i="13"/>
  <c r="CP224" i="13"/>
  <c r="CO224" i="13"/>
  <c r="CN224" i="13"/>
  <c r="CM224" i="13"/>
  <c r="CL224" i="13"/>
  <c r="CK224" i="13"/>
  <c r="CJ224" i="13"/>
  <c r="CI224" i="13"/>
  <c r="CH224" i="13"/>
  <c r="CG224" i="13"/>
  <c r="CR223" i="13"/>
  <c r="CQ223" i="13"/>
  <c r="CP223" i="13"/>
  <c r="CO223" i="13"/>
  <c r="CN223" i="13"/>
  <c r="CM223" i="13"/>
  <c r="CL223" i="13"/>
  <c r="CK223" i="13"/>
  <c r="CJ223" i="13"/>
  <c r="CI223" i="13"/>
  <c r="CH223" i="13"/>
  <c r="CG223" i="13"/>
  <c r="CR222" i="13"/>
  <c r="CQ222" i="13"/>
  <c r="CP222" i="13"/>
  <c r="CO222" i="13"/>
  <c r="CN222" i="13"/>
  <c r="CM222" i="13"/>
  <c r="CL222" i="13"/>
  <c r="CK222" i="13"/>
  <c r="CJ222" i="13"/>
  <c r="CI222" i="13"/>
  <c r="CH222" i="13"/>
  <c r="CG222" i="13"/>
  <c r="CR221" i="13"/>
  <c r="CQ221" i="13"/>
  <c r="CP221" i="13"/>
  <c r="CO221" i="13"/>
  <c r="CN221" i="13"/>
  <c r="CM221" i="13"/>
  <c r="CL221" i="13"/>
  <c r="CK221" i="13"/>
  <c r="CJ221" i="13"/>
  <c r="CI221" i="13"/>
  <c r="CH221" i="13"/>
  <c r="CG221" i="13"/>
  <c r="CR220" i="13"/>
  <c r="CQ220" i="13"/>
  <c r="CP220" i="13"/>
  <c r="CO220" i="13"/>
  <c r="CN220" i="13"/>
  <c r="CM220" i="13"/>
  <c r="CL220" i="13"/>
  <c r="CK220" i="13"/>
  <c r="CJ220" i="13"/>
  <c r="CI220" i="13"/>
  <c r="CH220" i="13"/>
  <c r="CG220" i="13"/>
  <c r="CT219" i="13"/>
  <c r="CV219" i="13" s="1"/>
  <c r="CR219" i="13"/>
  <c r="CQ219" i="13"/>
  <c r="CP219" i="13"/>
  <c r="CO219" i="13"/>
  <c r="CN219" i="13"/>
  <c r="CM219" i="13"/>
  <c r="CL219" i="13"/>
  <c r="CK219" i="13"/>
  <c r="CJ219" i="13"/>
  <c r="CI219" i="13"/>
  <c r="CH219" i="13"/>
  <c r="CG219" i="13"/>
  <c r="CV218" i="13"/>
  <c r="CT218" i="13"/>
  <c r="CR218" i="13"/>
  <c r="CQ218" i="13"/>
  <c r="CP218" i="13"/>
  <c r="CO218" i="13"/>
  <c r="CN218" i="13"/>
  <c r="CM218" i="13"/>
  <c r="CL218" i="13"/>
  <c r="CK218" i="13"/>
  <c r="CJ218" i="13"/>
  <c r="CI218" i="13"/>
  <c r="CH218" i="13"/>
  <c r="CG218" i="13"/>
  <c r="CV217" i="13"/>
  <c r="CT217" i="13"/>
  <c r="CR217" i="13"/>
  <c r="CQ217" i="13"/>
  <c r="CP217" i="13"/>
  <c r="CO217" i="13"/>
  <c r="CN217" i="13"/>
  <c r="CM217" i="13"/>
  <c r="CL217" i="13"/>
  <c r="CK217" i="13"/>
  <c r="CJ217" i="13"/>
  <c r="CI217" i="13"/>
  <c r="CH217" i="13"/>
  <c r="CG217" i="13"/>
  <c r="CT216" i="13"/>
  <c r="CV216" i="13" s="1"/>
  <c r="CR216" i="13"/>
  <c r="CQ216" i="13"/>
  <c r="CP216" i="13"/>
  <c r="CO216" i="13"/>
  <c r="CN216" i="13"/>
  <c r="CM216" i="13"/>
  <c r="CL216" i="13"/>
  <c r="CK216" i="13"/>
  <c r="CJ216" i="13"/>
  <c r="CI216" i="13"/>
  <c r="CH216" i="13"/>
  <c r="CG216" i="13"/>
  <c r="CT215" i="13"/>
  <c r="CV215" i="13" s="1"/>
  <c r="CR215" i="13"/>
  <c r="CQ215" i="13"/>
  <c r="CP215" i="13"/>
  <c r="CO215" i="13"/>
  <c r="CN215" i="13"/>
  <c r="CM215" i="13"/>
  <c r="CL215" i="13"/>
  <c r="CK215" i="13"/>
  <c r="CJ215" i="13"/>
  <c r="CI215" i="13"/>
  <c r="CH215" i="13"/>
  <c r="CG215" i="13"/>
  <c r="CV214" i="13"/>
  <c r="CT214" i="13"/>
  <c r="CR214" i="13"/>
  <c r="CQ214" i="13"/>
  <c r="CP214" i="13"/>
  <c r="CO214" i="13"/>
  <c r="CN214" i="13"/>
  <c r="CM214" i="13"/>
  <c r="CL214" i="13"/>
  <c r="CK214" i="13"/>
  <c r="CJ214" i="13"/>
  <c r="CI214" i="13"/>
  <c r="CH214" i="13"/>
  <c r="CG214" i="13"/>
  <c r="CV213" i="13"/>
  <c r="CT213" i="13"/>
  <c r="CR213" i="13"/>
  <c r="CQ213" i="13"/>
  <c r="CP213" i="13"/>
  <c r="CO213" i="13"/>
  <c r="CN213" i="13"/>
  <c r="CM213" i="13"/>
  <c r="CL213" i="13"/>
  <c r="CK213" i="13"/>
  <c r="CJ213" i="13"/>
  <c r="CI213" i="13"/>
  <c r="CH213" i="13"/>
  <c r="CG213" i="13"/>
  <c r="CT212" i="13"/>
  <c r="CV212" i="13" s="1"/>
  <c r="CR212" i="13"/>
  <c r="CQ212" i="13"/>
  <c r="CP212" i="13"/>
  <c r="CO212" i="13"/>
  <c r="CN212" i="13"/>
  <c r="CM212" i="13"/>
  <c r="CL212" i="13"/>
  <c r="CK212" i="13"/>
  <c r="CJ212" i="13"/>
  <c r="CI212" i="13"/>
  <c r="CH212" i="13"/>
  <c r="CG212" i="13"/>
  <c r="CT211" i="13"/>
  <c r="CV211" i="13" s="1"/>
  <c r="CR211" i="13"/>
  <c r="CQ211" i="13"/>
  <c r="CP211" i="13"/>
  <c r="CO211" i="13"/>
  <c r="CN211" i="13"/>
  <c r="CM211" i="13"/>
  <c r="CL211" i="13"/>
  <c r="CK211" i="13"/>
  <c r="CJ211" i="13"/>
  <c r="CI211" i="13"/>
  <c r="CH211" i="13"/>
  <c r="CG211" i="13"/>
  <c r="CV210" i="13"/>
  <c r="CT210" i="13"/>
  <c r="CR210" i="13"/>
  <c r="CQ210" i="13"/>
  <c r="CP210" i="13"/>
  <c r="CO210" i="13"/>
  <c r="CN210" i="13"/>
  <c r="CM210" i="13"/>
  <c r="CL210" i="13"/>
  <c r="CK210" i="13"/>
  <c r="CJ210" i="13"/>
  <c r="CI210" i="13"/>
  <c r="CH210" i="13"/>
  <c r="CG210" i="13"/>
  <c r="CV209" i="13"/>
  <c r="CT209" i="13"/>
  <c r="CR209" i="13"/>
  <c r="CQ209" i="13"/>
  <c r="CP209" i="13"/>
  <c r="CO209" i="13"/>
  <c r="CN209" i="13"/>
  <c r="CM209" i="13"/>
  <c r="CL209" i="13"/>
  <c r="CK209" i="13"/>
  <c r="CJ209" i="13"/>
  <c r="CI209" i="13"/>
  <c r="CH209" i="13"/>
  <c r="CG209" i="13"/>
  <c r="CT208" i="13"/>
  <c r="CV208" i="13" s="1"/>
  <c r="CR208" i="13"/>
  <c r="CQ208" i="13"/>
  <c r="CP208" i="13"/>
  <c r="CO208" i="13"/>
  <c r="CN208" i="13"/>
  <c r="CM208" i="13"/>
  <c r="CL208" i="13"/>
  <c r="CK208" i="13"/>
  <c r="CJ208" i="13"/>
  <c r="CI208" i="13"/>
  <c r="CH208" i="13"/>
  <c r="CG208" i="13"/>
  <c r="CT207" i="13"/>
  <c r="CV207" i="13" s="1"/>
  <c r="CR207" i="13"/>
  <c r="CQ207" i="13"/>
  <c r="CP207" i="13"/>
  <c r="CO207" i="13"/>
  <c r="CN207" i="13"/>
  <c r="CM207" i="13"/>
  <c r="CL207" i="13"/>
  <c r="CK207" i="13"/>
  <c r="CJ207" i="13"/>
  <c r="CI207" i="13"/>
  <c r="CH207" i="13"/>
  <c r="CG207" i="13"/>
  <c r="CV206" i="13"/>
  <c r="CT206" i="13"/>
  <c r="CR206" i="13"/>
  <c r="CQ206" i="13"/>
  <c r="CP206" i="13"/>
  <c r="CO206" i="13"/>
  <c r="CN206" i="13"/>
  <c r="CM206" i="13"/>
  <c r="CL206" i="13"/>
  <c r="CK206" i="13"/>
  <c r="CJ206" i="13"/>
  <c r="CI206" i="13"/>
  <c r="CH206" i="13"/>
  <c r="CG206" i="13"/>
  <c r="CV205" i="13"/>
  <c r="CT205" i="13"/>
  <c r="CR205" i="13"/>
  <c r="CQ205" i="13"/>
  <c r="CP205" i="13"/>
  <c r="CO205" i="13"/>
  <c r="CN205" i="13"/>
  <c r="CM205" i="13"/>
  <c r="CL205" i="13"/>
  <c r="CK205" i="13"/>
  <c r="CJ205" i="13"/>
  <c r="CI205" i="13"/>
  <c r="CH205" i="13"/>
  <c r="CG205" i="13"/>
  <c r="CT204" i="13"/>
  <c r="CV204" i="13" s="1"/>
  <c r="CR204" i="13"/>
  <c r="CQ204" i="13"/>
  <c r="CP204" i="13"/>
  <c r="CO204" i="13"/>
  <c r="CN204" i="13"/>
  <c r="CM204" i="13"/>
  <c r="CL204" i="13"/>
  <c r="CK204" i="13"/>
  <c r="CJ204" i="13"/>
  <c r="CI204" i="13"/>
  <c r="CH204" i="13"/>
  <c r="CG204" i="13"/>
  <c r="CT203" i="13"/>
  <c r="CV203" i="13" s="1"/>
  <c r="CR203" i="13"/>
  <c r="CQ203" i="13"/>
  <c r="CP203" i="13"/>
  <c r="CO203" i="13"/>
  <c r="CN203" i="13"/>
  <c r="CM203" i="13"/>
  <c r="CL203" i="13"/>
  <c r="CK203" i="13"/>
  <c r="CJ203" i="13"/>
  <c r="CI203" i="13"/>
  <c r="CH203" i="13"/>
  <c r="CG203" i="13"/>
  <c r="CV202" i="13"/>
  <c r="CT202" i="13"/>
  <c r="CR202" i="13"/>
  <c r="CQ202" i="13"/>
  <c r="CP202" i="13"/>
  <c r="CO202" i="13"/>
  <c r="CN202" i="13"/>
  <c r="CM202" i="13"/>
  <c r="CL202" i="13"/>
  <c r="CK202" i="13"/>
  <c r="CJ202" i="13"/>
  <c r="CI202" i="13"/>
  <c r="CH202" i="13"/>
  <c r="CG202" i="13"/>
  <c r="CV201" i="13"/>
  <c r="CT201" i="13"/>
  <c r="CR201" i="13"/>
  <c r="CQ201" i="13"/>
  <c r="CP201" i="13"/>
  <c r="CO201" i="13"/>
  <c r="CN201" i="13"/>
  <c r="CM201" i="13"/>
  <c r="CL201" i="13"/>
  <c r="CK201" i="13"/>
  <c r="CJ201" i="13"/>
  <c r="CI201" i="13"/>
  <c r="CH201" i="13"/>
  <c r="CG201" i="13"/>
  <c r="CT200" i="13"/>
  <c r="CV200" i="13" s="1"/>
  <c r="CR200" i="13"/>
  <c r="CQ200" i="13"/>
  <c r="CP200" i="13"/>
  <c r="CO200" i="13"/>
  <c r="CN200" i="13"/>
  <c r="CM200" i="13"/>
  <c r="CL200" i="13"/>
  <c r="CK200" i="13"/>
  <c r="CJ200" i="13"/>
  <c r="CI200" i="13"/>
  <c r="CH200" i="13"/>
  <c r="CG200" i="13"/>
  <c r="CT199" i="13"/>
  <c r="CV199" i="13" s="1"/>
  <c r="CR199" i="13"/>
  <c r="CQ199" i="13"/>
  <c r="CP199" i="13"/>
  <c r="CO199" i="13"/>
  <c r="CN199" i="13"/>
  <c r="CM199" i="13"/>
  <c r="CL199" i="13"/>
  <c r="CK199" i="13"/>
  <c r="CJ199" i="13"/>
  <c r="CI199" i="13"/>
  <c r="CH199" i="13"/>
  <c r="CG199" i="13"/>
  <c r="CV198" i="13"/>
  <c r="CT198" i="13"/>
  <c r="CR198" i="13"/>
  <c r="CQ198" i="13"/>
  <c r="CP198" i="13"/>
  <c r="CO198" i="13"/>
  <c r="CN198" i="13"/>
  <c r="CM198" i="13"/>
  <c r="CL198" i="13"/>
  <c r="CK198" i="13"/>
  <c r="CJ198" i="13"/>
  <c r="CI198" i="13"/>
  <c r="CH198" i="13"/>
  <c r="CG198" i="13"/>
  <c r="CV197" i="13"/>
  <c r="CT197" i="13"/>
  <c r="CR197" i="13"/>
  <c r="CQ197" i="13"/>
  <c r="CP197" i="13"/>
  <c r="CO197" i="13"/>
  <c r="CN197" i="13"/>
  <c r="CM197" i="13"/>
  <c r="CL197" i="13"/>
  <c r="CK197" i="13"/>
  <c r="CJ197" i="13"/>
  <c r="CI197" i="13"/>
  <c r="CH197" i="13"/>
  <c r="CG197" i="13"/>
  <c r="CT196" i="13"/>
  <c r="CV196" i="13" s="1"/>
  <c r="CR196" i="13"/>
  <c r="CQ196" i="13"/>
  <c r="CP196" i="13"/>
  <c r="CO196" i="13"/>
  <c r="CN196" i="13"/>
  <c r="CM196" i="13"/>
  <c r="CL196" i="13"/>
  <c r="CK196" i="13"/>
  <c r="CJ196" i="13"/>
  <c r="CI196" i="13"/>
  <c r="CH196" i="13"/>
  <c r="CG196" i="13"/>
  <c r="CT195" i="13"/>
  <c r="CV195" i="13" s="1"/>
  <c r="CR195" i="13"/>
  <c r="CQ195" i="13"/>
  <c r="CP195" i="13"/>
  <c r="CO195" i="13"/>
  <c r="CN195" i="13"/>
  <c r="CM195" i="13"/>
  <c r="CL195" i="13"/>
  <c r="CK195" i="13"/>
  <c r="CJ195" i="13"/>
  <c r="CI195" i="13"/>
  <c r="CH195" i="13"/>
  <c r="CG195" i="13"/>
  <c r="CV194" i="13"/>
  <c r="CT194" i="13"/>
  <c r="CR194" i="13"/>
  <c r="CQ194" i="13"/>
  <c r="CP194" i="13"/>
  <c r="CO194" i="13"/>
  <c r="CN194" i="13"/>
  <c r="CM194" i="13"/>
  <c r="CL194" i="13"/>
  <c r="CK194" i="13"/>
  <c r="CJ194" i="13"/>
  <c r="CI194" i="13"/>
  <c r="CH194" i="13"/>
  <c r="CG194" i="13"/>
  <c r="CV193" i="13"/>
  <c r="CT193" i="13"/>
  <c r="CR193" i="13"/>
  <c r="CQ193" i="13"/>
  <c r="CP193" i="13"/>
  <c r="CO193" i="13"/>
  <c r="CN193" i="13"/>
  <c r="CM193" i="13"/>
  <c r="CL193" i="13"/>
  <c r="CK193" i="13"/>
  <c r="CJ193" i="13"/>
  <c r="CI193" i="13"/>
  <c r="CH193" i="13"/>
  <c r="CG193" i="13"/>
  <c r="CT192" i="13"/>
  <c r="CV192" i="13" s="1"/>
  <c r="CR192" i="13"/>
  <c r="CQ192" i="13"/>
  <c r="CP192" i="13"/>
  <c r="CO192" i="13"/>
  <c r="CN192" i="13"/>
  <c r="CM192" i="13"/>
  <c r="CL192" i="13"/>
  <c r="CK192" i="13"/>
  <c r="CJ192" i="13"/>
  <c r="CI192" i="13"/>
  <c r="CH192" i="13"/>
  <c r="CG192" i="13"/>
  <c r="CT191" i="13"/>
  <c r="CV191" i="13" s="1"/>
  <c r="CR191" i="13"/>
  <c r="CQ191" i="13"/>
  <c r="CP191" i="13"/>
  <c r="CO191" i="13"/>
  <c r="CN191" i="13"/>
  <c r="CM191" i="13"/>
  <c r="CL191" i="13"/>
  <c r="CK191" i="13"/>
  <c r="CJ191" i="13"/>
  <c r="CI191" i="13"/>
  <c r="CH191" i="13"/>
  <c r="CG191" i="13"/>
  <c r="CV190" i="13"/>
  <c r="CT190" i="13"/>
  <c r="CR190" i="13"/>
  <c r="CQ190" i="13"/>
  <c r="CP190" i="13"/>
  <c r="CO190" i="13"/>
  <c r="CN190" i="13"/>
  <c r="CM190" i="13"/>
  <c r="CL190" i="13"/>
  <c r="CK190" i="13"/>
  <c r="CJ190" i="13"/>
  <c r="CI190" i="13"/>
  <c r="CH190" i="13"/>
  <c r="CG190" i="13"/>
  <c r="CV189" i="13"/>
  <c r="CT189" i="13"/>
  <c r="CT188" i="13"/>
  <c r="CV188" i="13" s="1"/>
  <c r="CR188" i="13"/>
  <c r="CQ188" i="13"/>
  <c r="CP188" i="13"/>
  <c r="CO188" i="13"/>
  <c r="CN188" i="13"/>
  <c r="CM188" i="13"/>
  <c r="CL188" i="13"/>
  <c r="CK188" i="13"/>
  <c r="CJ188" i="13"/>
  <c r="CI188" i="13"/>
  <c r="CH188" i="13"/>
  <c r="CG188" i="13"/>
  <c r="CT187" i="13"/>
  <c r="CV187" i="13" s="1"/>
  <c r="CR187" i="13"/>
  <c r="CQ187" i="13"/>
  <c r="CP187" i="13"/>
  <c r="CO187" i="13"/>
  <c r="CN187" i="13"/>
  <c r="CM187" i="13"/>
  <c r="CL187" i="13"/>
  <c r="CK187" i="13"/>
  <c r="CJ187" i="13"/>
  <c r="CI187" i="13"/>
  <c r="CH187" i="13"/>
  <c r="CG187" i="13"/>
  <c r="CV186" i="13"/>
  <c r="CT186" i="13"/>
  <c r="CR186" i="13"/>
  <c r="CQ186" i="13"/>
  <c r="CP186" i="13"/>
  <c r="CO186" i="13"/>
  <c r="CN186" i="13"/>
  <c r="CM186" i="13"/>
  <c r="CL186" i="13"/>
  <c r="CK186" i="13"/>
  <c r="CJ186" i="13"/>
  <c r="CI186" i="13"/>
  <c r="CH186" i="13"/>
  <c r="CG186" i="13"/>
  <c r="CV185" i="13"/>
  <c r="CT185" i="13"/>
  <c r="CR185" i="13"/>
  <c r="CQ185" i="13"/>
  <c r="CP185" i="13"/>
  <c r="CO185" i="13"/>
  <c r="CN185" i="13"/>
  <c r="CM185" i="13"/>
  <c r="CL185" i="13"/>
  <c r="CK185" i="13"/>
  <c r="CJ185" i="13"/>
  <c r="CI185" i="13"/>
  <c r="CH185" i="13"/>
  <c r="CG185" i="13"/>
  <c r="CT184" i="13"/>
  <c r="CV184" i="13" s="1"/>
  <c r="CR184" i="13"/>
  <c r="CQ184" i="13"/>
  <c r="CP184" i="13"/>
  <c r="CO184" i="13"/>
  <c r="CN184" i="13"/>
  <c r="CM184" i="13"/>
  <c r="CL184" i="13"/>
  <c r="CK184" i="13"/>
  <c r="CJ184" i="13"/>
  <c r="CI184" i="13"/>
  <c r="CH184" i="13"/>
  <c r="CG184" i="13"/>
  <c r="CT183" i="13"/>
  <c r="CV183" i="13" s="1"/>
  <c r="CR183" i="13"/>
  <c r="CQ183" i="13"/>
  <c r="CP183" i="13"/>
  <c r="CO183" i="13"/>
  <c r="CN183" i="13"/>
  <c r="CM183" i="13"/>
  <c r="CL183" i="13"/>
  <c r="CK183" i="13"/>
  <c r="CJ183" i="13"/>
  <c r="CI183" i="13"/>
  <c r="CH183" i="13"/>
  <c r="CG183" i="13"/>
  <c r="CT182" i="13"/>
  <c r="CU183" i="13" s="1"/>
  <c r="CR182" i="13"/>
  <c r="CQ182" i="13"/>
  <c r="CP182" i="13"/>
  <c r="CO182" i="13"/>
  <c r="CN182" i="13"/>
  <c r="CM182" i="13"/>
  <c r="CL182" i="13"/>
  <c r="CK182" i="13"/>
  <c r="CJ182" i="13"/>
  <c r="CI182" i="13"/>
  <c r="CH182" i="13"/>
  <c r="CG182" i="13"/>
  <c r="CV181" i="13"/>
  <c r="CT181" i="13"/>
  <c r="CR181" i="13"/>
  <c r="CQ181" i="13"/>
  <c r="CP181" i="13"/>
  <c r="CO181" i="13"/>
  <c r="CN181" i="13"/>
  <c r="CM181" i="13"/>
  <c r="CL181" i="13"/>
  <c r="CK181" i="13"/>
  <c r="CJ181" i="13"/>
  <c r="CI181" i="13"/>
  <c r="CH181" i="13"/>
  <c r="CG181" i="13"/>
  <c r="CV180" i="13"/>
  <c r="CT180" i="13"/>
  <c r="CR180" i="13"/>
  <c r="CQ180" i="13"/>
  <c r="CP180" i="13"/>
  <c r="CO180" i="13"/>
  <c r="CN180" i="13"/>
  <c r="CM180" i="13"/>
  <c r="CL180" i="13"/>
  <c r="CK180" i="13"/>
  <c r="CJ180" i="13"/>
  <c r="CI180" i="13"/>
  <c r="CH180" i="13"/>
  <c r="CG180" i="13"/>
  <c r="CT179" i="13"/>
  <c r="CV179" i="13" s="1"/>
  <c r="CT178" i="13"/>
  <c r="CV178" i="13" s="1"/>
  <c r="CR178" i="13"/>
  <c r="CQ178" i="13"/>
  <c r="CP178" i="13"/>
  <c r="CO178" i="13"/>
  <c r="CN178" i="13"/>
  <c r="CM178" i="13"/>
  <c r="CL178" i="13"/>
  <c r="CK178" i="13"/>
  <c r="CJ178" i="13"/>
  <c r="CI178" i="13"/>
  <c r="CH178" i="13"/>
  <c r="CG178" i="13"/>
  <c r="CV177" i="13"/>
  <c r="CT177" i="13"/>
  <c r="CR177" i="13"/>
  <c r="CQ177" i="13"/>
  <c r="CP177" i="13"/>
  <c r="CO177" i="13"/>
  <c r="CN177" i="13"/>
  <c r="CM177" i="13"/>
  <c r="CL177" i="13"/>
  <c r="CK177" i="13"/>
  <c r="CJ177" i="13"/>
  <c r="CI177" i="13"/>
  <c r="CH177" i="13"/>
  <c r="CG177" i="13"/>
  <c r="CV176" i="13"/>
  <c r="CT176" i="13"/>
  <c r="CR176" i="13"/>
  <c r="CQ176" i="13"/>
  <c r="CP176" i="13"/>
  <c r="CO176" i="13"/>
  <c r="CN176" i="13"/>
  <c r="CM176" i="13"/>
  <c r="CL176" i="13"/>
  <c r="CK176" i="13"/>
  <c r="CJ176" i="13"/>
  <c r="CI176" i="13"/>
  <c r="CH176" i="13"/>
  <c r="CG176" i="13"/>
  <c r="CT175" i="13"/>
  <c r="CV175" i="13" s="1"/>
  <c r="CR175" i="13"/>
  <c r="CQ175" i="13"/>
  <c r="CP175" i="13"/>
  <c r="CO175" i="13"/>
  <c r="CN175" i="13"/>
  <c r="CM175" i="13"/>
  <c r="CL175" i="13"/>
  <c r="CK175" i="13"/>
  <c r="CJ175" i="13"/>
  <c r="CI175" i="13"/>
  <c r="CH175" i="13"/>
  <c r="CG175" i="13"/>
  <c r="CT174" i="13"/>
  <c r="CV174" i="13" s="1"/>
  <c r="CR174" i="13"/>
  <c r="CQ174" i="13"/>
  <c r="CP174" i="13"/>
  <c r="CO174" i="13"/>
  <c r="CN174" i="13"/>
  <c r="CM174" i="13"/>
  <c r="CL174" i="13"/>
  <c r="CK174" i="13"/>
  <c r="CJ174" i="13"/>
  <c r="CI174" i="13"/>
  <c r="CH174" i="13"/>
  <c r="CG174" i="13"/>
  <c r="CT173" i="13"/>
  <c r="CU174" i="13" s="1"/>
  <c r="CR173" i="13"/>
  <c r="CQ173" i="13"/>
  <c r="CP173" i="13"/>
  <c r="CO173" i="13"/>
  <c r="CN173" i="13"/>
  <c r="CM173" i="13"/>
  <c r="CL173" i="13"/>
  <c r="CK173" i="13"/>
  <c r="CJ173" i="13"/>
  <c r="CI173" i="13"/>
  <c r="CH173" i="13"/>
  <c r="CG173" i="13"/>
  <c r="CV172" i="13"/>
  <c r="CT172" i="13"/>
  <c r="CR172" i="13"/>
  <c r="CQ172" i="13"/>
  <c r="CP172" i="13"/>
  <c r="CO172" i="13"/>
  <c r="CN172" i="13"/>
  <c r="CM172" i="13"/>
  <c r="CL172" i="13"/>
  <c r="CK172" i="13"/>
  <c r="CJ172" i="13"/>
  <c r="CI172" i="13"/>
  <c r="CH172" i="13"/>
  <c r="CG172" i="13"/>
  <c r="CV171" i="13"/>
  <c r="CT171" i="13"/>
  <c r="CT170" i="13"/>
  <c r="CV170" i="13" s="1"/>
  <c r="CR170" i="13"/>
  <c r="CQ170" i="13"/>
  <c r="CP170" i="13"/>
  <c r="CO170" i="13"/>
  <c r="CN170" i="13"/>
  <c r="CM170" i="13"/>
  <c r="CL170" i="13"/>
  <c r="CK170" i="13"/>
  <c r="CJ170" i="13"/>
  <c r="CI170" i="13"/>
  <c r="CH170" i="13"/>
  <c r="CG170" i="13"/>
  <c r="CT169" i="13"/>
  <c r="CV169" i="13" s="1"/>
  <c r="CR169" i="13"/>
  <c r="CQ169" i="13"/>
  <c r="CP169" i="13"/>
  <c r="CO169" i="13"/>
  <c r="CN169" i="13"/>
  <c r="CM169" i="13"/>
  <c r="CL169" i="13"/>
  <c r="CK169" i="13"/>
  <c r="CJ169" i="13"/>
  <c r="CI169" i="13"/>
  <c r="CH169" i="13"/>
  <c r="CG169" i="13"/>
  <c r="CV168" i="13"/>
  <c r="CT168" i="13"/>
  <c r="CR168" i="13"/>
  <c r="CQ168" i="13"/>
  <c r="CP168" i="13"/>
  <c r="CO168" i="13"/>
  <c r="CN168" i="13"/>
  <c r="CM168" i="13"/>
  <c r="CL168" i="13"/>
  <c r="CK168" i="13"/>
  <c r="CJ168" i="13"/>
  <c r="CI168" i="13"/>
  <c r="CH168" i="13"/>
  <c r="CG168" i="13"/>
  <c r="CV167" i="13"/>
  <c r="CU167" i="13"/>
  <c r="CT167" i="13"/>
  <c r="CR167" i="13"/>
  <c r="CQ167" i="13"/>
  <c r="CP167" i="13"/>
  <c r="CO167" i="13"/>
  <c r="CN167" i="13"/>
  <c r="CM167" i="13"/>
  <c r="CL167" i="13"/>
  <c r="CK167" i="13"/>
  <c r="CJ167" i="13"/>
  <c r="CI167" i="13"/>
  <c r="CH167" i="13"/>
  <c r="CG167" i="13"/>
  <c r="CV166" i="13"/>
  <c r="CT166" i="13"/>
  <c r="CR166" i="13"/>
  <c r="CQ166" i="13"/>
  <c r="CP166" i="13"/>
  <c r="CO166" i="13"/>
  <c r="CN166" i="13"/>
  <c r="CM166" i="13"/>
  <c r="CL166" i="13"/>
  <c r="CK166" i="13"/>
  <c r="CJ166" i="13"/>
  <c r="CI166" i="13"/>
  <c r="CH166" i="13"/>
  <c r="CG166" i="13"/>
  <c r="CT165" i="13"/>
  <c r="CR165" i="13"/>
  <c r="CQ165" i="13"/>
  <c r="CP165" i="13"/>
  <c r="CO165" i="13"/>
  <c r="CN165" i="13"/>
  <c r="CM165" i="13"/>
  <c r="CL165" i="13"/>
  <c r="CK165" i="13"/>
  <c r="CJ165" i="13"/>
  <c r="CI165" i="13"/>
  <c r="CH165" i="13"/>
  <c r="CG165" i="13"/>
  <c r="CT164" i="13"/>
  <c r="CV164" i="13" s="1"/>
  <c r="CR164" i="13"/>
  <c r="CQ164" i="13"/>
  <c r="CP164" i="13"/>
  <c r="CO164" i="13"/>
  <c r="CN164" i="13"/>
  <c r="CM164" i="13"/>
  <c r="CL164" i="13"/>
  <c r="CK164" i="13"/>
  <c r="CJ164" i="13"/>
  <c r="CI164" i="13"/>
  <c r="CH164" i="13"/>
  <c r="CG164" i="13"/>
  <c r="CV163" i="13"/>
  <c r="CT163" i="13"/>
  <c r="CR163" i="13"/>
  <c r="CQ163" i="13"/>
  <c r="CP163" i="13"/>
  <c r="CO163" i="13"/>
  <c r="CN163" i="13"/>
  <c r="CM163" i="13"/>
  <c r="CL163" i="13"/>
  <c r="CK163" i="13"/>
  <c r="CJ163" i="13"/>
  <c r="CI163" i="13"/>
  <c r="CH163" i="13"/>
  <c r="CG163" i="13"/>
  <c r="CV162" i="13"/>
  <c r="CT162" i="13"/>
  <c r="CR162" i="13"/>
  <c r="CQ162" i="13"/>
  <c r="CP162" i="13"/>
  <c r="CO162" i="13"/>
  <c r="CN162" i="13"/>
  <c r="CM162" i="13"/>
  <c r="CL162" i="13"/>
  <c r="CK162" i="13"/>
  <c r="CJ162" i="13"/>
  <c r="CI162" i="13"/>
  <c r="CH162" i="13"/>
  <c r="CG162" i="13"/>
  <c r="CT161" i="13"/>
  <c r="CV161" i="13" s="1"/>
  <c r="CR161" i="13"/>
  <c r="CQ161" i="13"/>
  <c r="CP161" i="13"/>
  <c r="CO161" i="13"/>
  <c r="CN161" i="13"/>
  <c r="CM161" i="13"/>
  <c r="CL161" i="13"/>
  <c r="CK161" i="13"/>
  <c r="CJ161" i="13"/>
  <c r="CI161" i="13"/>
  <c r="CH161" i="13"/>
  <c r="CG161" i="13"/>
  <c r="CT160" i="13"/>
  <c r="CV160" i="13" s="1"/>
  <c r="CV159" i="13"/>
  <c r="CT159" i="13"/>
  <c r="CR159" i="13"/>
  <c r="CQ159" i="13"/>
  <c r="CP159" i="13"/>
  <c r="CO159" i="13"/>
  <c r="CN159" i="13"/>
  <c r="CM159" i="13"/>
  <c r="CL159" i="13"/>
  <c r="CK159" i="13"/>
  <c r="CJ159" i="13"/>
  <c r="CI159" i="13"/>
  <c r="CH159" i="13"/>
  <c r="CG159" i="13"/>
  <c r="CV158" i="13"/>
  <c r="CT158" i="13"/>
  <c r="CR158" i="13"/>
  <c r="CQ158" i="13"/>
  <c r="CP158" i="13"/>
  <c r="CO158" i="13"/>
  <c r="CN158" i="13"/>
  <c r="CM158" i="13"/>
  <c r="CL158" i="13"/>
  <c r="CK158" i="13"/>
  <c r="CJ158" i="13"/>
  <c r="CI158" i="13"/>
  <c r="CH158" i="13"/>
  <c r="CG158" i="13"/>
  <c r="CT157" i="13"/>
  <c r="CV157" i="13" s="1"/>
  <c r="CR157" i="13"/>
  <c r="CQ157" i="13"/>
  <c r="CP157" i="13"/>
  <c r="CO157" i="13"/>
  <c r="CN157" i="13"/>
  <c r="CM157" i="13"/>
  <c r="CL157" i="13"/>
  <c r="CK157" i="13"/>
  <c r="CJ157" i="13"/>
  <c r="CI157" i="13"/>
  <c r="CH157" i="13"/>
  <c r="CG157" i="13"/>
  <c r="CT156" i="13"/>
  <c r="CT155" i="13"/>
  <c r="CV155" i="13" s="1"/>
  <c r="CR155" i="13"/>
  <c r="CQ155" i="13"/>
  <c r="CP155" i="13"/>
  <c r="CO155" i="13"/>
  <c r="CN155" i="13"/>
  <c r="CM155" i="13"/>
  <c r="CL155" i="13"/>
  <c r="CK155" i="13"/>
  <c r="CJ155" i="13"/>
  <c r="CI155" i="13"/>
  <c r="CH155" i="13"/>
  <c r="CG155" i="13"/>
  <c r="CV154" i="13"/>
  <c r="CT154" i="13"/>
  <c r="CU155" i="13" s="1"/>
  <c r="CR154" i="13"/>
  <c r="CQ154" i="13"/>
  <c r="CP154" i="13"/>
  <c r="CO154" i="13"/>
  <c r="CN154" i="13"/>
  <c r="CM154" i="13"/>
  <c r="CL154" i="13"/>
  <c r="CK154" i="13"/>
  <c r="CJ154" i="13"/>
  <c r="CI154" i="13"/>
  <c r="CH154" i="13"/>
  <c r="CG154" i="13"/>
  <c r="CT153" i="13"/>
  <c r="CU154" i="13" s="1"/>
  <c r="CR153" i="13"/>
  <c r="CQ153" i="13"/>
  <c r="CP153" i="13"/>
  <c r="CO153" i="13"/>
  <c r="CN153" i="13"/>
  <c r="CM153" i="13"/>
  <c r="CL153" i="13"/>
  <c r="CK153" i="13"/>
  <c r="CJ153" i="13"/>
  <c r="CI153" i="13"/>
  <c r="CH153" i="13"/>
  <c r="CG153" i="13"/>
  <c r="CV152" i="13"/>
  <c r="CT152" i="13"/>
  <c r="CR152" i="13"/>
  <c r="CQ152" i="13"/>
  <c r="CP152" i="13"/>
  <c r="CO152" i="13"/>
  <c r="CN152" i="13"/>
  <c r="CM152" i="13"/>
  <c r="CL152" i="13"/>
  <c r="CK152" i="13"/>
  <c r="CJ152" i="13"/>
  <c r="CI152" i="13"/>
  <c r="CH152" i="13"/>
  <c r="CG152" i="13"/>
  <c r="CT151" i="13"/>
  <c r="CV151" i="13" s="1"/>
  <c r="CR151" i="13"/>
  <c r="CQ151" i="13"/>
  <c r="CP151" i="13"/>
  <c r="CO151" i="13"/>
  <c r="CN151" i="13"/>
  <c r="CM151" i="13"/>
  <c r="CL151" i="13"/>
  <c r="CK151" i="13"/>
  <c r="CJ151" i="13"/>
  <c r="CI151" i="13"/>
  <c r="CH151" i="13"/>
  <c r="CG151" i="13"/>
  <c r="CT150" i="13"/>
  <c r="CV150" i="13" s="1"/>
  <c r="CR150" i="13"/>
  <c r="CQ150" i="13"/>
  <c r="CP150" i="13"/>
  <c r="CO150" i="13"/>
  <c r="CN150" i="13"/>
  <c r="CM150" i="13"/>
  <c r="CL150" i="13"/>
  <c r="CK150" i="13"/>
  <c r="CJ150" i="13"/>
  <c r="CI150" i="13"/>
  <c r="CH150" i="13"/>
  <c r="CG150" i="13"/>
  <c r="CV149" i="13"/>
  <c r="CT149" i="13"/>
  <c r="CR149" i="13"/>
  <c r="CQ149" i="13"/>
  <c r="CP149" i="13"/>
  <c r="CO149" i="13"/>
  <c r="CN149" i="13"/>
  <c r="CM149" i="13"/>
  <c r="CL149" i="13"/>
  <c r="CK149" i="13"/>
  <c r="CJ149" i="13"/>
  <c r="CI149" i="13"/>
  <c r="CH149" i="13"/>
  <c r="CG149" i="13"/>
  <c r="CV148" i="13"/>
  <c r="CT148" i="13"/>
  <c r="CR148" i="13"/>
  <c r="CQ148" i="13"/>
  <c r="CP148" i="13"/>
  <c r="CO148" i="13"/>
  <c r="CN148" i="13"/>
  <c r="CM148" i="13"/>
  <c r="CL148" i="13"/>
  <c r="CK148" i="13"/>
  <c r="CJ148" i="13"/>
  <c r="CI148" i="13"/>
  <c r="CH148" i="13"/>
  <c r="CG148" i="13"/>
  <c r="CT147" i="13"/>
  <c r="CV147" i="13" s="1"/>
  <c r="CR147" i="13"/>
  <c r="CQ147" i="13"/>
  <c r="CP147" i="13"/>
  <c r="CO147" i="13"/>
  <c r="CN147" i="13"/>
  <c r="CM147" i="13"/>
  <c r="CL147" i="13"/>
  <c r="CK147" i="13"/>
  <c r="CJ147" i="13"/>
  <c r="CI147" i="13"/>
  <c r="CH147" i="13"/>
  <c r="CG147" i="13"/>
  <c r="CT146" i="13"/>
  <c r="CV146" i="13" s="1"/>
  <c r="CR146" i="13"/>
  <c r="CQ146" i="13"/>
  <c r="CP146" i="13"/>
  <c r="CO146" i="13"/>
  <c r="CN146" i="13"/>
  <c r="CM146" i="13"/>
  <c r="CL146" i="13"/>
  <c r="CK146" i="13"/>
  <c r="CJ146" i="13"/>
  <c r="CI146" i="13"/>
  <c r="CH146" i="13"/>
  <c r="CG146" i="13"/>
  <c r="CV145" i="13"/>
  <c r="CT145" i="13"/>
  <c r="CV144" i="13"/>
  <c r="CU144" i="13"/>
  <c r="CT144" i="13"/>
  <c r="CU145" i="13" s="1"/>
  <c r="CR144" i="13"/>
  <c r="CQ144" i="13"/>
  <c r="CP144" i="13"/>
  <c r="CO144" i="13"/>
  <c r="CN144" i="13"/>
  <c r="CM144" i="13"/>
  <c r="CL144" i="13"/>
  <c r="CK144" i="13"/>
  <c r="CJ144" i="13"/>
  <c r="CI144" i="13"/>
  <c r="CH144" i="13"/>
  <c r="CG144" i="13"/>
  <c r="CV143" i="13"/>
  <c r="CT143" i="13"/>
  <c r="CR143" i="13"/>
  <c r="CQ143" i="13"/>
  <c r="CP143" i="13"/>
  <c r="CO143" i="13"/>
  <c r="CN143" i="13"/>
  <c r="CM143" i="13"/>
  <c r="CL143" i="13"/>
  <c r="CK143" i="13"/>
  <c r="CJ143" i="13"/>
  <c r="CI143" i="13"/>
  <c r="CH143" i="13"/>
  <c r="CG143" i="13"/>
  <c r="CT142" i="13"/>
  <c r="CV142" i="13" s="1"/>
  <c r="CR142" i="13"/>
  <c r="CQ142" i="13"/>
  <c r="CP142" i="13"/>
  <c r="CO142" i="13"/>
  <c r="CN142" i="13"/>
  <c r="CM142" i="13"/>
  <c r="CL142" i="13"/>
  <c r="CK142" i="13"/>
  <c r="CJ142" i="13"/>
  <c r="CI142" i="13"/>
  <c r="CH142" i="13"/>
  <c r="CG142" i="13"/>
  <c r="CT141" i="13"/>
  <c r="CV141" i="13" s="1"/>
  <c r="CR141" i="13"/>
  <c r="CQ141" i="13"/>
  <c r="CP141" i="13"/>
  <c r="CO141" i="13"/>
  <c r="CN141" i="13"/>
  <c r="CM141" i="13"/>
  <c r="CL141" i="13"/>
  <c r="CK141" i="13"/>
  <c r="CJ141" i="13"/>
  <c r="CI141" i="13"/>
  <c r="CH141" i="13"/>
  <c r="CG141" i="13"/>
  <c r="CV140" i="13"/>
  <c r="CT140" i="13"/>
  <c r="CR140" i="13"/>
  <c r="CQ140" i="13"/>
  <c r="CP140" i="13"/>
  <c r="CO140" i="13"/>
  <c r="CN140" i="13"/>
  <c r="CM140" i="13"/>
  <c r="CL140" i="13"/>
  <c r="CK140" i="13"/>
  <c r="CJ140" i="13"/>
  <c r="CI140" i="13"/>
  <c r="CH140" i="13"/>
  <c r="CG140" i="13"/>
  <c r="CV139" i="13"/>
  <c r="CT139" i="13"/>
  <c r="CR139" i="13"/>
  <c r="CQ139" i="13"/>
  <c r="CP139" i="13"/>
  <c r="CO139" i="13"/>
  <c r="CN139" i="13"/>
  <c r="CM139" i="13"/>
  <c r="CL139" i="13"/>
  <c r="CK139" i="13"/>
  <c r="CJ139" i="13"/>
  <c r="CI139" i="13"/>
  <c r="CH139" i="13"/>
  <c r="CG139" i="13"/>
  <c r="CT138" i="13"/>
  <c r="CV138" i="13" s="1"/>
  <c r="CR138" i="13"/>
  <c r="CQ138" i="13"/>
  <c r="CP138" i="13"/>
  <c r="CO138" i="13"/>
  <c r="CN138" i="13"/>
  <c r="CM138" i="13"/>
  <c r="CL138" i="13"/>
  <c r="CK138" i="13"/>
  <c r="CJ138" i="13"/>
  <c r="CI138" i="13"/>
  <c r="CH138" i="13"/>
  <c r="CG138" i="13"/>
  <c r="CT137" i="13"/>
  <c r="CV137" i="13" s="1"/>
  <c r="CR137" i="13"/>
  <c r="CQ137" i="13"/>
  <c r="CP137" i="13"/>
  <c r="CO137" i="13"/>
  <c r="CN137" i="13"/>
  <c r="CM137" i="13"/>
  <c r="CL137" i="13"/>
  <c r="CK137" i="13"/>
  <c r="CJ137" i="13"/>
  <c r="CI137" i="13"/>
  <c r="CH137" i="13"/>
  <c r="CG137" i="13"/>
  <c r="CV136" i="13"/>
  <c r="CT136" i="13"/>
  <c r="CU137" i="13" s="1"/>
  <c r="CU138" i="13" s="1"/>
  <c r="CT135" i="13"/>
  <c r="CU136" i="13" s="1"/>
  <c r="CR135" i="13"/>
  <c r="CQ135" i="13"/>
  <c r="CP135" i="13"/>
  <c r="CO135" i="13"/>
  <c r="CN135" i="13"/>
  <c r="CM135" i="13"/>
  <c r="CL135" i="13"/>
  <c r="CK135" i="13"/>
  <c r="CJ135" i="13"/>
  <c r="CI135" i="13"/>
  <c r="CH135" i="13"/>
  <c r="CG135" i="13"/>
  <c r="CV134" i="13"/>
  <c r="CT134" i="13"/>
  <c r="CR134" i="13"/>
  <c r="CQ134" i="13"/>
  <c r="CP134" i="13"/>
  <c r="CO134" i="13"/>
  <c r="CN134" i="13"/>
  <c r="CM134" i="13"/>
  <c r="CL134" i="13"/>
  <c r="CK134" i="13"/>
  <c r="CJ134" i="13"/>
  <c r="CI134" i="13"/>
  <c r="CH134" i="13"/>
  <c r="CG134" i="13"/>
  <c r="CT133" i="13"/>
  <c r="CV133" i="13" s="1"/>
  <c r="CR133" i="13"/>
  <c r="CQ133" i="13"/>
  <c r="CP133" i="13"/>
  <c r="CO133" i="13"/>
  <c r="CN133" i="13"/>
  <c r="CM133" i="13"/>
  <c r="CL133" i="13"/>
  <c r="CK133" i="13"/>
  <c r="CJ133" i="13"/>
  <c r="CI133" i="13"/>
  <c r="CH133" i="13"/>
  <c r="CG133" i="13"/>
  <c r="CT132" i="13"/>
  <c r="CV132" i="13" s="1"/>
  <c r="CR132" i="13"/>
  <c r="CQ132" i="13"/>
  <c r="CP132" i="13"/>
  <c r="CO132" i="13"/>
  <c r="CN132" i="13"/>
  <c r="CM132" i="13"/>
  <c r="CL132" i="13"/>
  <c r="CK132" i="13"/>
  <c r="CJ132" i="13"/>
  <c r="CI132" i="13"/>
  <c r="CH132" i="13"/>
  <c r="CG132" i="13"/>
  <c r="CV131" i="13"/>
  <c r="CT131" i="13"/>
  <c r="CR131" i="13"/>
  <c r="CQ131" i="13"/>
  <c r="CP131" i="13"/>
  <c r="CO131" i="13"/>
  <c r="CN131" i="13"/>
  <c r="CM131" i="13"/>
  <c r="CL131" i="13"/>
  <c r="CK131" i="13"/>
  <c r="CJ131" i="13"/>
  <c r="CI131" i="13"/>
  <c r="CH131" i="13"/>
  <c r="CG131" i="13"/>
  <c r="CV130" i="13"/>
  <c r="CT130" i="13"/>
  <c r="CR130" i="13"/>
  <c r="CQ130" i="13"/>
  <c r="CP130" i="13"/>
  <c r="CO130" i="13"/>
  <c r="CN130" i="13"/>
  <c r="CM130" i="13"/>
  <c r="CL130" i="13"/>
  <c r="CK130" i="13"/>
  <c r="CJ130" i="13"/>
  <c r="CI130" i="13"/>
  <c r="CH130" i="13"/>
  <c r="CG130" i="13"/>
  <c r="CU129" i="13"/>
  <c r="CT129" i="13"/>
  <c r="CV129" i="13" s="1"/>
  <c r="CR129" i="13"/>
  <c r="CQ129" i="13"/>
  <c r="CP129" i="13"/>
  <c r="CO129" i="13"/>
  <c r="CN129" i="13"/>
  <c r="CM129" i="13"/>
  <c r="CL129" i="13"/>
  <c r="CK129" i="13"/>
  <c r="CJ129" i="13"/>
  <c r="CI129" i="13"/>
  <c r="CH129" i="13"/>
  <c r="CG129" i="13"/>
  <c r="CV128" i="13"/>
  <c r="CT128" i="13"/>
  <c r="CT127" i="13"/>
  <c r="CR127" i="13"/>
  <c r="CQ127" i="13"/>
  <c r="CP127" i="13"/>
  <c r="CO127" i="13"/>
  <c r="CN127" i="13"/>
  <c r="CM127" i="13"/>
  <c r="CL127" i="13"/>
  <c r="CK127" i="13"/>
  <c r="CJ127" i="13"/>
  <c r="CI127" i="13"/>
  <c r="CH127" i="13"/>
  <c r="CG127" i="13"/>
  <c r="CV126" i="13"/>
  <c r="CT126" i="13"/>
  <c r="CR126" i="13"/>
  <c r="CQ126" i="13"/>
  <c r="CP126" i="13"/>
  <c r="CO126" i="13"/>
  <c r="CN126" i="13"/>
  <c r="CM126" i="13"/>
  <c r="CL126" i="13"/>
  <c r="CK126" i="13"/>
  <c r="CJ126" i="13"/>
  <c r="CI126" i="13"/>
  <c r="CH126" i="13"/>
  <c r="CG126" i="13"/>
  <c r="CV125" i="13"/>
  <c r="CT125" i="13"/>
  <c r="CR125" i="13"/>
  <c r="CQ125" i="13"/>
  <c r="CP125" i="13"/>
  <c r="CO125" i="13"/>
  <c r="CN125" i="13"/>
  <c r="CM125" i="13"/>
  <c r="CL125" i="13"/>
  <c r="CK125" i="13"/>
  <c r="CJ125" i="13"/>
  <c r="CI125" i="13"/>
  <c r="CH125" i="13"/>
  <c r="CG125" i="13"/>
  <c r="CT124" i="13"/>
  <c r="CV124" i="13" s="1"/>
  <c r="CR124" i="13"/>
  <c r="CQ124" i="13"/>
  <c r="CP124" i="13"/>
  <c r="CO124" i="13"/>
  <c r="CN124" i="13"/>
  <c r="CM124" i="13"/>
  <c r="CT123" i="13"/>
  <c r="CV123" i="13" s="1"/>
  <c r="CR123" i="13"/>
  <c r="CQ123" i="13"/>
  <c r="CP123" i="13"/>
  <c r="CO123" i="13"/>
  <c r="CN123" i="13"/>
  <c r="CM123" i="13"/>
  <c r="CL123" i="13"/>
  <c r="CK123" i="13"/>
  <c r="CJ123" i="13"/>
  <c r="CI123" i="13"/>
  <c r="CH123" i="13"/>
  <c r="CG123" i="13"/>
  <c r="CV122" i="13"/>
  <c r="CT122" i="13"/>
  <c r="CR122" i="13"/>
  <c r="CQ122" i="13"/>
  <c r="CP122" i="13"/>
  <c r="CO122" i="13"/>
  <c r="CN122" i="13"/>
  <c r="CM122" i="13"/>
  <c r="CL122" i="13"/>
  <c r="CK122" i="13"/>
  <c r="CJ122" i="13"/>
  <c r="CI122" i="13"/>
  <c r="CH122" i="13"/>
  <c r="CG122" i="13"/>
  <c r="CV121" i="13"/>
  <c r="CU121" i="13"/>
  <c r="CT121" i="13"/>
  <c r="CU122" i="13" s="1"/>
  <c r="CR121" i="13"/>
  <c r="CQ121" i="13"/>
  <c r="CP121" i="13"/>
  <c r="CO121" i="13"/>
  <c r="CN121" i="13"/>
  <c r="CM121" i="13"/>
  <c r="CL121" i="13"/>
  <c r="CK121" i="13"/>
  <c r="CJ121" i="13"/>
  <c r="CI121" i="13"/>
  <c r="CH121" i="13"/>
  <c r="CG121" i="13"/>
  <c r="CV120" i="13"/>
  <c r="CT120" i="13"/>
  <c r="CR120" i="13"/>
  <c r="CR228" i="13" s="1"/>
  <c r="CQ120" i="13"/>
  <c r="CP120" i="13"/>
  <c r="CP228" i="13" s="1"/>
  <c r="CO120" i="13"/>
  <c r="CN120" i="13"/>
  <c r="CN228" i="13" s="1"/>
  <c r="CM120" i="13"/>
  <c r="CL120" i="13"/>
  <c r="CK120" i="13"/>
  <c r="CJ120" i="13"/>
  <c r="CI120" i="13"/>
  <c r="CH120" i="13"/>
  <c r="CG120" i="13"/>
  <c r="BP148" i="12"/>
  <c r="BO148" i="12"/>
  <c r="BN148" i="12"/>
  <c r="BP147" i="12"/>
  <c r="BO147" i="12"/>
  <c r="BN147" i="12"/>
  <c r="BP146" i="12"/>
  <c r="BO146" i="12"/>
  <c r="BN146" i="12"/>
  <c r="BP145" i="12"/>
  <c r="BO145" i="12"/>
  <c r="BN145" i="12"/>
  <c r="BP144" i="12"/>
  <c r="BO144" i="12"/>
  <c r="BN144" i="12"/>
  <c r="BP143" i="12"/>
  <c r="BO143" i="12"/>
  <c r="BN143" i="12"/>
  <c r="BP142" i="12"/>
  <c r="BO142" i="12"/>
  <c r="BN142" i="12"/>
  <c r="BP141" i="12"/>
  <c r="BO141" i="12"/>
  <c r="BN141" i="12"/>
  <c r="BP140" i="12"/>
  <c r="BO140" i="12"/>
  <c r="BN140" i="12"/>
  <c r="BP139" i="12"/>
  <c r="BO139" i="12"/>
  <c r="BN139" i="12"/>
  <c r="BP138" i="12"/>
  <c r="BO138" i="12"/>
  <c r="BN138" i="12"/>
  <c r="BP137" i="12"/>
  <c r="BO137" i="12"/>
  <c r="BN137" i="12"/>
  <c r="BP136" i="12"/>
  <c r="BO136" i="12"/>
  <c r="BN136" i="12"/>
  <c r="BP135" i="12"/>
  <c r="BO135" i="12"/>
  <c r="BN135" i="12"/>
  <c r="BP134" i="12"/>
  <c r="BO134" i="12"/>
  <c r="BN134" i="12"/>
  <c r="BP133" i="12"/>
  <c r="BO133" i="12"/>
  <c r="BN133" i="12"/>
  <c r="BP132" i="12"/>
  <c r="BO132" i="12"/>
  <c r="BN132" i="12"/>
  <c r="BP131" i="12"/>
  <c r="BO131" i="12"/>
  <c r="BN131" i="12"/>
  <c r="BP130" i="12"/>
  <c r="BO130" i="12"/>
  <c r="BN130" i="12"/>
  <c r="BP129" i="12"/>
  <c r="BO129" i="12"/>
  <c r="BN129" i="12"/>
  <c r="BP128" i="12"/>
  <c r="BO128" i="12"/>
  <c r="BN128" i="12"/>
  <c r="BP127" i="12"/>
  <c r="BO127" i="12"/>
  <c r="BN127" i="12"/>
  <c r="BP126" i="12"/>
  <c r="BO126" i="12"/>
  <c r="BN126" i="12"/>
  <c r="BP125" i="12"/>
  <c r="BO125" i="12"/>
  <c r="BN125" i="12"/>
  <c r="BV122" i="12"/>
  <c r="BU122" i="12"/>
  <c r="BT122" i="12"/>
  <c r="BS122" i="12"/>
  <c r="BR122" i="12"/>
  <c r="BQ122" i="12"/>
  <c r="BP122" i="12"/>
  <c r="BO122" i="12"/>
  <c r="BN122" i="12"/>
  <c r="BV121" i="12"/>
  <c r="BU121" i="12"/>
  <c r="BT121" i="12"/>
  <c r="BS121" i="12"/>
  <c r="BR121" i="12"/>
  <c r="BQ121" i="12"/>
  <c r="BP121" i="12"/>
  <c r="BO121" i="12"/>
  <c r="BN121" i="12"/>
  <c r="BV120" i="12"/>
  <c r="BU120" i="12"/>
  <c r="BT120" i="12"/>
  <c r="BS120" i="12"/>
  <c r="BR120" i="12"/>
  <c r="BQ120" i="12"/>
  <c r="BP120" i="12"/>
  <c r="BO120" i="12"/>
  <c r="BN120" i="12"/>
  <c r="BV119" i="12"/>
  <c r="BU119" i="12"/>
  <c r="BT119" i="12"/>
  <c r="BS119" i="12"/>
  <c r="BR119" i="12"/>
  <c r="BQ119" i="12"/>
  <c r="BP119" i="12"/>
  <c r="BO119" i="12"/>
  <c r="BN119" i="12"/>
  <c r="BV118" i="12"/>
  <c r="BU118" i="12"/>
  <c r="BT118" i="12"/>
  <c r="BS118" i="12"/>
  <c r="BR118" i="12"/>
  <c r="BQ118" i="12"/>
  <c r="BP118" i="12"/>
  <c r="BO118" i="12"/>
  <c r="BN118" i="12"/>
  <c r="BV117" i="12"/>
  <c r="BU117" i="12"/>
  <c r="BT117" i="12"/>
  <c r="BS117" i="12"/>
  <c r="BR117" i="12"/>
  <c r="BQ117" i="12"/>
  <c r="BP117" i="12"/>
  <c r="BO117" i="12"/>
  <c r="BN117" i="12"/>
  <c r="BV116" i="12"/>
  <c r="BU116" i="12"/>
  <c r="BT116" i="12"/>
  <c r="BS116" i="12"/>
  <c r="BR116" i="12"/>
  <c r="BQ116" i="12"/>
  <c r="BP116" i="12"/>
  <c r="BO116" i="12"/>
  <c r="BN116" i="12"/>
  <c r="BV115" i="12"/>
  <c r="BU115" i="12"/>
  <c r="BT115" i="12"/>
  <c r="BS115" i="12"/>
  <c r="BR115" i="12"/>
  <c r="BQ115" i="12"/>
  <c r="BP115" i="12"/>
  <c r="BO115" i="12"/>
  <c r="BN115" i="12"/>
  <c r="BV114" i="12"/>
  <c r="BU114" i="12"/>
  <c r="BT114" i="12"/>
  <c r="BS114" i="12"/>
  <c r="BR114" i="12"/>
  <c r="BQ114" i="12"/>
  <c r="BP114" i="12"/>
  <c r="BO114" i="12"/>
  <c r="BN114" i="12"/>
  <c r="BV113" i="12"/>
  <c r="BU113" i="12"/>
  <c r="BT113" i="12"/>
  <c r="BS113" i="12"/>
  <c r="BR113" i="12"/>
  <c r="BQ113" i="12"/>
  <c r="BP113" i="12"/>
  <c r="BO113" i="12"/>
  <c r="BN113" i="12"/>
  <c r="BV112" i="12"/>
  <c r="BU112" i="12"/>
  <c r="BT112" i="12"/>
  <c r="BS112" i="12"/>
  <c r="BR112" i="12"/>
  <c r="BQ112" i="12"/>
  <c r="BP112" i="12"/>
  <c r="BO112" i="12"/>
  <c r="BN112" i="12"/>
  <c r="BV111" i="12"/>
  <c r="BU111" i="12"/>
  <c r="BT111" i="12"/>
  <c r="BS111" i="12"/>
  <c r="BR111" i="12"/>
  <c r="BQ111" i="12"/>
  <c r="BP111" i="12"/>
  <c r="BO111" i="12"/>
  <c r="BN111" i="12"/>
  <c r="BV110" i="12"/>
  <c r="BU110" i="12"/>
  <c r="BT110" i="12"/>
  <c r="BS110" i="12"/>
  <c r="BR110" i="12"/>
  <c r="BQ110" i="12"/>
  <c r="BP110" i="12"/>
  <c r="BO110" i="12"/>
  <c r="BN110" i="12"/>
  <c r="BV109" i="12"/>
  <c r="BU109" i="12"/>
  <c r="BT109" i="12"/>
  <c r="BS109" i="12"/>
  <c r="BR109" i="12"/>
  <c r="BQ109" i="12"/>
  <c r="BP109" i="12"/>
  <c r="BO109" i="12"/>
  <c r="BN109" i="12"/>
  <c r="BV108" i="12"/>
  <c r="BU108" i="12"/>
  <c r="BT108" i="12"/>
  <c r="BS108" i="12"/>
  <c r="BR108" i="12"/>
  <c r="BQ108" i="12"/>
  <c r="BP108" i="12"/>
  <c r="BO108" i="12"/>
  <c r="BN108" i="12"/>
  <c r="BV107" i="12"/>
  <c r="BU107" i="12"/>
  <c r="BT107" i="12"/>
  <c r="BS107" i="12"/>
  <c r="BR107" i="12"/>
  <c r="BQ107" i="12"/>
  <c r="BP107" i="12"/>
  <c r="BO107" i="12"/>
  <c r="BN107" i="12"/>
  <c r="BV106" i="12"/>
  <c r="BU106" i="12"/>
  <c r="BT106" i="12"/>
  <c r="BS106" i="12"/>
  <c r="BR106" i="12"/>
  <c r="BQ106" i="12"/>
  <c r="BP106" i="12"/>
  <c r="BO106" i="12"/>
  <c r="BN106" i="12"/>
  <c r="BV105" i="12"/>
  <c r="BU105" i="12"/>
  <c r="BT105" i="12"/>
  <c r="BS105" i="12"/>
  <c r="BR105" i="12"/>
  <c r="BQ105" i="12"/>
  <c r="BP105" i="12"/>
  <c r="BO105" i="12"/>
  <c r="BN105" i="12"/>
  <c r="BV104" i="12"/>
  <c r="BU104" i="12"/>
  <c r="BT104" i="12"/>
  <c r="BS104" i="12"/>
  <c r="BR104" i="12"/>
  <c r="BQ104" i="12"/>
  <c r="BP104" i="12"/>
  <c r="BO104" i="12"/>
  <c r="BN104" i="12"/>
  <c r="BV103" i="12"/>
  <c r="BU103" i="12"/>
  <c r="BT103" i="12"/>
  <c r="BS103" i="12"/>
  <c r="BR103" i="12"/>
  <c r="BQ103" i="12"/>
  <c r="BP103" i="12"/>
  <c r="BO103" i="12"/>
  <c r="BN103" i="12"/>
  <c r="BV102" i="12"/>
  <c r="BU102" i="12"/>
  <c r="BT102" i="12"/>
  <c r="BS102" i="12"/>
  <c r="BR102" i="12"/>
  <c r="BQ102" i="12"/>
  <c r="BP102" i="12"/>
  <c r="BO102" i="12"/>
  <c r="BN102" i="12"/>
  <c r="BV101" i="12"/>
  <c r="BU101" i="12"/>
  <c r="BT101" i="12"/>
  <c r="BS101" i="12"/>
  <c r="BR101" i="12"/>
  <c r="BQ101" i="12"/>
  <c r="BP101" i="12"/>
  <c r="BO101" i="12"/>
  <c r="BN101" i="12"/>
  <c r="BV100" i="12"/>
  <c r="BU100" i="12"/>
  <c r="BT100" i="12"/>
  <c r="BS100" i="12"/>
  <c r="BR100" i="12"/>
  <c r="BQ100" i="12"/>
  <c r="BP100" i="12"/>
  <c r="BO100" i="12"/>
  <c r="BN100" i="12"/>
  <c r="BV99" i="12"/>
  <c r="BU99" i="12"/>
  <c r="BT99" i="12"/>
  <c r="BS99" i="12"/>
  <c r="BR99" i="12"/>
  <c r="BQ99" i="12"/>
  <c r="BP99" i="12"/>
  <c r="BO99" i="12"/>
  <c r="BN99" i="12"/>
  <c r="BV98" i="12"/>
  <c r="BU98" i="12"/>
  <c r="BT98" i="12"/>
  <c r="BS98" i="12"/>
  <c r="BR98" i="12"/>
  <c r="BQ98" i="12"/>
  <c r="BP98" i="12"/>
  <c r="BO98" i="12"/>
  <c r="BN98" i="12"/>
  <c r="BV97" i="12"/>
  <c r="BU97" i="12"/>
  <c r="BT97" i="12"/>
  <c r="BS97" i="12"/>
  <c r="BR97" i="12"/>
  <c r="BQ97" i="12"/>
  <c r="BP97" i="12"/>
  <c r="BO97" i="12"/>
  <c r="BN97" i="12"/>
  <c r="BV96" i="12"/>
  <c r="BU96" i="12"/>
  <c r="BT96" i="12"/>
  <c r="BS96" i="12"/>
  <c r="BR96" i="12"/>
  <c r="BQ96" i="12"/>
  <c r="BP96" i="12"/>
  <c r="BO96" i="12"/>
  <c r="BN96" i="12"/>
  <c r="BV95" i="12"/>
  <c r="BU95" i="12"/>
  <c r="BT95" i="12"/>
  <c r="BS95" i="12"/>
  <c r="BR95" i="12"/>
  <c r="BQ95" i="12"/>
  <c r="BP95" i="12"/>
  <c r="BO95" i="12"/>
  <c r="BN95" i="12"/>
  <c r="BV94" i="12"/>
  <c r="BU94" i="12"/>
  <c r="BT94" i="12"/>
  <c r="BS94" i="12"/>
  <c r="BR94" i="12"/>
  <c r="BQ94" i="12"/>
  <c r="BP94" i="12"/>
  <c r="BO94" i="12"/>
  <c r="BN94" i="12"/>
  <c r="BV93" i="12"/>
  <c r="BU93" i="12"/>
  <c r="BT93" i="12"/>
  <c r="BS93" i="12"/>
  <c r="BR93" i="12"/>
  <c r="BQ93" i="12"/>
  <c r="BP93" i="12"/>
  <c r="BO93" i="12"/>
  <c r="BN93" i="12"/>
  <c r="BV92" i="12"/>
  <c r="BU92" i="12"/>
  <c r="BT92" i="12"/>
  <c r="BS92" i="12"/>
  <c r="BR92" i="12"/>
  <c r="BQ92" i="12"/>
  <c r="BP92" i="12"/>
  <c r="BO92" i="12"/>
  <c r="BN92" i="12"/>
  <c r="BV91" i="12"/>
  <c r="BU91" i="12"/>
  <c r="BT91" i="12"/>
  <c r="BS91" i="12"/>
  <c r="BR91" i="12"/>
  <c r="BQ91" i="12"/>
  <c r="BP91" i="12"/>
  <c r="BO91" i="12"/>
  <c r="BN91" i="12"/>
  <c r="BV90" i="12"/>
  <c r="BU90" i="12"/>
  <c r="BT90" i="12"/>
  <c r="BS90" i="12"/>
  <c r="BR90" i="12"/>
  <c r="BQ90" i="12"/>
  <c r="BP90" i="12"/>
  <c r="BO90" i="12"/>
  <c r="BN90" i="12"/>
  <c r="BV89" i="12"/>
  <c r="BU89" i="12"/>
  <c r="BT89" i="12"/>
  <c r="BS89" i="12"/>
  <c r="BR89" i="12"/>
  <c r="BQ89" i="12"/>
  <c r="BP89" i="12"/>
  <c r="BO89" i="12"/>
  <c r="BN89" i="12"/>
  <c r="BV88" i="12"/>
  <c r="BU88" i="12"/>
  <c r="BT88" i="12"/>
  <c r="BS88" i="12"/>
  <c r="BR88" i="12"/>
  <c r="BQ88" i="12"/>
  <c r="BP88" i="12"/>
  <c r="BO88" i="12"/>
  <c r="BN88" i="12"/>
  <c r="BV87" i="12"/>
  <c r="BU87" i="12"/>
  <c r="BT87" i="12"/>
  <c r="BS87" i="12"/>
  <c r="BR87" i="12"/>
  <c r="BQ87" i="12"/>
  <c r="BP87" i="12"/>
  <c r="BO87" i="12"/>
  <c r="BN87" i="12"/>
  <c r="BV86" i="12"/>
  <c r="BU86" i="12"/>
  <c r="BT86" i="12"/>
  <c r="BS86" i="12"/>
  <c r="BR86" i="12"/>
  <c r="BQ86" i="12"/>
  <c r="BP86" i="12"/>
  <c r="BO86" i="12"/>
  <c r="BN86" i="12"/>
  <c r="BV85" i="12"/>
  <c r="BU85" i="12"/>
  <c r="BT85" i="12"/>
  <c r="BS85" i="12"/>
  <c r="BR85" i="12"/>
  <c r="BQ85" i="12"/>
  <c r="BP85" i="12"/>
  <c r="BO85" i="12"/>
  <c r="BN85" i="12"/>
  <c r="BV83" i="12"/>
  <c r="BU83" i="12"/>
  <c r="BT83" i="12"/>
  <c r="BS83" i="12"/>
  <c r="BR83" i="12"/>
  <c r="BQ83" i="12"/>
  <c r="BP83" i="12"/>
  <c r="BO83" i="12"/>
  <c r="BN83" i="12"/>
  <c r="BV82" i="12"/>
  <c r="BU82" i="12"/>
  <c r="BT82" i="12"/>
  <c r="BS82" i="12"/>
  <c r="BR82" i="12"/>
  <c r="BQ82" i="12"/>
  <c r="BP82" i="12"/>
  <c r="BO82" i="12"/>
  <c r="BN82" i="12"/>
  <c r="BV81" i="12"/>
  <c r="BU81" i="12"/>
  <c r="BT81" i="12"/>
  <c r="BS81" i="12"/>
  <c r="BR81" i="12"/>
  <c r="BQ81" i="12"/>
  <c r="BP81" i="12"/>
  <c r="BO81" i="12"/>
  <c r="BN81" i="12"/>
  <c r="BV80" i="12"/>
  <c r="BU80" i="12"/>
  <c r="BT80" i="12"/>
  <c r="BS80" i="12"/>
  <c r="BR80" i="12"/>
  <c r="BQ80" i="12"/>
  <c r="BP80" i="12"/>
  <c r="BO80" i="12"/>
  <c r="BN80" i="12"/>
  <c r="BV79" i="12"/>
  <c r="BU79" i="12"/>
  <c r="BT79" i="12"/>
  <c r="BS79" i="12"/>
  <c r="BR79" i="12"/>
  <c r="BQ79" i="12"/>
  <c r="BP79" i="12"/>
  <c r="BO79" i="12"/>
  <c r="BN79" i="12"/>
  <c r="BV78" i="12"/>
  <c r="BU78" i="12"/>
  <c r="BT78" i="12"/>
  <c r="BS78" i="12"/>
  <c r="BR78" i="12"/>
  <c r="BQ78" i="12"/>
  <c r="BP78" i="12"/>
  <c r="BO78" i="12"/>
  <c r="BN78" i="12"/>
  <c r="BV77" i="12"/>
  <c r="BU77" i="12"/>
  <c r="BT77" i="12"/>
  <c r="BS77" i="12"/>
  <c r="BR77" i="12"/>
  <c r="BQ77" i="12"/>
  <c r="BP77" i="12"/>
  <c r="BO77" i="12"/>
  <c r="BN77" i="12"/>
  <c r="BV76" i="12"/>
  <c r="BU76" i="12"/>
  <c r="BT76" i="12"/>
  <c r="BS76" i="12"/>
  <c r="BR76" i="12"/>
  <c r="BQ76" i="12"/>
  <c r="BP76" i="12"/>
  <c r="BO76" i="12"/>
  <c r="BN76" i="12"/>
  <c r="BV75" i="12"/>
  <c r="BU75" i="12"/>
  <c r="BT75" i="12"/>
  <c r="BS75" i="12"/>
  <c r="BR75" i="12"/>
  <c r="BQ75" i="12"/>
  <c r="BP75" i="12"/>
  <c r="BO75" i="12"/>
  <c r="BN75" i="12"/>
  <c r="BV73" i="12"/>
  <c r="BU73" i="12"/>
  <c r="BT73" i="12"/>
  <c r="BS73" i="12"/>
  <c r="BR73" i="12"/>
  <c r="BQ73" i="12"/>
  <c r="BP73" i="12"/>
  <c r="BO73" i="12"/>
  <c r="BN73" i="12"/>
  <c r="BV72" i="12"/>
  <c r="BU72" i="12"/>
  <c r="BT72" i="12"/>
  <c r="BS72" i="12"/>
  <c r="BR72" i="12"/>
  <c r="BQ72" i="12"/>
  <c r="BP72" i="12"/>
  <c r="BO72" i="12"/>
  <c r="BN72" i="12"/>
  <c r="BV71" i="12"/>
  <c r="BU71" i="12"/>
  <c r="BT71" i="12"/>
  <c r="BS71" i="12"/>
  <c r="BR71" i="12"/>
  <c r="BQ71" i="12"/>
  <c r="BP71" i="12"/>
  <c r="BO71" i="12"/>
  <c r="BN71" i="12"/>
  <c r="BV70" i="12"/>
  <c r="BU70" i="12"/>
  <c r="BT70" i="12"/>
  <c r="BS70" i="12"/>
  <c r="BR70" i="12"/>
  <c r="BQ70" i="12"/>
  <c r="BP70" i="12"/>
  <c r="BO70" i="12"/>
  <c r="BN70" i="12"/>
  <c r="BV69" i="12"/>
  <c r="BU69" i="12"/>
  <c r="BT69" i="12"/>
  <c r="BS69" i="12"/>
  <c r="BR69" i="12"/>
  <c r="BQ69" i="12"/>
  <c r="BP69" i="12"/>
  <c r="BO69" i="12"/>
  <c r="BN69" i="12"/>
  <c r="BV68" i="12"/>
  <c r="BU68" i="12"/>
  <c r="BT68" i="12"/>
  <c r="BS68" i="12"/>
  <c r="BR68" i="12"/>
  <c r="BQ68" i="12"/>
  <c r="BP68" i="12"/>
  <c r="BO68" i="12"/>
  <c r="BN68" i="12"/>
  <c r="BV67" i="12"/>
  <c r="BU67" i="12"/>
  <c r="BT67" i="12"/>
  <c r="BS67" i="12"/>
  <c r="BR67" i="12"/>
  <c r="BQ67" i="12"/>
  <c r="BP67" i="12"/>
  <c r="BO67" i="12"/>
  <c r="BN67" i="12"/>
  <c r="BV65" i="12"/>
  <c r="BU65" i="12"/>
  <c r="BT65" i="12"/>
  <c r="BS65" i="12"/>
  <c r="BR65" i="12"/>
  <c r="BQ65" i="12"/>
  <c r="BP65" i="12"/>
  <c r="BO65" i="12"/>
  <c r="BN65" i="12"/>
  <c r="BV64" i="12"/>
  <c r="BU64" i="12"/>
  <c r="BT64" i="12"/>
  <c r="BS64" i="12"/>
  <c r="BR64" i="12"/>
  <c r="BQ64" i="12"/>
  <c r="BP64" i="12"/>
  <c r="BO64" i="12"/>
  <c r="BN64" i="12"/>
  <c r="BV63" i="12"/>
  <c r="BU63" i="12"/>
  <c r="BT63" i="12"/>
  <c r="BS63" i="12"/>
  <c r="BR63" i="12"/>
  <c r="BQ63" i="12"/>
  <c r="BP63" i="12"/>
  <c r="BO63" i="12"/>
  <c r="BN63" i="12"/>
  <c r="BV62" i="12"/>
  <c r="BU62" i="12"/>
  <c r="BT62" i="12"/>
  <c r="BS62" i="12"/>
  <c r="BR62" i="12"/>
  <c r="BQ62" i="12"/>
  <c r="BP62" i="12"/>
  <c r="BO62" i="12"/>
  <c r="BN62" i="12"/>
  <c r="BV61" i="12"/>
  <c r="BU61" i="12"/>
  <c r="BT61" i="12"/>
  <c r="BS61" i="12"/>
  <c r="BR61" i="12"/>
  <c r="BQ61" i="12"/>
  <c r="BP61" i="12"/>
  <c r="BO61" i="12"/>
  <c r="BN61" i="12"/>
  <c r="BV60" i="12"/>
  <c r="BU60" i="12"/>
  <c r="BT60" i="12"/>
  <c r="BS60" i="12"/>
  <c r="BR60" i="12"/>
  <c r="BQ60" i="12"/>
  <c r="BP60" i="12"/>
  <c r="BO60" i="12"/>
  <c r="BN60" i="12"/>
  <c r="BV59" i="12"/>
  <c r="BU59" i="12"/>
  <c r="BT59" i="12"/>
  <c r="BS59" i="12"/>
  <c r="BR59" i="12"/>
  <c r="BQ59" i="12"/>
  <c r="BP59" i="12"/>
  <c r="BO59" i="12"/>
  <c r="BN59" i="12"/>
  <c r="BV58" i="12"/>
  <c r="BU58" i="12"/>
  <c r="BT58" i="12"/>
  <c r="BS58" i="12"/>
  <c r="BR58" i="12"/>
  <c r="BQ58" i="12"/>
  <c r="BP58" i="12"/>
  <c r="BO58" i="12"/>
  <c r="BN58" i="12"/>
  <c r="BV57" i="12"/>
  <c r="BU57" i="12"/>
  <c r="BT57" i="12"/>
  <c r="BS57" i="12"/>
  <c r="BR57" i="12"/>
  <c r="BQ57" i="12"/>
  <c r="BP57" i="12"/>
  <c r="BO57" i="12"/>
  <c r="BN57" i="12"/>
  <c r="BV56" i="12"/>
  <c r="BU56" i="12"/>
  <c r="BT56" i="12"/>
  <c r="BS56" i="12"/>
  <c r="BR56" i="12"/>
  <c r="BQ56" i="12"/>
  <c r="BP56" i="12"/>
  <c r="BO56" i="12"/>
  <c r="BN56" i="12"/>
  <c r="BV54" i="12"/>
  <c r="BU54" i="12"/>
  <c r="BT54" i="12"/>
  <c r="BS54" i="12"/>
  <c r="BR54" i="12"/>
  <c r="BQ54" i="12"/>
  <c r="BP54" i="12"/>
  <c r="BO54" i="12"/>
  <c r="BN54" i="12"/>
  <c r="BV53" i="12"/>
  <c r="BU53" i="12"/>
  <c r="BT53" i="12"/>
  <c r="BS53" i="12"/>
  <c r="BR53" i="12"/>
  <c r="BQ53" i="12"/>
  <c r="BP53" i="12"/>
  <c r="BO53" i="12"/>
  <c r="BN53" i="12"/>
  <c r="BV52" i="12"/>
  <c r="BU52" i="12"/>
  <c r="BT52" i="12"/>
  <c r="BS52" i="12"/>
  <c r="BR52" i="12"/>
  <c r="BQ52" i="12"/>
  <c r="BP52" i="12"/>
  <c r="BO52" i="12"/>
  <c r="BN52" i="12"/>
  <c r="BV50" i="12"/>
  <c r="BU50" i="12"/>
  <c r="BT50" i="12"/>
  <c r="BS50" i="12"/>
  <c r="BR50" i="12"/>
  <c r="BQ50" i="12"/>
  <c r="BP50" i="12"/>
  <c r="BO50" i="12"/>
  <c r="BN50" i="12"/>
  <c r="BV49" i="12"/>
  <c r="BU49" i="12"/>
  <c r="BT49" i="12"/>
  <c r="BS49" i="12"/>
  <c r="BR49" i="12"/>
  <c r="BQ49" i="12"/>
  <c r="BP49" i="12"/>
  <c r="BO49" i="12"/>
  <c r="BN49" i="12"/>
  <c r="BV48" i="12"/>
  <c r="BU48" i="12"/>
  <c r="BT48" i="12"/>
  <c r="BS48" i="12"/>
  <c r="BR48" i="12"/>
  <c r="BQ48" i="12"/>
  <c r="BP48" i="12"/>
  <c r="BO48" i="12"/>
  <c r="BN48" i="12"/>
  <c r="BV47" i="12"/>
  <c r="BU47" i="12"/>
  <c r="BT47" i="12"/>
  <c r="BS47" i="12"/>
  <c r="BR47" i="12"/>
  <c r="BQ47" i="12"/>
  <c r="BP47" i="12"/>
  <c r="BO47" i="12"/>
  <c r="BN47" i="12"/>
  <c r="BV46" i="12"/>
  <c r="BU46" i="12"/>
  <c r="BT46" i="12"/>
  <c r="BS46" i="12"/>
  <c r="BR46" i="12"/>
  <c r="BQ46" i="12"/>
  <c r="BP46" i="12"/>
  <c r="BO46" i="12"/>
  <c r="BN46" i="12"/>
  <c r="BV45" i="12"/>
  <c r="BU45" i="12"/>
  <c r="BT45" i="12"/>
  <c r="BS45" i="12"/>
  <c r="BR45" i="12"/>
  <c r="BQ45" i="12"/>
  <c r="BP45" i="12"/>
  <c r="BO45" i="12"/>
  <c r="BN45" i="12"/>
  <c r="BV44" i="12"/>
  <c r="BU44" i="12"/>
  <c r="BT44" i="12"/>
  <c r="BS44" i="12"/>
  <c r="BR44" i="12"/>
  <c r="BQ44" i="12"/>
  <c r="BP44" i="12"/>
  <c r="BO44" i="12"/>
  <c r="BN44" i="12"/>
  <c r="BV43" i="12"/>
  <c r="BU43" i="12"/>
  <c r="BT43" i="12"/>
  <c r="BS43" i="12"/>
  <c r="BR43" i="12"/>
  <c r="BQ43" i="12"/>
  <c r="BP43" i="12"/>
  <c r="BO43" i="12"/>
  <c r="BN43" i="12"/>
  <c r="BV42" i="12"/>
  <c r="BU42" i="12"/>
  <c r="BT42" i="12"/>
  <c r="BS42" i="12"/>
  <c r="BR42" i="12"/>
  <c r="BQ42" i="12"/>
  <c r="BP42" i="12"/>
  <c r="BO42" i="12"/>
  <c r="BN42" i="12"/>
  <c r="BV41" i="12"/>
  <c r="BU41" i="12"/>
  <c r="BT41" i="12"/>
  <c r="BS41" i="12"/>
  <c r="BR41" i="12"/>
  <c r="BQ41" i="12"/>
  <c r="BP41" i="12"/>
  <c r="BO41" i="12"/>
  <c r="BN41" i="12"/>
  <c r="BV39" i="12"/>
  <c r="BU39" i="12"/>
  <c r="BT39" i="12"/>
  <c r="BS39" i="12"/>
  <c r="BR39" i="12"/>
  <c r="BQ39" i="12"/>
  <c r="BP39" i="12"/>
  <c r="BO39" i="12"/>
  <c r="BN39" i="12"/>
  <c r="BV38" i="12"/>
  <c r="BU38" i="12"/>
  <c r="BT38" i="12"/>
  <c r="BS38" i="12"/>
  <c r="BR38" i="12"/>
  <c r="BQ38" i="12"/>
  <c r="BP38" i="12"/>
  <c r="BO38" i="12"/>
  <c r="BN38" i="12"/>
  <c r="BV37" i="12"/>
  <c r="BU37" i="12"/>
  <c r="BT37" i="12"/>
  <c r="BS37" i="12"/>
  <c r="BR37" i="12"/>
  <c r="BQ37" i="12"/>
  <c r="BP37" i="12"/>
  <c r="BO37" i="12"/>
  <c r="BN37" i="12"/>
  <c r="BV36" i="12"/>
  <c r="BU36" i="12"/>
  <c r="BT36" i="12"/>
  <c r="BS36" i="12"/>
  <c r="BR36" i="12"/>
  <c r="BQ36" i="12"/>
  <c r="BP36" i="12"/>
  <c r="BO36" i="12"/>
  <c r="BN36" i="12"/>
  <c r="BV35" i="12"/>
  <c r="BU35" i="12"/>
  <c r="BT35" i="12"/>
  <c r="BS35" i="12"/>
  <c r="BR35" i="12"/>
  <c r="BQ35" i="12"/>
  <c r="BP35" i="12"/>
  <c r="BO35" i="12"/>
  <c r="BN35" i="12"/>
  <c r="BV34" i="12"/>
  <c r="BU34" i="12"/>
  <c r="BT34" i="12"/>
  <c r="BS34" i="12"/>
  <c r="BR34" i="12"/>
  <c r="BQ34" i="12"/>
  <c r="BP34" i="12"/>
  <c r="BO34" i="12"/>
  <c r="BN34" i="12"/>
  <c r="BV33" i="12"/>
  <c r="BU33" i="12"/>
  <c r="BT33" i="12"/>
  <c r="BS33" i="12"/>
  <c r="BR33" i="12"/>
  <c r="BQ33" i="12"/>
  <c r="BP33" i="12"/>
  <c r="BO33" i="12"/>
  <c r="BN33" i="12"/>
  <c r="BV32" i="12"/>
  <c r="BU32" i="12"/>
  <c r="BT32" i="12"/>
  <c r="BS32" i="12"/>
  <c r="BR32" i="12"/>
  <c r="BQ32" i="12"/>
  <c r="BP32" i="12"/>
  <c r="BO32" i="12"/>
  <c r="BN32" i="12"/>
  <c r="BV30" i="12"/>
  <c r="BU30" i="12"/>
  <c r="BT30" i="12"/>
  <c r="BS30" i="12"/>
  <c r="BR30" i="12"/>
  <c r="BQ30" i="12"/>
  <c r="BP30" i="12"/>
  <c r="BO30" i="12"/>
  <c r="BN30" i="12"/>
  <c r="BV29" i="12"/>
  <c r="BU29" i="12"/>
  <c r="BT29" i="12"/>
  <c r="BS29" i="12"/>
  <c r="BR29" i="12"/>
  <c r="BQ29" i="12"/>
  <c r="BP29" i="12"/>
  <c r="BO29" i="12"/>
  <c r="BN29" i="12"/>
  <c r="BV28" i="12"/>
  <c r="BU28" i="12"/>
  <c r="BT28" i="12"/>
  <c r="BS28" i="12"/>
  <c r="BR28" i="12"/>
  <c r="BQ28" i="12"/>
  <c r="BP28" i="12"/>
  <c r="BO28" i="12"/>
  <c r="BN28" i="12"/>
  <c r="BV27" i="12"/>
  <c r="BU27" i="12"/>
  <c r="BT27" i="12"/>
  <c r="BS27" i="12"/>
  <c r="BR27" i="12"/>
  <c r="BQ27" i="12"/>
  <c r="BP27" i="12"/>
  <c r="BO27" i="12"/>
  <c r="BN27" i="12"/>
  <c r="BV26" i="12"/>
  <c r="BU26" i="12"/>
  <c r="BT26" i="12"/>
  <c r="BS26" i="12"/>
  <c r="BR26" i="12"/>
  <c r="BQ26" i="12"/>
  <c r="BP26" i="12"/>
  <c r="BO26" i="12"/>
  <c r="BN26" i="12"/>
  <c r="BV25" i="12"/>
  <c r="BU25" i="12"/>
  <c r="BT25" i="12"/>
  <c r="BS25" i="12"/>
  <c r="BR25" i="12"/>
  <c r="BQ25" i="12"/>
  <c r="BP25" i="12"/>
  <c r="BO25" i="12"/>
  <c r="BN25" i="12"/>
  <c r="BV24" i="12"/>
  <c r="BU24" i="12"/>
  <c r="BT24" i="12"/>
  <c r="BS24" i="12"/>
  <c r="BR24" i="12"/>
  <c r="BQ24" i="12"/>
  <c r="BP24" i="12"/>
  <c r="BO24" i="12"/>
  <c r="BN24" i="12"/>
  <c r="BV22" i="12"/>
  <c r="BU22" i="12"/>
  <c r="BT22" i="12"/>
  <c r="BS22" i="12"/>
  <c r="BR22" i="12"/>
  <c r="BQ22" i="12"/>
  <c r="BP22" i="12"/>
  <c r="BO22" i="12"/>
  <c r="BN22" i="12"/>
  <c r="BV21" i="12"/>
  <c r="BU21" i="12"/>
  <c r="BT21" i="12"/>
  <c r="BS21" i="12"/>
  <c r="BR21" i="12"/>
  <c r="BQ21" i="12"/>
  <c r="BP21" i="12"/>
  <c r="BO21" i="12"/>
  <c r="BN21" i="12"/>
  <c r="BV20" i="12"/>
  <c r="BU20" i="12"/>
  <c r="BT20" i="12"/>
  <c r="BS20" i="12"/>
  <c r="BR20" i="12"/>
  <c r="BQ20" i="12"/>
  <c r="BP20" i="12"/>
  <c r="BO20" i="12"/>
  <c r="BN20" i="12"/>
  <c r="BV19" i="12"/>
  <c r="BU19" i="12"/>
  <c r="BT19" i="12"/>
  <c r="CL124" i="13" s="1"/>
  <c r="BS19" i="12"/>
  <c r="BR19" i="12"/>
  <c r="BQ19" i="12"/>
  <c r="BP19" i="12"/>
  <c r="BO19" i="12"/>
  <c r="BN19" i="12"/>
  <c r="BV18" i="12"/>
  <c r="BU18" i="12"/>
  <c r="BT18" i="12"/>
  <c r="BS18" i="12"/>
  <c r="BR18" i="12"/>
  <c r="BQ18" i="12"/>
  <c r="BP18" i="12"/>
  <c r="BO18" i="12"/>
  <c r="BN18" i="12"/>
  <c r="BV17" i="12"/>
  <c r="BU17" i="12"/>
  <c r="BT17" i="12"/>
  <c r="BS17" i="12"/>
  <c r="BR17" i="12"/>
  <c r="BQ17" i="12"/>
  <c r="BP17" i="12"/>
  <c r="BO17" i="12"/>
  <c r="BN17" i="12"/>
  <c r="BV16" i="12"/>
  <c r="BU16" i="12"/>
  <c r="BT16" i="12"/>
  <c r="BS16" i="12"/>
  <c r="BR16" i="12"/>
  <c r="BQ16" i="12"/>
  <c r="BP16" i="12"/>
  <c r="BO16" i="12"/>
  <c r="BN16" i="12"/>
  <c r="BV15" i="12"/>
  <c r="BU15" i="12"/>
  <c r="BT15" i="12"/>
  <c r="BS15" i="12"/>
  <c r="BR15" i="12"/>
  <c r="BQ15" i="12"/>
  <c r="BP15" i="12"/>
  <c r="BO15" i="12"/>
  <c r="BN15" i="12"/>
  <c r="BV3" i="12"/>
  <c r="BU3" i="12"/>
  <c r="BW9" i="12" s="1"/>
  <c r="BS3" i="12"/>
  <c r="BN3" i="12"/>
  <c r="BM3" i="12"/>
  <c r="BL3" i="12"/>
  <c r="BY248" i="13"/>
  <c r="CA248" i="13" s="1"/>
  <c r="CA247" i="13"/>
  <c r="BY247" i="13"/>
  <c r="CA246" i="13"/>
  <c r="BY246" i="13"/>
  <c r="BY245" i="13"/>
  <c r="CA245" i="13" s="1"/>
  <c r="BY244" i="13"/>
  <c r="CA244" i="13" s="1"/>
  <c r="CA243" i="13"/>
  <c r="BY243" i="13"/>
  <c r="CA242" i="13"/>
  <c r="BY242" i="13"/>
  <c r="BY241" i="13"/>
  <c r="CA241" i="13" s="1"/>
  <c r="BY240" i="13"/>
  <c r="CA240" i="13" s="1"/>
  <c r="CA239" i="13"/>
  <c r="BY239" i="13"/>
  <c r="CA238" i="13"/>
  <c r="BY238" i="13"/>
  <c r="BY237" i="13"/>
  <c r="BY236" i="13"/>
  <c r="CA236" i="13" s="1"/>
  <c r="CA235" i="13"/>
  <c r="BY235" i="13"/>
  <c r="CA234" i="13"/>
  <c r="BY234" i="13"/>
  <c r="BY233" i="13"/>
  <c r="CA233" i="13" s="1"/>
  <c r="BY232" i="13"/>
  <c r="CA232" i="13" s="1"/>
  <c r="CA231" i="13"/>
  <c r="BY231" i="13"/>
  <c r="CA230" i="13"/>
  <c r="BY230" i="13"/>
  <c r="CA229" i="13"/>
  <c r="BY229" i="13"/>
  <c r="CA228" i="13"/>
  <c r="BY228" i="13"/>
  <c r="BY227" i="13"/>
  <c r="BW227" i="13"/>
  <c r="BV227" i="13"/>
  <c r="BU227" i="13"/>
  <c r="BT227" i="13"/>
  <c r="BS227" i="13"/>
  <c r="BR227" i="13"/>
  <c r="BQ227" i="13"/>
  <c r="BP227" i="13"/>
  <c r="BO227" i="13"/>
  <c r="BN227" i="13"/>
  <c r="BM227" i="13"/>
  <c r="BL227" i="13"/>
  <c r="BY226" i="13"/>
  <c r="CA226" i="13" s="1"/>
  <c r="BW226" i="13"/>
  <c r="BV226" i="13"/>
  <c r="BU226" i="13"/>
  <c r="BT226" i="13"/>
  <c r="BS226" i="13"/>
  <c r="BR226" i="13"/>
  <c r="BQ226" i="13"/>
  <c r="BP226" i="13"/>
  <c r="BO226" i="13"/>
  <c r="BN226" i="13"/>
  <c r="BM226" i="13"/>
  <c r="BL226" i="13"/>
  <c r="BY225" i="13"/>
  <c r="BZ226" i="13" s="1"/>
  <c r="BW225" i="13"/>
  <c r="BV225" i="13"/>
  <c r="BU225" i="13"/>
  <c r="BT225" i="13"/>
  <c r="BS225" i="13"/>
  <c r="BR225" i="13"/>
  <c r="BQ225" i="13"/>
  <c r="BP225" i="13"/>
  <c r="BO225" i="13"/>
  <c r="BN225" i="13"/>
  <c r="BM225" i="13"/>
  <c r="BL225" i="13"/>
  <c r="BW224" i="13"/>
  <c r="BV224" i="13"/>
  <c r="BU224" i="13"/>
  <c r="BT224" i="13"/>
  <c r="BS224" i="13"/>
  <c r="BR224" i="13"/>
  <c r="BQ224" i="13"/>
  <c r="BP224" i="13"/>
  <c r="BO224" i="13"/>
  <c r="BN224" i="13"/>
  <c r="BM224" i="13"/>
  <c r="BL224" i="13"/>
  <c r="BW223" i="13"/>
  <c r="BV223" i="13"/>
  <c r="BU223" i="13"/>
  <c r="BT223" i="13"/>
  <c r="BS223" i="13"/>
  <c r="BR223" i="13"/>
  <c r="BQ223" i="13"/>
  <c r="BP223" i="13"/>
  <c r="BO223" i="13"/>
  <c r="BN223" i="13"/>
  <c r="BM223" i="13"/>
  <c r="BL223" i="13"/>
  <c r="BW222" i="13"/>
  <c r="BV222" i="13"/>
  <c r="BU222" i="13"/>
  <c r="BT222" i="13"/>
  <c r="BS222" i="13"/>
  <c r="BR222" i="13"/>
  <c r="BQ222" i="13"/>
  <c r="BP222" i="13"/>
  <c r="BO222" i="13"/>
  <c r="BN222" i="13"/>
  <c r="BM222" i="13"/>
  <c r="BL222" i="13"/>
  <c r="BW221" i="13"/>
  <c r="BV221" i="13"/>
  <c r="BU221" i="13"/>
  <c r="BT221" i="13"/>
  <c r="BS221" i="13"/>
  <c r="BR221" i="13"/>
  <c r="BQ221" i="13"/>
  <c r="BP221" i="13"/>
  <c r="BO221" i="13"/>
  <c r="BN221" i="13"/>
  <c r="BM221" i="13"/>
  <c r="BL221" i="13"/>
  <c r="BW220" i="13"/>
  <c r="BV220" i="13"/>
  <c r="BU220" i="13"/>
  <c r="BT220" i="13"/>
  <c r="BS220" i="13"/>
  <c r="BR220" i="13"/>
  <c r="BQ220" i="13"/>
  <c r="BP220" i="13"/>
  <c r="BO220" i="13"/>
  <c r="BN220" i="13"/>
  <c r="BM220" i="13"/>
  <c r="BL220" i="13"/>
  <c r="BY219" i="13"/>
  <c r="CA219" i="13" s="1"/>
  <c r="BW219" i="13"/>
  <c r="BV219" i="13"/>
  <c r="BU219" i="13"/>
  <c r="BT219" i="13"/>
  <c r="BS219" i="13"/>
  <c r="BR219" i="13"/>
  <c r="BQ219" i="13"/>
  <c r="BP219" i="13"/>
  <c r="BO219" i="13"/>
  <c r="BN219" i="13"/>
  <c r="BM219" i="13"/>
  <c r="BL219" i="13"/>
  <c r="CA218" i="13"/>
  <c r="BY218" i="13"/>
  <c r="BW218" i="13"/>
  <c r="BV218" i="13"/>
  <c r="BU218" i="13"/>
  <c r="BT218" i="13"/>
  <c r="BS218" i="13"/>
  <c r="BR218" i="13"/>
  <c r="BQ218" i="13"/>
  <c r="BP218" i="13"/>
  <c r="BO218" i="13"/>
  <c r="BN218" i="13"/>
  <c r="BM218" i="13"/>
  <c r="BL218" i="13"/>
  <c r="BY217" i="13"/>
  <c r="BW217" i="13"/>
  <c r="BV217" i="13"/>
  <c r="BU217" i="13"/>
  <c r="BT217" i="13"/>
  <c r="BS217" i="13"/>
  <c r="BR217" i="13"/>
  <c r="BQ217" i="13"/>
  <c r="BP217" i="13"/>
  <c r="BO217" i="13"/>
  <c r="BN217" i="13"/>
  <c r="BM217" i="13"/>
  <c r="BL217" i="13"/>
  <c r="BY216" i="13"/>
  <c r="CA216" i="13" s="1"/>
  <c r="BW216" i="13"/>
  <c r="BV216" i="13"/>
  <c r="BU216" i="13"/>
  <c r="BT216" i="13"/>
  <c r="BS216" i="13"/>
  <c r="BR216" i="13"/>
  <c r="BQ216" i="13"/>
  <c r="BP216" i="13"/>
  <c r="BO216" i="13"/>
  <c r="BN216" i="13"/>
  <c r="BM216" i="13"/>
  <c r="BL216" i="13"/>
  <c r="BY215" i="13"/>
  <c r="CA215" i="13" s="1"/>
  <c r="BW215" i="13"/>
  <c r="BV215" i="13"/>
  <c r="BU215" i="13"/>
  <c r="BT215" i="13"/>
  <c r="BS215" i="13"/>
  <c r="BR215" i="13"/>
  <c r="BQ215" i="13"/>
  <c r="BP215" i="13"/>
  <c r="BO215" i="13"/>
  <c r="BN215" i="13"/>
  <c r="BM215" i="13"/>
  <c r="BL215" i="13"/>
  <c r="CA214" i="13"/>
  <c r="BY214" i="13"/>
  <c r="BW214" i="13"/>
  <c r="BV214" i="13"/>
  <c r="BU214" i="13"/>
  <c r="BT214" i="13"/>
  <c r="BS214" i="13"/>
  <c r="BR214" i="13"/>
  <c r="BQ214" i="13"/>
  <c r="BP214" i="13"/>
  <c r="BO214" i="13"/>
  <c r="BN214" i="13"/>
  <c r="BM214" i="13"/>
  <c r="BL214" i="13"/>
  <c r="BY213" i="13"/>
  <c r="BW213" i="13"/>
  <c r="BV213" i="13"/>
  <c r="BU213" i="13"/>
  <c r="BT213" i="13"/>
  <c r="BS213" i="13"/>
  <c r="BR213" i="13"/>
  <c r="BQ213" i="13"/>
  <c r="BP213" i="13"/>
  <c r="BO213" i="13"/>
  <c r="BN213" i="13"/>
  <c r="BM213" i="13"/>
  <c r="BL213" i="13"/>
  <c r="BY212" i="13"/>
  <c r="CA212" i="13" s="1"/>
  <c r="BW212" i="13"/>
  <c r="BV212" i="13"/>
  <c r="BU212" i="13"/>
  <c r="BT212" i="13"/>
  <c r="BS212" i="13"/>
  <c r="BR212" i="13"/>
  <c r="BQ212" i="13"/>
  <c r="BP212" i="13"/>
  <c r="BO212" i="13"/>
  <c r="BN212" i="13"/>
  <c r="BM212" i="13"/>
  <c r="BL212" i="13"/>
  <c r="BY211" i="13"/>
  <c r="CA211" i="13" s="1"/>
  <c r="BW211" i="13"/>
  <c r="BV211" i="13"/>
  <c r="BU211" i="13"/>
  <c r="BT211" i="13"/>
  <c r="BS211" i="13"/>
  <c r="BR211" i="13"/>
  <c r="BQ211" i="13"/>
  <c r="BP211" i="13"/>
  <c r="BO211" i="13"/>
  <c r="BN211" i="13"/>
  <c r="BM211" i="13"/>
  <c r="BL211" i="13"/>
  <c r="CA210" i="13"/>
  <c r="BY210" i="13"/>
  <c r="BW210" i="13"/>
  <c r="BV210" i="13"/>
  <c r="BU210" i="13"/>
  <c r="BT210" i="13"/>
  <c r="BS210" i="13"/>
  <c r="BR210" i="13"/>
  <c r="BQ210" i="13"/>
  <c r="BP210" i="13"/>
  <c r="BO210" i="13"/>
  <c r="BN210" i="13"/>
  <c r="BM210" i="13"/>
  <c r="BL210" i="13"/>
  <c r="BY209" i="13"/>
  <c r="BW209" i="13"/>
  <c r="BV209" i="13"/>
  <c r="BU209" i="13"/>
  <c r="BT209" i="13"/>
  <c r="BS209" i="13"/>
  <c r="BR209" i="13"/>
  <c r="BQ209" i="13"/>
  <c r="BP209" i="13"/>
  <c r="BO209" i="13"/>
  <c r="BN209" i="13"/>
  <c r="BM209" i="13"/>
  <c r="BL209" i="13"/>
  <c r="BY208" i="13"/>
  <c r="BW208" i="13"/>
  <c r="BV208" i="13"/>
  <c r="BU208" i="13"/>
  <c r="BT208" i="13"/>
  <c r="BS208" i="13"/>
  <c r="BR208" i="13"/>
  <c r="BQ208" i="13"/>
  <c r="BP208" i="13"/>
  <c r="BO208" i="13"/>
  <c r="BN208" i="13"/>
  <c r="BM208" i="13"/>
  <c r="BL208" i="13"/>
  <c r="BY207" i="13"/>
  <c r="CA207" i="13" s="1"/>
  <c r="BW207" i="13"/>
  <c r="BV207" i="13"/>
  <c r="BU207" i="13"/>
  <c r="BT207" i="13"/>
  <c r="BS207" i="13"/>
  <c r="BR207" i="13"/>
  <c r="BQ207" i="13"/>
  <c r="BP207" i="13"/>
  <c r="BO207" i="13"/>
  <c r="BN207" i="13"/>
  <c r="BM207" i="13"/>
  <c r="BL207" i="13"/>
  <c r="CA206" i="13"/>
  <c r="BY206" i="13"/>
  <c r="BW206" i="13"/>
  <c r="BV206" i="13"/>
  <c r="BU206" i="13"/>
  <c r="BT206" i="13"/>
  <c r="BS206" i="13"/>
  <c r="BR206" i="13"/>
  <c r="BQ206" i="13"/>
  <c r="BP206" i="13"/>
  <c r="BO206" i="13"/>
  <c r="BN206" i="13"/>
  <c r="BM206" i="13"/>
  <c r="BL206" i="13"/>
  <c r="BY205" i="13"/>
  <c r="BW205" i="13"/>
  <c r="BV205" i="13"/>
  <c r="BU205" i="13"/>
  <c r="BT205" i="13"/>
  <c r="BS205" i="13"/>
  <c r="BR205" i="13"/>
  <c r="BQ205" i="13"/>
  <c r="BP205" i="13"/>
  <c r="BO205" i="13"/>
  <c r="BN205" i="13"/>
  <c r="BM205" i="13"/>
  <c r="BL205" i="13"/>
  <c r="BY204" i="13"/>
  <c r="CA204" i="13" s="1"/>
  <c r="BW204" i="13"/>
  <c r="BV204" i="13"/>
  <c r="BU204" i="13"/>
  <c r="BT204" i="13"/>
  <c r="BS204" i="13"/>
  <c r="BR204" i="13"/>
  <c r="BQ204" i="13"/>
  <c r="BP204" i="13"/>
  <c r="BO204" i="13"/>
  <c r="BN204" i="13"/>
  <c r="BM204" i="13"/>
  <c r="BL204" i="13"/>
  <c r="BY203" i="13"/>
  <c r="CA203" i="13" s="1"/>
  <c r="BW203" i="13"/>
  <c r="BV203" i="13"/>
  <c r="BU203" i="13"/>
  <c r="BT203" i="13"/>
  <c r="BS203" i="13"/>
  <c r="BR203" i="13"/>
  <c r="BQ203" i="13"/>
  <c r="BP203" i="13"/>
  <c r="BO203" i="13"/>
  <c r="BN203" i="13"/>
  <c r="BM203" i="13"/>
  <c r="BL203" i="13"/>
  <c r="CA202" i="13"/>
  <c r="BY202" i="13"/>
  <c r="BW202" i="13"/>
  <c r="BV202" i="13"/>
  <c r="BU202" i="13"/>
  <c r="BT202" i="13"/>
  <c r="BS202" i="13"/>
  <c r="BR202" i="13"/>
  <c r="BQ202" i="13"/>
  <c r="BP202" i="13"/>
  <c r="BO202" i="13"/>
  <c r="BN202" i="13"/>
  <c r="BM202" i="13"/>
  <c r="BL202" i="13"/>
  <c r="CA201" i="13"/>
  <c r="BY201" i="13"/>
  <c r="BW201" i="13"/>
  <c r="BV201" i="13"/>
  <c r="BU201" i="13"/>
  <c r="BT201" i="13"/>
  <c r="BS201" i="13"/>
  <c r="BR201" i="13"/>
  <c r="BQ201" i="13"/>
  <c r="BP201" i="13"/>
  <c r="BO201" i="13"/>
  <c r="BN201" i="13"/>
  <c r="BM201" i="13"/>
  <c r="BL201" i="13"/>
  <c r="BY200" i="13"/>
  <c r="CA200" i="13" s="1"/>
  <c r="BW200" i="13"/>
  <c r="BV200" i="13"/>
  <c r="BU200" i="13"/>
  <c r="BT200" i="13"/>
  <c r="BS200" i="13"/>
  <c r="BR200" i="13"/>
  <c r="BQ200" i="13"/>
  <c r="BP200" i="13"/>
  <c r="BO200" i="13"/>
  <c r="BN200" i="13"/>
  <c r="BM200" i="13"/>
  <c r="BL200" i="13"/>
  <c r="BY199" i="13"/>
  <c r="CA199" i="13" s="1"/>
  <c r="BW199" i="13"/>
  <c r="BV199" i="13"/>
  <c r="BU199" i="13"/>
  <c r="BT199" i="13"/>
  <c r="BS199" i="13"/>
  <c r="BR199" i="13"/>
  <c r="BQ199" i="13"/>
  <c r="BP199" i="13"/>
  <c r="BO199" i="13"/>
  <c r="BN199" i="13"/>
  <c r="BM199" i="13"/>
  <c r="BL199" i="13"/>
  <c r="CA198" i="13"/>
  <c r="BY198" i="13"/>
  <c r="BW198" i="13"/>
  <c r="BV198" i="13"/>
  <c r="BU198" i="13"/>
  <c r="BT198" i="13"/>
  <c r="BS198" i="13"/>
  <c r="BR198" i="13"/>
  <c r="BQ198" i="13"/>
  <c r="BP198" i="13"/>
  <c r="BO198" i="13"/>
  <c r="BN198" i="13"/>
  <c r="BM198" i="13"/>
  <c r="BL198" i="13"/>
  <c r="CA197" i="13"/>
  <c r="BY197" i="13"/>
  <c r="BW197" i="13"/>
  <c r="BV197" i="13"/>
  <c r="BU197" i="13"/>
  <c r="BT197" i="13"/>
  <c r="BS197" i="13"/>
  <c r="BR197" i="13"/>
  <c r="BQ197" i="13"/>
  <c r="BP197" i="13"/>
  <c r="BO197" i="13"/>
  <c r="BN197" i="13"/>
  <c r="BM197" i="13"/>
  <c r="BL197" i="13"/>
  <c r="BY196" i="13"/>
  <c r="CA196" i="13" s="1"/>
  <c r="BW196" i="13"/>
  <c r="BV196" i="13"/>
  <c r="BU196" i="13"/>
  <c r="BT196" i="13"/>
  <c r="BS196" i="13"/>
  <c r="BR196" i="13"/>
  <c r="BQ196" i="13"/>
  <c r="BP196" i="13"/>
  <c r="BO196" i="13"/>
  <c r="BN196" i="13"/>
  <c r="BM196" i="13"/>
  <c r="BL196" i="13"/>
  <c r="BY195" i="13"/>
  <c r="CA195" i="13" s="1"/>
  <c r="BW195" i="13"/>
  <c r="BV195" i="13"/>
  <c r="BU195" i="13"/>
  <c r="BT195" i="13"/>
  <c r="BS195" i="13"/>
  <c r="BR195" i="13"/>
  <c r="BQ195" i="13"/>
  <c r="BP195" i="13"/>
  <c r="BO195" i="13"/>
  <c r="BN195" i="13"/>
  <c r="BM195" i="13"/>
  <c r="BL195" i="13"/>
  <c r="CA194" i="13"/>
  <c r="BY194" i="13"/>
  <c r="BW194" i="13"/>
  <c r="BV194" i="13"/>
  <c r="BU194" i="13"/>
  <c r="BT194" i="13"/>
  <c r="BS194" i="13"/>
  <c r="BR194" i="13"/>
  <c r="BQ194" i="13"/>
  <c r="BP194" i="13"/>
  <c r="BO194" i="13"/>
  <c r="BN194" i="13"/>
  <c r="BM194" i="13"/>
  <c r="BL194" i="13"/>
  <c r="BY193" i="13"/>
  <c r="BW193" i="13"/>
  <c r="BV193" i="13"/>
  <c r="BU193" i="13"/>
  <c r="BT193" i="13"/>
  <c r="BS193" i="13"/>
  <c r="BR193" i="13"/>
  <c r="BQ193" i="13"/>
  <c r="BP193" i="13"/>
  <c r="BO193" i="13"/>
  <c r="BN193" i="13"/>
  <c r="BM193" i="13"/>
  <c r="BL193" i="13"/>
  <c r="BY192" i="13"/>
  <c r="CA192" i="13" s="1"/>
  <c r="BW192" i="13"/>
  <c r="BV192" i="13"/>
  <c r="BU192" i="13"/>
  <c r="BT192" i="13"/>
  <c r="BS192" i="13"/>
  <c r="BR192" i="13"/>
  <c r="BQ192" i="13"/>
  <c r="BP192" i="13"/>
  <c r="BO192" i="13"/>
  <c r="BN192" i="13"/>
  <c r="BM192" i="13"/>
  <c r="BL192" i="13"/>
  <c r="BY191" i="13"/>
  <c r="CA191" i="13" s="1"/>
  <c r="BW191" i="13"/>
  <c r="BV191" i="13"/>
  <c r="BU191" i="13"/>
  <c r="BT191" i="13"/>
  <c r="BS191" i="13"/>
  <c r="BR191" i="13"/>
  <c r="BQ191" i="13"/>
  <c r="BP191" i="13"/>
  <c r="BO191" i="13"/>
  <c r="BN191" i="13"/>
  <c r="BM191" i="13"/>
  <c r="BL191" i="13"/>
  <c r="CA190" i="13"/>
  <c r="BY190" i="13"/>
  <c r="BW190" i="13"/>
  <c r="BV190" i="13"/>
  <c r="BU190" i="13"/>
  <c r="BT190" i="13"/>
  <c r="BS190" i="13"/>
  <c r="BR190" i="13"/>
  <c r="BQ190" i="13"/>
  <c r="BP190" i="13"/>
  <c r="BO190" i="13"/>
  <c r="BN190" i="13"/>
  <c r="BM190" i="13"/>
  <c r="BL190" i="13"/>
  <c r="BY189" i="13"/>
  <c r="BY188" i="13"/>
  <c r="CA188" i="13" s="1"/>
  <c r="BW188" i="13"/>
  <c r="BV188" i="13"/>
  <c r="BU188" i="13"/>
  <c r="BT188" i="13"/>
  <c r="BS188" i="13"/>
  <c r="BR188" i="13"/>
  <c r="BQ188" i="13"/>
  <c r="BP188" i="13"/>
  <c r="BO188" i="13"/>
  <c r="BN188" i="13"/>
  <c r="BM188" i="13"/>
  <c r="BL188" i="13"/>
  <c r="BY187" i="13"/>
  <c r="CA187" i="13" s="1"/>
  <c r="BW187" i="13"/>
  <c r="BV187" i="13"/>
  <c r="BU187" i="13"/>
  <c r="BT187" i="13"/>
  <c r="BS187" i="13"/>
  <c r="BR187" i="13"/>
  <c r="BQ187" i="13"/>
  <c r="BP187" i="13"/>
  <c r="BO187" i="13"/>
  <c r="BN187" i="13"/>
  <c r="BM187" i="13"/>
  <c r="BL187" i="13"/>
  <c r="CA186" i="13"/>
  <c r="BY186" i="13"/>
  <c r="BW186" i="13"/>
  <c r="BV186" i="13"/>
  <c r="BU186" i="13"/>
  <c r="BT186" i="13"/>
  <c r="BS186" i="13"/>
  <c r="BR186" i="13"/>
  <c r="BQ186" i="13"/>
  <c r="BP186" i="13"/>
  <c r="BO186" i="13"/>
  <c r="BN186" i="13"/>
  <c r="BM186" i="13"/>
  <c r="BL186" i="13"/>
  <c r="BY185" i="13"/>
  <c r="BW185" i="13"/>
  <c r="BV185" i="13"/>
  <c r="BU185" i="13"/>
  <c r="BT185" i="13"/>
  <c r="BS185" i="13"/>
  <c r="BR185" i="13"/>
  <c r="BQ185" i="13"/>
  <c r="BP185" i="13"/>
  <c r="BO185" i="13"/>
  <c r="BN185" i="13"/>
  <c r="BM185" i="13"/>
  <c r="BL185" i="13"/>
  <c r="BY184" i="13"/>
  <c r="BW184" i="13"/>
  <c r="BV184" i="13"/>
  <c r="BU184" i="13"/>
  <c r="BT184" i="13"/>
  <c r="BS184" i="13"/>
  <c r="BR184" i="13"/>
  <c r="BQ184" i="13"/>
  <c r="BP184" i="13"/>
  <c r="BO184" i="13"/>
  <c r="BN184" i="13"/>
  <c r="BM184" i="13"/>
  <c r="BL184" i="13"/>
  <c r="BY183" i="13"/>
  <c r="CA183" i="13" s="1"/>
  <c r="BW183" i="13"/>
  <c r="BV183" i="13"/>
  <c r="BU183" i="13"/>
  <c r="BT183" i="13"/>
  <c r="BS183" i="13"/>
  <c r="BR183" i="13"/>
  <c r="BQ183" i="13"/>
  <c r="BP183" i="13"/>
  <c r="BO183" i="13"/>
  <c r="BN183" i="13"/>
  <c r="BM183" i="13"/>
  <c r="BL183" i="13"/>
  <c r="BY182" i="13"/>
  <c r="BZ183" i="13" s="1"/>
  <c r="BW182" i="13"/>
  <c r="BV182" i="13"/>
  <c r="BU182" i="13"/>
  <c r="BT182" i="13"/>
  <c r="BS182" i="13"/>
  <c r="BR182" i="13"/>
  <c r="BQ182" i="13"/>
  <c r="BP182" i="13"/>
  <c r="BO182" i="13"/>
  <c r="BN182" i="13"/>
  <c r="BM182" i="13"/>
  <c r="BL182" i="13"/>
  <c r="CA181" i="13"/>
  <c r="BY181" i="13"/>
  <c r="BW181" i="13"/>
  <c r="BV181" i="13"/>
  <c r="BU181" i="13"/>
  <c r="BT181" i="13"/>
  <c r="BS181" i="13"/>
  <c r="BR181" i="13"/>
  <c r="BQ181" i="13"/>
  <c r="BP181" i="13"/>
  <c r="BO181" i="13"/>
  <c r="BN181" i="13"/>
  <c r="BM181" i="13"/>
  <c r="BL181" i="13"/>
  <c r="BY180" i="13"/>
  <c r="BW180" i="13"/>
  <c r="BV180" i="13"/>
  <c r="BU180" i="13"/>
  <c r="BT180" i="13"/>
  <c r="BS180" i="13"/>
  <c r="BR180" i="13"/>
  <c r="BQ180" i="13"/>
  <c r="BP180" i="13"/>
  <c r="BO180" i="13"/>
  <c r="BN180" i="13"/>
  <c r="BM180" i="13"/>
  <c r="BL180" i="13"/>
  <c r="BY179" i="13"/>
  <c r="CA179" i="13" s="1"/>
  <c r="CA178" i="13"/>
  <c r="BY178" i="13"/>
  <c r="BW178" i="13"/>
  <c r="BV178" i="13"/>
  <c r="BU178" i="13"/>
  <c r="BT178" i="13"/>
  <c r="BS178" i="13"/>
  <c r="BR178" i="13"/>
  <c r="BQ178" i="13"/>
  <c r="BP178" i="13"/>
  <c r="BO178" i="13"/>
  <c r="BN178" i="13"/>
  <c r="BM178" i="13"/>
  <c r="BL178" i="13"/>
  <c r="CA177" i="13"/>
  <c r="BY177" i="13"/>
  <c r="BW177" i="13"/>
  <c r="BV177" i="13"/>
  <c r="BU177" i="13"/>
  <c r="BT177" i="13"/>
  <c r="BS177" i="13"/>
  <c r="BR177" i="13"/>
  <c r="BQ177" i="13"/>
  <c r="BP177" i="13"/>
  <c r="BO177" i="13"/>
  <c r="BN177" i="13"/>
  <c r="BM177" i="13"/>
  <c r="BL177" i="13"/>
  <c r="BY176" i="13"/>
  <c r="BW176" i="13"/>
  <c r="BV176" i="13"/>
  <c r="BU176" i="13"/>
  <c r="BT176" i="13"/>
  <c r="BS176" i="13"/>
  <c r="BR176" i="13"/>
  <c r="BQ176" i="13"/>
  <c r="BP176" i="13"/>
  <c r="BO176" i="13"/>
  <c r="BN176" i="13"/>
  <c r="BM176" i="13"/>
  <c r="BL176" i="13"/>
  <c r="BY175" i="13"/>
  <c r="BZ176" i="13" s="1"/>
  <c r="BW175" i="13"/>
  <c r="BV175" i="13"/>
  <c r="BU175" i="13"/>
  <c r="BT175" i="13"/>
  <c r="BS175" i="13"/>
  <c r="BR175" i="13"/>
  <c r="BQ175" i="13"/>
  <c r="BP175" i="13"/>
  <c r="BO175" i="13"/>
  <c r="BN175" i="13"/>
  <c r="BM175" i="13"/>
  <c r="BL175" i="13"/>
  <c r="CA174" i="13"/>
  <c r="BY174" i="13"/>
  <c r="BZ175" i="13" s="1"/>
  <c r="BW174" i="13"/>
  <c r="BV174" i="13"/>
  <c r="BU174" i="13"/>
  <c r="BT174" i="13"/>
  <c r="BS174" i="13"/>
  <c r="BR174" i="13"/>
  <c r="BQ174" i="13"/>
  <c r="BP174" i="13"/>
  <c r="BO174" i="13"/>
  <c r="BN174" i="13"/>
  <c r="BM174" i="13"/>
  <c r="BL174" i="13"/>
  <c r="BY173" i="13"/>
  <c r="BZ174" i="13" s="1"/>
  <c r="BW173" i="13"/>
  <c r="BV173" i="13"/>
  <c r="BU173" i="13"/>
  <c r="BT173" i="13"/>
  <c r="BS173" i="13"/>
  <c r="BR173" i="13"/>
  <c r="BQ173" i="13"/>
  <c r="BP173" i="13"/>
  <c r="BO173" i="13"/>
  <c r="BN173" i="13"/>
  <c r="BM173" i="13"/>
  <c r="BL173" i="13"/>
  <c r="CA172" i="13"/>
  <c r="BY172" i="13"/>
  <c r="BW172" i="13"/>
  <c r="BV172" i="13"/>
  <c r="BU172" i="13"/>
  <c r="BT172" i="13"/>
  <c r="BS172" i="13"/>
  <c r="BR172" i="13"/>
  <c r="BQ172" i="13"/>
  <c r="BP172" i="13"/>
  <c r="BO172" i="13"/>
  <c r="BN172" i="13"/>
  <c r="BM172" i="13"/>
  <c r="BL172" i="13"/>
  <c r="BY171" i="13"/>
  <c r="BY170" i="13"/>
  <c r="CA170" i="13" s="1"/>
  <c r="BW170" i="13"/>
  <c r="BV170" i="13"/>
  <c r="BU170" i="13"/>
  <c r="BT170" i="13"/>
  <c r="BS170" i="13"/>
  <c r="BR170" i="13"/>
  <c r="BQ170" i="13"/>
  <c r="BP170" i="13"/>
  <c r="BO170" i="13"/>
  <c r="BN170" i="13"/>
  <c r="BM170" i="13"/>
  <c r="BL170" i="13"/>
  <c r="CA169" i="13"/>
  <c r="BY169" i="13"/>
  <c r="BW169" i="13"/>
  <c r="BV169" i="13"/>
  <c r="BU169" i="13"/>
  <c r="BT169" i="13"/>
  <c r="BS169" i="13"/>
  <c r="BR169" i="13"/>
  <c r="BQ169" i="13"/>
  <c r="BP169" i="13"/>
  <c r="BO169" i="13"/>
  <c r="BN169" i="13"/>
  <c r="BM169" i="13"/>
  <c r="BL169" i="13"/>
  <c r="CA168" i="13"/>
  <c r="BY168" i="13"/>
  <c r="BW168" i="13"/>
  <c r="BV168" i="13"/>
  <c r="BU168" i="13"/>
  <c r="BT168" i="13"/>
  <c r="BS168" i="13"/>
  <c r="BR168" i="13"/>
  <c r="BQ168" i="13"/>
  <c r="BP168" i="13"/>
  <c r="BO168" i="13"/>
  <c r="BN168" i="13"/>
  <c r="BM168" i="13"/>
  <c r="BL168" i="13"/>
  <c r="BZ167" i="13"/>
  <c r="BY167" i="13"/>
  <c r="BZ168" i="13" s="1"/>
  <c r="BW167" i="13"/>
  <c r="BV167" i="13"/>
  <c r="BU167" i="13"/>
  <c r="BT167" i="13"/>
  <c r="BS167" i="13"/>
  <c r="BR167" i="13"/>
  <c r="BQ167" i="13"/>
  <c r="BP167" i="13"/>
  <c r="BO167" i="13"/>
  <c r="BN167" i="13"/>
  <c r="BM167" i="13"/>
  <c r="BL167" i="13"/>
  <c r="CA166" i="13"/>
  <c r="BY166" i="13"/>
  <c r="BW166" i="13"/>
  <c r="BV166" i="13"/>
  <c r="BU166" i="13"/>
  <c r="BT166" i="13"/>
  <c r="BS166" i="13"/>
  <c r="BR166" i="13"/>
  <c r="BQ166" i="13"/>
  <c r="BP166" i="13"/>
  <c r="BO166" i="13"/>
  <c r="BN166" i="13"/>
  <c r="BM166" i="13"/>
  <c r="BL166" i="13"/>
  <c r="BY165" i="13"/>
  <c r="BW165" i="13"/>
  <c r="BV165" i="13"/>
  <c r="BU165" i="13"/>
  <c r="BT165" i="13"/>
  <c r="BS165" i="13"/>
  <c r="BR165" i="13"/>
  <c r="BQ165" i="13"/>
  <c r="BP165" i="13"/>
  <c r="BO165" i="13"/>
  <c r="BN165" i="13"/>
  <c r="BM165" i="13"/>
  <c r="BL165" i="13"/>
  <c r="BY164" i="13"/>
  <c r="CA164" i="13" s="1"/>
  <c r="BW164" i="13"/>
  <c r="BV164" i="13"/>
  <c r="BU164" i="13"/>
  <c r="BT164" i="13"/>
  <c r="BS164" i="13"/>
  <c r="BR164" i="13"/>
  <c r="BQ164" i="13"/>
  <c r="BP164" i="13"/>
  <c r="BO164" i="13"/>
  <c r="BN164" i="13"/>
  <c r="BM164" i="13"/>
  <c r="BL164" i="13"/>
  <c r="CA163" i="13"/>
  <c r="BY163" i="13"/>
  <c r="BW163" i="13"/>
  <c r="BV163" i="13"/>
  <c r="BU163" i="13"/>
  <c r="BT163" i="13"/>
  <c r="BS163" i="13"/>
  <c r="BR163" i="13"/>
  <c r="BQ163" i="13"/>
  <c r="BP163" i="13"/>
  <c r="BO163" i="13"/>
  <c r="BN163" i="13"/>
  <c r="BM163" i="13"/>
  <c r="BL163" i="13"/>
  <c r="BY162" i="13"/>
  <c r="BW162" i="13"/>
  <c r="BV162" i="13"/>
  <c r="BU162" i="13"/>
  <c r="BT162" i="13"/>
  <c r="BS162" i="13"/>
  <c r="BR162" i="13"/>
  <c r="BQ162" i="13"/>
  <c r="BP162" i="13"/>
  <c r="BO162" i="13"/>
  <c r="BN162" i="13"/>
  <c r="BM162" i="13"/>
  <c r="BL162" i="13"/>
  <c r="BY161" i="13"/>
  <c r="CA161" i="13" s="1"/>
  <c r="BW161" i="13"/>
  <c r="BV161" i="13"/>
  <c r="BU161" i="13"/>
  <c r="BT161" i="13"/>
  <c r="BS161" i="13"/>
  <c r="BR161" i="13"/>
  <c r="BQ161" i="13"/>
  <c r="BP161" i="13"/>
  <c r="BO161" i="13"/>
  <c r="BN161" i="13"/>
  <c r="BM161" i="13"/>
  <c r="BL161" i="13"/>
  <c r="BY160" i="13"/>
  <c r="CA160" i="13" s="1"/>
  <c r="CA159" i="13"/>
  <c r="BY159" i="13"/>
  <c r="BW159" i="13"/>
  <c r="BV159" i="13"/>
  <c r="BU159" i="13"/>
  <c r="BT159" i="13"/>
  <c r="BS159" i="13"/>
  <c r="BR159" i="13"/>
  <c r="BQ159" i="13"/>
  <c r="BP159" i="13"/>
  <c r="BO159" i="13"/>
  <c r="BN159" i="13"/>
  <c r="BM159" i="13"/>
  <c r="BL159" i="13"/>
  <c r="BY158" i="13"/>
  <c r="BW158" i="13"/>
  <c r="BV158" i="13"/>
  <c r="BU158" i="13"/>
  <c r="BT158" i="13"/>
  <c r="BS158" i="13"/>
  <c r="BR158" i="13"/>
  <c r="BQ158" i="13"/>
  <c r="BP158" i="13"/>
  <c r="BO158" i="13"/>
  <c r="BN158" i="13"/>
  <c r="BM158" i="13"/>
  <c r="BL158" i="13"/>
  <c r="BY157" i="13"/>
  <c r="CA157" i="13" s="1"/>
  <c r="BW157" i="13"/>
  <c r="BV157" i="13"/>
  <c r="BU157" i="13"/>
  <c r="BT157" i="13"/>
  <c r="BS157" i="13"/>
  <c r="BR157" i="13"/>
  <c r="BQ157" i="13"/>
  <c r="BP157" i="13"/>
  <c r="BO157" i="13"/>
  <c r="BN157" i="13"/>
  <c r="BM157" i="13"/>
  <c r="BL157" i="13"/>
  <c r="BY156" i="13"/>
  <c r="BZ157" i="13" s="1"/>
  <c r="BY155" i="13"/>
  <c r="CA155" i="13" s="1"/>
  <c r="BW155" i="13"/>
  <c r="BV155" i="13"/>
  <c r="BU155" i="13"/>
  <c r="BT155" i="13"/>
  <c r="BS155" i="13"/>
  <c r="BR155" i="13"/>
  <c r="BQ155" i="13"/>
  <c r="BP155" i="13"/>
  <c r="BO155" i="13"/>
  <c r="BN155" i="13"/>
  <c r="BM155" i="13"/>
  <c r="BL155" i="13"/>
  <c r="CA154" i="13"/>
  <c r="BY154" i="13"/>
  <c r="BZ155" i="13" s="1"/>
  <c r="BW154" i="13"/>
  <c r="BV154" i="13"/>
  <c r="BU154" i="13"/>
  <c r="BT154" i="13"/>
  <c r="BS154" i="13"/>
  <c r="BR154" i="13"/>
  <c r="BQ154" i="13"/>
  <c r="BP154" i="13"/>
  <c r="BO154" i="13"/>
  <c r="BN154" i="13"/>
  <c r="BM154" i="13"/>
  <c r="BL154" i="13"/>
  <c r="BY153" i="13"/>
  <c r="BZ154" i="13" s="1"/>
  <c r="BW153" i="13"/>
  <c r="BV153" i="13"/>
  <c r="BU153" i="13"/>
  <c r="BT153" i="13"/>
  <c r="BS153" i="13"/>
  <c r="BR153" i="13"/>
  <c r="BQ153" i="13"/>
  <c r="BP153" i="13"/>
  <c r="BO153" i="13"/>
  <c r="BN153" i="13"/>
  <c r="BM153" i="13"/>
  <c r="BL153" i="13"/>
  <c r="CA152" i="13"/>
  <c r="BY152" i="13"/>
  <c r="BW152" i="13"/>
  <c r="BV152" i="13"/>
  <c r="BU152" i="13"/>
  <c r="BT152" i="13"/>
  <c r="BS152" i="13"/>
  <c r="BR152" i="13"/>
  <c r="BQ152" i="13"/>
  <c r="BP152" i="13"/>
  <c r="BO152" i="13"/>
  <c r="BN152" i="13"/>
  <c r="BM152" i="13"/>
  <c r="BL152" i="13"/>
  <c r="BY151" i="13"/>
  <c r="CA151" i="13" s="1"/>
  <c r="BW151" i="13"/>
  <c r="BV151" i="13"/>
  <c r="BU151" i="13"/>
  <c r="BT151" i="13"/>
  <c r="BS151" i="13"/>
  <c r="BR151" i="13"/>
  <c r="BQ151" i="13"/>
  <c r="BP151" i="13"/>
  <c r="BO151" i="13"/>
  <c r="BN151" i="13"/>
  <c r="BM151" i="13"/>
  <c r="BL151" i="13"/>
  <c r="BY150" i="13"/>
  <c r="CA150" i="13" s="1"/>
  <c r="BW150" i="13"/>
  <c r="BV150" i="13"/>
  <c r="BU150" i="13"/>
  <c r="BT150" i="13"/>
  <c r="BS150" i="13"/>
  <c r="BR150" i="13"/>
  <c r="BQ150" i="13"/>
  <c r="BP150" i="13"/>
  <c r="BO150" i="13"/>
  <c r="BN150" i="13"/>
  <c r="BM150" i="13"/>
  <c r="BL150" i="13"/>
  <c r="CA149" i="13"/>
  <c r="BY149" i="13"/>
  <c r="BW149" i="13"/>
  <c r="BV149" i="13"/>
  <c r="BU149" i="13"/>
  <c r="BT149" i="13"/>
  <c r="BS149" i="13"/>
  <c r="BR149" i="13"/>
  <c r="BQ149" i="13"/>
  <c r="BP149" i="13"/>
  <c r="BO149" i="13"/>
  <c r="BN149" i="13"/>
  <c r="BM149" i="13"/>
  <c r="BL149" i="13"/>
  <c r="BY148" i="13"/>
  <c r="BW148" i="13"/>
  <c r="BV148" i="13"/>
  <c r="BU148" i="13"/>
  <c r="BT148" i="13"/>
  <c r="BS148" i="13"/>
  <c r="BR148" i="13"/>
  <c r="BQ148" i="13"/>
  <c r="BP148" i="13"/>
  <c r="BO148" i="13"/>
  <c r="BN148" i="13"/>
  <c r="BM148" i="13"/>
  <c r="BL148" i="13"/>
  <c r="BY147" i="13"/>
  <c r="CA147" i="13" s="1"/>
  <c r="BW147" i="13"/>
  <c r="BV147" i="13"/>
  <c r="BU147" i="13"/>
  <c r="BT147" i="13"/>
  <c r="BS147" i="13"/>
  <c r="BR147" i="13"/>
  <c r="BQ147" i="13"/>
  <c r="BP147" i="13"/>
  <c r="BO147" i="13"/>
  <c r="BN147" i="13"/>
  <c r="BM147" i="13"/>
  <c r="BL147" i="13"/>
  <c r="BY146" i="13"/>
  <c r="CA146" i="13" s="1"/>
  <c r="BW146" i="13"/>
  <c r="BV146" i="13"/>
  <c r="BU146" i="13"/>
  <c r="BT146" i="13"/>
  <c r="BS146" i="13"/>
  <c r="BR146" i="13"/>
  <c r="BQ146" i="13"/>
  <c r="BP146" i="13"/>
  <c r="BO146" i="13"/>
  <c r="BN146" i="13"/>
  <c r="BM146" i="13"/>
  <c r="BL146" i="13"/>
  <c r="CA145" i="13"/>
  <c r="BY145" i="13"/>
  <c r="CA144" i="13"/>
  <c r="BZ144" i="13"/>
  <c r="BY144" i="13"/>
  <c r="BZ145" i="13" s="1"/>
  <c r="BW144" i="13"/>
  <c r="BV144" i="13"/>
  <c r="BU144" i="13"/>
  <c r="BT144" i="13"/>
  <c r="BS144" i="13"/>
  <c r="BR144" i="13"/>
  <c r="BQ144" i="13"/>
  <c r="BP144" i="13"/>
  <c r="BO144" i="13"/>
  <c r="BN144" i="13"/>
  <c r="BM144" i="13"/>
  <c r="BL144" i="13"/>
  <c r="CA143" i="13"/>
  <c r="BY143" i="13"/>
  <c r="BW143" i="13"/>
  <c r="BV143" i="13"/>
  <c r="BU143" i="13"/>
  <c r="BT143" i="13"/>
  <c r="BS143" i="13"/>
  <c r="BR143" i="13"/>
  <c r="BQ143" i="13"/>
  <c r="BP143" i="13"/>
  <c r="BO143" i="13"/>
  <c r="BN143" i="13"/>
  <c r="BM143" i="13"/>
  <c r="BL143" i="13"/>
  <c r="BY142" i="13"/>
  <c r="CA142" i="13" s="1"/>
  <c r="BW142" i="13"/>
  <c r="BV142" i="13"/>
  <c r="BU142" i="13"/>
  <c r="BT142" i="13"/>
  <c r="BS142" i="13"/>
  <c r="BR142" i="13"/>
  <c r="BQ142" i="13"/>
  <c r="BP142" i="13"/>
  <c r="BO142" i="13"/>
  <c r="BN142" i="13"/>
  <c r="BM142" i="13"/>
  <c r="BL142" i="13"/>
  <c r="BY141" i="13"/>
  <c r="CA141" i="13" s="1"/>
  <c r="BW141" i="13"/>
  <c r="BV141" i="13"/>
  <c r="BU141" i="13"/>
  <c r="BT141" i="13"/>
  <c r="BS141" i="13"/>
  <c r="BR141" i="13"/>
  <c r="BQ141" i="13"/>
  <c r="BP141" i="13"/>
  <c r="BO141" i="13"/>
  <c r="BN141" i="13"/>
  <c r="BM141" i="13"/>
  <c r="BL141" i="13"/>
  <c r="CA140" i="13"/>
  <c r="BY140" i="13"/>
  <c r="BW140" i="13"/>
  <c r="BV140" i="13"/>
  <c r="BU140" i="13"/>
  <c r="BT140" i="13"/>
  <c r="BS140" i="13"/>
  <c r="BR140" i="13"/>
  <c r="BQ140" i="13"/>
  <c r="BP140" i="13"/>
  <c r="BO140" i="13"/>
  <c r="BN140" i="13"/>
  <c r="BM140" i="13"/>
  <c r="BL140" i="13"/>
  <c r="BY139" i="13"/>
  <c r="BW139" i="13"/>
  <c r="BV139" i="13"/>
  <c r="BU139" i="13"/>
  <c r="BT139" i="13"/>
  <c r="BS139" i="13"/>
  <c r="BR139" i="13"/>
  <c r="BQ139" i="13"/>
  <c r="BP139" i="13"/>
  <c r="BO139" i="13"/>
  <c r="BN139" i="13"/>
  <c r="BM139" i="13"/>
  <c r="BL139" i="13"/>
  <c r="BY138" i="13"/>
  <c r="BW138" i="13"/>
  <c r="BV138" i="13"/>
  <c r="BU138" i="13"/>
  <c r="BT138" i="13"/>
  <c r="BS138" i="13"/>
  <c r="BR138" i="13"/>
  <c r="BQ138" i="13"/>
  <c r="BP138" i="13"/>
  <c r="BO138" i="13"/>
  <c r="BN138" i="13"/>
  <c r="BM138" i="13"/>
  <c r="BL138" i="13"/>
  <c r="BY137" i="13"/>
  <c r="CA137" i="13" s="1"/>
  <c r="BW137" i="13"/>
  <c r="BV137" i="13"/>
  <c r="BU137" i="13"/>
  <c r="BT137" i="13"/>
  <c r="BS137" i="13"/>
  <c r="BR137" i="13"/>
  <c r="BQ137" i="13"/>
  <c r="BP137" i="13"/>
  <c r="BO137" i="13"/>
  <c r="BN137" i="13"/>
  <c r="BM137" i="13"/>
  <c r="BL137" i="13"/>
  <c r="CA136" i="13"/>
  <c r="BY136" i="13"/>
  <c r="BY135" i="13"/>
  <c r="BZ136" i="13" s="1"/>
  <c r="BW135" i="13"/>
  <c r="BV135" i="13"/>
  <c r="BU135" i="13"/>
  <c r="BT135" i="13"/>
  <c r="BS135" i="13"/>
  <c r="BR135" i="13"/>
  <c r="BQ135" i="13"/>
  <c r="BP135" i="13"/>
  <c r="BO135" i="13"/>
  <c r="BN135" i="13"/>
  <c r="BM135" i="13"/>
  <c r="BL135" i="13"/>
  <c r="BY134" i="13"/>
  <c r="CA134" i="13" s="1"/>
  <c r="BW134" i="13"/>
  <c r="BV134" i="13"/>
  <c r="BU134" i="13"/>
  <c r="BT134" i="13"/>
  <c r="BS134" i="13"/>
  <c r="BR134" i="13"/>
  <c r="BQ134" i="13"/>
  <c r="BP134" i="13"/>
  <c r="BO134" i="13"/>
  <c r="BN134" i="13"/>
  <c r="BM134" i="13"/>
  <c r="BL134" i="13"/>
  <c r="BY133" i="13"/>
  <c r="CA133" i="13" s="1"/>
  <c r="BW133" i="13"/>
  <c r="BV133" i="13"/>
  <c r="BU133" i="13"/>
  <c r="BT133" i="13"/>
  <c r="BS133" i="13"/>
  <c r="BR133" i="13"/>
  <c r="BQ133" i="13"/>
  <c r="BP133" i="13"/>
  <c r="BO133" i="13"/>
  <c r="BN133" i="13"/>
  <c r="BM133" i="13"/>
  <c r="BL133" i="13"/>
  <c r="BY132" i="13"/>
  <c r="CA132" i="13" s="1"/>
  <c r="BW132" i="13"/>
  <c r="BV132" i="13"/>
  <c r="BU132" i="13"/>
  <c r="BT132" i="13"/>
  <c r="BS132" i="13"/>
  <c r="BR132" i="13"/>
  <c r="BQ132" i="13"/>
  <c r="BP132" i="13"/>
  <c r="BO132" i="13"/>
  <c r="BN132" i="13"/>
  <c r="BM132" i="13"/>
  <c r="BL132" i="13"/>
  <c r="CA131" i="13"/>
  <c r="BY131" i="13"/>
  <c r="BW131" i="13"/>
  <c r="BV131" i="13"/>
  <c r="BU131" i="13"/>
  <c r="BT131" i="13"/>
  <c r="BS131" i="13"/>
  <c r="BR131" i="13"/>
  <c r="BQ131" i="13"/>
  <c r="BP131" i="13"/>
  <c r="BO131" i="13"/>
  <c r="BN131" i="13"/>
  <c r="BM131" i="13"/>
  <c r="BL131" i="13"/>
  <c r="BY130" i="13"/>
  <c r="BW130" i="13"/>
  <c r="BV130" i="13"/>
  <c r="BU130" i="13"/>
  <c r="BT130" i="13"/>
  <c r="BS130" i="13"/>
  <c r="BR130" i="13"/>
  <c r="BQ130" i="13"/>
  <c r="BP130" i="13"/>
  <c r="BO130" i="13"/>
  <c r="BN130" i="13"/>
  <c r="BM130" i="13"/>
  <c r="BL130" i="13"/>
  <c r="BY129" i="13"/>
  <c r="BW129" i="13"/>
  <c r="BV129" i="13"/>
  <c r="BU129" i="13"/>
  <c r="BT129" i="13"/>
  <c r="BS129" i="13"/>
  <c r="BR129" i="13"/>
  <c r="BQ129" i="13"/>
  <c r="BP129" i="13"/>
  <c r="BO129" i="13"/>
  <c r="BN129" i="13"/>
  <c r="BM129" i="13"/>
  <c r="BL129" i="13"/>
  <c r="BY128" i="13"/>
  <c r="BZ129" i="13" s="1"/>
  <c r="CA127" i="13"/>
  <c r="BY127" i="13"/>
  <c r="BW127" i="13"/>
  <c r="BV127" i="13"/>
  <c r="BU127" i="13"/>
  <c r="BT127" i="13"/>
  <c r="BS127" i="13"/>
  <c r="BR127" i="13"/>
  <c r="BQ127" i="13"/>
  <c r="BP127" i="13"/>
  <c r="BO127" i="13"/>
  <c r="BN127" i="13"/>
  <c r="BM127" i="13"/>
  <c r="BL127" i="13"/>
  <c r="CA126" i="13"/>
  <c r="BY126" i="13"/>
  <c r="BW126" i="13"/>
  <c r="BV126" i="13"/>
  <c r="BU126" i="13"/>
  <c r="BT126" i="13"/>
  <c r="BS126" i="13"/>
  <c r="BR126" i="13"/>
  <c r="BQ126" i="13"/>
  <c r="BP126" i="13"/>
  <c r="BO126" i="13"/>
  <c r="BN126" i="13"/>
  <c r="BM126" i="13"/>
  <c r="BL126" i="13"/>
  <c r="BY125" i="13"/>
  <c r="BW125" i="13"/>
  <c r="BV125" i="13"/>
  <c r="BU125" i="13"/>
  <c r="BT125" i="13"/>
  <c r="BS125" i="13"/>
  <c r="BR125" i="13"/>
  <c r="BQ125" i="13"/>
  <c r="BP125" i="13"/>
  <c r="BO125" i="13"/>
  <c r="BN125" i="13"/>
  <c r="BM125" i="13"/>
  <c r="BL125" i="13"/>
  <c r="BY124" i="13"/>
  <c r="CA124" i="13" s="1"/>
  <c r="BW124" i="13"/>
  <c r="BV124" i="13"/>
  <c r="BU124" i="13"/>
  <c r="BT124" i="13"/>
  <c r="BS124" i="13"/>
  <c r="BR124" i="13"/>
  <c r="BQ124" i="13"/>
  <c r="BP124" i="13"/>
  <c r="BO124" i="13"/>
  <c r="BN124" i="13"/>
  <c r="BM124" i="13"/>
  <c r="BL124" i="13"/>
  <c r="BY123" i="13"/>
  <c r="BW123" i="13"/>
  <c r="BV123" i="13"/>
  <c r="BU123" i="13"/>
  <c r="BT123" i="13"/>
  <c r="BS123" i="13"/>
  <c r="BR123" i="13"/>
  <c r="BQ123" i="13"/>
  <c r="BP123" i="13"/>
  <c r="BO123" i="13"/>
  <c r="BN123" i="13"/>
  <c r="BM123" i="13"/>
  <c r="BL123" i="13"/>
  <c r="CA122" i="13"/>
  <c r="BY122" i="13"/>
  <c r="BW122" i="13"/>
  <c r="BV122" i="13"/>
  <c r="BU122" i="13"/>
  <c r="BT122" i="13"/>
  <c r="BS122" i="13"/>
  <c r="BR122" i="13"/>
  <c r="BQ122" i="13"/>
  <c r="BP122" i="13"/>
  <c r="BO122" i="13"/>
  <c r="BN122" i="13"/>
  <c r="BM122" i="13"/>
  <c r="BL122" i="13"/>
  <c r="BZ121" i="13"/>
  <c r="BY121" i="13"/>
  <c r="BZ122" i="13" s="1"/>
  <c r="BW121" i="13"/>
  <c r="BV121" i="13"/>
  <c r="BU121" i="13"/>
  <c r="BT121" i="13"/>
  <c r="BS121" i="13"/>
  <c r="BR121" i="13"/>
  <c r="BQ121" i="13"/>
  <c r="BP121" i="13"/>
  <c r="BO121" i="13"/>
  <c r="BN121" i="13"/>
  <c r="BM121" i="13"/>
  <c r="BL121" i="13"/>
  <c r="CA120" i="13"/>
  <c r="BY120" i="13"/>
  <c r="BW120" i="13"/>
  <c r="BV120" i="13"/>
  <c r="BV228" i="13" s="1"/>
  <c r="BU120" i="13"/>
  <c r="BU228" i="13" s="1"/>
  <c r="BT120" i="13"/>
  <c r="BT228" i="13" s="1"/>
  <c r="BS120" i="13"/>
  <c r="BR120" i="13"/>
  <c r="BR228" i="13" s="1"/>
  <c r="BQ120" i="13"/>
  <c r="BQ228" i="13" s="1"/>
  <c r="BP120" i="13"/>
  <c r="BO120" i="13"/>
  <c r="BN120" i="13"/>
  <c r="BN228" i="13" s="1"/>
  <c r="BN230" i="13" s="1"/>
  <c r="AT11" i="12" s="1"/>
  <c r="BM120" i="13"/>
  <c r="BM228" i="13" s="1"/>
  <c r="BL120" i="13"/>
  <c r="AU148" i="12"/>
  <c r="AT148" i="12"/>
  <c r="AS148" i="12"/>
  <c r="AU147" i="12"/>
  <c r="AT147" i="12"/>
  <c r="AS147" i="12"/>
  <c r="AU146" i="12"/>
  <c r="AT146" i="12"/>
  <c r="AS146" i="12"/>
  <c r="AU145" i="12"/>
  <c r="AT145" i="12"/>
  <c r="AS145" i="12"/>
  <c r="AU144" i="12"/>
  <c r="AT144" i="12"/>
  <c r="AS144" i="12"/>
  <c r="AU143" i="12"/>
  <c r="AT143" i="12"/>
  <c r="AS143" i="12"/>
  <c r="AU142" i="12"/>
  <c r="AT142" i="12"/>
  <c r="AS142" i="12"/>
  <c r="AU141" i="12"/>
  <c r="AT141" i="12"/>
  <c r="AS141" i="12"/>
  <c r="AU140" i="12"/>
  <c r="AT140" i="12"/>
  <c r="AS140" i="12"/>
  <c r="AU139" i="12"/>
  <c r="AT139" i="12"/>
  <c r="AS139" i="12"/>
  <c r="AU138" i="12"/>
  <c r="AT138" i="12"/>
  <c r="AS138" i="12"/>
  <c r="AU137" i="12"/>
  <c r="AT137" i="12"/>
  <c r="AS137" i="12"/>
  <c r="AU136" i="12"/>
  <c r="AT136" i="12"/>
  <c r="AS136" i="12"/>
  <c r="AU135" i="12"/>
  <c r="AT135" i="12"/>
  <c r="AS135" i="12"/>
  <c r="AU134" i="12"/>
  <c r="AT134" i="12"/>
  <c r="AS134" i="12"/>
  <c r="AU133" i="12"/>
  <c r="AT133" i="12"/>
  <c r="AS133" i="12"/>
  <c r="AU132" i="12"/>
  <c r="AT132" i="12"/>
  <c r="AS132" i="12"/>
  <c r="AU131" i="12"/>
  <c r="AT131" i="12"/>
  <c r="AS131" i="12"/>
  <c r="AU130" i="12"/>
  <c r="AT130" i="12"/>
  <c r="AS130" i="12"/>
  <c r="AU129" i="12"/>
  <c r="AT129" i="12"/>
  <c r="AS129" i="12"/>
  <c r="AU128" i="12"/>
  <c r="AT128" i="12"/>
  <c r="AS128" i="12"/>
  <c r="AU127" i="12"/>
  <c r="AT127" i="12"/>
  <c r="AS127" i="12"/>
  <c r="AU126" i="12"/>
  <c r="AT126" i="12"/>
  <c r="AS126" i="12"/>
  <c r="AU125" i="12"/>
  <c r="AT125" i="12"/>
  <c r="AS125" i="12"/>
  <c r="BA122" i="12"/>
  <c r="AZ122" i="12"/>
  <c r="AY122" i="12"/>
  <c r="AX122" i="12"/>
  <c r="AW122" i="12"/>
  <c r="AV122" i="12"/>
  <c r="AU122" i="12"/>
  <c r="AT122" i="12"/>
  <c r="AS122" i="12"/>
  <c r="BA121" i="12"/>
  <c r="AZ121" i="12"/>
  <c r="AY121" i="12"/>
  <c r="AX121" i="12"/>
  <c r="AW121" i="12"/>
  <c r="AV121" i="12"/>
  <c r="AU121" i="12"/>
  <c r="AT121" i="12"/>
  <c r="AS121" i="12"/>
  <c r="BA120" i="12"/>
  <c r="AZ120" i="12"/>
  <c r="AY120" i="12"/>
  <c r="AX120" i="12"/>
  <c r="AW120" i="12"/>
  <c r="AV120" i="12"/>
  <c r="AU120" i="12"/>
  <c r="AT120" i="12"/>
  <c r="AS120" i="12"/>
  <c r="BA119" i="12"/>
  <c r="AZ119" i="12"/>
  <c r="AY119" i="12"/>
  <c r="AX119" i="12"/>
  <c r="AW119" i="12"/>
  <c r="AV119" i="12"/>
  <c r="AU119" i="12"/>
  <c r="AT119" i="12"/>
  <c r="AS119" i="12"/>
  <c r="BA118" i="12"/>
  <c r="AZ118" i="12"/>
  <c r="AY118" i="12"/>
  <c r="AX118" i="12"/>
  <c r="AW118" i="12"/>
  <c r="AV118" i="12"/>
  <c r="AU118" i="12"/>
  <c r="AT118" i="12"/>
  <c r="AS118" i="12"/>
  <c r="BA117" i="12"/>
  <c r="AZ117" i="12"/>
  <c r="AY117" i="12"/>
  <c r="AX117" i="12"/>
  <c r="AW117" i="12"/>
  <c r="AV117" i="12"/>
  <c r="AU117" i="12"/>
  <c r="AT117" i="12"/>
  <c r="AS117" i="12"/>
  <c r="BA116" i="12"/>
  <c r="AZ116" i="12"/>
  <c r="AY116" i="12"/>
  <c r="AX116" i="12"/>
  <c r="AW116" i="12"/>
  <c r="AV116" i="12"/>
  <c r="AU116" i="12"/>
  <c r="AT116" i="12"/>
  <c r="AS116" i="12"/>
  <c r="BA115" i="12"/>
  <c r="AZ115" i="12"/>
  <c r="AY115" i="12"/>
  <c r="AX115" i="12"/>
  <c r="AW115" i="12"/>
  <c r="AV115" i="12"/>
  <c r="AU115" i="12"/>
  <c r="AT115" i="12"/>
  <c r="AS115" i="12"/>
  <c r="BA114" i="12"/>
  <c r="AZ114" i="12"/>
  <c r="AY114" i="12"/>
  <c r="AX114" i="12"/>
  <c r="AW114" i="12"/>
  <c r="AV114" i="12"/>
  <c r="AU114" i="12"/>
  <c r="AT114" i="12"/>
  <c r="AS114" i="12"/>
  <c r="BA113" i="12"/>
  <c r="AZ113" i="12"/>
  <c r="AY113" i="12"/>
  <c r="AX113" i="12"/>
  <c r="AW113" i="12"/>
  <c r="AV113" i="12"/>
  <c r="AU113" i="12"/>
  <c r="AT113" i="12"/>
  <c r="AS113" i="12"/>
  <c r="BA112" i="12"/>
  <c r="AZ112" i="12"/>
  <c r="AY112" i="12"/>
  <c r="AX112" i="12"/>
  <c r="AW112" i="12"/>
  <c r="AV112" i="12"/>
  <c r="AU112" i="12"/>
  <c r="AT112" i="12"/>
  <c r="AS112" i="12"/>
  <c r="BA111" i="12"/>
  <c r="AZ111" i="12"/>
  <c r="AY111" i="12"/>
  <c r="AX111" i="12"/>
  <c r="AW111" i="12"/>
  <c r="AV111" i="12"/>
  <c r="AU111" i="12"/>
  <c r="AT111" i="12"/>
  <c r="AS111" i="12"/>
  <c r="BA110" i="12"/>
  <c r="AZ110" i="12"/>
  <c r="AY110" i="12"/>
  <c r="AX110" i="12"/>
  <c r="AW110" i="12"/>
  <c r="AV110" i="12"/>
  <c r="AU110" i="12"/>
  <c r="AT110" i="12"/>
  <c r="AS110" i="12"/>
  <c r="BA109" i="12"/>
  <c r="AZ109" i="12"/>
  <c r="AY109" i="12"/>
  <c r="AX109" i="12"/>
  <c r="AW109" i="12"/>
  <c r="AV109" i="12"/>
  <c r="AU109" i="12"/>
  <c r="AT109" i="12"/>
  <c r="AS109" i="12"/>
  <c r="BA108" i="12"/>
  <c r="AZ108" i="12"/>
  <c r="AY108" i="12"/>
  <c r="AX108" i="12"/>
  <c r="AW108" i="12"/>
  <c r="AV108" i="12"/>
  <c r="AU108" i="12"/>
  <c r="AT108" i="12"/>
  <c r="AS108" i="12"/>
  <c r="BA107" i="12"/>
  <c r="AZ107" i="12"/>
  <c r="AY107" i="12"/>
  <c r="AX107" i="12"/>
  <c r="AW107" i="12"/>
  <c r="AV107" i="12"/>
  <c r="AU107" i="12"/>
  <c r="AT107" i="12"/>
  <c r="AS107" i="12"/>
  <c r="BA106" i="12"/>
  <c r="AZ106" i="12"/>
  <c r="AY106" i="12"/>
  <c r="AX106" i="12"/>
  <c r="AW106" i="12"/>
  <c r="AV106" i="12"/>
  <c r="AU106" i="12"/>
  <c r="AT106" i="12"/>
  <c r="AS106" i="12"/>
  <c r="BA105" i="12"/>
  <c r="AZ105" i="12"/>
  <c r="AY105" i="12"/>
  <c r="AX105" i="12"/>
  <c r="AW105" i="12"/>
  <c r="AV105" i="12"/>
  <c r="AU105" i="12"/>
  <c r="AT105" i="12"/>
  <c r="AS105" i="12"/>
  <c r="BA104" i="12"/>
  <c r="AZ104" i="12"/>
  <c r="AY104" i="12"/>
  <c r="AX104" i="12"/>
  <c r="AW104" i="12"/>
  <c r="AV104" i="12"/>
  <c r="AU104" i="12"/>
  <c r="AT104" i="12"/>
  <c r="AS104" i="12"/>
  <c r="BA103" i="12"/>
  <c r="AZ103" i="12"/>
  <c r="AY103" i="12"/>
  <c r="AX103" i="12"/>
  <c r="AW103" i="12"/>
  <c r="AV103" i="12"/>
  <c r="AU103" i="12"/>
  <c r="AT103" i="12"/>
  <c r="AS103" i="12"/>
  <c r="BA102" i="12"/>
  <c r="AZ102" i="12"/>
  <c r="AY102" i="12"/>
  <c r="AX102" i="12"/>
  <c r="AW102" i="12"/>
  <c r="AV102" i="12"/>
  <c r="AU102" i="12"/>
  <c r="AT102" i="12"/>
  <c r="AS102" i="12"/>
  <c r="BA101" i="12"/>
  <c r="AZ101" i="12"/>
  <c r="AY101" i="12"/>
  <c r="AX101" i="12"/>
  <c r="AW101" i="12"/>
  <c r="AV101" i="12"/>
  <c r="AU101" i="12"/>
  <c r="AT101" i="12"/>
  <c r="AS101" i="12"/>
  <c r="BA100" i="12"/>
  <c r="AZ100" i="12"/>
  <c r="AY100" i="12"/>
  <c r="AX100" i="12"/>
  <c r="AW100" i="12"/>
  <c r="AV100" i="12"/>
  <c r="AU100" i="12"/>
  <c r="AT100" i="12"/>
  <c r="AS100" i="12"/>
  <c r="BA99" i="12"/>
  <c r="AZ99" i="12"/>
  <c r="AY99" i="12"/>
  <c r="AX99" i="12"/>
  <c r="AW99" i="12"/>
  <c r="AV99" i="12"/>
  <c r="AU99" i="12"/>
  <c r="AT99" i="12"/>
  <c r="AS99" i="12"/>
  <c r="BA98" i="12"/>
  <c r="AZ98" i="12"/>
  <c r="AY98" i="12"/>
  <c r="AX98" i="12"/>
  <c r="AW98" i="12"/>
  <c r="AV98" i="12"/>
  <c r="AU98" i="12"/>
  <c r="AT98" i="12"/>
  <c r="AS98" i="12"/>
  <c r="BA97" i="12"/>
  <c r="AZ97" i="12"/>
  <c r="AY97" i="12"/>
  <c r="AX97" i="12"/>
  <c r="AW97" i="12"/>
  <c r="AV97" i="12"/>
  <c r="AU97" i="12"/>
  <c r="AT97" i="12"/>
  <c r="AS97" i="12"/>
  <c r="BA96" i="12"/>
  <c r="AZ96" i="12"/>
  <c r="AY96" i="12"/>
  <c r="AX96" i="12"/>
  <c r="AW96" i="12"/>
  <c r="AV96" i="12"/>
  <c r="AU96" i="12"/>
  <c r="AT96" i="12"/>
  <c r="AS96" i="12"/>
  <c r="BA95" i="12"/>
  <c r="AZ95" i="12"/>
  <c r="AY95" i="12"/>
  <c r="AX95" i="12"/>
  <c r="AW95" i="12"/>
  <c r="AV95" i="12"/>
  <c r="AU95" i="12"/>
  <c r="AT95" i="12"/>
  <c r="AS95" i="12"/>
  <c r="BA94" i="12"/>
  <c r="AZ94" i="12"/>
  <c r="AY94" i="12"/>
  <c r="AX94" i="12"/>
  <c r="AW94" i="12"/>
  <c r="AV94" i="12"/>
  <c r="AU94" i="12"/>
  <c r="AT94" i="12"/>
  <c r="AS94" i="12"/>
  <c r="BA93" i="12"/>
  <c r="AZ93" i="12"/>
  <c r="AY93" i="12"/>
  <c r="AX93" i="12"/>
  <c r="AW93" i="12"/>
  <c r="AV93" i="12"/>
  <c r="AU93" i="12"/>
  <c r="AT93" i="12"/>
  <c r="AS93" i="12"/>
  <c r="BA92" i="12"/>
  <c r="AZ92" i="12"/>
  <c r="AY92" i="12"/>
  <c r="AX92" i="12"/>
  <c r="AW92" i="12"/>
  <c r="AV92" i="12"/>
  <c r="AU92" i="12"/>
  <c r="AT92" i="12"/>
  <c r="AS92" i="12"/>
  <c r="BA91" i="12"/>
  <c r="AZ91" i="12"/>
  <c r="AY91" i="12"/>
  <c r="AX91" i="12"/>
  <c r="AW91" i="12"/>
  <c r="AV91" i="12"/>
  <c r="AU91" i="12"/>
  <c r="AT91" i="12"/>
  <c r="AS91" i="12"/>
  <c r="BA90" i="12"/>
  <c r="AZ90" i="12"/>
  <c r="AY90" i="12"/>
  <c r="AX90" i="12"/>
  <c r="AW90" i="12"/>
  <c r="AV90" i="12"/>
  <c r="AU90" i="12"/>
  <c r="AT90" i="12"/>
  <c r="AS90" i="12"/>
  <c r="BA89" i="12"/>
  <c r="AZ89" i="12"/>
  <c r="AY89" i="12"/>
  <c r="AX89" i="12"/>
  <c r="AW89" i="12"/>
  <c r="AV89" i="12"/>
  <c r="AU89" i="12"/>
  <c r="AT89" i="12"/>
  <c r="AS89" i="12"/>
  <c r="BA88" i="12"/>
  <c r="AZ88" i="12"/>
  <c r="AY88" i="12"/>
  <c r="AX88" i="12"/>
  <c r="AW88" i="12"/>
  <c r="AV88" i="12"/>
  <c r="AU88" i="12"/>
  <c r="AT88" i="12"/>
  <c r="AS88" i="12"/>
  <c r="BA87" i="12"/>
  <c r="AZ87" i="12"/>
  <c r="AY87" i="12"/>
  <c r="AX87" i="12"/>
  <c r="AW87" i="12"/>
  <c r="AV87" i="12"/>
  <c r="AU87" i="12"/>
  <c r="AT87" i="12"/>
  <c r="AS87" i="12"/>
  <c r="BA86" i="12"/>
  <c r="AZ86" i="12"/>
  <c r="AY86" i="12"/>
  <c r="AX86" i="12"/>
  <c r="AW86" i="12"/>
  <c r="AV86" i="12"/>
  <c r="AU86" i="12"/>
  <c r="AT86" i="12"/>
  <c r="AS86" i="12"/>
  <c r="BA85" i="12"/>
  <c r="AZ85" i="12"/>
  <c r="AY85" i="12"/>
  <c r="AX85" i="12"/>
  <c r="AW85" i="12"/>
  <c r="AV85" i="12"/>
  <c r="AU85" i="12"/>
  <c r="AT85" i="12"/>
  <c r="AS85" i="12"/>
  <c r="BA83" i="12"/>
  <c r="AZ83" i="12"/>
  <c r="AY83" i="12"/>
  <c r="AX83" i="12"/>
  <c r="AW83" i="12"/>
  <c r="AV83" i="12"/>
  <c r="AU83" i="12"/>
  <c r="AT83" i="12"/>
  <c r="AS83" i="12"/>
  <c r="BA82" i="12"/>
  <c r="AZ82" i="12"/>
  <c r="AY82" i="12"/>
  <c r="AX82" i="12"/>
  <c r="AW82" i="12"/>
  <c r="AV82" i="12"/>
  <c r="AU82" i="12"/>
  <c r="AT82" i="12"/>
  <c r="AS82" i="12"/>
  <c r="BA81" i="12"/>
  <c r="AZ81" i="12"/>
  <c r="AY81" i="12"/>
  <c r="AX81" i="12"/>
  <c r="AW81" i="12"/>
  <c r="AV81" i="12"/>
  <c r="AU81" i="12"/>
  <c r="AT81" i="12"/>
  <c r="AS81" i="12"/>
  <c r="BA80" i="12"/>
  <c r="AZ80" i="12"/>
  <c r="AY80" i="12"/>
  <c r="AX80" i="12"/>
  <c r="AW80" i="12"/>
  <c r="AV80" i="12"/>
  <c r="AU80" i="12"/>
  <c r="AT80" i="12"/>
  <c r="AS80" i="12"/>
  <c r="BA79" i="12"/>
  <c r="AZ79" i="12"/>
  <c r="AY79" i="12"/>
  <c r="AX79" i="12"/>
  <c r="AW79" i="12"/>
  <c r="AV79" i="12"/>
  <c r="AU79" i="12"/>
  <c r="AT79" i="12"/>
  <c r="AS79" i="12"/>
  <c r="BA78" i="12"/>
  <c r="AZ78" i="12"/>
  <c r="AY78" i="12"/>
  <c r="AX78" i="12"/>
  <c r="AW78" i="12"/>
  <c r="AV78" i="12"/>
  <c r="AU78" i="12"/>
  <c r="AT78" i="12"/>
  <c r="AS78" i="12"/>
  <c r="BA77" i="12"/>
  <c r="AZ77" i="12"/>
  <c r="AY77" i="12"/>
  <c r="AX77" i="12"/>
  <c r="AW77" i="12"/>
  <c r="AV77" i="12"/>
  <c r="AU77" i="12"/>
  <c r="AT77" i="12"/>
  <c r="AS77" i="12"/>
  <c r="BA76" i="12"/>
  <c r="AZ76" i="12"/>
  <c r="AY76" i="12"/>
  <c r="AX76" i="12"/>
  <c r="AW76" i="12"/>
  <c r="AV76" i="12"/>
  <c r="AU76" i="12"/>
  <c r="AT76" i="12"/>
  <c r="AS76" i="12"/>
  <c r="BA75" i="12"/>
  <c r="AZ75" i="12"/>
  <c r="AY75" i="12"/>
  <c r="AX75" i="12"/>
  <c r="AW75" i="12"/>
  <c r="AV75" i="12"/>
  <c r="AU75" i="12"/>
  <c r="AT75" i="12"/>
  <c r="AS75" i="12"/>
  <c r="BA73" i="12"/>
  <c r="AZ73" i="12"/>
  <c r="AY73" i="12"/>
  <c r="AX73" i="12"/>
  <c r="AW73" i="12"/>
  <c r="AV73" i="12"/>
  <c r="AU73" i="12"/>
  <c r="AT73" i="12"/>
  <c r="AS73" i="12"/>
  <c r="BA72" i="12"/>
  <c r="AZ72" i="12"/>
  <c r="AY72" i="12"/>
  <c r="AX72" i="12"/>
  <c r="AW72" i="12"/>
  <c r="AV72" i="12"/>
  <c r="AU72" i="12"/>
  <c r="AT72" i="12"/>
  <c r="AS72" i="12"/>
  <c r="BA71" i="12"/>
  <c r="AZ71" i="12"/>
  <c r="AY71" i="12"/>
  <c r="AX71" i="12"/>
  <c r="AW71" i="12"/>
  <c r="AV71" i="12"/>
  <c r="AU71" i="12"/>
  <c r="AT71" i="12"/>
  <c r="AS71" i="12"/>
  <c r="BA70" i="12"/>
  <c r="AZ70" i="12"/>
  <c r="AY70" i="12"/>
  <c r="AX70" i="12"/>
  <c r="AW70" i="12"/>
  <c r="AV70" i="12"/>
  <c r="AU70" i="12"/>
  <c r="AT70" i="12"/>
  <c r="AS70" i="12"/>
  <c r="BA69" i="12"/>
  <c r="AZ69" i="12"/>
  <c r="AY69" i="12"/>
  <c r="AX69" i="12"/>
  <c r="AW69" i="12"/>
  <c r="AV69" i="12"/>
  <c r="AU69" i="12"/>
  <c r="AT69" i="12"/>
  <c r="AS69" i="12"/>
  <c r="BA68" i="12"/>
  <c r="AZ68" i="12"/>
  <c r="AY68" i="12"/>
  <c r="AX68" i="12"/>
  <c r="AW68" i="12"/>
  <c r="AV68" i="12"/>
  <c r="AU68" i="12"/>
  <c r="AT68" i="12"/>
  <c r="AS68" i="12"/>
  <c r="BA67" i="12"/>
  <c r="AZ67" i="12"/>
  <c r="AY67" i="12"/>
  <c r="AX67" i="12"/>
  <c r="AW67" i="12"/>
  <c r="AV67" i="12"/>
  <c r="AU67" i="12"/>
  <c r="AT67" i="12"/>
  <c r="AS67" i="12"/>
  <c r="BA65" i="12"/>
  <c r="AZ65" i="12"/>
  <c r="AY65" i="12"/>
  <c r="AX65" i="12"/>
  <c r="AW65" i="12"/>
  <c r="AV65" i="12"/>
  <c r="AU65" i="12"/>
  <c r="AT65" i="12"/>
  <c r="AS65" i="12"/>
  <c r="BA64" i="12"/>
  <c r="AZ64" i="12"/>
  <c r="AY64" i="12"/>
  <c r="AX64" i="12"/>
  <c r="AW64" i="12"/>
  <c r="AV64" i="12"/>
  <c r="AU64" i="12"/>
  <c r="AT64" i="12"/>
  <c r="AS64" i="12"/>
  <c r="BA63" i="12"/>
  <c r="AZ63" i="12"/>
  <c r="AY63" i="12"/>
  <c r="AX63" i="12"/>
  <c r="AW63" i="12"/>
  <c r="AV63" i="12"/>
  <c r="AU63" i="12"/>
  <c r="AT63" i="12"/>
  <c r="AS63" i="12"/>
  <c r="BA62" i="12"/>
  <c r="AZ62" i="12"/>
  <c r="AY62" i="12"/>
  <c r="AX62" i="12"/>
  <c r="AW62" i="12"/>
  <c r="AV62" i="12"/>
  <c r="AU62" i="12"/>
  <c r="AT62" i="12"/>
  <c r="AS62" i="12"/>
  <c r="BA61" i="12"/>
  <c r="AZ61" i="12"/>
  <c r="AY61" i="12"/>
  <c r="AX61" i="12"/>
  <c r="AW61" i="12"/>
  <c r="AV61" i="12"/>
  <c r="AU61" i="12"/>
  <c r="AT61" i="12"/>
  <c r="AS61" i="12"/>
  <c r="BA60" i="12"/>
  <c r="AZ60" i="12"/>
  <c r="AY60" i="12"/>
  <c r="AX60" i="12"/>
  <c r="AW60" i="12"/>
  <c r="AV60" i="12"/>
  <c r="AU60" i="12"/>
  <c r="AT60" i="12"/>
  <c r="AS60" i="12"/>
  <c r="BA59" i="12"/>
  <c r="AZ59" i="12"/>
  <c r="AY59" i="12"/>
  <c r="AX59" i="12"/>
  <c r="AW59" i="12"/>
  <c r="AV59" i="12"/>
  <c r="AU59" i="12"/>
  <c r="AT59" i="12"/>
  <c r="AS59" i="12"/>
  <c r="BA58" i="12"/>
  <c r="AZ58" i="12"/>
  <c r="AY58" i="12"/>
  <c r="AX58" i="12"/>
  <c r="AW58" i="12"/>
  <c r="AV58" i="12"/>
  <c r="AU58" i="12"/>
  <c r="AT58" i="12"/>
  <c r="AS58" i="12"/>
  <c r="BA57" i="12"/>
  <c r="AZ57" i="12"/>
  <c r="AY57" i="12"/>
  <c r="AX57" i="12"/>
  <c r="AW57" i="12"/>
  <c r="AV57" i="12"/>
  <c r="AU57" i="12"/>
  <c r="AT57" i="12"/>
  <c r="AS57" i="12"/>
  <c r="BA56" i="12"/>
  <c r="AZ56" i="12"/>
  <c r="AY56" i="12"/>
  <c r="AX56" i="12"/>
  <c r="AW56" i="12"/>
  <c r="AV56" i="12"/>
  <c r="AU56" i="12"/>
  <c r="AT56" i="12"/>
  <c r="AS56" i="12"/>
  <c r="BA54" i="12"/>
  <c r="AZ54" i="12"/>
  <c r="AY54" i="12"/>
  <c r="AX54" i="12"/>
  <c r="AW54" i="12"/>
  <c r="AV54" i="12"/>
  <c r="AU54" i="12"/>
  <c r="AT54" i="12"/>
  <c r="AS54" i="12"/>
  <c r="BA53" i="12"/>
  <c r="AZ53" i="12"/>
  <c r="AY53" i="12"/>
  <c r="AX53" i="12"/>
  <c r="AW53" i="12"/>
  <c r="AV53" i="12"/>
  <c r="AU53" i="12"/>
  <c r="AT53" i="12"/>
  <c r="AS53" i="12"/>
  <c r="BA52" i="12"/>
  <c r="AZ52" i="12"/>
  <c r="AY52" i="12"/>
  <c r="AX52" i="12"/>
  <c r="AW52" i="12"/>
  <c r="AV52" i="12"/>
  <c r="AU52" i="12"/>
  <c r="AT52" i="12"/>
  <c r="AS52" i="12"/>
  <c r="BA50" i="12"/>
  <c r="AZ50" i="12"/>
  <c r="AY50" i="12"/>
  <c r="AX50" i="12"/>
  <c r="AW50" i="12"/>
  <c r="AV50" i="12"/>
  <c r="AU50" i="12"/>
  <c r="AT50" i="12"/>
  <c r="AS50" i="12"/>
  <c r="BA49" i="12"/>
  <c r="AZ49" i="12"/>
  <c r="AY49" i="12"/>
  <c r="AX49" i="12"/>
  <c r="AW49" i="12"/>
  <c r="AV49" i="12"/>
  <c r="AU49" i="12"/>
  <c r="AT49" i="12"/>
  <c r="AS49" i="12"/>
  <c r="BA48" i="12"/>
  <c r="AZ48" i="12"/>
  <c r="AY48" i="12"/>
  <c r="AX48" i="12"/>
  <c r="AW48" i="12"/>
  <c r="AV48" i="12"/>
  <c r="AU48" i="12"/>
  <c r="AT48" i="12"/>
  <c r="AS48" i="12"/>
  <c r="BA47" i="12"/>
  <c r="AZ47" i="12"/>
  <c r="AY47" i="12"/>
  <c r="AX47" i="12"/>
  <c r="AW47" i="12"/>
  <c r="AV47" i="12"/>
  <c r="AU47" i="12"/>
  <c r="AT47" i="12"/>
  <c r="AS47" i="12"/>
  <c r="BA46" i="12"/>
  <c r="AZ46" i="12"/>
  <c r="AY46" i="12"/>
  <c r="AX46" i="12"/>
  <c r="AW46" i="12"/>
  <c r="AV46" i="12"/>
  <c r="AU46" i="12"/>
  <c r="AT46" i="12"/>
  <c r="AS46" i="12"/>
  <c r="BA45" i="12"/>
  <c r="AZ45" i="12"/>
  <c r="AY45" i="12"/>
  <c r="AX45" i="12"/>
  <c r="AW45" i="12"/>
  <c r="AV45" i="12"/>
  <c r="AU45" i="12"/>
  <c r="AT45" i="12"/>
  <c r="AS45" i="12"/>
  <c r="BA44" i="12"/>
  <c r="AZ44" i="12"/>
  <c r="AY44" i="12"/>
  <c r="AX44" i="12"/>
  <c r="AW44" i="12"/>
  <c r="AV44" i="12"/>
  <c r="AU44" i="12"/>
  <c r="AT44" i="12"/>
  <c r="AS44" i="12"/>
  <c r="BA43" i="12"/>
  <c r="AZ43" i="12"/>
  <c r="AY43" i="12"/>
  <c r="AX43" i="12"/>
  <c r="AW43" i="12"/>
  <c r="AV43" i="12"/>
  <c r="AU43" i="12"/>
  <c r="AT43" i="12"/>
  <c r="AS43" i="12"/>
  <c r="BA42" i="12"/>
  <c r="AZ42" i="12"/>
  <c r="AY42" i="12"/>
  <c r="AX42" i="12"/>
  <c r="AW42" i="12"/>
  <c r="AV42" i="12"/>
  <c r="AU42" i="12"/>
  <c r="AT42" i="12"/>
  <c r="AS42" i="12"/>
  <c r="BA41" i="12"/>
  <c r="AZ41" i="12"/>
  <c r="AY41" i="12"/>
  <c r="AX41" i="12"/>
  <c r="AW41" i="12"/>
  <c r="AV41" i="12"/>
  <c r="AU41" i="12"/>
  <c r="AT41" i="12"/>
  <c r="AS41" i="12"/>
  <c r="BA39" i="12"/>
  <c r="AZ39" i="12"/>
  <c r="AY39" i="12"/>
  <c r="AX39" i="12"/>
  <c r="AW39" i="12"/>
  <c r="AV39" i="12"/>
  <c r="AU39" i="12"/>
  <c r="AT39" i="12"/>
  <c r="AS39" i="12"/>
  <c r="BA38" i="12"/>
  <c r="AZ38" i="12"/>
  <c r="AY38" i="12"/>
  <c r="AX38" i="12"/>
  <c r="AW38" i="12"/>
  <c r="AV38" i="12"/>
  <c r="AU38" i="12"/>
  <c r="AT38" i="12"/>
  <c r="AS38" i="12"/>
  <c r="BA37" i="12"/>
  <c r="AZ37" i="12"/>
  <c r="AY37" i="12"/>
  <c r="AX37" i="12"/>
  <c r="AW37" i="12"/>
  <c r="AV37" i="12"/>
  <c r="AU37" i="12"/>
  <c r="AT37" i="12"/>
  <c r="AS37" i="12"/>
  <c r="BA36" i="12"/>
  <c r="AZ36" i="12"/>
  <c r="AY36" i="12"/>
  <c r="AX36" i="12"/>
  <c r="AW36" i="12"/>
  <c r="AV36" i="12"/>
  <c r="AU36" i="12"/>
  <c r="AT36" i="12"/>
  <c r="AS36" i="12"/>
  <c r="BA35" i="12"/>
  <c r="AZ35" i="12"/>
  <c r="AY35" i="12"/>
  <c r="AX35" i="12"/>
  <c r="AW35" i="12"/>
  <c r="AV35" i="12"/>
  <c r="AU35" i="12"/>
  <c r="AT35" i="12"/>
  <c r="AS35" i="12"/>
  <c r="BA34" i="12"/>
  <c r="AZ34" i="12"/>
  <c r="AY34" i="12"/>
  <c r="AX34" i="12"/>
  <c r="AW34" i="12"/>
  <c r="AV34" i="12"/>
  <c r="AU34" i="12"/>
  <c r="AT34" i="12"/>
  <c r="AS34" i="12"/>
  <c r="BA33" i="12"/>
  <c r="AZ33" i="12"/>
  <c r="AY33" i="12"/>
  <c r="AX33" i="12"/>
  <c r="AW33" i="12"/>
  <c r="AV33" i="12"/>
  <c r="AU33" i="12"/>
  <c r="AT33" i="12"/>
  <c r="AS33" i="12"/>
  <c r="BA32" i="12"/>
  <c r="AZ32" i="12"/>
  <c r="AY32" i="12"/>
  <c r="AX32" i="12"/>
  <c r="AW32" i="12"/>
  <c r="AV32" i="12"/>
  <c r="AU32" i="12"/>
  <c r="AT32" i="12"/>
  <c r="AS32" i="12"/>
  <c r="BA30" i="12"/>
  <c r="AZ30" i="12"/>
  <c r="AY30" i="12"/>
  <c r="AX30" i="12"/>
  <c r="AW30" i="12"/>
  <c r="AV30" i="12"/>
  <c r="AU30" i="12"/>
  <c r="AT30" i="12"/>
  <c r="AS30" i="12"/>
  <c r="BA29" i="12"/>
  <c r="AZ29" i="12"/>
  <c r="AY29" i="12"/>
  <c r="AX29" i="12"/>
  <c r="AW29" i="12"/>
  <c r="AV29" i="12"/>
  <c r="AU29" i="12"/>
  <c r="AT29" i="12"/>
  <c r="AS29" i="12"/>
  <c r="BA28" i="12"/>
  <c r="AZ28" i="12"/>
  <c r="AY28" i="12"/>
  <c r="AX28" i="12"/>
  <c r="AW28" i="12"/>
  <c r="AV28" i="12"/>
  <c r="AU28" i="12"/>
  <c r="AT28" i="12"/>
  <c r="AS28" i="12"/>
  <c r="BA27" i="12"/>
  <c r="AZ27" i="12"/>
  <c r="AY27" i="12"/>
  <c r="AX27" i="12"/>
  <c r="AW27" i="12"/>
  <c r="AV27" i="12"/>
  <c r="AU27" i="12"/>
  <c r="AT27" i="12"/>
  <c r="AS27" i="12"/>
  <c r="BA26" i="12"/>
  <c r="AZ26" i="12"/>
  <c r="AY26" i="12"/>
  <c r="AX26" i="12"/>
  <c r="AW26" i="12"/>
  <c r="AV26" i="12"/>
  <c r="AU26" i="12"/>
  <c r="AT26" i="12"/>
  <c r="AS26" i="12"/>
  <c r="BA25" i="12"/>
  <c r="AZ25" i="12"/>
  <c r="AY25" i="12"/>
  <c r="AX25" i="12"/>
  <c r="AW25" i="12"/>
  <c r="AV25" i="12"/>
  <c r="AU25" i="12"/>
  <c r="AT25" i="12"/>
  <c r="AS25" i="12"/>
  <c r="BA24" i="12"/>
  <c r="AZ24" i="12"/>
  <c r="AY24" i="12"/>
  <c r="AX24" i="12"/>
  <c r="AW24" i="12"/>
  <c r="AV24" i="12"/>
  <c r="AU24" i="12"/>
  <c r="AT24" i="12"/>
  <c r="AS24" i="12"/>
  <c r="BA22" i="12"/>
  <c r="AZ22" i="12"/>
  <c r="AY22" i="12"/>
  <c r="AX22" i="12"/>
  <c r="AW22" i="12"/>
  <c r="AV22" i="12"/>
  <c r="AU22" i="12"/>
  <c r="AT22" i="12"/>
  <c r="AS22" i="12"/>
  <c r="BA21" i="12"/>
  <c r="AZ21" i="12"/>
  <c r="AY21" i="12"/>
  <c r="AX21" i="12"/>
  <c r="AW21" i="12"/>
  <c r="AV21" i="12"/>
  <c r="AU21" i="12"/>
  <c r="AT21" i="12"/>
  <c r="AS21" i="12"/>
  <c r="BA20" i="12"/>
  <c r="AZ20" i="12"/>
  <c r="AY20" i="12"/>
  <c r="AX20" i="12"/>
  <c r="AW20" i="12"/>
  <c r="AV20" i="12"/>
  <c r="AU20" i="12"/>
  <c r="AT20" i="12"/>
  <c r="AS20" i="12"/>
  <c r="BA19" i="12"/>
  <c r="AZ19" i="12"/>
  <c r="AY19" i="12"/>
  <c r="AX19" i="12"/>
  <c r="AW19" i="12"/>
  <c r="AV19" i="12"/>
  <c r="AU19" i="12"/>
  <c r="AT19" i="12"/>
  <c r="AS19" i="12"/>
  <c r="BA18" i="12"/>
  <c r="AZ18" i="12"/>
  <c r="AY18" i="12"/>
  <c r="AX18" i="12"/>
  <c r="AW18" i="12"/>
  <c r="AV18" i="12"/>
  <c r="AU18" i="12"/>
  <c r="AT18" i="12"/>
  <c r="AS18" i="12"/>
  <c r="BA17" i="12"/>
  <c r="AZ17" i="12"/>
  <c r="AY17" i="12"/>
  <c r="AX17" i="12"/>
  <c r="AW17" i="12"/>
  <c r="AV17" i="12"/>
  <c r="AU17" i="12"/>
  <c r="AT17" i="12"/>
  <c r="AS17" i="12"/>
  <c r="BA16" i="12"/>
  <c r="AZ16" i="12"/>
  <c r="AY16" i="12"/>
  <c r="AX16" i="12"/>
  <c r="AW16" i="12"/>
  <c r="AV16" i="12"/>
  <c r="AU16" i="12"/>
  <c r="AT16" i="12"/>
  <c r="AS16" i="12"/>
  <c r="BA15" i="12"/>
  <c r="AZ15" i="12"/>
  <c r="AY15" i="12"/>
  <c r="AX15" i="12"/>
  <c r="AW15" i="12"/>
  <c r="AV15" i="12"/>
  <c r="AU15" i="12"/>
  <c r="AT15" i="12"/>
  <c r="AS15" i="12"/>
  <c r="BA3" i="12"/>
  <c r="AZ3" i="12"/>
  <c r="BB9" i="12" s="1"/>
  <c r="AX3" i="12"/>
  <c r="AS3" i="12"/>
  <c r="AR3" i="12"/>
  <c r="AQ3" i="12"/>
  <c r="BD248" i="13"/>
  <c r="BF248" i="13" s="1"/>
  <c r="BF247" i="13"/>
  <c r="BD247" i="13"/>
  <c r="BF246" i="13"/>
  <c r="BD246" i="13"/>
  <c r="BD245" i="13"/>
  <c r="BF245" i="13" s="1"/>
  <c r="BD244" i="13"/>
  <c r="BF244" i="13" s="1"/>
  <c r="BF243" i="13"/>
  <c r="BD243" i="13"/>
  <c r="BF242" i="13"/>
  <c r="BD242" i="13"/>
  <c r="BD241" i="13"/>
  <c r="BF241" i="13" s="1"/>
  <c r="BD240" i="13"/>
  <c r="BF240" i="13" s="1"/>
  <c r="BF239" i="13"/>
  <c r="BD239" i="13"/>
  <c r="BF238" i="13"/>
  <c r="BD238" i="13"/>
  <c r="BD237" i="13"/>
  <c r="BF237" i="13" s="1"/>
  <c r="BD236" i="13"/>
  <c r="BF236" i="13" s="1"/>
  <c r="BF235" i="13"/>
  <c r="BD235" i="13"/>
  <c r="BF234" i="13"/>
  <c r="BD234" i="13"/>
  <c r="BD233" i="13"/>
  <c r="BF233" i="13" s="1"/>
  <c r="BD232" i="13"/>
  <c r="BF232" i="13" s="1"/>
  <c r="BF231" i="13"/>
  <c r="BD231" i="13"/>
  <c r="BF230" i="13"/>
  <c r="BD230" i="13"/>
  <c r="BD229" i="13"/>
  <c r="BF229" i="13" s="1"/>
  <c r="BD228" i="13"/>
  <c r="BF228" i="13" s="1"/>
  <c r="BF227" i="13"/>
  <c r="BD227" i="13"/>
  <c r="BF226" i="13"/>
  <c r="BE226" i="13"/>
  <c r="BD226" i="13"/>
  <c r="BF225" i="13"/>
  <c r="BD225" i="13"/>
  <c r="BF219" i="13"/>
  <c r="BD219" i="13"/>
  <c r="BD218" i="13"/>
  <c r="BF218" i="13" s="1"/>
  <c r="BD217" i="13"/>
  <c r="BF217" i="13" s="1"/>
  <c r="BF216" i="13"/>
  <c r="BD216" i="13"/>
  <c r="BF215" i="13"/>
  <c r="BD215" i="13"/>
  <c r="BD214" i="13"/>
  <c r="BF214" i="13" s="1"/>
  <c r="BD213" i="13"/>
  <c r="BF213" i="13" s="1"/>
  <c r="BF212" i="13"/>
  <c r="BD212" i="13"/>
  <c r="BF211" i="13"/>
  <c r="BD211" i="13"/>
  <c r="BD210" i="13"/>
  <c r="BF210" i="13" s="1"/>
  <c r="BD209" i="13"/>
  <c r="BF209" i="13" s="1"/>
  <c r="BF208" i="13"/>
  <c r="BD208" i="13"/>
  <c r="BF207" i="13"/>
  <c r="BD207" i="13"/>
  <c r="BD206" i="13"/>
  <c r="BF206" i="13" s="1"/>
  <c r="BD205" i="13"/>
  <c r="BF205" i="13" s="1"/>
  <c r="BF204" i="13"/>
  <c r="BD204" i="13"/>
  <c r="BF203" i="13"/>
  <c r="BD203" i="13"/>
  <c r="BD202" i="13"/>
  <c r="BF202" i="13" s="1"/>
  <c r="BD201" i="13"/>
  <c r="BF201" i="13" s="1"/>
  <c r="BF200" i="13"/>
  <c r="BD200" i="13"/>
  <c r="BF199" i="13"/>
  <c r="BD199" i="13"/>
  <c r="BD198" i="13"/>
  <c r="BF198" i="13" s="1"/>
  <c r="BD197" i="13"/>
  <c r="BF197" i="13" s="1"/>
  <c r="BF196" i="13"/>
  <c r="BD196" i="13"/>
  <c r="BF195" i="13"/>
  <c r="BD195" i="13"/>
  <c r="BD194" i="13"/>
  <c r="BF194" i="13" s="1"/>
  <c r="BD193" i="13"/>
  <c r="BF193" i="13" s="1"/>
  <c r="BF192" i="13"/>
  <c r="BD192" i="13"/>
  <c r="BF191" i="13"/>
  <c r="BD191" i="13"/>
  <c r="BD190" i="13"/>
  <c r="BF190" i="13" s="1"/>
  <c r="BD189" i="13"/>
  <c r="BF189" i="13" s="1"/>
  <c r="BF188" i="13"/>
  <c r="BD188" i="13"/>
  <c r="BF187" i="13"/>
  <c r="BD187" i="13"/>
  <c r="BD186" i="13"/>
  <c r="BF186" i="13" s="1"/>
  <c r="BE185" i="13"/>
  <c r="BD185" i="13"/>
  <c r="BF185" i="13" s="1"/>
  <c r="BD184" i="13"/>
  <c r="BF184" i="13" s="1"/>
  <c r="BF183" i="13"/>
  <c r="BE183" i="13"/>
  <c r="BD183" i="13"/>
  <c r="BE184" i="13" s="1"/>
  <c r="BF182" i="13"/>
  <c r="BD182" i="13"/>
  <c r="BD181" i="13"/>
  <c r="BF181" i="13" s="1"/>
  <c r="BD180" i="13"/>
  <c r="BF180" i="13" s="1"/>
  <c r="BD179" i="13"/>
  <c r="BF179" i="13" s="1"/>
  <c r="BD178" i="13"/>
  <c r="BD177" i="13"/>
  <c r="BF177" i="13" s="1"/>
  <c r="BD176" i="13"/>
  <c r="BF176" i="13" s="1"/>
  <c r="BD175" i="13"/>
  <c r="BF175" i="13" s="1"/>
  <c r="BE174" i="13"/>
  <c r="BD174" i="13"/>
  <c r="BF173" i="13"/>
  <c r="BD173" i="13"/>
  <c r="BD172" i="13"/>
  <c r="BF172" i="13" s="1"/>
  <c r="BD171" i="13"/>
  <c r="BF171" i="13" s="1"/>
  <c r="BD170" i="13"/>
  <c r="BF170" i="13" s="1"/>
  <c r="BD169" i="13"/>
  <c r="BD168" i="13"/>
  <c r="BF168" i="13" s="1"/>
  <c r="BE167" i="13"/>
  <c r="BD167" i="13"/>
  <c r="BF167" i="13" s="1"/>
  <c r="BF166" i="13"/>
  <c r="BD166" i="13"/>
  <c r="BF165" i="13"/>
  <c r="BD165" i="13"/>
  <c r="BD164" i="13"/>
  <c r="BF163" i="13"/>
  <c r="BD163" i="13"/>
  <c r="BD162" i="13"/>
  <c r="BF162" i="13" s="1"/>
  <c r="BF161" i="13"/>
  <c r="BD161" i="13"/>
  <c r="BD160" i="13"/>
  <c r="BF159" i="13"/>
  <c r="BD159" i="13"/>
  <c r="BF158" i="13"/>
  <c r="BD158" i="13"/>
  <c r="BD157" i="13"/>
  <c r="BF157" i="13" s="1"/>
  <c r="BD156" i="13"/>
  <c r="BD155" i="13"/>
  <c r="BF155" i="13" s="1"/>
  <c r="BD154" i="13"/>
  <c r="BD153" i="13"/>
  <c r="BF152" i="13"/>
  <c r="BD152" i="13"/>
  <c r="BD151" i="13"/>
  <c r="BF151" i="13" s="1"/>
  <c r="BD150" i="13"/>
  <c r="BD149" i="13"/>
  <c r="BF149" i="13" s="1"/>
  <c r="BF148" i="13"/>
  <c r="BD148" i="13"/>
  <c r="BD147" i="13"/>
  <c r="BD146" i="13"/>
  <c r="BD145" i="13"/>
  <c r="BE146" i="13" s="1"/>
  <c r="BF144" i="13"/>
  <c r="BE144" i="13"/>
  <c r="BD144" i="13"/>
  <c r="BE145" i="13" s="1"/>
  <c r="BF143" i="13"/>
  <c r="BD143" i="13"/>
  <c r="BD142" i="13"/>
  <c r="BF142" i="13" s="1"/>
  <c r="BD141" i="13"/>
  <c r="BD140" i="13"/>
  <c r="BF139" i="13"/>
  <c r="BD139" i="13"/>
  <c r="BF138" i="13"/>
  <c r="BD138" i="13"/>
  <c r="BD137" i="13"/>
  <c r="BF136" i="13"/>
  <c r="BD136" i="13"/>
  <c r="BD135" i="13"/>
  <c r="BF134" i="13"/>
  <c r="BD134" i="13"/>
  <c r="BD133" i="13"/>
  <c r="BD132" i="13"/>
  <c r="BD131" i="13"/>
  <c r="BF130" i="13"/>
  <c r="BD130" i="13"/>
  <c r="BF129" i="13"/>
  <c r="BD129" i="13"/>
  <c r="BD128" i="13"/>
  <c r="BD127" i="13"/>
  <c r="BF127" i="13" s="1"/>
  <c r="BD126" i="13"/>
  <c r="BF126" i="13" s="1"/>
  <c r="BF125" i="13"/>
  <c r="BD125" i="13"/>
  <c r="BD124" i="13"/>
  <c r="BD123" i="13"/>
  <c r="BD122" i="13"/>
  <c r="BE121" i="13"/>
  <c r="BD121" i="13"/>
  <c r="BE122" i="13" s="1"/>
  <c r="BF120" i="13"/>
  <c r="BD120" i="13"/>
  <c r="BB227" i="13"/>
  <c r="BA227" i="13"/>
  <c r="AZ227" i="13"/>
  <c r="AY227" i="13"/>
  <c r="AX227" i="13"/>
  <c r="AW227" i="13"/>
  <c r="AV227" i="13"/>
  <c r="AU227" i="13"/>
  <c r="AT227" i="13"/>
  <c r="AS227" i="13"/>
  <c r="AR227" i="13"/>
  <c r="AQ227" i="13"/>
  <c r="BB226" i="13"/>
  <c r="BA226" i="13"/>
  <c r="AZ226" i="13"/>
  <c r="AY226" i="13"/>
  <c r="AX226" i="13"/>
  <c r="AW226" i="13"/>
  <c r="AV226" i="13"/>
  <c r="AU226" i="13"/>
  <c r="AT226" i="13"/>
  <c r="AS226" i="13"/>
  <c r="AR226" i="13"/>
  <c r="AQ226" i="13"/>
  <c r="BB225" i="13"/>
  <c r="BA225" i="13"/>
  <c r="AZ225" i="13"/>
  <c r="AY225" i="13"/>
  <c r="AX225" i="13"/>
  <c r="AW225" i="13"/>
  <c r="AV225" i="13"/>
  <c r="AU225" i="13"/>
  <c r="AT225" i="13"/>
  <c r="AS225" i="13"/>
  <c r="AR225" i="13"/>
  <c r="AQ225" i="13"/>
  <c r="BB224" i="13"/>
  <c r="BA224" i="13"/>
  <c r="AZ224" i="13"/>
  <c r="AY224" i="13"/>
  <c r="AX224" i="13"/>
  <c r="AW224" i="13"/>
  <c r="AV224" i="13"/>
  <c r="AU224" i="13"/>
  <c r="AT224" i="13"/>
  <c r="AS224" i="13"/>
  <c r="AR224" i="13"/>
  <c r="AQ224" i="13"/>
  <c r="BB223" i="13"/>
  <c r="BA223" i="13"/>
  <c r="AZ223" i="13"/>
  <c r="AY223" i="13"/>
  <c r="AX223" i="13"/>
  <c r="AW223" i="13"/>
  <c r="AV223" i="13"/>
  <c r="AU223" i="13"/>
  <c r="AT223" i="13"/>
  <c r="AS223" i="13"/>
  <c r="AR223" i="13"/>
  <c r="AQ223" i="13"/>
  <c r="BB222" i="13"/>
  <c r="BA222" i="13"/>
  <c r="AZ222" i="13"/>
  <c r="AY222" i="13"/>
  <c r="AX222" i="13"/>
  <c r="AW222" i="13"/>
  <c r="AV222" i="13"/>
  <c r="AU222" i="13"/>
  <c r="AT222" i="13"/>
  <c r="AS222" i="13"/>
  <c r="AR222" i="13"/>
  <c r="AQ222" i="13"/>
  <c r="BB221" i="13"/>
  <c r="BA221" i="13"/>
  <c r="AZ221" i="13"/>
  <c r="AY221" i="13"/>
  <c r="AX221" i="13"/>
  <c r="AW221" i="13"/>
  <c r="AV221" i="13"/>
  <c r="AU221" i="13"/>
  <c r="AT221" i="13"/>
  <c r="AS221" i="13"/>
  <c r="AR221" i="13"/>
  <c r="AQ221" i="13"/>
  <c r="BB220" i="13"/>
  <c r="BA220" i="13"/>
  <c r="AZ220" i="13"/>
  <c r="AY220" i="13"/>
  <c r="AX220" i="13"/>
  <c r="AW220" i="13"/>
  <c r="AV220" i="13"/>
  <c r="AU220" i="13"/>
  <c r="AT220" i="13"/>
  <c r="AS220" i="13"/>
  <c r="AR220" i="13"/>
  <c r="AQ220" i="13"/>
  <c r="BB219" i="13"/>
  <c r="BA219" i="13"/>
  <c r="AZ219" i="13"/>
  <c r="AY219" i="13"/>
  <c r="AX219" i="13"/>
  <c r="AW219" i="13"/>
  <c r="AV219" i="13"/>
  <c r="AU219" i="13"/>
  <c r="AT219" i="13"/>
  <c r="AS219" i="13"/>
  <c r="AR219" i="13"/>
  <c r="AQ219" i="13"/>
  <c r="BB218" i="13"/>
  <c r="BA218" i="13"/>
  <c r="AZ218" i="13"/>
  <c r="AY218" i="13"/>
  <c r="AX218" i="13"/>
  <c r="AW218" i="13"/>
  <c r="AV218" i="13"/>
  <c r="AU218" i="13"/>
  <c r="AT218" i="13"/>
  <c r="AS218" i="13"/>
  <c r="AR218" i="13"/>
  <c r="AQ218" i="13"/>
  <c r="BB217" i="13"/>
  <c r="BA217" i="13"/>
  <c r="AZ217" i="13"/>
  <c r="AY217" i="13"/>
  <c r="AX217" i="13"/>
  <c r="AW217" i="13"/>
  <c r="AV217" i="13"/>
  <c r="AU217" i="13"/>
  <c r="AT217" i="13"/>
  <c r="AS217" i="13"/>
  <c r="AR217" i="13"/>
  <c r="AQ217" i="13"/>
  <c r="BB216" i="13"/>
  <c r="BA216" i="13"/>
  <c r="AZ216" i="13"/>
  <c r="AY216" i="13"/>
  <c r="AX216" i="13"/>
  <c r="AW216" i="13"/>
  <c r="AV216" i="13"/>
  <c r="AU216" i="13"/>
  <c r="AT216" i="13"/>
  <c r="AS216" i="13"/>
  <c r="AR216" i="13"/>
  <c r="AQ216" i="13"/>
  <c r="BB215" i="13"/>
  <c r="BA215" i="13"/>
  <c r="AZ215" i="13"/>
  <c r="AY215" i="13"/>
  <c r="AX215" i="13"/>
  <c r="AW215" i="13"/>
  <c r="AV215" i="13"/>
  <c r="AU215" i="13"/>
  <c r="AT215" i="13"/>
  <c r="AS215" i="13"/>
  <c r="AR215" i="13"/>
  <c r="AQ215" i="13"/>
  <c r="BB214" i="13"/>
  <c r="BA214" i="13"/>
  <c r="AZ214" i="13"/>
  <c r="AY214" i="13"/>
  <c r="AX214" i="13"/>
  <c r="AW214" i="13"/>
  <c r="AV214" i="13"/>
  <c r="AU214" i="13"/>
  <c r="AT214" i="13"/>
  <c r="AS214" i="13"/>
  <c r="AR214" i="13"/>
  <c r="AQ214" i="13"/>
  <c r="BB213" i="13"/>
  <c r="BA213" i="13"/>
  <c r="AZ213" i="13"/>
  <c r="AY213" i="13"/>
  <c r="AX213" i="13"/>
  <c r="AW213" i="13"/>
  <c r="AV213" i="13"/>
  <c r="AU213" i="13"/>
  <c r="AT213" i="13"/>
  <c r="AS213" i="13"/>
  <c r="AR213" i="13"/>
  <c r="AQ213" i="13"/>
  <c r="BB212" i="13"/>
  <c r="BA212" i="13"/>
  <c r="AZ212" i="13"/>
  <c r="AY212" i="13"/>
  <c r="AX212" i="13"/>
  <c r="AW212" i="13"/>
  <c r="AV212" i="13"/>
  <c r="AU212" i="13"/>
  <c r="AT212" i="13"/>
  <c r="AS212" i="13"/>
  <c r="AR212" i="13"/>
  <c r="AQ212" i="13"/>
  <c r="BB211" i="13"/>
  <c r="BA211" i="13"/>
  <c r="AZ211" i="13"/>
  <c r="AY211" i="13"/>
  <c r="AX211" i="13"/>
  <c r="AW211" i="13"/>
  <c r="AV211" i="13"/>
  <c r="AU211" i="13"/>
  <c r="AT211" i="13"/>
  <c r="AS211" i="13"/>
  <c r="AR211" i="13"/>
  <c r="AQ211" i="13"/>
  <c r="BB210" i="13"/>
  <c r="BA210" i="13"/>
  <c r="AZ210" i="13"/>
  <c r="AY210" i="13"/>
  <c r="AX210" i="13"/>
  <c r="AW210" i="13"/>
  <c r="AV210" i="13"/>
  <c r="AU210" i="13"/>
  <c r="AT210" i="13"/>
  <c r="AS210" i="13"/>
  <c r="AR210" i="13"/>
  <c r="AQ210" i="13"/>
  <c r="BB209" i="13"/>
  <c r="BA209" i="13"/>
  <c r="AZ209" i="13"/>
  <c r="AY209" i="13"/>
  <c r="AX209" i="13"/>
  <c r="AW209" i="13"/>
  <c r="AV209" i="13"/>
  <c r="AU209" i="13"/>
  <c r="AT209" i="13"/>
  <c r="AS209" i="13"/>
  <c r="AR209" i="13"/>
  <c r="AQ209" i="13"/>
  <c r="BB208" i="13"/>
  <c r="BA208" i="13"/>
  <c r="AZ208" i="13"/>
  <c r="AY208" i="13"/>
  <c r="AX208" i="13"/>
  <c r="AW208" i="13"/>
  <c r="AV208" i="13"/>
  <c r="AU208" i="13"/>
  <c r="AT208" i="13"/>
  <c r="AS208" i="13"/>
  <c r="AR208" i="13"/>
  <c r="AQ208" i="13"/>
  <c r="BB207" i="13"/>
  <c r="BA207" i="13"/>
  <c r="AZ207" i="13"/>
  <c r="AY207" i="13"/>
  <c r="AX207" i="13"/>
  <c r="AW207" i="13"/>
  <c r="AV207" i="13"/>
  <c r="AU207" i="13"/>
  <c r="AT207" i="13"/>
  <c r="AS207" i="13"/>
  <c r="AR207" i="13"/>
  <c r="AQ207" i="13"/>
  <c r="BB206" i="13"/>
  <c r="BA206" i="13"/>
  <c r="AZ206" i="13"/>
  <c r="AY206" i="13"/>
  <c r="AX206" i="13"/>
  <c r="AW206" i="13"/>
  <c r="AV206" i="13"/>
  <c r="AU206" i="13"/>
  <c r="AT206" i="13"/>
  <c r="AS206" i="13"/>
  <c r="AR206" i="13"/>
  <c r="AQ206" i="13"/>
  <c r="BB205" i="13"/>
  <c r="BA205" i="13"/>
  <c r="AZ205" i="13"/>
  <c r="AY205" i="13"/>
  <c r="AX205" i="13"/>
  <c r="AW205" i="13"/>
  <c r="AV205" i="13"/>
  <c r="AU205" i="13"/>
  <c r="AT205" i="13"/>
  <c r="AS205" i="13"/>
  <c r="AR205" i="13"/>
  <c r="AQ205" i="13"/>
  <c r="BB204" i="13"/>
  <c r="BA204" i="13"/>
  <c r="AZ204" i="13"/>
  <c r="AY204" i="13"/>
  <c r="AX204" i="13"/>
  <c r="AW204" i="13"/>
  <c r="AV204" i="13"/>
  <c r="AU204" i="13"/>
  <c r="AT204" i="13"/>
  <c r="AS204" i="13"/>
  <c r="AR204" i="13"/>
  <c r="AQ204" i="13"/>
  <c r="BB203" i="13"/>
  <c r="BA203" i="13"/>
  <c r="AZ203" i="13"/>
  <c r="AY203" i="13"/>
  <c r="AX203" i="13"/>
  <c r="AW203" i="13"/>
  <c r="AV203" i="13"/>
  <c r="AU203" i="13"/>
  <c r="AT203" i="13"/>
  <c r="AS203" i="13"/>
  <c r="AR203" i="13"/>
  <c r="AQ203" i="13"/>
  <c r="BB202" i="13"/>
  <c r="BA202" i="13"/>
  <c r="AZ202" i="13"/>
  <c r="AY202" i="13"/>
  <c r="AX202" i="13"/>
  <c r="AW202" i="13"/>
  <c r="AV202" i="13"/>
  <c r="AU202" i="13"/>
  <c r="AT202" i="13"/>
  <c r="AS202" i="13"/>
  <c r="AR202" i="13"/>
  <c r="AQ202" i="13"/>
  <c r="BB201" i="13"/>
  <c r="BA201" i="13"/>
  <c r="AZ201" i="13"/>
  <c r="AY201" i="13"/>
  <c r="AX201" i="13"/>
  <c r="AW201" i="13"/>
  <c r="AV201" i="13"/>
  <c r="AU201" i="13"/>
  <c r="AT201" i="13"/>
  <c r="AS201" i="13"/>
  <c r="AR201" i="13"/>
  <c r="AQ201" i="13"/>
  <c r="BB200" i="13"/>
  <c r="BA200" i="13"/>
  <c r="AZ200" i="13"/>
  <c r="AY200" i="13"/>
  <c r="AX200" i="13"/>
  <c r="AW200" i="13"/>
  <c r="AV200" i="13"/>
  <c r="AU200" i="13"/>
  <c r="AT200" i="13"/>
  <c r="AS200" i="13"/>
  <c r="AR200" i="13"/>
  <c r="AQ200" i="13"/>
  <c r="BB199" i="13"/>
  <c r="BA199" i="13"/>
  <c r="AZ199" i="13"/>
  <c r="AY199" i="13"/>
  <c r="AX199" i="13"/>
  <c r="AW199" i="13"/>
  <c r="AV199" i="13"/>
  <c r="AU199" i="13"/>
  <c r="AT199" i="13"/>
  <c r="AS199" i="13"/>
  <c r="AR199" i="13"/>
  <c r="AQ199" i="13"/>
  <c r="BB198" i="13"/>
  <c r="BA198" i="13"/>
  <c r="AZ198" i="13"/>
  <c r="AY198" i="13"/>
  <c r="AX198" i="13"/>
  <c r="AW198" i="13"/>
  <c r="AV198" i="13"/>
  <c r="AU198" i="13"/>
  <c r="AT198" i="13"/>
  <c r="AS198" i="13"/>
  <c r="AR198" i="13"/>
  <c r="AQ198" i="13"/>
  <c r="BB197" i="13"/>
  <c r="BA197" i="13"/>
  <c r="AZ197" i="13"/>
  <c r="AY197" i="13"/>
  <c r="AX197" i="13"/>
  <c r="AW197" i="13"/>
  <c r="AV197" i="13"/>
  <c r="AU197" i="13"/>
  <c r="AT197" i="13"/>
  <c r="AS197" i="13"/>
  <c r="AR197" i="13"/>
  <c r="AQ197" i="13"/>
  <c r="BB196" i="13"/>
  <c r="BA196" i="13"/>
  <c r="AZ196" i="13"/>
  <c r="AY196" i="13"/>
  <c r="AX196" i="13"/>
  <c r="AW196" i="13"/>
  <c r="AV196" i="13"/>
  <c r="AU196" i="13"/>
  <c r="AT196" i="13"/>
  <c r="AS196" i="13"/>
  <c r="AR196" i="13"/>
  <c r="AQ196" i="13"/>
  <c r="BB195" i="13"/>
  <c r="BA195" i="13"/>
  <c r="AZ195" i="13"/>
  <c r="AY195" i="13"/>
  <c r="AX195" i="13"/>
  <c r="AW195" i="13"/>
  <c r="AV195" i="13"/>
  <c r="AU195" i="13"/>
  <c r="AT195" i="13"/>
  <c r="AS195" i="13"/>
  <c r="AR195" i="13"/>
  <c r="AQ195" i="13"/>
  <c r="BB194" i="13"/>
  <c r="BA194" i="13"/>
  <c r="AZ194" i="13"/>
  <c r="AY194" i="13"/>
  <c r="AX194" i="13"/>
  <c r="AW194" i="13"/>
  <c r="AV194" i="13"/>
  <c r="AU194" i="13"/>
  <c r="AT194" i="13"/>
  <c r="AS194" i="13"/>
  <c r="AR194" i="13"/>
  <c r="AQ194" i="13"/>
  <c r="BB193" i="13"/>
  <c r="BA193" i="13"/>
  <c r="AZ193" i="13"/>
  <c r="AY193" i="13"/>
  <c r="AX193" i="13"/>
  <c r="AW193" i="13"/>
  <c r="AV193" i="13"/>
  <c r="AU193" i="13"/>
  <c r="AT193" i="13"/>
  <c r="AS193" i="13"/>
  <c r="AR193" i="13"/>
  <c r="AQ193" i="13"/>
  <c r="BB192" i="13"/>
  <c r="BA192" i="13"/>
  <c r="AZ192" i="13"/>
  <c r="AY192" i="13"/>
  <c r="AX192" i="13"/>
  <c r="AW192" i="13"/>
  <c r="AV192" i="13"/>
  <c r="AU192" i="13"/>
  <c r="AT192" i="13"/>
  <c r="AS192" i="13"/>
  <c r="AR192" i="13"/>
  <c r="AQ192" i="13"/>
  <c r="BB191" i="13"/>
  <c r="BA191" i="13"/>
  <c r="AZ191" i="13"/>
  <c r="AY191" i="13"/>
  <c r="AX191" i="13"/>
  <c r="AW191" i="13"/>
  <c r="AV191" i="13"/>
  <c r="AU191" i="13"/>
  <c r="AT191" i="13"/>
  <c r="AS191" i="13"/>
  <c r="AR191" i="13"/>
  <c r="AQ191" i="13"/>
  <c r="BB190" i="13"/>
  <c r="BA190" i="13"/>
  <c r="AZ190" i="13"/>
  <c r="AY190" i="13"/>
  <c r="AX190" i="13"/>
  <c r="AW190" i="13"/>
  <c r="AV190" i="13"/>
  <c r="AU190" i="13"/>
  <c r="AT190" i="13"/>
  <c r="AS190" i="13"/>
  <c r="AR190" i="13"/>
  <c r="AQ190" i="13"/>
  <c r="BB188" i="13"/>
  <c r="BA188" i="13"/>
  <c r="AZ188" i="13"/>
  <c r="AY188" i="13"/>
  <c r="AX188" i="13"/>
  <c r="AW188" i="13"/>
  <c r="AV188" i="13"/>
  <c r="AU188" i="13"/>
  <c r="AT188" i="13"/>
  <c r="AS188" i="13"/>
  <c r="AR188" i="13"/>
  <c r="AQ188" i="13"/>
  <c r="BB187" i="13"/>
  <c r="BA187" i="13"/>
  <c r="AZ187" i="13"/>
  <c r="AY187" i="13"/>
  <c r="AX187" i="13"/>
  <c r="AW187" i="13"/>
  <c r="AV187" i="13"/>
  <c r="AU187" i="13"/>
  <c r="AT187" i="13"/>
  <c r="AS187" i="13"/>
  <c r="AR187" i="13"/>
  <c r="AQ187" i="13"/>
  <c r="BB186" i="13"/>
  <c r="BA186" i="13"/>
  <c r="AZ186" i="13"/>
  <c r="AY186" i="13"/>
  <c r="AX186" i="13"/>
  <c r="AW186" i="13"/>
  <c r="AV186" i="13"/>
  <c r="AU186" i="13"/>
  <c r="AT186" i="13"/>
  <c r="AS186" i="13"/>
  <c r="AR186" i="13"/>
  <c r="AQ186" i="13"/>
  <c r="BB185" i="13"/>
  <c r="BA185" i="13"/>
  <c r="AZ185" i="13"/>
  <c r="AY185" i="13"/>
  <c r="AX185" i="13"/>
  <c r="AW185" i="13"/>
  <c r="AV185" i="13"/>
  <c r="AU185" i="13"/>
  <c r="AT185" i="13"/>
  <c r="AS185" i="13"/>
  <c r="AR185" i="13"/>
  <c r="AQ185" i="13"/>
  <c r="BB184" i="13"/>
  <c r="BA184" i="13"/>
  <c r="AZ184" i="13"/>
  <c r="AY184" i="13"/>
  <c r="AX184" i="13"/>
  <c r="AW184" i="13"/>
  <c r="AV184" i="13"/>
  <c r="AU184" i="13"/>
  <c r="AT184" i="13"/>
  <c r="AS184" i="13"/>
  <c r="AR184" i="13"/>
  <c r="AQ184" i="13"/>
  <c r="BB183" i="13"/>
  <c r="BA183" i="13"/>
  <c r="AZ183" i="13"/>
  <c r="AY183" i="13"/>
  <c r="AX183" i="13"/>
  <c r="AW183" i="13"/>
  <c r="AV183" i="13"/>
  <c r="AU183" i="13"/>
  <c r="AT183" i="13"/>
  <c r="AS183" i="13"/>
  <c r="AR183" i="13"/>
  <c r="AQ183" i="13"/>
  <c r="BB182" i="13"/>
  <c r="BA182" i="13"/>
  <c r="AZ182" i="13"/>
  <c r="AY182" i="13"/>
  <c r="AX182" i="13"/>
  <c r="AW182" i="13"/>
  <c r="AV182" i="13"/>
  <c r="AU182" i="13"/>
  <c r="AT182" i="13"/>
  <c r="AS182" i="13"/>
  <c r="AR182" i="13"/>
  <c r="AQ182" i="13"/>
  <c r="BB181" i="13"/>
  <c r="BA181" i="13"/>
  <c r="AZ181" i="13"/>
  <c r="AY181" i="13"/>
  <c r="AX181" i="13"/>
  <c r="AW181" i="13"/>
  <c r="AV181" i="13"/>
  <c r="AU181" i="13"/>
  <c r="AT181" i="13"/>
  <c r="AS181" i="13"/>
  <c r="AR181" i="13"/>
  <c r="AQ181" i="13"/>
  <c r="BB180" i="13"/>
  <c r="BA180" i="13"/>
  <c r="AZ180" i="13"/>
  <c r="AY180" i="13"/>
  <c r="AX180" i="13"/>
  <c r="AW180" i="13"/>
  <c r="AV180" i="13"/>
  <c r="AU180" i="13"/>
  <c r="AT180" i="13"/>
  <c r="AS180" i="13"/>
  <c r="AR180" i="13"/>
  <c r="AQ180" i="13"/>
  <c r="BB178" i="13"/>
  <c r="BA178" i="13"/>
  <c r="AZ178" i="13"/>
  <c r="AY178" i="13"/>
  <c r="AX178" i="13"/>
  <c r="AW178" i="13"/>
  <c r="AV178" i="13"/>
  <c r="AU178" i="13"/>
  <c r="AT178" i="13"/>
  <c r="AS178" i="13"/>
  <c r="AR178" i="13"/>
  <c r="AQ178" i="13"/>
  <c r="BB177" i="13"/>
  <c r="BA177" i="13"/>
  <c r="AZ177" i="13"/>
  <c r="AY177" i="13"/>
  <c r="AX177" i="13"/>
  <c r="AW177" i="13"/>
  <c r="AV177" i="13"/>
  <c r="AU177" i="13"/>
  <c r="AT177" i="13"/>
  <c r="AS177" i="13"/>
  <c r="AR177" i="13"/>
  <c r="AQ177" i="13"/>
  <c r="BB176" i="13"/>
  <c r="BA176" i="13"/>
  <c r="AZ176" i="13"/>
  <c r="AY176" i="13"/>
  <c r="AX176" i="13"/>
  <c r="AW176" i="13"/>
  <c r="AV176" i="13"/>
  <c r="AU176" i="13"/>
  <c r="AT176" i="13"/>
  <c r="AS176" i="13"/>
  <c r="AR176" i="13"/>
  <c r="AQ176" i="13"/>
  <c r="BB175" i="13"/>
  <c r="BA175" i="13"/>
  <c r="AZ175" i="13"/>
  <c r="AY175" i="13"/>
  <c r="AX175" i="13"/>
  <c r="AW175" i="13"/>
  <c r="AV175" i="13"/>
  <c r="AU175" i="13"/>
  <c r="AT175" i="13"/>
  <c r="AS175" i="13"/>
  <c r="AR175" i="13"/>
  <c r="AQ175" i="13"/>
  <c r="BB174" i="13"/>
  <c r="BA174" i="13"/>
  <c r="AZ174" i="13"/>
  <c r="AY174" i="13"/>
  <c r="AX174" i="13"/>
  <c r="AW174" i="13"/>
  <c r="AV174" i="13"/>
  <c r="AU174" i="13"/>
  <c r="AT174" i="13"/>
  <c r="AS174" i="13"/>
  <c r="AR174" i="13"/>
  <c r="AQ174" i="13"/>
  <c r="BB173" i="13"/>
  <c r="BA173" i="13"/>
  <c r="AZ173" i="13"/>
  <c r="AY173" i="13"/>
  <c r="AX173" i="13"/>
  <c r="AW173" i="13"/>
  <c r="AV173" i="13"/>
  <c r="AU173" i="13"/>
  <c r="AT173" i="13"/>
  <c r="AS173" i="13"/>
  <c r="AR173" i="13"/>
  <c r="AQ173" i="13"/>
  <c r="BB172" i="13"/>
  <c r="BA172" i="13"/>
  <c r="AZ172" i="13"/>
  <c r="AY172" i="13"/>
  <c r="AX172" i="13"/>
  <c r="AW172" i="13"/>
  <c r="AV172" i="13"/>
  <c r="AU172" i="13"/>
  <c r="AT172" i="13"/>
  <c r="AS172" i="13"/>
  <c r="AR172" i="13"/>
  <c r="AQ172" i="13"/>
  <c r="BB170" i="13"/>
  <c r="BA170" i="13"/>
  <c r="AZ170" i="13"/>
  <c r="AY170" i="13"/>
  <c r="AX170" i="13"/>
  <c r="AW170" i="13"/>
  <c r="AV170" i="13"/>
  <c r="AU170" i="13"/>
  <c r="AT170" i="13"/>
  <c r="AS170" i="13"/>
  <c r="AR170" i="13"/>
  <c r="AQ170" i="13"/>
  <c r="BB169" i="13"/>
  <c r="BA169" i="13"/>
  <c r="AZ169" i="13"/>
  <c r="AY169" i="13"/>
  <c r="AX169" i="13"/>
  <c r="AW169" i="13"/>
  <c r="AV169" i="13"/>
  <c r="AU169" i="13"/>
  <c r="AT169" i="13"/>
  <c r="AS169" i="13"/>
  <c r="AR169" i="13"/>
  <c r="AQ169" i="13"/>
  <c r="BB168" i="13"/>
  <c r="BA168" i="13"/>
  <c r="AZ168" i="13"/>
  <c r="AY168" i="13"/>
  <c r="AX168" i="13"/>
  <c r="AW168" i="13"/>
  <c r="AV168" i="13"/>
  <c r="AU168" i="13"/>
  <c r="AT168" i="13"/>
  <c r="AS168" i="13"/>
  <c r="AR168" i="13"/>
  <c r="AQ168" i="13"/>
  <c r="BB167" i="13"/>
  <c r="BA167" i="13"/>
  <c r="AZ167" i="13"/>
  <c r="AY167" i="13"/>
  <c r="AX167" i="13"/>
  <c r="AW167" i="13"/>
  <c r="AV167" i="13"/>
  <c r="AU167" i="13"/>
  <c r="AT167" i="13"/>
  <c r="AS167" i="13"/>
  <c r="AR167" i="13"/>
  <c r="AQ167" i="13"/>
  <c r="BB166" i="13"/>
  <c r="BA166" i="13"/>
  <c r="AZ166" i="13"/>
  <c r="AY166" i="13"/>
  <c r="AX166" i="13"/>
  <c r="AW166" i="13"/>
  <c r="AV166" i="13"/>
  <c r="AU166" i="13"/>
  <c r="AT166" i="13"/>
  <c r="AS166" i="13"/>
  <c r="AR166" i="13"/>
  <c r="AQ166" i="13"/>
  <c r="BB165" i="13"/>
  <c r="BA165" i="13"/>
  <c r="AZ165" i="13"/>
  <c r="AY165" i="13"/>
  <c r="AX165" i="13"/>
  <c r="AW165" i="13"/>
  <c r="AV165" i="13"/>
  <c r="AU165" i="13"/>
  <c r="AT165" i="13"/>
  <c r="AS165" i="13"/>
  <c r="AR165" i="13"/>
  <c r="AQ165" i="13"/>
  <c r="BB164" i="13"/>
  <c r="BA164" i="13"/>
  <c r="AZ164" i="13"/>
  <c r="AY164" i="13"/>
  <c r="AX164" i="13"/>
  <c r="AW164" i="13"/>
  <c r="AV164" i="13"/>
  <c r="AU164" i="13"/>
  <c r="AT164" i="13"/>
  <c r="AS164" i="13"/>
  <c r="AR164" i="13"/>
  <c r="AQ164" i="13"/>
  <c r="BB163" i="13"/>
  <c r="BA163" i="13"/>
  <c r="AZ163" i="13"/>
  <c r="AY163" i="13"/>
  <c r="AX163" i="13"/>
  <c r="AW163" i="13"/>
  <c r="AV163" i="13"/>
  <c r="AU163" i="13"/>
  <c r="AT163" i="13"/>
  <c r="AS163" i="13"/>
  <c r="AR163" i="13"/>
  <c r="AQ163" i="13"/>
  <c r="BB162" i="13"/>
  <c r="BA162" i="13"/>
  <c r="AZ162" i="13"/>
  <c r="AY162" i="13"/>
  <c r="AX162" i="13"/>
  <c r="AW162" i="13"/>
  <c r="AV162" i="13"/>
  <c r="AU162" i="13"/>
  <c r="AT162" i="13"/>
  <c r="AS162" i="13"/>
  <c r="AR162" i="13"/>
  <c r="AQ162" i="13"/>
  <c r="BB161" i="13"/>
  <c r="BA161" i="13"/>
  <c r="AZ161" i="13"/>
  <c r="AY161" i="13"/>
  <c r="AX161" i="13"/>
  <c r="AW161" i="13"/>
  <c r="AV161" i="13"/>
  <c r="AU161" i="13"/>
  <c r="AT161" i="13"/>
  <c r="AS161" i="13"/>
  <c r="AR161" i="13"/>
  <c r="AQ161" i="13"/>
  <c r="BB159" i="13"/>
  <c r="BA159" i="13"/>
  <c r="AZ159" i="13"/>
  <c r="AY159" i="13"/>
  <c r="AX159" i="13"/>
  <c r="AW159" i="13"/>
  <c r="AV159" i="13"/>
  <c r="AU159" i="13"/>
  <c r="AT159" i="13"/>
  <c r="AS159" i="13"/>
  <c r="AR159" i="13"/>
  <c r="AQ159" i="13"/>
  <c r="BB158" i="13"/>
  <c r="BA158" i="13"/>
  <c r="AZ158" i="13"/>
  <c r="AY158" i="13"/>
  <c r="AX158" i="13"/>
  <c r="AW158" i="13"/>
  <c r="AV158" i="13"/>
  <c r="AU158" i="13"/>
  <c r="AT158" i="13"/>
  <c r="AS158" i="13"/>
  <c r="AR158" i="13"/>
  <c r="AQ158" i="13"/>
  <c r="BB157" i="13"/>
  <c r="BA157" i="13"/>
  <c r="AZ157" i="13"/>
  <c r="AY157" i="13"/>
  <c r="AX157" i="13"/>
  <c r="AW157" i="13"/>
  <c r="AV157" i="13"/>
  <c r="AU157" i="13"/>
  <c r="AT157" i="13"/>
  <c r="AS157" i="13"/>
  <c r="AR157" i="13"/>
  <c r="AQ157" i="13"/>
  <c r="BB155" i="13"/>
  <c r="BA155" i="13"/>
  <c r="AZ155" i="13"/>
  <c r="AY155" i="13"/>
  <c r="AX155" i="13"/>
  <c r="AW155" i="13"/>
  <c r="AV155" i="13"/>
  <c r="AU155" i="13"/>
  <c r="AT155" i="13"/>
  <c r="AS155" i="13"/>
  <c r="AR155" i="13"/>
  <c r="AQ155" i="13"/>
  <c r="BB154" i="13"/>
  <c r="BA154" i="13"/>
  <c r="AZ154" i="13"/>
  <c r="AY154" i="13"/>
  <c r="AX154" i="13"/>
  <c r="AW154" i="13"/>
  <c r="AV154" i="13"/>
  <c r="AU154" i="13"/>
  <c r="AT154" i="13"/>
  <c r="AS154" i="13"/>
  <c r="AR154" i="13"/>
  <c r="AQ154" i="13"/>
  <c r="BB153" i="13"/>
  <c r="BA153" i="13"/>
  <c r="AZ153" i="13"/>
  <c r="AY153" i="13"/>
  <c r="AX153" i="13"/>
  <c r="AW153" i="13"/>
  <c r="AV153" i="13"/>
  <c r="AU153" i="13"/>
  <c r="AT153" i="13"/>
  <c r="AS153" i="13"/>
  <c r="AR153" i="13"/>
  <c r="AQ153" i="13"/>
  <c r="BB152" i="13"/>
  <c r="BA152" i="13"/>
  <c r="AZ152" i="13"/>
  <c r="AY152" i="13"/>
  <c r="AX152" i="13"/>
  <c r="AW152" i="13"/>
  <c r="AV152" i="13"/>
  <c r="AU152" i="13"/>
  <c r="AT152" i="13"/>
  <c r="AS152" i="13"/>
  <c r="AR152" i="13"/>
  <c r="AQ152" i="13"/>
  <c r="BB151" i="13"/>
  <c r="BA151" i="13"/>
  <c r="AZ151" i="13"/>
  <c r="AY151" i="13"/>
  <c r="AX151" i="13"/>
  <c r="AW151" i="13"/>
  <c r="AV151" i="13"/>
  <c r="AU151" i="13"/>
  <c r="AT151" i="13"/>
  <c r="AS151" i="13"/>
  <c r="AR151" i="13"/>
  <c r="AQ151" i="13"/>
  <c r="BB150" i="13"/>
  <c r="BA150" i="13"/>
  <c r="AZ150" i="13"/>
  <c r="AY150" i="13"/>
  <c r="AX150" i="13"/>
  <c r="AW150" i="13"/>
  <c r="AV150" i="13"/>
  <c r="AU150" i="13"/>
  <c r="AT150" i="13"/>
  <c r="AS150" i="13"/>
  <c r="AR150" i="13"/>
  <c r="AQ150" i="13"/>
  <c r="BB149" i="13"/>
  <c r="BA149" i="13"/>
  <c r="AZ149" i="13"/>
  <c r="AY149" i="13"/>
  <c r="AX149" i="13"/>
  <c r="AW149" i="13"/>
  <c r="AV149" i="13"/>
  <c r="AU149" i="13"/>
  <c r="AT149" i="13"/>
  <c r="AS149" i="13"/>
  <c r="AR149" i="13"/>
  <c r="AQ149" i="13"/>
  <c r="BB148" i="13"/>
  <c r="BA148" i="13"/>
  <c r="AZ148" i="13"/>
  <c r="AY148" i="13"/>
  <c r="AX148" i="13"/>
  <c r="AW148" i="13"/>
  <c r="AV148" i="13"/>
  <c r="AU148" i="13"/>
  <c r="AT148" i="13"/>
  <c r="AS148" i="13"/>
  <c r="AR148" i="13"/>
  <c r="AQ148" i="13"/>
  <c r="BB147" i="13"/>
  <c r="BA147" i="13"/>
  <c r="AZ147" i="13"/>
  <c r="AY147" i="13"/>
  <c r="AX147" i="13"/>
  <c r="AW147" i="13"/>
  <c r="AV147" i="13"/>
  <c r="AU147" i="13"/>
  <c r="AT147" i="13"/>
  <c r="AS147" i="13"/>
  <c r="AR147" i="13"/>
  <c r="AQ147" i="13"/>
  <c r="BB146" i="13"/>
  <c r="BA146" i="13"/>
  <c r="AZ146" i="13"/>
  <c r="AY146" i="13"/>
  <c r="AX146" i="13"/>
  <c r="AW146" i="13"/>
  <c r="AV146" i="13"/>
  <c r="AU146" i="13"/>
  <c r="AT146" i="13"/>
  <c r="AS146" i="13"/>
  <c r="AR146" i="13"/>
  <c r="AQ146" i="13"/>
  <c r="BB144" i="13"/>
  <c r="BA144" i="13"/>
  <c r="AZ144" i="13"/>
  <c r="AY144" i="13"/>
  <c r="AX144" i="13"/>
  <c r="AW144" i="13"/>
  <c r="AV144" i="13"/>
  <c r="AU144" i="13"/>
  <c r="AT144" i="13"/>
  <c r="AS144" i="13"/>
  <c r="AR144" i="13"/>
  <c r="AQ144" i="13"/>
  <c r="BB143" i="13"/>
  <c r="BA143" i="13"/>
  <c r="AZ143" i="13"/>
  <c r="AY143" i="13"/>
  <c r="AX143" i="13"/>
  <c r="AW143" i="13"/>
  <c r="AV143" i="13"/>
  <c r="AU143" i="13"/>
  <c r="AT143" i="13"/>
  <c r="AS143" i="13"/>
  <c r="AR143" i="13"/>
  <c r="AQ143" i="13"/>
  <c r="BB142" i="13"/>
  <c r="BA142" i="13"/>
  <c r="AZ142" i="13"/>
  <c r="AY142" i="13"/>
  <c r="AX142" i="13"/>
  <c r="AW142" i="13"/>
  <c r="AV142" i="13"/>
  <c r="AU142" i="13"/>
  <c r="AT142" i="13"/>
  <c r="AS142" i="13"/>
  <c r="AR142" i="13"/>
  <c r="AQ142" i="13"/>
  <c r="BB141" i="13"/>
  <c r="BA141" i="13"/>
  <c r="AZ141" i="13"/>
  <c r="AY141" i="13"/>
  <c r="AX141" i="13"/>
  <c r="AW141" i="13"/>
  <c r="AV141" i="13"/>
  <c r="AU141" i="13"/>
  <c r="AT141" i="13"/>
  <c r="AS141" i="13"/>
  <c r="AR141" i="13"/>
  <c r="AQ141" i="13"/>
  <c r="BB140" i="13"/>
  <c r="BA140" i="13"/>
  <c r="AZ140" i="13"/>
  <c r="AY140" i="13"/>
  <c r="AX140" i="13"/>
  <c r="AW140" i="13"/>
  <c r="AV140" i="13"/>
  <c r="AU140" i="13"/>
  <c r="AT140" i="13"/>
  <c r="AS140" i="13"/>
  <c r="AR140" i="13"/>
  <c r="AQ140" i="13"/>
  <c r="BB139" i="13"/>
  <c r="BA139" i="13"/>
  <c r="AZ139" i="13"/>
  <c r="AY139" i="13"/>
  <c r="AX139" i="13"/>
  <c r="AW139" i="13"/>
  <c r="AV139" i="13"/>
  <c r="AU139" i="13"/>
  <c r="AT139" i="13"/>
  <c r="AS139" i="13"/>
  <c r="AR139" i="13"/>
  <c r="AQ139" i="13"/>
  <c r="BB138" i="13"/>
  <c r="BA138" i="13"/>
  <c r="AZ138" i="13"/>
  <c r="AY138" i="13"/>
  <c r="AX138" i="13"/>
  <c r="AW138" i="13"/>
  <c r="AV138" i="13"/>
  <c r="AU138" i="13"/>
  <c r="AT138" i="13"/>
  <c r="AS138" i="13"/>
  <c r="AR138" i="13"/>
  <c r="AQ138" i="13"/>
  <c r="BB137" i="13"/>
  <c r="BA137" i="13"/>
  <c r="AZ137" i="13"/>
  <c r="AY137" i="13"/>
  <c r="AX137" i="13"/>
  <c r="AW137" i="13"/>
  <c r="AV137" i="13"/>
  <c r="AU137" i="13"/>
  <c r="AT137" i="13"/>
  <c r="AS137" i="13"/>
  <c r="AR137" i="13"/>
  <c r="AQ137" i="13"/>
  <c r="BB135" i="13"/>
  <c r="BA135" i="13"/>
  <c r="AZ135" i="13"/>
  <c r="AY135" i="13"/>
  <c r="AX135" i="13"/>
  <c r="AW135" i="13"/>
  <c r="AV135" i="13"/>
  <c r="AU135" i="13"/>
  <c r="AT135" i="13"/>
  <c r="AS135" i="13"/>
  <c r="AR135" i="13"/>
  <c r="AQ135" i="13"/>
  <c r="BB134" i="13"/>
  <c r="BA134" i="13"/>
  <c r="AZ134" i="13"/>
  <c r="AY134" i="13"/>
  <c r="AX134" i="13"/>
  <c r="AW134" i="13"/>
  <c r="AV134" i="13"/>
  <c r="AU134" i="13"/>
  <c r="AT134" i="13"/>
  <c r="AS134" i="13"/>
  <c r="AR134" i="13"/>
  <c r="AQ134" i="13"/>
  <c r="BB133" i="13"/>
  <c r="BA133" i="13"/>
  <c r="AZ133" i="13"/>
  <c r="AY133" i="13"/>
  <c r="AX133" i="13"/>
  <c r="AW133" i="13"/>
  <c r="AV133" i="13"/>
  <c r="AU133" i="13"/>
  <c r="AT133" i="13"/>
  <c r="AS133" i="13"/>
  <c r="AR133" i="13"/>
  <c r="AQ133" i="13"/>
  <c r="BB132" i="13"/>
  <c r="BA132" i="13"/>
  <c r="AZ132" i="13"/>
  <c r="AY132" i="13"/>
  <c r="AX132" i="13"/>
  <c r="AW132" i="13"/>
  <c r="BB131" i="13"/>
  <c r="BA131" i="13"/>
  <c r="AZ131" i="13"/>
  <c r="AY131" i="13"/>
  <c r="AX131" i="13"/>
  <c r="AW131" i="13"/>
  <c r="AV131" i="13"/>
  <c r="AU131" i="13"/>
  <c r="AT131" i="13"/>
  <c r="AS131" i="13"/>
  <c r="AR131" i="13"/>
  <c r="AQ131" i="13"/>
  <c r="BB130" i="13"/>
  <c r="BA130" i="13"/>
  <c r="AZ130" i="13"/>
  <c r="AY130" i="13"/>
  <c r="AX130" i="13"/>
  <c r="AW130" i="13"/>
  <c r="AV130" i="13"/>
  <c r="AU130" i="13"/>
  <c r="AT130" i="13"/>
  <c r="AS130" i="13"/>
  <c r="AR130" i="13"/>
  <c r="AQ130" i="13"/>
  <c r="BB129" i="13"/>
  <c r="BA129" i="13"/>
  <c r="AZ129" i="13"/>
  <c r="AY129" i="13"/>
  <c r="AX129" i="13"/>
  <c r="AW129" i="13"/>
  <c r="AV129" i="13"/>
  <c r="AU129" i="13"/>
  <c r="AT129" i="13"/>
  <c r="AS129" i="13"/>
  <c r="AR129" i="13"/>
  <c r="AQ129" i="13"/>
  <c r="BB127" i="13"/>
  <c r="BA127" i="13"/>
  <c r="AZ127" i="13"/>
  <c r="AY127" i="13"/>
  <c r="AX127" i="13"/>
  <c r="AW127" i="13"/>
  <c r="AV127" i="13"/>
  <c r="AU127" i="13"/>
  <c r="AT127" i="13"/>
  <c r="AS127" i="13"/>
  <c r="AR127" i="13"/>
  <c r="AQ127" i="13"/>
  <c r="BB126" i="13"/>
  <c r="BA126" i="13"/>
  <c r="AZ126" i="13"/>
  <c r="AY126" i="13"/>
  <c r="AX126" i="13"/>
  <c r="AW126" i="13"/>
  <c r="AV126" i="13"/>
  <c r="AU126" i="13"/>
  <c r="AT126" i="13"/>
  <c r="AS126" i="13"/>
  <c r="AR126" i="13"/>
  <c r="AQ126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BB122" i="13"/>
  <c r="BA122" i="13"/>
  <c r="AZ122" i="13"/>
  <c r="AY122" i="13"/>
  <c r="AX122" i="13"/>
  <c r="AW122" i="13"/>
  <c r="AT122" i="13"/>
  <c r="BB121" i="13"/>
  <c r="BA121" i="13"/>
  <c r="AZ121" i="13"/>
  <c r="AY121" i="13"/>
  <c r="AX121" i="13"/>
  <c r="AW121" i="13"/>
  <c r="BB120" i="13"/>
  <c r="BA120" i="13"/>
  <c r="AZ120" i="13"/>
  <c r="AZ228" i="13" s="1"/>
  <c r="AY120" i="13"/>
  <c r="AX120" i="13"/>
  <c r="AW120" i="13"/>
  <c r="AV120" i="13"/>
  <c r="AU120" i="13"/>
  <c r="AT120" i="13"/>
  <c r="AS120" i="13"/>
  <c r="AR120" i="13"/>
  <c r="AQ120" i="13"/>
  <c r="V121" i="13"/>
  <c r="W121" i="13"/>
  <c r="X121" i="13"/>
  <c r="Y121" i="13"/>
  <c r="Z121" i="13"/>
  <c r="AA121" i="13"/>
  <c r="V122" i="13"/>
  <c r="W122" i="13"/>
  <c r="X122" i="13"/>
  <c r="Y122" i="13"/>
  <c r="Z122" i="13"/>
  <c r="AA122" i="13"/>
  <c r="V123" i="13"/>
  <c r="W123" i="13"/>
  <c r="X123" i="13"/>
  <c r="Y123" i="13"/>
  <c r="Z123" i="13"/>
  <c r="AA123" i="13"/>
  <c r="V124" i="13"/>
  <c r="W124" i="13"/>
  <c r="X124" i="13"/>
  <c r="Y124" i="13"/>
  <c r="Z124" i="13"/>
  <c r="AA124" i="13"/>
  <c r="V125" i="13"/>
  <c r="W125" i="13"/>
  <c r="X125" i="13"/>
  <c r="Y125" i="13"/>
  <c r="Z125" i="13"/>
  <c r="AA125" i="13"/>
  <c r="V126" i="13"/>
  <c r="W126" i="13"/>
  <c r="X126" i="13"/>
  <c r="Y126" i="13"/>
  <c r="Z126" i="13"/>
  <c r="AA126" i="13"/>
  <c r="V127" i="13"/>
  <c r="W127" i="13"/>
  <c r="X127" i="13"/>
  <c r="Y127" i="13"/>
  <c r="Z127" i="13"/>
  <c r="AA127" i="13"/>
  <c r="V129" i="13"/>
  <c r="W129" i="13"/>
  <c r="X129" i="13"/>
  <c r="Y129" i="13"/>
  <c r="Z129" i="13"/>
  <c r="AA129" i="13"/>
  <c r="V130" i="13"/>
  <c r="W130" i="13"/>
  <c r="X130" i="13"/>
  <c r="Y130" i="13"/>
  <c r="Z130" i="13"/>
  <c r="AA130" i="13"/>
  <c r="V131" i="13"/>
  <c r="W131" i="13"/>
  <c r="X131" i="13"/>
  <c r="Y131" i="13"/>
  <c r="Z131" i="13"/>
  <c r="AA131" i="13"/>
  <c r="V132" i="13"/>
  <c r="W132" i="13"/>
  <c r="X132" i="13"/>
  <c r="Y132" i="13"/>
  <c r="Z132" i="13"/>
  <c r="AA132" i="13"/>
  <c r="V133" i="13"/>
  <c r="W133" i="13"/>
  <c r="X133" i="13"/>
  <c r="Y133" i="13"/>
  <c r="Z133" i="13"/>
  <c r="AA133" i="13"/>
  <c r="V134" i="13"/>
  <c r="W134" i="13"/>
  <c r="X134" i="13"/>
  <c r="Y134" i="13"/>
  <c r="Z134" i="13"/>
  <c r="AA134" i="13"/>
  <c r="V135" i="13"/>
  <c r="W135" i="13"/>
  <c r="X135" i="13"/>
  <c r="Y135" i="13"/>
  <c r="Z135" i="13"/>
  <c r="AA135" i="13"/>
  <c r="V137" i="13"/>
  <c r="W137" i="13"/>
  <c r="X137" i="13"/>
  <c r="Y137" i="13"/>
  <c r="Z137" i="13"/>
  <c r="AA137" i="13"/>
  <c r="V138" i="13"/>
  <c r="W138" i="13"/>
  <c r="X138" i="13"/>
  <c r="Y138" i="13"/>
  <c r="Z138" i="13"/>
  <c r="AA138" i="13"/>
  <c r="V139" i="13"/>
  <c r="W139" i="13"/>
  <c r="X139" i="13"/>
  <c r="Y139" i="13"/>
  <c r="Z139" i="13"/>
  <c r="AA139" i="13"/>
  <c r="V140" i="13"/>
  <c r="W140" i="13"/>
  <c r="X140" i="13"/>
  <c r="Y140" i="13"/>
  <c r="Z140" i="13"/>
  <c r="AA140" i="13"/>
  <c r="V141" i="13"/>
  <c r="W141" i="13"/>
  <c r="X141" i="13"/>
  <c r="Y141" i="13"/>
  <c r="Z141" i="13"/>
  <c r="AA141" i="13"/>
  <c r="V142" i="13"/>
  <c r="W142" i="13"/>
  <c r="X142" i="13"/>
  <c r="Y142" i="13"/>
  <c r="Z142" i="13"/>
  <c r="AA142" i="13"/>
  <c r="V143" i="13"/>
  <c r="W143" i="13"/>
  <c r="X143" i="13"/>
  <c r="Y143" i="13"/>
  <c r="Z143" i="13"/>
  <c r="AA143" i="13"/>
  <c r="V144" i="13"/>
  <c r="W144" i="13"/>
  <c r="X144" i="13"/>
  <c r="Y144" i="13"/>
  <c r="Z144" i="13"/>
  <c r="AA144" i="13"/>
  <c r="V146" i="13"/>
  <c r="W146" i="13"/>
  <c r="X146" i="13"/>
  <c r="Y146" i="13"/>
  <c r="Z146" i="13"/>
  <c r="AA146" i="13"/>
  <c r="V147" i="13"/>
  <c r="W147" i="13"/>
  <c r="X147" i="13"/>
  <c r="Y147" i="13"/>
  <c r="Z147" i="13"/>
  <c r="AA147" i="13"/>
  <c r="V148" i="13"/>
  <c r="W148" i="13"/>
  <c r="X148" i="13"/>
  <c r="Y148" i="13"/>
  <c r="Z148" i="13"/>
  <c r="AA148" i="13"/>
  <c r="V149" i="13"/>
  <c r="W149" i="13"/>
  <c r="X149" i="13"/>
  <c r="Y149" i="13"/>
  <c r="Z149" i="13"/>
  <c r="AA149" i="13"/>
  <c r="V150" i="13"/>
  <c r="W150" i="13"/>
  <c r="X150" i="13"/>
  <c r="Y150" i="13"/>
  <c r="Z150" i="13"/>
  <c r="AA150" i="13"/>
  <c r="V151" i="13"/>
  <c r="W151" i="13"/>
  <c r="X151" i="13"/>
  <c r="Y151" i="13"/>
  <c r="Z151" i="13"/>
  <c r="AA151" i="13"/>
  <c r="V152" i="13"/>
  <c r="W152" i="13"/>
  <c r="X152" i="13"/>
  <c r="Y152" i="13"/>
  <c r="Z152" i="13"/>
  <c r="AA152" i="13"/>
  <c r="V153" i="13"/>
  <c r="W153" i="13"/>
  <c r="X153" i="13"/>
  <c r="Y153" i="13"/>
  <c r="Z153" i="13"/>
  <c r="AA153" i="13"/>
  <c r="V154" i="13"/>
  <c r="W154" i="13"/>
  <c r="X154" i="13"/>
  <c r="Y154" i="13"/>
  <c r="Z154" i="13"/>
  <c r="AA154" i="13"/>
  <c r="V155" i="13"/>
  <c r="W155" i="13"/>
  <c r="X155" i="13"/>
  <c r="Y155" i="13"/>
  <c r="Z155" i="13"/>
  <c r="AA155" i="13"/>
  <c r="V157" i="13"/>
  <c r="W157" i="13"/>
  <c r="X157" i="13"/>
  <c r="Y157" i="13"/>
  <c r="Z157" i="13"/>
  <c r="AA157" i="13"/>
  <c r="V158" i="13"/>
  <c r="W158" i="13"/>
  <c r="X158" i="13"/>
  <c r="Y158" i="13"/>
  <c r="Z158" i="13"/>
  <c r="AA158" i="13"/>
  <c r="V159" i="13"/>
  <c r="W159" i="13"/>
  <c r="X159" i="13"/>
  <c r="Y159" i="13"/>
  <c r="Z159" i="13"/>
  <c r="AA159" i="13"/>
  <c r="V161" i="13"/>
  <c r="W161" i="13"/>
  <c r="X161" i="13"/>
  <c r="Y161" i="13"/>
  <c r="Z161" i="13"/>
  <c r="AA161" i="13"/>
  <c r="V162" i="13"/>
  <c r="W162" i="13"/>
  <c r="X162" i="13"/>
  <c r="Y162" i="13"/>
  <c r="Z162" i="13"/>
  <c r="AA162" i="13"/>
  <c r="V163" i="13"/>
  <c r="W163" i="13"/>
  <c r="X163" i="13"/>
  <c r="Y163" i="13"/>
  <c r="Z163" i="13"/>
  <c r="AA163" i="13"/>
  <c r="V164" i="13"/>
  <c r="W164" i="13"/>
  <c r="X164" i="13"/>
  <c r="Y164" i="13"/>
  <c r="Z164" i="13"/>
  <c r="AA164" i="13"/>
  <c r="V165" i="13"/>
  <c r="W165" i="13"/>
  <c r="X165" i="13"/>
  <c r="Y165" i="13"/>
  <c r="Z165" i="13"/>
  <c r="AA165" i="13"/>
  <c r="V166" i="13"/>
  <c r="W166" i="13"/>
  <c r="X166" i="13"/>
  <c r="Y166" i="13"/>
  <c r="Z166" i="13"/>
  <c r="AA166" i="13"/>
  <c r="V167" i="13"/>
  <c r="W167" i="13"/>
  <c r="X167" i="13"/>
  <c r="Y167" i="13"/>
  <c r="Z167" i="13"/>
  <c r="AA167" i="13"/>
  <c r="V168" i="13"/>
  <c r="W168" i="13"/>
  <c r="X168" i="13"/>
  <c r="Y168" i="13"/>
  <c r="Z168" i="13"/>
  <c r="AA168" i="13"/>
  <c r="V169" i="13"/>
  <c r="W169" i="13"/>
  <c r="X169" i="13"/>
  <c r="Y169" i="13"/>
  <c r="Z169" i="13"/>
  <c r="AA169" i="13"/>
  <c r="V170" i="13"/>
  <c r="W170" i="13"/>
  <c r="X170" i="13"/>
  <c r="Y170" i="13"/>
  <c r="Z170" i="13"/>
  <c r="AA170" i="13"/>
  <c r="V172" i="13"/>
  <c r="W172" i="13"/>
  <c r="X172" i="13"/>
  <c r="Y172" i="13"/>
  <c r="Z172" i="13"/>
  <c r="AA172" i="13"/>
  <c r="V173" i="13"/>
  <c r="W173" i="13"/>
  <c r="X173" i="13"/>
  <c r="Y173" i="13"/>
  <c r="Z173" i="13"/>
  <c r="AA173" i="13"/>
  <c r="V174" i="13"/>
  <c r="W174" i="13"/>
  <c r="X174" i="13"/>
  <c r="Y174" i="13"/>
  <c r="Z174" i="13"/>
  <c r="AA174" i="13"/>
  <c r="V175" i="13"/>
  <c r="W175" i="13"/>
  <c r="X175" i="13"/>
  <c r="Y175" i="13"/>
  <c r="Z175" i="13"/>
  <c r="AA175" i="13"/>
  <c r="V176" i="13"/>
  <c r="W176" i="13"/>
  <c r="X176" i="13"/>
  <c r="Y176" i="13"/>
  <c r="Z176" i="13"/>
  <c r="AA176" i="13"/>
  <c r="V177" i="13"/>
  <c r="W177" i="13"/>
  <c r="X177" i="13"/>
  <c r="Y177" i="13"/>
  <c r="Z177" i="13"/>
  <c r="AA177" i="13"/>
  <c r="V178" i="13"/>
  <c r="W178" i="13"/>
  <c r="X178" i="13"/>
  <c r="Y178" i="13"/>
  <c r="Z178" i="13"/>
  <c r="AA178" i="13"/>
  <c r="V180" i="13"/>
  <c r="W180" i="13"/>
  <c r="X180" i="13"/>
  <c r="Y180" i="13"/>
  <c r="Z180" i="13"/>
  <c r="AA180" i="13"/>
  <c r="V181" i="13"/>
  <c r="W181" i="13"/>
  <c r="X181" i="13"/>
  <c r="Y181" i="13"/>
  <c r="Z181" i="13"/>
  <c r="AA181" i="13"/>
  <c r="V182" i="13"/>
  <c r="W182" i="13"/>
  <c r="X182" i="13"/>
  <c r="Y182" i="13"/>
  <c r="Z182" i="13"/>
  <c r="AA182" i="13"/>
  <c r="V183" i="13"/>
  <c r="W183" i="13"/>
  <c r="X183" i="13"/>
  <c r="Y183" i="13"/>
  <c r="Z183" i="13"/>
  <c r="AA183" i="13"/>
  <c r="V184" i="13"/>
  <c r="W184" i="13"/>
  <c r="X184" i="13"/>
  <c r="Y184" i="13"/>
  <c r="Z184" i="13"/>
  <c r="AA184" i="13"/>
  <c r="V185" i="13"/>
  <c r="W185" i="13"/>
  <c r="X185" i="13"/>
  <c r="Y185" i="13"/>
  <c r="Z185" i="13"/>
  <c r="AA185" i="13"/>
  <c r="V186" i="13"/>
  <c r="W186" i="13"/>
  <c r="X186" i="13"/>
  <c r="Y186" i="13"/>
  <c r="Z186" i="13"/>
  <c r="AA186" i="13"/>
  <c r="V187" i="13"/>
  <c r="W187" i="13"/>
  <c r="X187" i="13"/>
  <c r="Y187" i="13"/>
  <c r="Z187" i="13"/>
  <c r="AA187" i="13"/>
  <c r="V188" i="13"/>
  <c r="W188" i="13"/>
  <c r="X188" i="13"/>
  <c r="Y188" i="13"/>
  <c r="Z188" i="13"/>
  <c r="AA188" i="13"/>
  <c r="V190" i="13"/>
  <c r="W190" i="13"/>
  <c r="X190" i="13"/>
  <c r="Y190" i="13"/>
  <c r="Z190" i="13"/>
  <c r="AA190" i="13"/>
  <c r="V191" i="13"/>
  <c r="W191" i="13"/>
  <c r="X191" i="13"/>
  <c r="Y191" i="13"/>
  <c r="Z191" i="13"/>
  <c r="AA191" i="13"/>
  <c r="V192" i="13"/>
  <c r="W192" i="13"/>
  <c r="X192" i="13"/>
  <c r="Y192" i="13"/>
  <c r="Z192" i="13"/>
  <c r="AA192" i="13"/>
  <c r="V193" i="13"/>
  <c r="W193" i="13"/>
  <c r="X193" i="13"/>
  <c r="Y193" i="13"/>
  <c r="Z193" i="13"/>
  <c r="AA193" i="13"/>
  <c r="V194" i="13"/>
  <c r="W194" i="13"/>
  <c r="X194" i="13"/>
  <c r="Y194" i="13"/>
  <c r="Z194" i="13"/>
  <c r="AA194" i="13"/>
  <c r="V195" i="13"/>
  <c r="W195" i="13"/>
  <c r="X195" i="13"/>
  <c r="Y195" i="13"/>
  <c r="Z195" i="13"/>
  <c r="AA195" i="13"/>
  <c r="V196" i="13"/>
  <c r="W196" i="13"/>
  <c r="X196" i="13"/>
  <c r="Y196" i="13"/>
  <c r="Z196" i="13"/>
  <c r="AA196" i="13"/>
  <c r="V197" i="13"/>
  <c r="W197" i="13"/>
  <c r="X197" i="13"/>
  <c r="Y197" i="13"/>
  <c r="Z197" i="13"/>
  <c r="AA197" i="13"/>
  <c r="V198" i="13"/>
  <c r="W198" i="13"/>
  <c r="X198" i="13"/>
  <c r="Y198" i="13"/>
  <c r="Z198" i="13"/>
  <c r="AA198" i="13"/>
  <c r="V199" i="13"/>
  <c r="W199" i="13"/>
  <c r="X199" i="13"/>
  <c r="Y199" i="13"/>
  <c r="Z199" i="13"/>
  <c r="AA199" i="13"/>
  <c r="V200" i="13"/>
  <c r="W200" i="13"/>
  <c r="X200" i="13"/>
  <c r="Y200" i="13"/>
  <c r="Z200" i="13"/>
  <c r="AA200" i="13"/>
  <c r="V201" i="13"/>
  <c r="W201" i="13"/>
  <c r="X201" i="13"/>
  <c r="Y201" i="13"/>
  <c r="Z201" i="13"/>
  <c r="AA201" i="13"/>
  <c r="V202" i="13"/>
  <c r="W202" i="13"/>
  <c r="X202" i="13"/>
  <c r="Y202" i="13"/>
  <c r="Z202" i="13"/>
  <c r="AA202" i="13"/>
  <c r="V203" i="13"/>
  <c r="W203" i="13"/>
  <c r="X203" i="13"/>
  <c r="Y203" i="13"/>
  <c r="Z203" i="13"/>
  <c r="AA203" i="13"/>
  <c r="V204" i="13"/>
  <c r="W204" i="13"/>
  <c r="X204" i="13"/>
  <c r="Y204" i="13"/>
  <c r="Z204" i="13"/>
  <c r="AA204" i="13"/>
  <c r="V205" i="13"/>
  <c r="W205" i="13"/>
  <c r="X205" i="13"/>
  <c r="Y205" i="13"/>
  <c r="Z205" i="13"/>
  <c r="AA205" i="13"/>
  <c r="V206" i="13"/>
  <c r="W206" i="13"/>
  <c r="X206" i="13"/>
  <c r="Y206" i="13"/>
  <c r="Z206" i="13"/>
  <c r="AA206" i="13"/>
  <c r="V207" i="13"/>
  <c r="W207" i="13"/>
  <c r="X207" i="13"/>
  <c r="Y207" i="13"/>
  <c r="Z207" i="13"/>
  <c r="AA207" i="13"/>
  <c r="V208" i="13"/>
  <c r="W208" i="13"/>
  <c r="X208" i="13"/>
  <c r="Y208" i="13"/>
  <c r="Z208" i="13"/>
  <c r="AA208" i="13"/>
  <c r="V209" i="13"/>
  <c r="W209" i="13"/>
  <c r="X209" i="13"/>
  <c r="Y209" i="13"/>
  <c r="Z209" i="13"/>
  <c r="AA209" i="13"/>
  <c r="V210" i="13"/>
  <c r="W210" i="13"/>
  <c r="X210" i="13"/>
  <c r="Y210" i="13"/>
  <c r="Z210" i="13"/>
  <c r="AA210" i="13"/>
  <c r="V211" i="13"/>
  <c r="W211" i="13"/>
  <c r="X211" i="13"/>
  <c r="Y211" i="13"/>
  <c r="Z211" i="13"/>
  <c r="AA211" i="13"/>
  <c r="V212" i="13"/>
  <c r="W212" i="13"/>
  <c r="X212" i="13"/>
  <c r="Y212" i="13"/>
  <c r="Z212" i="13"/>
  <c r="AA212" i="13"/>
  <c r="V213" i="13"/>
  <c r="W213" i="13"/>
  <c r="X213" i="13"/>
  <c r="Y213" i="13"/>
  <c r="Z213" i="13"/>
  <c r="AA213" i="13"/>
  <c r="V214" i="13"/>
  <c r="W214" i="13"/>
  <c r="X214" i="13"/>
  <c r="Y214" i="13"/>
  <c r="Z214" i="13"/>
  <c r="AA214" i="13"/>
  <c r="V215" i="13"/>
  <c r="W215" i="13"/>
  <c r="X215" i="13"/>
  <c r="Y215" i="13"/>
  <c r="Z215" i="13"/>
  <c r="AA215" i="13"/>
  <c r="V216" i="13"/>
  <c r="W216" i="13"/>
  <c r="X216" i="13"/>
  <c r="Y216" i="13"/>
  <c r="Z216" i="13"/>
  <c r="AA216" i="13"/>
  <c r="V217" i="13"/>
  <c r="W217" i="13"/>
  <c r="X217" i="13"/>
  <c r="Y217" i="13"/>
  <c r="Z217" i="13"/>
  <c r="AA217" i="13"/>
  <c r="V218" i="13"/>
  <c r="W218" i="13"/>
  <c r="X218" i="13"/>
  <c r="Y218" i="13"/>
  <c r="Z218" i="13"/>
  <c r="AA218" i="13"/>
  <c r="V219" i="13"/>
  <c r="W219" i="13"/>
  <c r="X219" i="13"/>
  <c r="Y219" i="13"/>
  <c r="Z219" i="13"/>
  <c r="AA219" i="13"/>
  <c r="V220" i="13"/>
  <c r="W220" i="13"/>
  <c r="X220" i="13"/>
  <c r="Y220" i="13"/>
  <c r="Z220" i="13"/>
  <c r="AA220" i="13"/>
  <c r="V221" i="13"/>
  <c r="W221" i="13"/>
  <c r="X221" i="13"/>
  <c r="Y221" i="13"/>
  <c r="Z221" i="13"/>
  <c r="AA221" i="13"/>
  <c r="V222" i="13"/>
  <c r="W222" i="13"/>
  <c r="X222" i="13"/>
  <c r="Y222" i="13"/>
  <c r="Z222" i="13"/>
  <c r="AA222" i="13"/>
  <c r="V223" i="13"/>
  <c r="W223" i="13"/>
  <c r="X223" i="13"/>
  <c r="Y223" i="13"/>
  <c r="Z223" i="13"/>
  <c r="AA223" i="13"/>
  <c r="V224" i="13"/>
  <c r="W224" i="13"/>
  <c r="X224" i="13"/>
  <c r="Y224" i="13"/>
  <c r="Z224" i="13"/>
  <c r="AA224" i="13"/>
  <c r="V225" i="13"/>
  <c r="W225" i="13"/>
  <c r="X225" i="13"/>
  <c r="Y225" i="13"/>
  <c r="Z225" i="13"/>
  <c r="AA225" i="13"/>
  <c r="V226" i="13"/>
  <c r="W226" i="13"/>
  <c r="X226" i="13"/>
  <c r="Y226" i="13"/>
  <c r="Z226" i="13"/>
  <c r="AA226" i="13"/>
  <c r="V227" i="13"/>
  <c r="W227" i="13"/>
  <c r="X227" i="13"/>
  <c r="Y227" i="13"/>
  <c r="Z227" i="13"/>
  <c r="AA227" i="13"/>
  <c r="AA120" i="13"/>
  <c r="Z120" i="13"/>
  <c r="Y120" i="13"/>
  <c r="X120" i="13"/>
  <c r="W120" i="13"/>
  <c r="V120" i="13"/>
  <c r="AC202" i="13"/>
  <c r="AB121" i="13"/>
  <c r="AC121" i="13"/>
  <c r="AD121" i="13"/>
  <c r="AE121" i="13"/>
  <c r="AF121" i="13"/>
  <c r="AG121" i="13"/>
  <c r="AB122" i="13"/>
  <c r="AC122" i="13"/>
  <c r="AD122" i="13"/>
  <c r="AE122" i="13"/>
  <c r="AF122" i="13"/>
  <c r="AG122" i="13"/>
  <c r="AB123" i="13"/>
  <c r="AC123" i="13"/>
  <c r="AD123" i="13"/>
  <c r="AE123" i="13"/>
  <c r="AF123" i="13"/>
  <c r="AG123" i="13"/>
  <c r="AB124" i="13"/>
  <c r="AC124" i="13"/>
  <c r="AD124" i="13"/>
  <c r="AE124" i="13"/>
  <c r="AF124" i="13"/>
  <c r="AG124" i="13"/>
  <c r="AB125" i="13"/>
  <c r="AC125" i="13"/>
  <c r="AD125" i="13"/>
  <c r="AE125" i="13"/>
  <c r="AF125" i="13"/>
  <c r="AG125" i="13"/>
  <c r="AB126" i="13"/>
  <c r="AC126" i="13"/>
  <c r="AD126" i="13"/>
  <c r="AE126" i="13"/>
  <c r="AF126" i="13"/>
  <c r="AG126" i="13"/>
  <c r="AB127" i="13"/>
  <c r="AC127" i="13"/>
  <c r="AD127" i="13"/>
  <c r="AE127" i="13"/>
  <c r="AF127" i="13"/>
  <c r="AG127" i="13"/>
  <c r="AB129" i="13"/>
  <c r="AC129" i="13"/>
  <c r="AD129" i="13"/>
  <c r="AE129" i="13"/>
  <c r="AF129" i="13"/>
  <c r="AG129" i="13"/>
  <c r="AB130" i="13"/>
  <c r="AC130" i="13"/>
  <c r="AD130" i="13"/>
  <c r="AE130" i="13"/>
  <c r="AF130" i="13"/>
  <c r="AG130" i="13"/>
  <c r="AB131" i="13"/>
  <c r="AC131" i="13"/>
  <c r="AD131" i="13"/>
  <c r="AE131" i="13"/>
  <c r="AF131" i="13"/>
  <c r="AG131" i="13"/>
  <c r="AB132" i="13"/>
  <c r="AC132" i="13"/>
  <c r="AD132" i="13"/>
  <c r="AE132" i="13"/>
  <c r="AF132" i="13"/>
  <c r="AG132" i="13"/>
  <c r="AB133" i="13"/>
  <c r="AC133" i="13"/>
  <c r="AD133" i="13"/>
  <c r="AE133" i="13"/>
  <c r="AF133" i="13"/>
  <c r="AG133" i="13"/>
  <c r="AB134" i="13"/>
  <c r="AC134" i="13"/>
  <c r="AD134" i="13"/>
  <c r="AE134" i="13"/>
  <c r="AF134" i="13"/>
  <c r="AG134" i="13"/>
  <c r="AB135" i="13"/>
  <c r="AC135" i="13"/>
  <c r="AD135" i="13"/>
  <c r="AE135" i="13"/>
  <c r="AF135" i="13"/>
  <c r="AG135" i="13"/>
  <c r="AB137" i="13"/>
  <c r="AC137" i="13"/>
  <c r="AD137" i="13"/>
  <c r="AE137" i="13"/>
  <c r="AF137" i="13"/>
  <c r="AG137" i="13"/>
  <c r="AB138" i="13"/>
  <c r="AC138" i="13"/>
  <c r="AD138" i="13"/>
  <c r="AE138" i="13"/>
  <c r="AF138" i="13"/>
  <c r="AG138" i="13"/>
  <c r="AB139" i="13"/>
  <c r="AC139" i="13"/>
  <c r="AD139" i="13"/>
  <c r="AE139" i="13"/>
  <c r="AF139" i="13"/>
  <c r="AG139" i="13"/>
  <c r="AB140" i="13"/>
  <c r="AC140" i="13"/>
  <c r="AD140" i="13"/>
  <c r="AE140" i="13"/>
  <c r="AF140" i="13"/>
  <c r="AG140" i="13"/>
  <c r="AB141" i="13"/>
  <c r="AC141" i="13"/>
  <c r="AD141" i="13"/>
  <c r="AE141" i="13"/>
  <c r="AF141" i="13"/>
  <c r="AG141" i="13"/>
  <c r="AB142" i="13"/>
  <c r="AC142" i="13"/>
  <c r="AD142" i="13"/>
  <c r="AE142" i="13"/>
  <c r="AF142" i="13"/>
  <c r="AG142" i="13"/>
  <c r="AB143" i="13"/>
  <c r="AC143" i="13"/>
  <c r="AD143" i="13"/>
  <c r="AE143" i="13"/>
  <c r="AF143" i="13"/>
  <c r="AG143" i="13"/>
  <c r="AB144" i="13"/>
  <c r="AC144" i="13"/>
  <c r="AD144" i="13"/>
  <c r="AE144" i="13"/>
  <c r="AF144" i="13"/>
  <c r="AG144" i="13"/>
  <c r="AB146" i="13"/>
  <c r="AC146" i="13"/>
  <c r="AD146" i="13"/>
  <c r="AE146" i="13"/>
  <c r="AF146" i="13"/>
  <c r="AG146" i="13"/>
  <c r="AB147" i="13"/>
  <c r="AC147" i="13"/>
  <c r="AD147" i="13"/>
  <c r="AE147" i="13"/>
  <c r="AF147" i="13"/>
  <c r="AG147" i="13"/>
  <c r="AB148" i="13"/>
  <c r="AC148" i="13"/>
  <c r="AD148" i="13"/>
  <c r="AE148" i="13"/>
  <c r="AF148" i="13"/>
  <c r="AG148" i="13"/>
  <c r="AB149" i="13"/>
  <c r="AC149" i="13"/>
  <c r="AD149" i="13"/>
  <c r="AE149" i="13"/>
  <c r="AF149" i="13"/>
  <c r="AG149" i="13"/>
  <c r="AB150" i="13"/>
  <c r="AC150" i="13"/>
  <c r="AD150" i="13"/>
  <c r="AE150" i="13"/>
  <c r="AF150" i="13"/>
  <c r="AG150" i="13"/>
  <c r="AB151" i="13"/>
  <c r="AC151" i="13"/>
  <c r="AD151" i="13"/>
  <c r="AE151" i="13"/>
  <c r="AF151" i="13"/>
  <c r="AG151" i="13"/>
  <c r="AB152" i="13"/>
  <c r="AC152" i="13"/>
  <c r="AD152" i="13"/>
  <c r="AE152" i="13"/>
  <c r="AF152" i="13"/>
  <c r="AG152" i="13"/>
  <c r="AB153" i="13"/>
  <c r="AC153" i="13"/>
  <c r="AD153" i="13"/>
  <c r="AE153" i="13"/>
  <c r="AF153" i="13"/>
  <c r="AG153" i="13"/>
  <c r="AB154" i="13"/>
  <c r="AC154" i="13"/>
  <c r="AD154" i="13"/>
  <c r="AE154" i="13"/>
  <c r="AF154" i="13"/>
  <c r="AG154" i="13"/>
  <c r="AB155" i="13"/>
  <c r="AC155" i="13"/>
  <c r="AD155" i="13"/>
  <c r="AE155" i="13"/>
  <c r="AF155" i="13"/>
  <c r="AG155" i="13"/>
  <c r="AB157" i="13"/>
  <c r="AC157" i="13"/>
  <c r="AD157" i="13"/>
  <c r="AE157" i="13"/>
  <c r="AF157" i="13"/>
  <c r="AG157" i="13"/>
  <c r="AB158" i="13"/>
  <c r="AC158" i="13"/>
  <c r="AD158" i="13"/>
  <c r="AE158" i="13"/>
  <c r="AF158" i="13"/>
  <c r="AG158" i="13"/>
  <c r="AB159" i="13"/>
  <c r="AC159" i="13"/>
  <c r="AD159" i="13"/>
  <c r="AE159" i="13"/>
  <c r="AF159" i="13"/>
  <c r="AG159" i="13"/>
  <c r="AB161" i="13"/>
  <c r="AC161" i="13"/>
  <c r="AD161" i="13"/>
  <c r="AE161" i="13"/>
  <c r="AF161" i="13"/>
  <c r="AG161" i="13"/>
  <c r="AB162" i="13"/>
  <c r="AC162" i="13"/>
  <c r="AD162" i="13"/>
  <c r="AE162" i="13"/>
  <c r="AF162" i="13"/>
  <c r="AG162" i="13"/>
  <c r="AB163" i="13"/>
  <c r="AC163" i="13"/>
  <c r="AD163" i="13"/>
  <c r="AE163" i="13"/>
  <c r="AF163" i="13"/>
  <c r="AG163" i="13"/>
  <c r="AB164" i="13"/>
  <c r="AC164" i="13"/>
  <c r="AD164" i="13"/>
  <c r="AE164" i="13"/>
  <c r="AF164" i="13"/>
  <c r="AG164" i="13"/>
  <c r="AB165" i="13"/>
  <c r="AC165" i="13"/>
  <c r="AD165" i="13"/>
  <c r="AE165" i="13"/>
  <c r="AF165" i="13"/>
  <c r="AG165" i="13"/>
  <c r="AB166" i="13"/>
  <c r="AC166" i="13"/>
  <c r="AD166" i="13"/>
  <c r="AE166" i="13"/>
  <c r="AF166" i="13"/>
  <c r="AG166" i="13"/>
  <c r="AB167" i="13"/>
  <c r="AC167" i="13"/>
  <c r="AD167" i="13"/>
  <c r="AE167" i="13"/>
  <c r="AF167" i="13"/>
  <c r="AG167" i="13"/>
  <c r="AB168" i="13"/>
  <c r="AC168" i="13"/>
  <c r="AD168" i="13"/>
  <c r="AE168" i="13"/>
  <c r="AF168" i="13"/>
  <c r="AG168" i="13"/>
  <c r="AB169" i="13"/>
  <c r="AC169" i="13"/>
  <c r="AD169" i="13"/>
  <c r="AE169" i="13"/>
  <c r="AF169" i="13"/>
  <c r="AG169" i="13"/>
  <c r="AB170" i="13"/>
  <c r="AC170" i="13"/>
  <c r="AD170" i="13"/>
  <c r="AE170" i="13"/>
  <c r="AF170" i="13"/>
  <c r="AG170" i="13"/>
  <c r="AB172" i="13"/>
  <c r="AC172" i="13"/>
  <c r="AD172" i="13"/>
  <c r="AE172" i="13"/>
  <c r="AF172" i="13"/>
  <c r="AG172" i="13"/>
  <c r="AB173" i="13"/>
  <c r="AC173" i="13"/>
  <c r="AD173" i="13"/>
  <c r="AE173" i="13"/>
  <c r="AF173" i="13"/>
  <c r="AG173" i="13"/>
  <c r="AB174" i="13"/>
  <c r="AC174" i="13"/>
  <c r="AD174" i="13"/>
  <c r="AE174" i="13"/>
  <c r="AF174" i="13"/>
  <c r="AG174" i="13"/>
  <c r="AB175" i="13"/>
  <c r="AC175" i="13"/>
  <c r="AD175" i="13"/>
  <c r="AE175" i="13"/>
  <c r="AF175" i="13"/>
  <c r="AG175" i="13"/>
  <c r="AB176" i="13"/>
  <c r="AC176" i="13"/>
  <c r="AD176" i="13"/>
  <c r="AE176" i="13"/>
  <c r="AF176" i="13"/>
  <c r="AG176" i="13"/>
  <c r="AB177" i="13"/>
  <c r="AC177" i="13"/>
  <c r="AD177" i="13"/>
  <c r="AE177" i="13"/>
  <c r="AF177" i="13"/>
  <c r="AG177" i="13"/>
  <c r="AB178" i="13"/>
  <c r="AC178" i="13"/>
  <c r="AD178" i="13"/>
  <c r="AE178" i="13"/>
  <c r="AF178" i="13"/>
  <c r="AG178" i="13"/>
  <c r="AB180" i="13"/>
  <c r="AC180" i="13"/>
  <c r="AD180" i="13"/>
  <c r="AE180" i="13"/>
  <c r="AF180" i="13"/>
  <c r="AG180" i="13"/>
  <c r="AB181" i="13"/>
  <c r="AC181" i="13"/>
  <c r="AD181" i="13"/>
  <c r="AE181" i="13"/>
  <c r="AF181" i="13"/>
  <c r="AG181" i="13"/>
  <c r="AB182" i="13"/>
  <c r="AC182" i="13"/>
  <c r="AD182" i="13"/>
  <c r="AE182" i="13"/>
  <c r="AF182" i="13"/>
  <c r="AG182" i="13"/>
  <c r="AB183" i="13"/>
  <c r="AC183" i="13"/>
  <c r="AD183" i="13"/>
  <c r="AE183" i="13"/>
  <c r="AF183" i="13"/>
  <c r="AG183" i="13"/>
  <c r="AB184" i="13"/>
  <c r="AC184" i="13"/>
  <c r="AD184" i="13"/>
  <c r="AE184" i="13"/>
  <c r="AF184" i="13"/>
  <c r="AG184" i="13"/>
  <c r="AB185" i="13"/>
  <c r="AC185" i="13"/>
  <c r="AD185" i="13"/>
  <c r="AE185" i="13"/>
  <c r="AF185" i="13"/>
  <c r="AG185" i="13"/>
  <c r="AB186" i="13"/>
  <c r="AC186" i="13"/>
  <c r="AD186" i="13"/>
  <c r="AE186" i="13"/>
  <c r="AF186" i="13"/>
  <c r="AG186" i="13"/>
  <c r="AB187" i="13"/>
  <c r="AC187" i="13"/>
  <c r="AD187" i="13"/>
  <c r="AE187" i="13"/>
  <c r="AF187" i="13"/>
  <c r="AG187" i="13"/>
  <c r="AB188" i="13"/>
  <c r="AC188" i="13"/>
  <c r="AD188" i="13"/>
  <c r="AE188" i="13"/>
  <c r="AF188" i="13"/>
  <c r="AG188" i="13"/>
  <c r="AB190" i="13"/>
  <c r="AC190" i="13"/>
  <c r="AD190" i="13"/>
  <c r="AE190" i="13"/>
  <c r="AF190" i="13"/>
  <c r="AG190" i="13"/>
  <c r="AB191" i="13"/>
  <c r="AC191" i="13"/>
  <c r="AD191" i="13"/>
  <c r="AE191" i="13"/>
  <c r="AF191" i="13"/>
  <c r="AG191" i="13"/>
  <c r="AB192" i="13"/>
  <c r="AC192" i="13"/>
  <c r="AD192" i="13"/>
  <c r="AE192" i="13"/>
  <c r="AF192" i="13"/>
  <c r="AG192" i="13"/>
  <c r="AB193" i="13"/>
  <c r="AC193" i="13"/>
  <c r="AD193" i="13"/>
  <c r="AE193" i="13"/>
  <c r="AF193" i="13"/>
  <c r="AG193" i="13"/>
  <c r="AB194" i="13"/>
  <c r="AC194" i="13"/>
  <c r="AD194" i="13"/>
  <c r="AE194" i="13"/>
  <c r="AF194" i="13"/>
  <c r="AG194" i="13"/>
  <c r="AB195" i="13"/>
  <c r="AC195" i="13"/>
  <c r="AD195" i="13"/>
  <c r="AE195" i="13"/>
  <c r="AF195" i="13"/>
  <c r="AG195" i="13"/>
  <c r="AB196" i="13"/>
  <c r="AC196" i="13"/>
  <c r="AD196" i="13"/>
  <c r="AE196" i="13"/>
  <c r="AF196" i="13"/>
  <c r="AG196" i="13"/>
  <c r="AB197" i="13"/>
  <c r="AC197" i="13"/>
  <c r="AD197" i="13"/>
  <c r="AE197" i="13"/>
  <c r="AF197" i="13"/>
  <c r="AG197" i="13"/>
  <c r="AB198" i="13"/>
  <c r="AC198" i="13"/>
  <c r="AD198" i="13"/>
  <c r="AE198" i="13"/>
  <c r="AF198" i="13"/>
  <c r="AG198" i="13"/>
  <c r="AB199" i="13"/>
  <c r="AC199" i="13"/>
  <c r="AD199" i="13"/>
  <c r="AE199" i="13"/>
  <c r="AF199" i="13"/>
  <c r="AG199" i="13"/>
  <c r="AB200" i="13"/>
  <c r="AC200" i="13"/>
  <c r="AD200" i="13"/>
  <c r="AE200" i="13"/>
  <c r="AF200" i="13"/>
  <c r="AG200" i="13"/>
  <c r="AB201" i="13"/>
  <c r="AC201" i="13"/>
  <c r="AD201" i="13"/>
  <c r="AE201" i="13"/>
  <c r="AF201" i="13"/>
  <c r="AG201" i="13"/>
  <c r="AB202" i="13"/>
  <c r="AD202" i="13"/>
  <c r="AE202" i="13"/>
  <c r="AF202" i="13"/>
  <c r="AG202" i="13"/>
  <c r="AB203" i="13"/>
  <c r="AC203" i="13"/>
  <c r="AD203" i="13"/>
  <c r="AE203" i="13"/>
  <c r="AF203" i="13"/>
  <c r="AG203" i="13"/>
  <c r="AB204" i="13"/>
  <c r="AC204" i="13"/>
  <c r="AD204" i="13"/>
  <c r="AE204" i="13"/>
  <c r="AF204" i="13"/>
  <c r="AG204" i="13"/>
  <c r="AB205" i="13"/>
  <c r="AC205" i="13"/>
  <c r="AD205" i="13"/>
  <c r="AE205" i="13"/>
  <c r="AF205" i="13"/>
  <c r="AG205" i="13"/>
  <c r="AB206" i="13"/>
  <c r="AC206" i="13"/>
  <c r="AD206" i="13"/>
  <c r="AE206" i="13"/>
  <c r="AF206" i="13"/>
  <c r="AG206" i="13"/>
  <c r="AB207" i="13"/>
  <c r="AC207" i="13"/>
  <c r="AD207" i="13"/>
  <c r="AE207" i="13"/>
  <c r="AF207" i="13"/>
  <c r="AG207" i="13"/>
  <c r="AB208" i="13"/>
  <c r="AC208" i="13"/>
  <c r="AD208" i="13"/>
  <c r="AE208" i="13"/>
  <c r="AF208" i="13"/>
  <c r="AG208" i="13"/>
  <c r="AB209" i="13"/>
  <c r="AC209" i="13"/>
  <c r="AD209" i="13"/>
  <c r="AE209" i="13"/>
  <c r="AF209" i="13"/>
  <c r="AG209" i="13"/>
  <c r="AB210" i="13"/>
  <c r="AC210" i="13"/>
  <c r="AD210" i="13"/>
  <c r="AE210" i="13"/>
  <c r="AF210" i="13"/>
  <c r="AG210" i="13"/>
  <c r="AB211" i="13"/>
  <c r="AC211" i="13"/>
  <c r="AD211" i="13"/>
  <c r="AE211" i="13"/>
  <c r="AF211" i="13"/>
  <c r="AG211" i="13"/>
  <c r="AB212" i="13"/>
  <c r="AC212" i="13"/>
  <c r="AD212" i="13"/>
  <c r="AE212" i="13"/>
  <c r="AF212" i="13"/>
  <c r="AG212" i="13"/>
  <c r="AB213" i="13"/>
  <c r="AC213" i="13"/>
  <c r="AD213" i="13"/>
  <c r="AE213" i="13"/>
  <c r="AF213" i="13"/>
  <c r="AG213" i="13"/>
  <c r="AB214" i="13"/>
  <c r="AC214" i="13"/>
  <c r="AD214" i="13"/>
  <c r="AE214" i="13"/>
  <c r="AF214" i="13"/>
  <c r="AG214" i="13"/>
  <c r="AB215" i="13"/>
  <c r="AC215" i="13"/>
  <c r="AD215" i="13"/>
  <c r="AE215" i="13"/>
  <c r="AF215" i="13"/>
  <c r="AG215" i="13"/>
  <c r="AB216" i="13"/>
  <c r="AC216" i="13"/>
  <c r="AD216" i="13"/>
  <c r="AE216" i="13"/>
  <c r="AF216" i="13"/>
  <c r="AG216" i="13"/>
  <c r="AB217" i="13"/>
  <c r="AC217" i="13"/>
  <c r="AD217" i="13"/>
  <c r="AE217" i="13"/>
  <c r="AF217" i="13"/>
  <c r="AG217" i="13"/>
  <c r="AB218" i="13"/>
  <c r="AC218" i="13"/>
  <c r="AD218" i="13"/>
  <c r="AE218" i="13"/>
  <c r="AF218" i="13"/>
  <c r="AG218" i="13"/>
  <c r="AB219" i="13"/>
  <c r="AC219" i="13"/>
  <c r="AD219" i="13"/>
  <c r="AE219" i="13"/>
  <c r="AF219" i="13"/>
  <c r="AG219" i="13"/>
  <c r="AB220" i="13"/>
  <c r="AC220" i="13"/>
  <c r="AD220" i="13"/>
  <c r="AE220" i="13"/>
  <c r="AF220" i="13"/>
  <c r="AG220" i="13"/>
  <c r="AB221" i="13"/>
  <c r="AC221" i="13"/>
  <c r="AD221" i="13"/>
  <c r="AE221" i="13"/>
  <c r="AF221" i="13"/>
  <c r="AG221" i="13"/>
  <c r="AB222" i="13"/>
  <c r="AC222" i="13"/>
  <c r="AD222" i="13"/>
  <c r="AE222" i="13"/>
  <c r="AF222" i="13"/>
  <c r="AG222" i="13"/>
  <c r="AB223" i="13"/>
  <c r="AC223" i="13"/>
  <c r="AD223" i="13"/>
  <c r="AE223" i="13"/>
  <c r="AF223" i="13"/>
  <c r="AG223" i="13"/>
  <c r="AB224" i="13"/>
  <c r="AC224" i="13"/>
  <c r="AD224" i="13"/>
  <c r="AE224" i="13"/>
  <c r="AF224" i="13"/>
  <c r="AG224" i="13"/>
  <c r="AB225" i="13"/>
  <c r="AC225" i="13"/>
  <c r="AD225" i="13"/>
  <c r="AE225" i="13"/>
  <c r="AF225" i="13"/>
  <c r="AG225" i="13"/>
  <c r="AB226" i="13"/>
  <c r="AC226" i="13"/>
  <c r="AD226" i="13"/>
  <c r="AE226" i="13"/>
  <c r="AF226" i="13"/>
  <c r="AG226" i="13"/>
  <c r="AB227" i="13"/>
  <c r="AC227" i="13"/>
  <c r="AD227" i="13"/>
  <c r="AE227" i="13"/>
  <c r="AF227" i="13"/>
  <c r="AG227" i="13"/>
  <c r="AG120" i="13"/>
  <c r="AF120" i="13"/>
  <c r="AE120" i="13"/>
  <c r="AD120" i="13"/>
  <c r="AC120" i="13"/>
  <c r="AB120" i="13"/>
  <c r="Z148" i="12"/>
  <c r="Y148" i="12"/>
  <c r="X148" i="12"/>
  <c r="Z147" i="12"/>
  <c r="Y147" i="12"/>
  <c r="X147" i="12"/>
  <c r="Z146" i="12"/>
  <c r="Y146" i="12"/>
  <c r="X146" i="12"/>
  <c r="Z145" i="12"/>
  <c r="Y145" i="12"/>
  <c r="X145" i="12"/>
  <c r="Z144" i="12"/>
  <c r="Y144" i="12"/>
  <c r="X144" i="12"/>
  <c r="Z143" i="12"/>
  <c r="Y143" i="12"/>
  <c r="X143" i="12"/>
  <c r="Z142" i="12"/>
  <c r="Y142" i="12"/>
  <c r="X142" i="12"/>
  <c r="Z141" i="12"/>
  <c r="Y141" i="12"/>
  <c r="X141" i="12"/>
  <c r="Z140" i="12"/>
  <c r="Y140" i="12"/>
  <c r="X140" i="12"/>
  <c r="Z139" i="12"/>
  <c r="Y139" i="12"/>
  <c r="X139" i="12"/>
  <c r="Z138" i="12"/>
  <c r="Y138" i="12"/>
  <c r="X138" i="12"/>
  <c r="Z137" i="12"/>
  <c r="Y137" i="12"/>
  <c r="X137" i="12"/>
  <c r="Z136" i="12"/>
  <c r="Y136" i="12"/>
  <c r="X136" i="12"/>
  <c r="Z135" i="12"/>
  <c r="Y135" i="12"/>
  <c r="X135" i="12"/>
  <c r="Z134" i="12"/>
  <c r="Y134" i="12"/>
  <c r="X134" i="12"/>
  <c r="Z133" i="12"/>
  <c r="Y133" i="12"/>
  <c r="X133" i="12"/>
  <c r="Z132" i="12"/>
  <c r="Y132" i="12"/>
  <c r="X132" i="12"/>
  <c r="Z131" i="12"/>
  <c r="Y131" i="12"/>
  <c r="X131" i="12"/>
  <c r="Z130" i="12"/>
  <c r="Y130" i="12"/>
  <c r="X130" i="12"/>
  <c r="Z129" i="12"/>
  <c r="Y129" i="12"/>
  <c r="X129" i="12"/>
  <c r="Z128" i="12"/>
  <c r="Y128" i="12"/>
  <c r="X128" i="12"/>
  <c r="Z127" i="12"/>
  <c r="Y127" i="12"/>
  <c r="X127" i="12"/>
  <c r="Z126" i="12"/>
  <c r="Y126" i="12"/>
  <c r="X126" i="12"/>
  <c r="Z125" i="12"/>
  <c r="Y125" i="12"/>
  <c r="X125" i="12"/>
  <c r="AF122" i="12"/>
  <c r="AE122" i="12"/>
  <c r="AD122" i="12"/>
  <c r="AC122" i="12"/>
  <c r="AB122" i="12"/>
  <c r="AA122" i="12"/>
  <c r="Z122" i="12"/>
  <c r="Y122" i="12"/>
  <c r="X122" i="12"/>
  <c r="AF121" i="12"/>
  <c r="AE121" i="12"/>
  <c r="AD121" i="12"/>
  <c r="AC121" i="12"/>
  <c r="AB121" i="12"/>
  <c r="AA121" i="12"/>
  <c r="Z121" i="12"/>
  <c r="Y121" i="12"/>
  <c r="X121" i="12"/>
  <c r="AF120" i="12"/>
  <c r="AE120" i="12"/>
  <c r="AD120" i="12"/>
  <c r="AC120" i="12"/>
  <c r="AB120" i="12"/>
  <c r="AA120" i="12"/>
  <c r="Z120" i="12"/>
  <c r="Y120" i="12"/>
  <c r="X120" i="12"/>
  <c r="AF119" i="12"/>
  <c r="AE119" i="12"/>
  <c r="AD119" i="12"/>
  <c r="AC119" i="12"/>
  <c r="AB119" i="12"/>
  <c r="AA119" i="12"/>
  <c r="Z119" i="12"/>
  <c r="Y119" i="12"/>
  <c r="X119" i="12"/>
  <c r="AF118" i="12"/>
  <c r="AE118" i="12"/>
  <c r="AD118" i="12"/>
  <c r="AC118" i="12"/>
  <c r="AB118" i="12"/>
  <c r="AA118" i="12"/>
  <c r="Z118" i="12"/>
  <c r="Y118" i="12"/>
  <c r="X118" i="12"/>
  <c r="AF117" i="12"/>
  <c r="AE117" i="12"/>
  <c r="AD117" i="12"/>
  <c r="AC117" i="12"/>
  <c r="AB117" i="12"/>
  <c r="AA117" i="12"/>
  <c r="Z117" i="12"/>
  <c r="Y117" i="12"/>
  <c r="X117" i="12"/>
  <c r="AF116" i="12"/>
  <c r="AE116" i="12"/>
  <c r="AD116" i="12"/>
  <c r="AC116" i="12"/>
  <c r="AB116" i="12"/>
  <c r="AA116" i="12"/>
  <c r="Z116" i="12"/>
  <c r="Y116" i="12"/>
  <c r="X116" i="12"/>
  <c r="AF115" i="12"/>
  <c r="AE115" i="12"/>
  <c r="AD115" i="12"/>
  <c r="AC115" i="12"/>
  <c r="AB115" i="12"/>
  <c r="AA115" i="12"/>
  <c r="Z115" i="12"/>
  <c r="Y115" i="12"/>
  <c r="X115" i="12"/>
  <c r="AF114" i="12"/>
  <c r="AE114" i="12"/>
  <c r="AD114" i="12"/>
  <c r="AC114" i="12"/>
  <c r="AB114" i="12"/>
  <c r="AA114" i="12"/>
  <c r="Z114" i="12"/>
  <c r="Y114" i="12"/>
  <c r="X114" i="12"/>
  <c r="AF113" i="12"/>
  <c r="AE113" i="12"/>
  <c r="AD113" i="12"/>
  <c r="AC113" i="12"/>
  <c r="AB113" i="12"/>
  <c r="AA113" i="12"/>
  <c r="Z113" i="12"/>
  <c r="Y113" i="12"/>
  <c r="X113" i="12"/>
  <c r="AF112" i="12"/>
  <c r="AE112" i="12"/>
  <c r="AD112" i="12"/>
  <c r="AC112" i="12"/>
  <c r="AB112" i="12"/>
  <c r="AA112" i="12"/>
  <c r="Z112" i="12"/>
  <c r="Y112" i="12"/>
  <c r="X112" i="12"/>
  <c r="AF111" i="12"/>
  <c r="AE111" i="12"/>
  <c r="AD111" i="12"/>
  <c r="AC111" i="12"/>
  <c r="AB111" i="12"/>
  <c r="AA111" i="12"/>
  <c r="Z111" i="12"/>
  <c r="Y111" i="12"/>
  <c r="X111" i="12"/>
  <c r="AF110" i="12"/>
  <c r="AE110" i="12"/>
  <c r="AD110" i="12"/>
  <c r="AC110" i="12"/>
  <c r="AB110" i="12"/>
  <c r="AA110" i="12"/>
  <c r="Z110" i="12"/>
  <c r="Y110" i="12"/>
  <c r="X110" i="12"/>
  <c r="AF109" i="12"/>
  <c r="AE109" i="12"/>
  <c r="AD109" i="12"/>
  <c r="AC109" i="12"/>
  <c r="AB109" i="12"/>
  <c r="AA109" i="12"/>
  <c r="Z109" i="12"/>
  <c r="Y109" i="12"/>
  <c r="X109" i="12"/>
  <c r="AF108" i="12"/>
  <c r="AE108" i="12"/>
  <c r="AD108" i="12"/>
  <c r="AC108" i="12"/>
  <c r="AB108" i="12"/>
  <c r="AA108" i="12"/>
  <c r="Z108" i="12"/>
  <c r="Y108" i="12"/>
  <c r="X108" i="12"/>
  <c r="AF107" i="12"/>
  <c r="AE107" i="12"/>
  <c r="AD107" i="12"/>
  <c r="AC107" i="12"/>
  <c r="AB107" i="12"/>
  <c r="AA107" i="12"/>
  <c r="Z107" i="12"/>
  <c r="Y107" i="12"/>
  <c r="X107" i="12"/>
  <c r="AF106" i="12"/>
  <c r="AE106" i="12"/>
  <c r="AD106" i="12"/>
  <c r="AC106" i="12"/>
  <c r="AB106" i="12"/>
  <c r="AA106" i="12"/>
  <c r="Z106" i="12"/>
  <c r="Y106" i="12"/>
  <c r="X106" i="12"/>
  <c r="AF105" i="12"/>
  <c r="AE105" i="12"/>
  <c r="AD105" i="12"/>
  <c r="AC105" i="12"/>
  <c r="AB105" i="12"/>
  <c r="AA105" i="12"/>
  <c r="Z105" i="12"/>
  <c r="Y105" i="12"/>
  <c r="X105" i="12"/>
  <c r="AF104" i="12"/>
  <c r="AE104" i="12"/>
  <c r="AD104" i="12"/>
  <c r="AC104" i="12"/>
  <c r="AB104" i="12"/>
  <c r="AA104" i="12"/>
  <c r="Z104" i="12"/>
  <c r="Y104" i="12"/>
  <c r="X104" i="12"/>
  <c r="AF103" i="12"/>
  <c r="AE103" i="12"/>
  <c r="AD103" i="12"/>
  <c r="AC103" i="12"/>
  <c r="AB103" i="12"/>
  <c r="AA103" i="12"/>
  <c r="Z103" i="12"/>
  <c r="Y103" i="12"/>
  <c r="X103" i="12"/>
  <c r="AF102" i="12"/>
  <c r="AE102" i="12"/>
  <c r="AD102" i="12"/>
  <c r="AC102" i="12"/>
  <c r="AB102" i="12"/>
  <c r="AA102" i="12"/>
  <c r="Z102" i="12"/>
  <c r="Y102" i="12"/>
  <c r="X102" i="12"/>
  <c r="AF101" i="12"/>
  <c r="AE101" i="12"/>
  <c r="AD101" i="12"/>
  <c r="AC101" i="12"/>
  <c r="AB101" i="12"/>
  <c r="AA101" i="12"/>
  <c r="Z101" i="12"/>
  <c r="Y101" i="12"/>
  <c r="X101" i="12"/>
  <c r="AF100" i="12"/>
  <c r="AE100" i="12"/>
  <c r="AD100" i="12"/>
  <c r="AC100" i="12"/>
  <c r="AB100" i="12"/>
  <c r="AA100" i="12"/>
  <c r="Z100" i="12"/>
  <c r="Y100" i="12"/>
  <c r="X100" i="12"/>
  <c r="AF99" i="12"/>
  <c r="AE99" i="12"/>
  <c r="AD99" i="12"/>
  <c r="AC99" i="12"/>
  <c r="AB99" i="12"/>
  <c r="AA99" i="12"/>
  <c r="Z99" i="12"/>
  <c r="Y99" i="12"/>
  <c r="X99" i="12"/>
  <c r="AF98" i="12"/>
  <c r="AE98" i="12"/>
  <c r="AD98" i="12"/>
  <c r="AC98" i="12"/>
  <c r="AB98" i="12"/>
  <c r="AA98" i="12"/>
  <c r="Z98" i="12"/>
  <c r="Y98" i="12"/>
  <c r="X98" i="12"/>
  <c r="AF97" i="12"/>
  <c r="AE97" i="12"/>
  <c r="AD97" i="12"/>
  <c r="AC97" i="12"/>
  <c r="AB97" i="12"/>
  <c r="AA97" i="12"/>
  <c r="Z97" i="12"/>
  <c r="Y97" i="12"/>
  <c r="X97" i="12"/>
  <c r="AF96" i="12"/>
  <c r="AE96" i="12"/>
  <c r="AD96" i="12"/>
  <c r="AC96" i="12"/>
  <c r="AB96" i="12"/>
  <c r="AA96" i="12"/>
  <c r="Z96" i="12"/>
  <c r="Y96" i="12"/>
  <c r="X96" i="12"/>
  <c r="AF95" i="12"/>
  <c r="AE95" i="12"/>
  <c r="AD95" i="12"/>
  <c r="AC95" i="12"/>
  <c r="AB95" i="12"/>
  <c r="AA95" i="12"/>
  <c r="Z95" i="12"/>
  <c r="Y95" i="12"/>
  <c r="X95" i="12"/>
  <c r="AF94" i="12"/>
  <c r="AE94" i="12"/>
  <c r="AD94" i="12"/>
  <c r="AC94" i="12"/>
  <c r="AB94" i="12"/>
  <c r="AA94" i="12"/>
  <c r="Z94" i="12"/>
  <c r="Y94" i="12"/>
  <c r="X94" i="12"/>
  <c r="AF93" i="12"/>
  <c r="AE93" i="12"/>
  <c r="AD93" i="12"/>
  <c r="AC93" i="12"/>
  <c r="AB93" i="12"/>
  <c r="AA93" i="12"/>
  <c r="Z93" i="12"/>
  <c r="Y93" i="12"/>
  <c r="X93" i="12"/>
  <c r="AF92" i="12"/>
  <c r="AE92" i="12"/>
  <c r="AD92" i="12"/>
  <c r="AC92" i="12"/>
  <c r="AB92" i="12"/>
  <c r="AA92" i="12"/>
  <c r="Z92" i="12"/>
  <c r="Y92" i="12"/>
  <c r="X92" i="12"/>
  <c r="AF91" i="12"/>
  <c r="AE91" i="12"/>
  <c r="AD91" i="12"/>
  <c r="AC91" i="12"/>
  <c r="AB91" i="12"/>
  <c r="AA91" i="12"/>
  <c r="Z91" i="12"/>
  <c r="Y91" i="12"/>
  <c r="X91" i="12"/>
  <c r="AF90" i="12"/>
  <c r="AE90" i="12"/>
  <c r="AD90" i="12"/>
  <c r="AC90" i="12"/>
  <c r="AB90" i="12"/>
  <c r="AA90" i="12"/>
  <c r="Z90" i="12"/>
  <c r="Y90" i="12"/>
  <c r="X90" i="12"/>
  <c r="AF89" i="12"/>
  <c r="AE89" i="12"/>
  <c r="AD89" i="12"/>
  <c r="AC89" i="12"/>
  <c r="AB89" i="12"/>
  <c r="AA89" i="12"/>
  <c r="Z89" i="12"/>
  <c r="Y89" i="12"/>
  <c r="X89" i="12"/>
  <c r="AF88" i="12"/>
  <c r="AE88" i="12"/>
  <c r="AD88" i="12"/>
  <c r="AC88" i="12"/>
  <c r="AB88" i="12"/>
  <c r="AA88" i="12"/>
  <c r="Z88" i="12"/>
  <c r="Y88" i="12"/>
  <c r="X88" i="12"/>
  <c r="AF87" i="12"/>
  <c r="AE87" i="12"/>
  <c r="AD87" i="12"/>
  <c r="AC87" i="12"/>
  <c r="AB87" i="12"/>
  <c r="AA87" i="12"/>
  <c r="Z87" i="12"/>
  <c r="Y87" i="12"/>
  <c r="X87" i="12"/>
  <c r="AF86" i="12"/>
  <c r="AE86" i="12"/>
  <c r="AD86" i="12"/>
  <c r="AC86" i="12"/>
  <c r="AB86" i="12"/>
  <c r="AA86" i="12"/>
  <c r="Z86" i="12"/>
  <c r="Y86" i="12"/>
  <c r="X86" i="12"/>
  <c r="AF85" i="12"/>
  <c r="AE85" i="12"/>
  <c r="AD85" i="12"/>
  <c r="AC85" i="12"/>
  <c r="AB85" i="12"/>
  <c r="AA85" i="12"/>
  <c r="Z85" i="12"/>
  <c r="Y85" i="12"/>
  <c r="X85" i="12"/>
  <c r="AF83" i="12"/>
  <c r="AE83" i="12"/>
  <c r="AD83" i="12"/>
  <c r="AC83" i="12"/>
  <c r="AB83" i="12"/>
  <c r="AA83" i="12"/>
  <c r="Z83" i="12"/>
  <c r="Y83" i="12"/>
  <c r="X83" i="12"/>
  <c r="AF82" i="12"/>
  <c r="AE82" i="12"/>
  <c r="AD82" i="12"/>
  <c r="AC82" i="12"/>
  <c r="AB82" i="12"/>
  <c r="AA82" i="12"/>
  <c r="Z82" i="12"/>
  <c r="Y82" i="12"/>
  <c r="X82" i="12"/>
  <c r="AF81" i="12"/>
  <c r="AE81" i="12"/>
  <c r="AD81" i="12"/>
  <c r="AC81" i="12"/>
  <c r="AB81" i="12"/>
  <c r="AA81" i="12"/>
  <c r="Z81" i="12"/>
  <c r="Y81" i="12"/>
  <c r="X81" i="12"/>
  <c r="AF80" i="12"/>
  <c r="AE80" i="12"/>
  <c r="AD80" i="12"/>
  <c r="AC80" i="12"/>
  <c r="AB80" i="12"/>
  <c r="AA80" i="12"/>
  <c r="Z80" i="12"/>
  <c r="Y80" i="12"/>
  <c r="X80" i="12"/>
  <c r="AF79" i="12"/>
  <c r="AE79" i="12"/>
  <c r="AD79" i="12"/>
  <c r="AC79" i="12"/>
  <c r="AB79" i="12"/>
  <c r="AA79" i="12"/>
  <c r="Z79" i="12"/>
  <c r="Y79" i="12"/>
  <c r="X79" i="12"/>
  <c r="AF78" i="12"/>
  <c r="AE78" i="12"/>
  <c r="AD78" i="12"/>
  <c r="AC78" i="12"/>
  <c r="AB78" i="12"/>
  <c r="AA78" i="12"/>
  <c r="Z78" i="12"/>
  <c r="Y78" i="12"/>
  <c r="X78" i="12"/>
  <c r="AF77" i="12"/>
  <c r="AE77" i="12"/>
  <c r="AD77" i="12"/>
  <c r="AC77" i="12"/>
  <c r="AB77" i="12"/>
  <c r="AA77" i="12"/>
  <c r="Z77" i="12"/>
  <c r="Y77" i="12"/>
  <c r="X77" i="12"/>
  <c r="AF76" i="12"/>
  <c r="AE76" i="12"/>
  <c r="AD76" i="12"/>
  <c r="AC76" i="12"/>
  <c r="AB76" i="12"/>
  <c r="AA76" i="12"/>
  <c r="Z76" i="12"/>
  <c r="Y76" i="12"/>
  <c r="X76" i="12"/>
  <c r="AF75" i="12"/>
  <c r="AE75" i="12"/>
  <c r="AD75" i="12"/>
  <c r="AC75" i="12"/>
  <c r="AB75" i="12"/>
  <c r="AA75" i="12"/>
  <c r="Z75" i="12"/>
  <c r="Y75" i="12"/>
  <c r="X75" i="12"/>
  <c r="AF73" i="12"/>
  <c r="AE73" i="12"/>
  <c r="AD73" i="12"/>
  <c r="AC73" i="12"/>
  <c r="AB73" i="12"/>
  <c r="AA73" i="12"/>
  <c r="Z73" i="12"/>
  <c r="Y73" i="12"/>
  <c r="X73" i="12"/>
  <c r="AF72" i="12"/>
  <c r="AE72" i="12"/>
  <c r="AD72" i="12"/>
  <c r="AC72" i="12"/>
  <c r="AB72" i="12"/>
  <c r="AA72" i="12"/>
  <c r="Z72" i="12"/>
  <c r="Y72" i="12"/>
  <c r="X72" i="12"/>
  <c r="AF71" i="12"/>
  <c r="AE71" i="12"/>
  <c r="AD71" i="12"/>
  <c r="AC71" i="12"/>
  <c r="AB71" i="12"/>
  <c r="AA71" i="12"/>
  <c r="Z71" i="12"/>
  <c r="Y71" i="12"/>
  <c r="X71" i="12"/>
  <c r="AF70" i="12"/>
  <c r="AE70" i="12"/>
  <c r="AD70" i="12"/>
  <c r="AC70" i="12"/>
  <c r="AB70" i="12"/>
  <c r="AA70" i="12"/>
  <c r="Z70" i="12"/>
  <c r="Y70" i="12"/>
  <c r="X70" i="12"/>
  <c r="AF69" i="12"/>
  <c r="AE69" i="12"/>
  <c r="AD69" i="12"/>
  <c r="AC69" i="12"/>
  <c r="AB69" i="12"/>
  <c r="AA69" i="12"/>
  <c r="Z69" i="12"/>
  <c r="Y69" i="12"/>
  <c r="X69" i="12"/>
  <c r="AF68" i="12"/>
  <c r="AE68" i="12"/>
  <c r="AD68" i="12"/>
  <c r="AC68" i="12"/>
  <c r="AB68" i="12"/>
  <c r="AA68" i="12"/>
  <c r="Z68" i="12"/>
  <c r="Y68" i="12"/>
  <c r="X68" i="12"/>
  <c r="AF67" i="12"/>
  <c r="AE67" i="12"/>
  <c r="AD67" i="12"/>
  <c r="AC67" i="12"/>
  <c r="AB67" i="12"/>
  <c r="AA67" i="12"/>
  <c r="Z67" i="12"/>
  <c r="Y67" i="12"/>
  <c r="X67" i="12"/>
  <c r="AF65" i="12"/>
  <c r="AE65" i="12"/>
  <c r="AD65" i="12"/>
  <c r="AC65" i="12"/>
  <c r="AB65" i="12"/>
  <c r="AA65" i="12"/>
  <c r="Z65" i="12"/>
  <c r="Y65" i="12"/>
  <c r="X65" i="12"/>
  <c r="AF64" i="12"/>
  <c r="AE64" i="12"/>
  <c r="AD64" i="12"/>
  <c r="AC64" i="12"/>
  <c r="AB64" i="12"/>
  <c r="AA64" i="12"/>
  <c r="Z64" i="12"/>
  <c r="Y64" i="12"/>
  <c r="X64" i="12"/>
  <c r="AF63" i="12"/>
  <c r="AE63" i="12"/>
  <c r="AD63" i="12"/>
  <c r="AC63" i="12"/>
  <c r="AB63" i="12"/>
  <c r="AA63" i="12"/>
  <c r="Z63" i="12"/>
  <c r="Y63" i="12"/>
  <c r="X63" i="12"/>
  <c r="AF62" i="12"/>
  <c r="AE62" i="12"/>
  <c r="AD62" i="12"/>
  <c r="AC62" i="12"/>
  <c r="AB62" i="12"/>
  <c r="AA62" i="12"/>
  <c r="Z62" i="12"/>
  <c r="Y62" i="12"/>
  <c r="X62" i="12"/>
  <c r="AF61" i="12"/>
  <c r="AE61" i="12"/>
  <c r="AD61" i="12"/>
  <c r="AC61" i="12"/>
  <c r="AB61" i="12"/>
  <c r="AA61" i="12"/>
  <c r="Z61" i="12"/>
  <c r="Y61" i="12"/>
  <c r="X61" i="12"/>
  <c r="AF60" i="12"/>
  <c r="AE60" i="12"/>
  <c r="AD60" i="12"/>
  <c r="AC60" i="12"/>
  <c r="AB60" i="12"/>
  <c r="AA60" i="12"/>
  <c r="Z60" i="12"/>
  <c r="Y60" i="12"/>
  <c r="X60" i="12"/>
  <c r="AF59" i="12"/>
  <c r="AE59" i="12"/>
  <c r="AD59" i="12"/>
  <c r="AC59" i="12"/>
  <c r="AB59" i="12"/>
  <c r="AA59" i="12"/>
  <c r="Z59" i="12"/>
  <c r="Y59" i="12"/>
  <c r="X59" i="12"/>
  <c r="AF58" i="12"/>
  <c r="AE58" i="12"/>
  <c r="AD58" i="12"/>
  <c r="AC58" i="12"/>
  <c r="AB58" i="12"/>
  <c r="AA58" i="12"/>
  <c r="Z58" i="12"/>
  <c r="Y58" i="12"/>
  <c r="X58" i="12"/>
  <c r="AF57" i="12"/>
  <c r="AE57" i="12"/>
  <c r="AD57" i="12"/>
  <c r="AC57" i="12"/>
  <c r="AB57" i="12"/>
  <c r="AA57" i="12"/>
  <c r="Z57" i="12"/>
  <c r="Y57" i="12"/>
  <c r="X57" i="12"/>
  <c r="AF56" i="12"/>
  <c r="AE56" i="12"/>
  <c r="AD56" i="12"/>
  <c r="AC56" i="12"/>
  <c r="AB56" i="12"/>
  <c r="AA56" i="12"/>
  <c r="Z56" i="12"/>
  <c r="Y56" i="12"/>
  <c r="X56" i="12"/>
  <c r="AF54" i="12"/>
  <c r="AE54" i="12"/>
  <c r="AD54" i="12"/>
  <c r="AC54" i="12"/>
  <c r="AB54" i="12"/>
  <c r="AA54" i="12"/>
  <c r="Z54" i="12"/>
  <c r="Y54" i="12"/>
  <c r="X54" i="12"/>
  <c r="AF53" i="12"/>
  <c r="AE53" i="12"/>
  <c r="AD53" i="12"/>
  <c r="AC53" i="12"/>
  <c r="AB53" i="12"/>
  <c r="AA53" i="12"/>
  <c r="Z53" i="12"/>
  <c r="Y53" i="12"/>
  <c r="X53" i="12"/>
  <c r="AF52" i="12"/>
  <c r="AE52" i="12"/>
  <c r="AD52" i="12"/>
  <c r="AC52" i="12"/>
  <c r="AB52" i="12"/>
  <c r="AA52" i="12"/>
  <c r="Z52" i="12"/>
  <c r="Y52" i="12"/>
  <c r="X52" i="12"/>
  <c r="AF50" i="12"/>
  <c r="AE50" i="12"/>
  <c r="AD50" i="12"/>
  <c r="AC50" i="12"/>
  <c r="AB50" i="12"/>
  <c r="AA50" i="12"/>
  <c r="Z50" i="12"/>
  <c r="Y50" i="12"/>
  <c r="X50" i="12"/>
  <c r="AF49" i="12"/>
  <c r="AE49" i="12"/>
  <c r="AD49" i="12"/>
  <c r="AC49" i="12"/>
  <c r="AB49" i="12"/>
  <c r="AA49" i="12"/>
  <c r="Z49" i="12"/>
  <c r="Y49" i="12"/>
  <c r="X49" i="12"/>
  <c r="AF48" i="12"/>
  <c r="AE48" i="12"/>
  <c r="AD48" i="12"/>
  <c r="AC48" i="12"/>
  <c r="AB48" i="12"/>
  <c r="AA48" i="12"/>
  <c r="Z48" i="12"/>
  <c r="Y48" i="12"/>
  <c r="X48" i="12"/>
  <c r="AF47" i="12"/>
  <c r="AE47" i="12"/>
  <c r="AD47" i="12"/>
  <c r="AC47" i="12"/>
  <c r="AB47" i="12"/>
  <c r="AA47" i="12"/>
  <c r="Z47" i="12"/>
  <c r="Y47" i="12"/>
  <c r="X47" i="12"/>
  <c r="AF46" i="12"/>
  <c r="AE46" i="12"/>
  <c r="AD46" i="12"/>
  <c r="AC46" i="12"/>
  <c r="AB46" i="12"/>
  <c r="AA46" i="12"/>
  <c r="Z46" i="12"/>
  <c r="Y46" i="12"/>
  <c r="X46" i="12"/>
  <c r="AF45" i="12"/>
  <c r="AE45" i="12"/>
  <c r="AD45" i="12"/>
  <c r="AC45" i="12"/>
  <c r="AB45" i="12"/>
  <c r="AA45" i="12"/>
  <c r="Z45" i="12"/>
  <c r="Y45" i="12"/>
  <c r="X45" i="12"/>
  <c r="AF44" i="12"/>
  <c r="AE44" i="12"/>
  <c r="AD44" i="12"/>
  <c r="AC44" i="12"/>
  <c r="AB44" i="12"/>
  <c r="AA44" i="12"/>
  <c r="Z44" i="12"/>
  <c r="Y44" i="12"/>
  <c r="X44" i="12"/>
  <c r="AF43" i="12"/>
  <c r="AE43" i="12"/>
  <c r="AD43" i="12"/>
  <c r="AC43" i="12"/>
  <c r="AB43" i="12"/>
  <c r="AA43" i="12"/>
  <c r="Z43" i="12"/>
  <c r="Y43" i="12"/>
  <c r="X43" i="12"/>
  <c r="AF42" i="12"/>
  <c r="AE42" i="12"/>
  <c r="AD42" i="12"/>
  <c r="AC42" i="12"/>
  <c r="AB42" i="12"/>
  <c r="AA42" i="12"/>
  <c r="Z42" i="12"/>
  <c r="Y42" i="12"/>
  <c r="X42" i="12"/>
  <c r="AF41" i="12"/>
  <c r="AE41" i="12"/>
  <c r="AD41" i="12"/>
  <c r="AC41" i="12"/>
  <c r="AB41" i="12"/>
  <c r="AA41" i="12"/>
  <c r="Z41" i="12"/>
  <c r="Y41" i="12"/>
  <c r="X41" i="12"/>
  <c r="AF39" i="12"/>
  <c r="AE39" i="12"/>
  <c r="AD39" i="12"/>
  <c r="AC39" i="12"/>
  <c r="AB39" i="12"/>
  <c r="AA39" i="12"/>
  <c r="Z39" i="12"/>
  <c r="Y39" i="12"/>
  <c r="X39" i="12"/>
  <c r="AF38" i="12"/>
  <c r="AE38" i="12"/>
  <c r="AD38" i="12"/>
  <c r="AC38" i="12"/>
  <c r="AB38" i="12"/>
  <c r="AA38" i="12"/>
  <c r="Z38" i="12"/>
  <c r="Y38" i="12"/>
  <c r="X38" i="12"/>
  <c r="AF37" i="12"/>
  <c r="AE37" i="12"/>
  <c r="AD37" i="12"/>
  <c r="AC37" i="12"/>
  <c r="AB37" i="12"/>
  <c r="AA37" i="12"/>
  <c r="Z37" i="12"/>
  <c r="Y37" i="12"/>
  <c r="X37" i="12"/>
  <c r="AF36" i="12"/>
  <c r="AE36" i="12"/>
  <c r="AD36" i="12"/>
  <c r="AC36" i="12"/>
  <c r="AB36" i="12"/>
  <c r="AA36" i="12"/>
  <c r="Z36" i="12"/>
  <c r="Y36" i="12"/>
  <c r="X36" i="12"/>
  <c r="AF35" i="12"/>
  <c r="AE35" i="12"/>
  <c r="AD35" i="12"/>
  <c r="AC35" i="12"/>
  <c r="AB35" i="12"/>
  <c r="AA35" i="12"/>
  <c r="Z35" i="12"/>
  <c r="Y35" i="12"/>
  <c r="X35" i="12"/>
  <c r="AF34" i="12"/>
  <c r="AE34" i="12"/>
  <c r="AD34" i="12"/>
  <c r="AC34" i="12"/>
  <c r="AB34" i="12"/>
  <c r="AA34" i="12"/>
  <c r="Z34" i="12"/>
  <c r="Y34" i="12"/>
  <c r="X34" i="12"/>
  <c r="AF33" i="12"/>
  <c r="AE33" i="12"/>
  <c r="AD33" i="12"/>
  <c r="AC33" i="12"/>
  <c r="AB33" i="12"/>
  <c r="AA33" i="12"/>
  <c r="Z33" i="12"/>
  <c r="Y33" i="12"/>
  <c r="X33" i="12"/>
  <c r="AF32" i="12"/>
  <c r="AE32" i="12"/>
  <c r="AD32" i="12"/>
  <c r="AC32" i="12"/>
  <c r="AB32" i="12"/>
  <c r="AA32" i="12"/>
  <c r="Z32" i="12"/>
  <c r="Y32" i="12"/>
  <c r="X32" i="12"/>
  <c r="AF30" i="12"/>
  <c r="AE30" i="12"/>
  <c r="AD30" i="12"/>
  <c r="AC30" i="12"/>
  <c r="AB30" i="12"/>
  <c r="AA30" i="12"/>
  <c r="Z30" i="12"/>
  <c r="Y30" i="12"/>
  <c r="X30" i="12"/>
  <c r="AF29" i="12"/>
  <c r="AE29" i="12"/>
  <c r="AD29" i="12"/>
  <c r="AC29" i="12"/>
  <c r="AB29" i="12"/>
  <c r="AA29" i="12"/>
  <c r="Z29" i="12"/>
  <c r="Y29" i="12"/>
  <c r="X29" i="12"/>
  <c r="AF28" i="12"/>
  <c r="AE28" i="12"/>
  <c r="AD28" i="12"/>
  <c r="AC28" i="12"/>
  <c r="AB28" i="12"/>
  <c r="AA28" i="12"/>
  <c r="Z28" i="12"/>
  <c r="Y28" i="12"/>
  <c r="X28" i="12"/>
  <c r="AF27" i="12"/>
  <c r="AE27" i="12"/>
  <c r="AD27" i="12"/>
  <c r="AS132" i="13" s="1"/>
  <c r="AC27" i="12"/>
  <c r="AB27" i="12"/>
  <c r="AA27" i="12"/>
  <c r="Z27" i="12"/>
  <c r="Y27" i="12"/>
  <c r="X27" i="12"/>
  <c r="AF26" i="12"/>
  <c r="AE26" i="12"/>
  <c r="AD26" i="12"/>
  <c r="AC26" i="12"/>
  <c r="AB26" i="12"/>
  <c r="AA26" i="12"/>
  <c r="Z26" i="12"/>
  <c r="Y26" i="12"/>
  <c r="X26" i="12"/>
  <c r="AF25" i="12"/>
  <c r="AE25" i="12"/>
  <c r="AD25" i="12"/>
  <c r="AC25" i="12"/>
  <c r="AB25" i="12"/>
  <c r="AA25" i="12"/>
  <c r="Z25" i="12"/>
  <c r="Y25" i="12"/>
  <c r="X25" i="12"/>
  <c r="AF24" i="12"/>
  <c r="AE24" i="12"/>
  <c r="AD24" i="12"/>
  <c r="AC24" i="12"/>
  <c r="AB24" i="12"/>
  <c r="AA24" i="12"/>
  <c r="Z24" i="12"/>
  <c r="Y24" i="12"/>
  <c r="X24" i="12"/>
  <c r="AF22" i="12"/>
  <c r="AE22" i="12"/>
  <c r="AD22" i="12"/>
  <c r="AC22" i="12"/>
  <c r="AB22" i="12"/>
  <c r="AA22" i="12"/>
  <c r="Z22" i="12"/>
  <c r="Y22" i="12"/>
  <c r="X22" i="12"/>
  <c r="AF21" i="12"/>
  <c r="AE21" i="12"/>
  <c r="AD21" i="12"/>
  <c r="AC21" i="12"/>
  <c r="AB21" i="12"/>
  <c r="AA21" i="12"/>
  <c r="Z21" i="12"/>
  <c r="Y21" i="12"/>
  <c r="X21" i="12"/>
  <c r="AF20" i="12"/>
  <c r="AE20" i="12"/>
  <c r="AD20" i="12"/>
  <c r="AC20" i="12"/>
  <c r="AB20" i="12"/>
  <c r="AA20" i="12"/>
  <c r="Z20" i="12"/>
  <c r="Y20" i="12"/>
  <c r="X20" i="12"/>
  <c r="AF19" i="12"/>
  <c r="AE19" i="12"/>
  <c r="AD19" i="12"/>
  <c r="AC19" i="12"/>
  <c r="AB19" i="12"/>
  <c r="AA19" i="12"/>
  <c r="Z19" i="12"/>
  <c r="Y19" i="12"/>
  <c r="X19" i="12"/>
  <c r="AF18" i="12"/>
  <c r="AE18" i="12"/>
  <c r="AD18" i="12"/>
  <c r="AC18" i="12"/>
  <c r="AB18" i="12"/>
  <c r="AA18" i="12"/>
  <c r="Z18" i="12"/>
  <c r="Y18" i="12"/>
  <c r="X18" i="12"/>
  <c r="AF17" i="12"/>
  <c r="AE17" i="12"/>
  <c r="AD17" i="12"/>
  <c r="AS122" i="13" s="1"/>
  <c r="AC17" i="12"/>
  <c r="AB17" i="12"/>
  <c r="AA17" i="12"/>
  <c r="Z17" i="12"/>
  <c r="Y17" i="12"/>
  <c r="X17" i="12"/>
  <c r="AF16" i="12"/>
  <c r="AE16" i="12"/>
  <c r="AD16" i="12"/>
  <c r="AS121" i="13" s="1"/>
  <c r="AC16" i="12"/>
  <c r="AB16" i="12"/>
  <c r="AA16" i="12"/>
  <c r="Z16" i="12"/>
  <c r="Y16" i="12"/>
  <c r="X16" i="12"/>
  <c r="AF15" i="12"/>
  <c r="AE15" i="12"/>
  <c r="AD15" i="12"/>
  <c r="AC15" i="12"/>
  <c r="AB15" i="12"/>
  <c r="AA15" i="12"/>
  <c r="Z15" i="12"/>
  <c r="Y15" i="12"/>
  <c r="X15" i="12"/>
  <c r="AF3" i="12"/>
  <c r="AE3" i="12"/>
  <c r="AG9" i="12" s="1"/>
  <c r="AC3" i="12"/>
  <c r="AD7" i="12" s="1"/>
  <c r="AG82" i="1" s="1"/>
  <c r="X3" i="12"/>
  <c r="W3" i="12"/>
  <c r="V3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94" i="12"/>
  <c r="H94" i="12"/>
  <c r="I94" i="12"/>
  <c r="J94" i="12"/>
  <c r="K94" i="12"/>
  <c r="G95" i="12"/>
  <c r="H95" i="12"/>
  <c r="I95" i="12"/>
  <c r="J95" i="12"/>
  <c r="K95" i="12"/>
  <c r="G96" i="12"/>
  <c r="H96" i="12"/>
  <c r="I96" i="12"/>
  <c r="J96" i="12"/>
  <c r="K96" i="12"/>
  <c r="G97" i="12"/>
  <c r="H97" i="12"/>
  <c r="I97" i="12"/>
  <c r="J97" i="12"/>
  <c r="K97" i="12"/>
  <c r="G98" i="12"/>
  <c r="H98" i="12"/>
  <c r="I98" i="12"/>
  <c r="J98" i="12"/>
  <c r="K98" i="12"/>
  <c r="G99" i="12"/>
  <c r="H99" i="12"/>
  <c r="I99" i="12"/>
  <c r="J99" i="12"/>
  <c r="K99" i="12"/>
  <c r="G100" i="12"/>
  <c r="H100" i="12"/>
  <c r="I100" i="12"/>
  <c r="J100" i="12"/>
  <c r="K100" i="12"/>
  <c r="G101" i="12"/>
  <c r="H101" i="12"/>
  <c r="I101" i="12"/>
  <c r="J101" i="12"/>
  <c r="K101" i="12"/>
  <c r="G102" i="12"/>
  <c r="H102" i="12"/>
  <c r="I102" i="12"/>
  <c r="J102" i="12"/>
  <c r="K102" i="12"/>
  <c r="G103" i="12"/>
  <c r="H103" i="12"/>
  <c r="I103" i="12"/>
  <c r="J103" i="12"/>
  <c r="K103" i="12"/>
  <c r="G104" i="12"/>
  <c r="H104" i="12"/>
  <c r="I104" i="12"/>
  <c r="J104" i="12"/>
  <c r="K104" i="12"/>
  <c r="G105" i="12"/>
  <c r="H105" i="12"/>
  <c r="I105" i="12"/>
  <c r="J105" i="12"/>
  <c r="K105" i="12"/>
  <c r="G106" i="12"/>
  <c r="H106" i="12"/>
  <c r="I106" i="12"/>
  <c r="J106" i="12"/>
  <c r="K106" i="12"/>
  <c r="G107" i="12"/>
  <c r="H107" i="12"/>
  <c r="I107" i="12"/>
  <c r="J107" i="12"/>
  <c r="K107" i="12"/>
  <c r="G108" i="12"/>
  <c r="H108" i="12"/>
  <c r="I108" i="12"/>
  <c r="J108" i="12"/>
  <c r="K108" i="12"/>
  <c r="G109" i="12"/>
  <c r="H109" i="12"/>
  <c r="I109" i="12"/>
  <c r="J109" i="12"/>
  <c r="K109" i="12"/>
  <c r="G110" i="12"/>
  <c r="H110" i="12"/>
  <c r="I110" i="12"/>
  <c r="J110" i="12"/>
  <c r="K110" i="12"/>
  <c r="G111" i="12"/>
  <c r="H111" i="12"/>
  <c r="I111" i="12"/>
  <c r="J111" i="12"/>
  <c r="K111" i="12"/>
  <c r="G112" i="12"/>
  <c r="H112" i="12"/>
  <c r="I112" i="12"/>
  <c r="J112" i="12"/>
  <c r="K112" i="12"/>
  <c r="G113" i="12"/>
  <c r="H113" i="12"/>
  <c r="I113" i="12"/>
  <c r="J113" i="12"/>
  <c r="K113" i="12"/>
  <c r="G114" i="12"/>
  <c r="H114" i="12"/>
  <c r="I114" i="12"/>
  <c r="J114" i="12"/>
  <c r="K114" i="12"/>
  <c r="G115" i="12"/>
  <c r="H115" i="12"/>
  <c r="I115" i="12"/>
  <c r="J115" i="12"/>
  <c r="K115" i="12"/>
  <c r="G116" i="12"/>
  <c r="H116" i="12"/>
  <c r="I116" i="12"/>
  <c r="J116" i="12"/>
  <c r="K116" i="12"/>
  <c r="G117" i="12"/>
  <c r="H117" i="12"/>
  <c r="I117" i="12"/>
  <c r="J117" i="12"/>
  <c r="K117" i="12"/>
  <c r="G118" i="12"/>
  <c r="H118" i="12"/>
  <c r="I118" i="12"/>
  <c r="J118" i="12"/>
  <c r="K118" i="12"/>
  <c r="G119" i="12"/>
  <c r="H119" i="12"/>
  <c r="I119" i="12"/>
  <c r="J119" i="12"/>
  <c r="K119" i="12"/>
  <c r="G120" i="12"/>
  <c r="H120" i="12"/>
  <c r="I120" i="12"/>
  <c r="J120" i="12"/>
  <c r="K120" i="12"/>
  <c r="G121" i="12"/>
  <c r="H121" i="12"/>
  <c r="I121" i="12"/>
  <c r="J121" i="12"/>
  <c r="K121" i="12"/>
  <c r="G122" i="12"/>
  <c r="H122" i="12"/>
  <c r="I122" i="12"/>
  <c r="J122" i="12"/>
  <c r="K122" i="12"/>
  <c r="K15" i="12"/>
  <c r="J15" i="12"/>
  <c r="I15" i="12"/>
  <c r="H15" i="12"/>
  <c r="G15" i="12"/>
  <c r="K3" i="12"/>
  <c r="J3" i="12"/>
  <c r="H3" i="12"/>
  <c r="C3" i="12"/>
  <c r="B3" i="12"/>
  <c r="A3" i="12"/>
  <c r="C15" i="12"/>
  <c r="E15" i="12"/>
  <c r="C126" i="12"/>
  <c r="D126" i="12"/>
  <c r="E126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146" i="12"/>
  <c r="D146" i="12"/>
  <c r="E146" i="12"/>
  <c r="C147" i="12"/>
  <c r="D147" i="12"/>
  <c r="E147" i="12"/>
  <c r="C148" i="12"/>
  <c r="D148" i="12"/>
  <c r="E148" i="12"/>
  <c r="E125" i="12"/>
  <c r="D125" i="12"/>
  <c r="C125" i="12"/>
  <c r="AM128" i="13"/>
  <c r="AM135" i="13"/>
  <c r="AM143" i="13"/>
  <c r="AM153" i="13"/>
  <c r="AM156" i="13"/>
  <c r="AM166" i="13"/>
  <c r="AM173" i="13"/>
  <c r="AM182" i="13"/>
  <c r="AL182" i="13" s="1"/>
  <c r="AK226" i="13"/>
  <c r="AK227" i="13"/>
  <c r="AK228" i="13"/>
  <c r="AK229" i="13"/>
  <c r="AK230" i="13"/>
  <c r="AK231" i="13"/>
  <c r="AK232" i="13"/>
  <c r="AK233" i="13"/>
  <c r="AK234" i="13"/>
  <c r="AK235" i="13"/>
  <c r="AK236" i="13"/>
  <c r="AK237" i="13"/>
  <c r="AK238" i="13"/>
  <c r="AK239" i="13"/>
  <c r="AK240" i="13"/>
  <c r="AK241" i="13"/>
  <c r="AK242" i="13"/>
  <c r="AK243" i="13"/>
  <c r="AK244" i="13"/>
  <c r="AK245" i="13"/>
  <c r="AK246" i="13"/>
  <c r="AK247" i="13"/>
  <c r="AI248" i="13"/>
  <c r="AI226" i="13"/>
  <c r="AI227" i="13"/>
  <c r="AI228" i="13"/>
  <c r="AI229" i="13"/>
  <c r="AI230" i="13"/>
  <c r="AI231" i="13"/>
  <c r="AI232" i="13"/>
  <c r="AI233" i="13"/>
  <c r="AI234" i="13"/>
  <c r="AI235" i="13"/>
  <c r="AI236" i="13"/>
  <c r="AI237" i="13"/>
  <c r="AI238" i="13"/>
  <c r="AI239" i="13"/>
  <c r="AI240" i="13"/>
  <c r="AI241" i="13"/>
  <c r="AI242" i="13"/>
  <c r="AI243" i="13"/>
  <c r="AI244" i="13"/>
  <c r="AI245" i="13"/>
  <c r="AI246" i="13"/>
  <c r="AI247" i="13"/>
  <c r="AI225" i="13"/>
  <c r="AK225" i="13" s="1"/>
  <c r="AK123" i="13"/>
  <c r="AK131" i="13"/>
  <c r="AK147" i="13"/>
  <c r="AK151" i="13"/>
  <c r="AK154" i="13"/>
  <c r="AK155" i="13"/>
  <c r="AK157" i="13"/>
  <c r="AK159" i="13"/>
  <c r="AK160" i="13"/>
  <c r="AK161" i="13"/>
  <c r="AK163" i="13"/>
  <c r="AK164" i="13"/>
  <c r="AK165" i="13"/>
  <c r="AK168" i="13"/>
  <c r="AK169" i="13"/>
  <c r="AK170" i="13"/>
  <c r="AK172" i="13"/>
  <c r="AK176" i="13"/>
  <c r="AK179" i="13"/>
  <c r="AK180" i="13"/>
  <c r="AK183" i="13"/>
  <c r="AK184" i="13"/>
  <c r="AK185" i="13"/>
  <c r="AK187" i="13"/>
  <c r="AK188" i="13"/>
  <c r="AK191" i="13"/>
  <c r="AK192" i="13"/>
  <c r="AK193" i="13"/>
  <c r="AK195" i="13"/>
  <c r="AK196" i="13"/>
  <c r="AK197" i="13"/>
  <c r="AK199" i="13"/>
  <c r="AK200" i="13"/>
  <c r="AK201" i="13"/>
  <c r="AK203" i="13"/>
  <c r="AK204" i="13"/>
  <c r="AK205" i="13"/>
  <c r="AK207" i="13"/>
  <c r="AK208" i="13"/>
  <c r="AK209" i="13"/>
  <c r="AK211" i="13"/>
  <c r="AK212" i="13"/>
  <c r="AK213" i="13"/>
  <c r="AK215" i="13"/>
  <c r="AK216" i="13"/>
  <c r="AK217" i="13"/>
  <c r="BZ81" i="3"/>
  <c r="BZ82" i="3"/>
  <c r="BY82" i="3"/>
  <c r="AZ40" i="6"/>
  <c r="BA40" i="6"/>
  <c r="AZ41" i="6"/>
  <c r="BA41" i="6"/>
  <c r="AI166" i="13"/>
  <c r="AI167" i="13"/>
  <c r="AK167" i="13" s="1"/>
  <c r="AI168" i="13"/>
  <c r="AI169" i="13"/>
  <c r="AI170" i="13"/>
  <c r="AI171" i="13"/>
  <c r="AK171" i="13" s="1"/>
  <c r="AI172" i="13"/>
  <c r="AI156" i="13"/>
  <c r="AI157" i="13"/>
  <c r="AI158" i="13"/>
  <c r="AK158" i="13" s="1"/>
  <c r="AI159" i="13"/>
  <c r="AI160" i="13"/>
  <c r="AI161" i="13"/>
  <c r="AI162" i="13"/>
  <c r="AK162" i="13" s="1"/>
  <c r="AI163" i="13"/>
  <c r="AI164" i="13"/>
  <c r="AI165" i="13"/>
  <c r="AI153" i="13"/>
  <c r="AI154" i="13"/>
  <c r="AI155" i="13"/>
  <c r="AI121" i="13"/>
  <c r="AI122" i="13"/>
  <c r="AK122" i="13" s="1"/>
  <c r="AI123" i="13"/>
  <c r="AI124" i="13"/>
  <c r="AK124" i="13" s="1"/>
  <c r="AI125" i="13"/>
  <c r="AK125" i="13" s="1"/>
  <c r="AI126" i="13"/>
  <c r="AK126" i="13" s="1"/>
  <c r="AI127" i="13"/>
  <c r="AK127" i="13" s="1"/>
  <c r="AI128" i="13"/>
  <c r="AK128" i="13" s="1"/>
  <c r="AI129" i="13"/>
  <c r="AK129" i="13" s="1"/>
  <c r="AI130" i="13"/>
  <c r="AK130" i="13" s="1"/>
  <c r="AI131" i="13"/>
  <c r="AI132" i="13"/>
  <c r="AK132" i="13" s="1"/>
  <c r="AI133" i="13"/>
  <c r="AK133" i="13" s="1"/>
  <c r="AI134" i="13"/>
  <c r="AK134" i="13" s="1"/>
  <c r="AI135" i="13"/>
  <c r="AI136" i="13"/>
  <c r="AI137" i="13"/>
  <c r="AI138" i="13"/>
  <c r="AK138" i="13" s="1"/>
  <c r="AI139" i="13"/>
  <c r="AK139" i="13" s="1"/>
  <c r="AI140" i="13"/>
  <c r="AK140" i="13" s="1"/>
  <c r="AI141" i="13"/>
  <c r="AK141" i="13" s="1"/>
  <c r="AI142" i="13"/>
  <c r="AK142" i="13" s="1"/>
  <c r="AI143" i="13"/>
  <c r="AI144" i="13"/>
  <c r="AK144" i="13" s="1"/>
  <c r="AI145" i="13"/>
  <c r="AK145" i="13" s="1"/>
  <c r="AI146" i="13"/>
  <c r="AK146" i="13" s="1"/>
  <c r="AI147" i="13"/>
  <c r="AI148" i="13"/>
  <c r="AK148" i="13" s="1"/>
  <c r="AI149" i="13"/>
  <c r="AK149" i="13" s="1"/>
  <c r="AI150" i="13"/>
  <c r="AK150" i="13" s="1"/>
  <c r="AI151" i="13"/>
  <c r="AI152" i="13"/>
  <c r="AK152" i="13" s="1"/>
  <c r="AI173" i="13"/>
  <c r="AI174" i="13"/>
  <c r="AK174" i="13" s="1"/>
  <c r="AI175" i="13"/>
  <c r="AI176" i="13"/>
  <c r="AI177" i="13"/>
  <c r="AK177" i="13" s="1"/>
  <c r="AI178" i="13"/>
  <c r="AK178" i="13" s="1"/>
  <c r="AI179" i="13"/>
  <c r="AI180" i="13"/>
  <c r="AI181" i="13"/>
  <c r="AK181" i="13" s="1"/>
  <c r="AI182" i="13"/>
  <c r="AJ183" i="13" s="1"/>
  <c r="AI183" i="13"/>
  <c r="AI184" i="13"/>
  <c r="AI185" i="13"/>
  <c r="AI186" i="13"/>
  <c r="AK186" i="13" s="1"/>
  <c r="AI187" i="13"/>
  <c r="AI188" i="13"/>
  <c r="AI189" i="13"/>
  <c r="AI190" i="13"/>
  <c r="AK190" i="13" s="1"/>
  <c r="AI191" i="13"/>
  <c r="AI192" i="13"/>
  <c r="AI193" i="13"/>
  <c r="AI194" i="13"/>
  <c r="AK194" i="13" s="1"/>
  <c r="AI195" i="13"/>
  <c r="AI196" i="13"/>
  <c r="AI197" i="13"/>
  <c r="AI198" i="13"/>
  <c r="AK198" i="13" s="1"/>
  <c r="AI199" i="13"/>
  <c r="AI200" i="13"/>
  <c r="AI201" i="13"/>
  <c r="AI202" i="13"/>
  <c r="AK202" i="13" s="1"/>
  <c r="AI203" i="13"/>
  <c r="AI204" i="13"/>
  <c r="AI205" i="13"/>
  <c r="AI206" i="13"/>
  <c r="AK206" i="13" s="1"/>
  <c r="AI207" i="13"/>
  <c r="AI208" i="13"/>
  <c r="AI209" i="13"/>
  <c r="AI210" i="13"/>
  <c r="AK210" i="13" s="1"/>
  <c r="AI211" i="13"/>
  <c r="AI212" i="13"/>
  <c r="AI213" i="13"/>
  <c r="AI214" i="13"/>
  <c r="AK214" i="13" s="1"/>
  <c r="AI215" i="13"/>
  <c r="AI216" i="13"/>
  <c r="AI217" i="13"/>
  <c r="AI218" i="13"/>
  <c r="AK218" i="13" s="1"/>
  <c r="AI219" i="13"/>
  <c r="AK219" i="13" s="1"/>
  <c r="AI120" i="13"/>
  <c r="AK120" i="13" s="1"/>
  <c r="L9" i="12"/>
  <c r="S114" i="13"/>
  <c r="S115" i="13"/>
  <c r="S9" i="13"/>
  <c r="S10" i="13"/>
  <c r="S11" i="13"/>
  <c r="S12" i="13"/>
  <c r="S13" i="13"/>
  <c r="S14" i="13"/>
  <c r="S15" i="13"/>
  <c r="S17" i="13"/>
  <c r="S18" i="13"/>
  <c r="S19" i="13"/>
  <c r="S20" i="13"/>
  <c r="S21" i="13"/>
  <c r="S22" i="13"/>
  <c r="S23" i="13"/>
  <c r="S25" i="13"/>
  <c r="S26" i="13"/>
  <c r="S27" i="13"/>
  <c r="S28" i="13"/>
  <c r="S29" i="13"/>
  <c r="S30" i="13"/>
  <c r="S31" i="13"/>
  <c r="S32" i="13"/>
  <c r="S34" i="13"/>
  <c r="S35" i="13"/>
  <c r="S36" i="13"/>
  <c r="S37" i="13"/>
  <c r="S38" i="13"/>
  <c r="S39" i="13"/>
  <c r="S40" i="13"/>
  <c r="S41" i="13"/>
  <c r="S42" i="13"/>
  <c r="S43" i="13"/>
  <c r="S45" i="13"/>
  <c r="S46" i="13"/>
  <c r="S47" i="13"/>
  <c r="S49" i="13"/>
  <c r="S50" i="13"/>
  <c r="S51" i="13"/>
  <c r="S52" i="13"/>
  <c r="S53" i="13"/>
  <c r="S54" i="13"/>
  <c r="S55" i="13"/>
  <c r="S56" i="13"/>
  <c r="S57" i="13"/>
  <c r="S58" i="13"/>
  <c r="S60" i="13"/>
  <c r="S61" i="13"/>
  <c r="S62" i="13"/>
  <c r="S63" i="13"/>
  <c r="S64" i="13"/>
  <c r="S65" i="13"/>
  <c r="S66" i="13"/>
  <c r="S68" i="13"/>
  <c r="S69" i="13"/>
  <c r="S70" i="13"/>
  <c r="S71" i="13"/>
  <c r="S72" i="13"/>
  <c r="S73" i="13"/>
  <c r="S74" i="13"/>
  <c r="S75" i="13"/>
  <c r="S76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8" i="13"/>
  <c r="BT7" i="12" l="1"/>
  <c r="AG96" i="1" s="1"/>
  <c r="CI124" i="13"/>
  <c r="CJ124" i="13"/>
  <c r="CJ228" i="13" s="1"/>
  <c r="CJ230" i="13" s="1"/>
  <c r="BP11" i="12" s="1"/>
  <c r="BT11" i="12"/>
  <c r="CG124" i="13"/>
  <c r="CK124" i="13"/>
  <c r="CL228" i="13"/>
  <c r="CL230" i="13" s="1"/>
  <c r="BR11" i="12" s="1"/>
  <c r="CH124" i="13"/>
  <c r="CH228" i="13" s="1"/>
  <c r="CH230" i="13" s="1"/>
  <c r="BN11" i="12" s="1"/>
  <c r="CU157" i="13"/>
  <c r="CV156" i="13"/>
  <c r="CK228" i="13"/>
  <c r="CU169" i="13"/>
  <c r="CG228" i="13"/>
  <c r="CV127" i="13"/>
  <c r="CU131" i="13"/>
  <c r="CU139" i="13"/>
  <c r="CU168" i="13"/>
  <c r="CO228" i="13"/>
  <c r="CU132" i="13"/>
  <c r="CU133" i="13" s="1"/>
  <c r="CU134" i="13" s="1"/>
  <c r="CI228" i="13"/>
  <c r="CI230" i="13" s="1"/>
  <c r="BO11" i="12" s="1"/>
  <c r="CM228" i="13"/>
  <c r="CQ228" i="13"/>
  <c r="CU123" i="13"/>
  <c r="CU124" i="13"/>
  <c r="CU125" i="13" s="1"/>
  <c r="CU126" i="13" s="1"/>
  <c r="CU127" i="13" s="1"/>
  <c r="CU130" i="13"/>
  <c r="CU146" i="13"/>
  <c r="CU147" i="13"/>
  <c r="CU148" i="13" s="1"/>
  <c r="CU149" i="13" s="1"/>
  <c r="CU150" i="13" s="1"/>
  <c r="CU151" i="13" s="1"/>
  <c r="CU152" i="13" s="1"/>
  <c r="CX153" i="13"/>
  <c r="CW153" i="13" s="1"/>
  <c r="CU158" i="13"/>
  <c r="CU159" i="13" s="1"/>
  <c r="CU160" i="13" s="1"/>
  <c r="CU161" i="13" s="1"/>
  <c r="CU162" i="13" s="1"/>
  <c r="CU163" i="13" s="1"/>
  <c r="CU164" i="13" s="1"/>
  <c r="CU165" i="13" s="1"/>
  <c r="CV165" i="13"/>
  <c r="CU227" i="13"/>
  <c r="CV173" i="13"/>
  <c r="CV182" i="13"/>
  <c r="CV225" i="13"/>
  <c r="CU175" i="13"/>
  <c r="CU184" i="13"/>
  <c r="CV135" i="13"/>
  <c r="CV153" i="13"/>
  <c r="BS228" i="13"/>
  <c r="BW228" i="13"/>
  <c r="BQ230" i="13" s="1"/>
  <c r="AW11" i="12" s="1"/>
  <c r="BM230" i="13"/>
  <c r="AS11" i="12" s="1"/>
  <c r="AY11" i="12"/>
  <c r="AQ122" i="13"/>
  <c r="AU122" i="13"/>
  <c r="AR122" i="13"/>
  <c r="AV122" i="13"/>
  <c r="BO228" i="13"/>
  <c r="BL228" i="13"/>
  <c r="BP228" i="13"/>
  <c r="BP230" i="13" s="1"/>
  <c r="AV11" i="12" s="1"/>
  <c r="BZ130" i="13"/>
  <c r="BO230" i="13"/>
  <c r="AU11" i="12" s="1"/>
  <c r="BZ131" i="13"/>
  <c r="BZ132" i="13" s="1"/>
  <c r="BZ133" i="13" s="1"/>
  <c r="BZ134" i="13" s="1"/>
  <c r="CC153" i="13"/>
  <c r="CB153" i="13" s="1"/>
  <c r="BZ169" i="13"/>
  <c r="BZ177" i="13"/>
  <c r="BZ159" i="13"/>
  <c r="BZ160" i="13" s="1"/>
  <c r="BZ170" i="13"/>
  <c r="BZ171" i="13" s="1"/>
  <c r="BZ172" i="13" s="1"/>
  <c r="CA123" i="13"/>
  <c r="BZ137" i="13"/>
  <c r="BZ185" i="13"/>
  <c r="BZ186" i="13" s="1"/>
  <c r="BZ187" i="13" s="1"/>
  <c r="BZ188" i="13" s="1"/>
  <c r="BZ189" i="13" s="1"/>
  <c r="BZ190" i="13" s="1"/>
  <c r="BZ191" i="13" s="1"/>
  <c r="BZ192" i="13" s="1"/>
  <c r="BZ193" i="13" s="1"/>
  <c r="BZ194" i="13" s="1"/>
  <c r="BZ195" i="13" s="1"/>
  <c r="BZ196" i="13" s="1"/>
  <c r="BZ197" i="13" s="1"/>
  <c r="BZ198" i="13" s="1"/>
  <c r="BZ199" i="13" s="1"/>
  <c r="BZ200" i="13" s="1"/>
  <c r="BZ201" i="13" s="1"/>
  <c r="BZ202" i="13" s="1"/>
  <c r="BZ203" i="13" s="1"/>
  <c r="BZ204" i="13" s="1"/>
  <c r="BZ205" i="13" s="1"/>
  <c r="BZ206" i="13" s="1"/>
  <c r="BZ207" i="13" s="1"/>
  <c r="BZ208" i="13" s="1"/>
  <c r="BZ209" i="13" s="1"/>
  <c r="BZ210" i="13" s="1"/>
  <c r="BZ211" i="13" s="1"/>
  <c r="BZ212" i="13" s="1"/>
  <c r="BZ213" i="13" s="1"/>
  <c r="BZ214" i="13" s="1"/>
  <c r="BZ215" i="13" s="1"/>
  <c r="BZ216" i="13" s="1"/>
  <c r="BZ217" i="13" s="1"/>
  <c r="BZ218" i="13" s="1"/>
  <c r="BZ219" i="13" s="1"/>
  <c r="BL230" i="13"/>
  <c r="AR11" i="12" s="1"/>
  <c r="BZ123" i="13"/>
  <c r="BZ146" i="13"/>
  <c r="BZ158" i="13"/>
  <c r="CA121" i="13"/>
  <c r="BZ124" i="13"/>
  <c r="BZ125" i="13" s="1"/>
  <c r="BZ126" i="13" s="1"/>
  <c r="BZ127" i="13" s="1"/>
  <c r="CA125" i="13"/>
  <c r="CA128" i="13"/>
  <c r="CA130" i="13"/>
  <c r="BZ138" i="13"/>
  <c r="BZ139" i="13" s="1"/>
  <c r="BZ140" i="13" s="1"/>
  <c r="BZ141" i="13" s="1"/>
  <c r="BZ142" i="13" s="1"/>
  <c r="CA139" i="13"/>
  <c r="BZ147" i="13"/>
  <c r="BZ148" i="13" s="1"/>
  <c r="CA148" i="13"/>
  <c r="CA156" i="13"/>
  <c r="CA158" i="13"/>
  <c r="CA162" i="13"/>
  <c r="CA167" i="13"/>
  <c r="CA171" i="13"/>
  <c r="CA176" i="13"/>
  <c r="CA180" i="13"/>
  <c r="BZ184" i="13"/>
  <c r="CA185" i="13"/>
  <c r="CA189" i="13"/>
  <c r="CA193" i="13"/>
  <c r="CA205" i="13"/>
  <c r="CA209" i="13"/>
  <c r="CA213" i="13"/>
  <c r="CA217" i="13"/>
  <c r="BZ227" i="13"/>
  <c r="BZ228" i="13" s="1"/>
  <c r="CA129" i="13"/>
  <c r="CA138" i="13"/>
  <c r="CA165" i="13"/>
  <c r="CA173" i="13"/>
  <c r="CA175" i="13"/>
  <c r="CA182" i="13"/>
  <c r="CA184" i="13"/>
  <c r="CA208" i="13"/>
  <c r="CA225" i="13"/>
  <c r="CA227" i="13"/>
  <c r="CA237" i="13"/>
  <c r="CA135" i="13"/>
  <c r="CA153" i="13"/>
  <c r="AY7" i="12"/>
  <c r="AY228" i="13"/>
  <c r="BF121" i="13"/>
  <c r="AT132" i="13"/>
  <c r="AW228" i="13"/>
  <c r="BA228" i="13"/>
  <c r="AQ132" i="13"/>
  <c r="AU132" i="13"/>
  <c r="AX228" i="13"/>
  <c r="BB228" i="13"/>
  <c r="AR132" i="13"/>
  <c r="AV132" i="13"/>
  <c r="AT121" i="13"/>
  <c r="AD11" i="12"/>
  <c r="AQ121" i="13"/>
  <c r="AR121" i="13"/>
  <c r="AV121" i="13"/>
  <c r="BE123" i="13"/>
  <c r="BE124" i="13" s="1"/>
  <c r="AU121" i="13"/>
  <c r="AU228" i="13" s="1"/>
  <c r="AU230" i="13" s="1"/>
  <c r="AA11" i="12" s="1"/>
  <c r="AS228" i="13"/>
  <c r="AS230" i="13" s="1"/>
  <c r="BF124" i="13"/>
  <c r="BE129" i="13"/>
  <c r="BF128" i="13"/>
  <c r="BF131" i="13"/>
  <c r="BF133" i="13"/>
  <c r="BF140" i="13"/>
  <c r="BF145" i="13"/>
  <c r="BE147" i="13"/>
  <c r="BE148" i="13" s="1"/>
  <c r="BE149" i="13" s="1"/>
  <c r="BE150" i="13" s="1"/>
  <c r="BE151" i="13" s="1"/>
  <c r="BE152" i="13" s="1"/>
  <c r="BE154" i="13"/>
  <c r="BE155" i="13" s="1"/>
  <c r="BF153" i="13"/>
  <c r="BE157" i="13"/>
  <c r="BE158" i="13" s="1"/>
  <c r="BE159" i="13" s="1"/>
  <c r="BE160" i="13" s="1"/>
  <c r="BE161" i="13" s="1"/>
  <c r="BE162" i="13" s="1"/>
  <c r="BE163" i="13" s="1"/>
  <c r="BE164" i="13" s="1"/>
  <c r="BE165" i="13" s="1"/>
  <c r="BF156" i="13"/>
  <c r="BF122" i="13"/>
  <c r="BE136" i="13"/>
  <c r="BE137" i="13" s="1"/>
  <c r="BE138" i="13" s="1"/>
  <c r="BE139" i="13" s="1"/>
  <c r="BE140" i="13" s="1"/>
  <c r="BE141" i="13" s="1"/>
  <c r="BE142" i="13" s="1"/>
  <c r="BF135" i="13"/>
  <c r="BF147" i="13"/>
  <c r="BF154" i="13"/>
  <c r="BE175" i="13"/>
  <c r="BE176" i="13" s="1"/>
  <c r="BE227" i="13"/>
  <c r="BE228" i="13" s="1"/>
  <c r="BF123" i="13"/>
  <c r="BF132" i="13"/>
  <c r="BF137" i="13"/>
  <c r="BF141" i="13"/>
  <c r="BF146" i="13"/>
  <c r="BF150" i="13"/>
  <c r="BF160" i="13"/>
  <c r="BF164" i="13"/>
  <c r="BE168" i="13"/>
  <c r="BE169" i="13" s="1"/>
  <c r="BE170" i="13" s="1"/>
  <c r="BE171" i="13" s="1"/>
  <c r="BE172" i="13" s="1"/>
  <c r="BF169" i="13"/>
  <c r="BF174" i="13"/>
  <c r="BE177" i="13"/>
  <c r="BE178" i="13" s="1"/>
  <c r="BE179" i="13" s="1"/>
  <c r="BE180" i="13" s="1"/>
  <c r="BE181" i="13" s="1"/>
  <c r="BF178" i="13"/>
  <c r="BE186" i="13"/>
  <c r="BE187" i="13" s="1"/>
  <c r="AJ226" i="13"/>
  <c r="AJ227" i="13" s="1"/>
  <c r="AJ228" i="13" s="1"/>
  <c r="AJ229" i="13" s="1"/>
  <c r="AJ230" i="13" s="1"/>
  <c r="AJ231" i="13" s="1"/>
  <c r="AJ232" i="13" s="1"/>
  <c r="AJ233" i="13" s="1"/>
  <c r="AJ234" i="13" s="1"/>
  <c r="AJ235" i="13" s="1"/>
  <c r="AJ236" i="13" s="1"/>
  <c r="AJ237" i="13" s="1"/>
  <c r="AJ238" i="13" s="1"/>
  <c r="AJ239" i="13" s="1"/>
  <c r="AJ240" i="13" s="1"/>
  <c r="AJ241" i="13" s="1"/>
  <c r="AJ242" i="13" s="1"/>
  <c r="AJ243" i="13" s="1"/>
  <c r="AJ244" i="13" s="1"/>
  <c r="AJ245" i="13" s="1"/>
  <c r="AJ246" i="13" s="1"/>
  <c r="AJ247" i="13" s="1"/>
  <c r="AJ248" i="13" s="1"/>
  <c r="AK248" i="13"/>
  <c r="AJ121" i="13"/>
  <c r="AJ136" i="13"/>
  <c r="AK135" i="13"/>
  <c r="AD228" i="13"/>
  <c r="AE228" i="13"/>
  <c r="AG228" i="13"/>
  <c r="AC228" i="13"/>
  <c r="AB228" i="13"/>
  <c r="AF228" i="13"/>
  <c r="F122" i="12"/>
  <c r="E122" i="12"/>
  <c r="D122" i="12"/>
  <c r="C122" i="12"/>
  <c r="F121" i="12"/>
  <c r="E121" i="12"/>
  <c r="D121" i="12"/>
  <c r="C121" i="12"/>
  <c r="F119" i="12"/>
  <c r="E119" i="12"/>
  <c r="D119" i="12"/>
  <c r="C119" i="12"/>
  <c r="C118" i="12"/>
  <c r="F117" i="12"/>
  <c r="E117" i="12"/>
  <c r="D117" i="12"/>
  <c r="C117" i="12"/>
  <c r="F115" i="12"/>
  <c r="E115" i="12"/>
  <c r="D115" i="12"/>
  <c r="C115" i="12"/>
  <c r="F113" i="12"/>
  <c r="F112" i="12"/>
  <c r="E113" i="12"/>
  <c r="E112" i="12"/>
  <c r="D113" i="12"/>
  <c r="D112" i="12"/>
  <c r="C113" i="12"/>
  <c r="C112" i="12"/>
  <c r="F110" i="12"/>
  <c r="E110" i="12"/>
  <c r="D110" i="12"/>
  <c r="C110" i="12"/>
  <c r="F108" i="12"/>
  <c r="E108" i="12"/>
  <c r="D108" i="12"/>
  <c r="C108" i="12"/>
  <c r="F106" i="12"/>
  <c r="F105" i="12"/>
  <c r="F104" i="12"/>
  <c r="E106" i="12"/>
  <c r="E105" i="12"/>
  <c r="E104" i="12"/>
  <c r="D106" i="12"/>
  <c r="D105" i="12"/>
  <c r="D104" i="12"/>
  <c r="C106" i="12"/>
  <c r="C105" i="12"/>
  <c r="C104" i="12"/>
  <c r="F102" i="12"/>
  <c r="E102" i="12"/>
  <c r="D102" i="12"/>
  <c r="C102" i="12"/>
  <c r="F100" i="12"/>
  <c r="F99" i="12"/>
  <c r="F98" i="12"/>
  <c r="E100" i="12"/>
  <c r="E99" i="12"/>
  <c r="E98" i="12"/>
  <c r="D100" i="12"/>
  <c r="D99" i="12"/>
  <c r="D98" i="12"/>
  <c r="C100" i="12"/>
  <c r="C99" i="12"/>
  <c r="C98" i="12"/>
  <c r="F96" i="12"/>
  <c r="E96" i="12"/>
  <c r="D96" i="12"/>
  <c r="C96" i="12"/>
  <c r="F93" i="12"/>
  <c r="E93" i="12"/>
  <c r="D93" i="12"/>
  <c r="C93" i="12"/>
  <c r="F89" i="12"/>
  <c r="F88" i="12"/>
  <c r="E89" i="12"/>
  <c r="E88" i="12"/>
  <c r="D89" i="12"/>
  <c r="D88" i="12"/>
  <c r="C89" i="12"/>
  <c r="C88" i="12"/>
  <c r="C541" i="13"/>
  <c r="C540" i="13"/>
  <c r="C538" i="13"/>
  <c r="C530" i="13"/>
  <c r="C518" i="13"/>
  <c r="C517" i="13"/>
  <c r="C514" i="13"/>
  <c r="C513" i="13"/>
  <c r="C512" i="13"/>
  <c r="C539" i="13"/>
  <c r="C536" i="13"/>
  <c r="C537" i="13"/>
  <c r="C531" i="13"/>
  <c r="C532" i="13"/>
  <c r="C533" i="13"/>
  <c r="C534" i="13"/>
  <c r="C535" i="13"/>
  <c r="C529" i="13"/>
  <c r="C528" i="13"/>
  <c r="C527" i="13"/>
  <c r="C526" i="13"/>
  <c r="C525" i="13"/>
  <c r="C524" i="13"/>
  <c r="C523" i="13"/>
  <c r="C509" i="13"/>
  <c r="C510" i="13"/>
  <c r="C508" i="13"/>
  <c r="C521" i="13"/>
  <c r="C522" i="13"/>
  <c r="C403" i="13"/>
  <c r="C404" i="13"/>
  <c r="C402" i="13"/>
  <c r="C422" i="13"/>
  <c r="C423" i="13"/>
  <c r="C424" i="13"/>
  <c r="C421" i="13"/>
  <c r="C414" i="13"/>
  <c r="C415" i="13"/>
  <c r="C416" i="13"/>
  <c r="C417" i="13"/>
  <c r="C418" i="13"/>
  <c r="C419" i="13"/>
  <c r="C420" i="13"/>
  <c r="C413" i="13"/>
  <c r="C436" i="13"/>
  <c r="C437" i="13"/>
  <c r="C435" i="13"/>
  <c r="C490" i="13"/>
  <c r="C483" i="13"/>
  <c r="C484" i="13"/>
  <c r="C485" i="13"/>
  <c r="C486" i="13"/>
  <c r="C487" i="13"/>
  <c r="C488" i="13"/>
  <c r="C489" i="13"/>
  <c r="C482" i="13"/>
  <c r="C481" i="13"/>
  <c r="C473" i="13"/>
  <c r="C474" i="13"/>
  <c r="C475" i="13"/>
  <c r="C476" i="13"/>
  <c r="C477" i="13"/>
  <c r="C478" i="13"/>
  <c r="C479" i="13"/>
  <c r="C480" i="13"/>
  <c r="C472" i="13"/>
  <c r="C466" i="13"/>
  <c r="C467" i="13"/>
  <c r="C468" i="13"/>
  <c r="C469" i="13"/>
  <c r="C470" i="13"/>
  <c r="C471" i="13"/>
  <c r="C465" i="13"/>
  <c r="C457" i="13"/>
  <c r="C458" i="13"/>
  <c r="C459" i="13"/>
  <c r="C460" i="13"/>
  <c r="C461" i="13"/>
  <c r="C462" i="13"/>
  <c r="C463" i="13"/>
  <c r="C464" i="13"/>
  <c r="C456" i="13"/>
  <c r="C455" i="13"/>
  <c r="C448" i="13"/>
  <c r="C449" i="13"/>
  <c r="C450" i="13"/>
  <c r="C451" i="13"/>
  <c r="C452" i="13"/>
  <c r="C453" i="13"/>
  <c r="C454" i="13"/>
  <c r="C447" i="13"/>
  <c r="C500" i="13"/>
  <c r="C515" i="13"/>
  <c r="C516" i="13"/>
  <c r="C519" i="13"/>
  <c r="C520" i="13"/>
  <c r="C507" i="13"/>
  <c r="C511" i="13"/>
  <c r="C501" i="13"/>
  <c r="C502" i="13"/>
  <c r="C503" i="13"/>
  <c r="C504" i="13"/>
  <c r="C505" i="13"/>
  <c r="C506" i="13"/>
  <c r="C491" i="13"/>
  <c r="C492" i="13"/>
  <c r="C493" i="13"/>
  <c r="C494" i="13"/>
  <c r="C495" i="13"/>
  <c r="C496" i="13"/>
  <c r="C497" i="13"/>
  <c r="C498" i="13"/>
  <c r="C499" i="13"/>
  <c r="C445" i="13"/>
  <c r="C446" i="13"/>
  <c r="C438" i="13"/>
  <c r="C439" i="13"/>
  <c r="C440" i="13"/>
  <c r="C441" i="13"/>
  <c r="C442" i="13"/>
  <c r="C443" i="13"/>
  <c r="C444" i="13"/>
  <c r="C431" i="13"/>
  <c r="C432" i="13"/>
  <c r="C433" i="13"/>
  <c r="C434" i="13"/>
  <c r="C429" i="13"/>
  <c r="C430" i="13"/>
  <c r="C425" i="13"/>
  <c r="C426" i="13"/>
  <c r="C427" i="13"/>
  <c r="C428" i="13"/>
  <c r="C391" i="13"/>
  <c r="C408" i="13"/>
  <c r="C409" i="13"/>
  <c r="C410" i="13"/>
  <c r="C411" i="13"/>
  <c r="C412" i="13"/>
  <c r="C374" i="13"/>
  <c r="C373" i="13"/>
  <c r="C372" i="13"/>
  <c r="C371" i="13"/>
  <c r="C405" i="13"/>
  <c r="C406" i="13"/>
  <c r="C407" i="13"/>
  <c r="C370" i="13"/>
  <c r="C401" i="13"/>
  <c r="C363" i="13"/>
  <c r="C364" i="13"/>
  <c r="C365" i="13"/>
  <c r="C366" i="13"/>
  <c r="C367" i="13"/>
  <c r="C368" i="13"/>
  <c r="C369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2" i="13"/>
  <c r="C393" i="13"/>
  <c r="C394" i="13"/>
  <c r="C395" i="13"/>
  <c r="C396" i="13"/>
  <c r="C397" i="13"/>
  <c r="C398" i="13"/>
  <c r="C399" i="13"/>
  <c r="C400" i="13"/>
  <c r="C101" i="12"/>
  <c r="D101" i="12"/>
  <c r="E101" i="12"/>
  <c r="F101" i="12"/>
  <c r="C103" i="12"/>
  <c r="D103" i="12"/>
  <c r="E103" i="12"/>
  <c r="F103" i="12"/>
  <c r="C107" i="12"/>
  <c r="D107" i="12"/>
  <c r="E107" i="12"/>
  <c r="F107" i="12"/>
  <c r="C109" i="12"/>
  <c r="D109" i="12"/>
  <c r="E109" i="12"/>
  <c r="F109" i="12"/>
  <c r="C111" i="12"/>
  <c r="D111" i="12"/>
  <c r="E111" i="12"/>
  <c r="F111" i="12"/>
  <c r="C114" i="12"/>
  <c r="D114" i="12"/>
  <c r="E114" i="12"/>
  <c r="F114" i="12"/>
  <c r="C116" i="12"/>
  <c r="D116" i="12"/>
  <c r="E116" i="12"/>
  <c r="F116" i="12"/>
  <c r="D118" i="12"/>
  <c r="E118" i="12"/>
  <c r="F118" i="12"/>
  <c r="C120" i="12"/>
  <c r="D120" i="12"/>
  <c r="E120" i="12"/>
  <c r="F120" i="12"/>
  <c r="C85" i="12"/>
  <c r="D85" i="12"/>
  <c r="E85" i="12"/>
  <c r="F85" i="12"/>
  <c r="C87" i="12"/>
  <c r="D87" i="12"/>
  <c r="E87" i="12"/>
  <c r="F87" i="12"/>
  <c r="C90" i="12"/>
  <c r="D90" i="12"/>
  <c r="E90" i="12"/>
  <c r="F90" i="12"/>
  <c r="C91" i="12"/>
  <c r="D91" i="12"/>
  <c r="E91" i="12"/>
  <c r="F91" i="12"/>
  <c r="C92" i="12"/>
  <c r="D92" i="12"/>
  <c r="E92" i="12"/>
  <c r="F92" i="12"/>
  <c r="C94" i="12"/>
  <c r="D94" i="12"/>
  <c r="E94" i="12"/>
  <c r="F94" i="12"/>
  <c r="C95" i="12"/>
  <c r="D95" i="12"/>
  <c r="E95" i="12"/>
  <c r="F95" i="12"/>
  <c r="C97" i="12"/>
  <c r="D97" i="12"/>
  <c r="E97" i="12"/>
  <c r="F97" i="12"/>
  <c r="C339" i="13"/>
  <c r="C338" i="13"/>
  <c r="C362" i="13"/>
  <c r="C361" i="13"/>
  <c r="C360" i="13"/>
  <c r="C359" i="13"/>
  <c r="C358" i="13"/>
  <c r="C357" i="13"/>
  <c r="C356" i="13"/>
  <c r="C348" i="13"/>
  <c r="C349" i="13"/>
  <c r="C350" i="13"/>
  <c r="C351" i="13"/>
  <c r="C352" i="13"/>
  <c r="C353" i="13"/>
  <c r="C354" i="13"/>
  <c r="C355" i="13"/>
  <c r="C343" i="13"/>
  <c r="C344" i="13"/>
  <c r="C345" i="13"/>
  <c r="C346" i="13"/>
  <c r="C347" i="13"/>
  <c r="C340" i="13"/>
  <c r="C341" i="13"/>
  <c r="C342" i="13"/>
  <c r="C337" i="13"/>
  <c r="C336" i="13"/>
  <c r="C330" i="13"/>
  <c r="C331" i="13"/>
  <c r="C332" i="13"/>
  <c r="C333" i="13"/>
  <c r="C334" i="13"/>
  <c r="C335" i="13"/>
  <c r="C329" i="13"/>
  <c r="C324" i="13"/>
  <c r="C325" i="13"/>
  <c r="C326" i="13"/>
  <c r="C327" i="13"/>
  <c r="C328" i="13"/>
  <c r="C320" i="13"/>
  <c r="C321" i="13"/>
  <c r="C322" i="13"/>
  <c r="C323" i="13"/>
  <c r="C312" i="13"/>
  <c r="C313" i="13"/>
  <c r="C314" i="13"/>
  <c r="C315" i="13"/>
  <c r="C316" i="13"/>
  <c r="C317" i="13"/>
  <c r="C318" i="13"/>
  <c r="C319" i="13"/>
  <c r="C310" i="13"/>
  <c r="C309" i="13"/>
  <c r="C308" i="13"/>
  <c r="C311" i="13"/>
  <c r="C307" i="13"/>
  <c r="C306" i="13"/>
  <c r="C305" i="13"/>
  <c r="C304" i="13"/>
  <c r="C300" i="13"/>
  <c r="C301" i="13"/>
  <c r="C302" i="13"/>
  <c r="C303" i="13"/>
  <c r="C299" i="13"/>
  <c r="C298" i="13"/>
  <c r="C297" i="13"/>
  <c r="C296" i="13"/>
  <c r="C295" i="13"/>
  <c r="C291" i="13"/>
  <c r="C292" i="13"/>
  <c r="C293" i="13"/>
  <c r="C294" i="13"/>
  <c r="C290" i="13"/>
  <c r="C284" i="13"/>
  <c r="C285" i="13"/>
  <c r="C286" i="13"/>
  <c r="C287" i="13"/>
  <c r="C288" i="13"/>
  <c r="C289" i="13"/>
  <c r="C283" i="13"/>
  <c r="C276" i="13"/>
  <c r="C277" i="13"/>
  <c r="C278" i="13"/>
  <c r="C279" i="13"/>
  <c r="C280" i="13"/>
  <c r="C281" i="13"/>
  <c r="C282" i="13"/>
  <c r="H67" i="1"/>
  <c r="G67" i="1"/>
  <c r="F67" i="1"/>
  <c r="E67" i="1"/>
  <c r="D67" i="1"/>
  <c r="C67" i="1"/>
  <c r="B67" i="1"/>
  <c r="J65" i="1"/>
  <c r="G65" i="1"/>
  <c r="D65" i="1"/>
  <c r="C65" i="1"/>
  <c r="B65" i="1"/>
  <c r="H61" i="1"/>
  <c r="G61" i="1"/>
  <c r="F61" i="1"/>
  <c r="E61" i="1"/>
  <c r="D61" i="1"/>
  <c r="C61" i="1"/>
  <c r="B61" i="1"/>
  <c r="J59" i="1"/>
  <c r="G59" i="1"/>
  <c r="D59" i="1"/>
  <c r="C59" i="1"/>
  <c r="B59" i="1"/>
  <c r="H55" i="1"/>
  <c r="G55" i="1"/>
  <c r="F55" i="1"/>
  <c r="E55" i="1"/>
  <c r="D55" i="1"/>
  <c r="C55" i="1"/>
  <c r="B55" i="1"/>
  <c r="J53" i="1"/>
  <c r="G53" i="1"/>
  <c r="D53" i="1"/>
  <c r="C53" i="1"/>
  <c r="B53" i="1"/>
  <c r="C29" i="1"/>
  <c r="G27" i="1"/>
  <c r="G26" i="1"/>
  <c r="G25" i="1"/>
  <c r="F26" i="1"/>
  <c r="F25" i="1"/>
  <c r="F27" i="1"/>
  <c r="E27" i="1"/>
  <c r="E26" i="1"/>
  <c r="E25" i="1"/>
  <c r="D27" i="1"/>
  <c r="D26" i="1"/>
  <c r="D25" i="1"/>
  <c r="G24" i="1"/>
  <c r="F24" i="1"/>
  <c r="E24" i="1"/>
  <c r="D24" i="1"/>
  <c r="F63" i="12"/>
  <c r="E63" i="12"/>
  <c r="D63" i="12"/>
  <c r="C63" i="12"/>
  <c r="F61" i="12"/>
  <c r="E61" i="12"/>
  <c r="D61" i="12"/>
  <c r="C61" i="12"/>
  <c r="F58" i="12"/>
  <c r="E58" i="12"/>
  <c r="D58" i="12"/>
  <c r="C58" i="12"/>
  <c r="F57" i="12"/>
  <c r="E57" i="12"/>
  <c r="D57" i="12"/>
  <c r="C57" i="12"/>
  <c r="C64" i="12"/>
  <c r="D64" i="12"/>
  <c r="E64" i="12"/>
  <c r="F64" i="12"/>
  <c r="C65" i="12"/>
  <c r="D65" i="12"/>
  <c r="E65" i="12"/>
  <c r="F65" i="12"/>
  <c r="C56" i="12"/>
  <c r="D56" i="12"/>
  <c r="E56" i="12"/>
  <c r="F56" i="12"/>
  <c r="C59" i="12"/>
  <c r="D59" i="12"/>
  <c r="E59" i="12"/>
  <c r="F59" i="12"/>
  <c r="C60" i="12"/>
  <c r="D60" i="12"/>
  <c r="E60" i="12"/>
  <c r="F60" i="12"/>
  <c r="C62" i="12"/>
  <c r="D62" i="12"/>
  <c r="E62" i="12"/>
  <c r="F62" i="12"/>
  <c r="C275" i="13"/>
  <c r="C274" i="13"/>
  <c r="C273" i="13"/>
  <c r="C267" i="13"/>
  <c r="C268" i="13"/>
  <c r="C269" i="13"/>
  <c r="C270" i="13"/>
  <c r="C271" i="13"/>
  <c r="C272" i="13"/>
  <c r="C266" i="13"/>
  <c r="C260" i="13"/>
  <c r="C261" i="13"/>
  <c r="C262" i="13"/>
  <c r="C263" i="13"/>
  <c r="C264" i="13"/>
  <c r="C265" i="13"/>
  <c r="C257" i="13"/>
  <c r="C258" i="13"/>
  <c r="C259" i="13"/>
  <c r="C255" i="13"/>
  <c r="C256" i="13"/>
  <c r="C250" i="13"/>
  <c r="C251" i="13"/>
  <c r="C252" i="13"/>
  <c r="C253" i="13"/>
  <c r="C254" i="13"/>
  <c r="C248" i="13"/>
  <c r="C249" i="13"/>
  <c r="C247" i="13"/>
  <c r="C241" i="13"/>
  <c r="C242" i="13"/>
  <c r="C243" i="13"/>
  <c r="C244" i="13"/>
  <c r="C245" i="13"/>
  <c r="C246" i="13"/>
  <c r="C240" i="13"/>
  <c r="C232" i="13"/>
  <c r="C231" i="13"/>
  <c r="C221" i="13"/>
  <c r="C222" i="13"/>
  <c r="C223" i="13"/>
  <c r="C224" i="13"/>
  <c r="C225" i="13"/>
  <c r="C226" i="13"/>
  <c r="C227" i="13"/>
  <c r="C228" i="13"/>
  <c r="C229" i="13"/>
  <c r="C230" i="13"/>
  <c r="C233" i="13"/>
  <c r="C234" i="13"/>
  <c r="C235" i="13"/>
  <c r="C236" i="13"/>
  <c r="C237" i="13"/>
  <c r="C238" i="13"/>
  <c r="C239" i="13"/>
  <c r="C220" i="13"/>
  <c r="C50" i="12"/>
  <c r="F50" i="12"/>
  <c r="E50" i="12"/>
  <c r="D50" i="12"/>
  <c r="C208" i="13"/>
  <c r="F48" i="12"/>
  <c r="E48" i="12"/>
  <c r="D48" i="12"/>
  <c r="C48" i="12"/>
  <c r="C199" i="13"/>
  <c r="F46" i="12"/>
  <c r="E46" i="12"/>
  <c r="D46" i="12"/>
  <c r="C46" i="12"/>
  <c r="C190" i="13"/>
  <c r="C191" i="13"/>
  <c r="C44" i="12"/>
  <c r="C43" i="12"/>
  <c r="D44" i="12"/>
  <c r="D43" i="12"/>
  <c r="E45" i="12"/>
  <c r="E44" i="12"/>
  <c r="E43" i="12"/>
  <c r="F44" i="12"/>
  <c r="F43" i="12"/>
  <c r="F42" i="12"/>
  <c r="E42" i="12"/>
  <c r="D42" i="12"/>
  <c r="C42" i="12"/>
  <c r="C179" i="13"/>
  <c r="C180" i="13"/>
  <c r="C181" i="13"/>
  <c r="C178" i="13"/>
  <c r="F34" i="12"/>
  <c r="E34" i="12"/>
  <c r="D34" i="12"/>
  <c r="C34" i="12"/>
  <c r="F33" i="12"/>
  <c r="E33" i="12"/>
  <c r="D33" i="12"/>
  <c r="C33" i="12"/>
  <c r="C143" i="13"/>
  <c r="C144" i="13"/>
  <c r="C145" i="13"/>
  <c r="C146" i="13"/>
  <c r="C8" i="13"/>
  <c r="C9" i="13"/>
  <c r="E86" i="12" s="1"/>
  <c r="C10" i="13"/>
  <c r="D76" i="12" s="1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82" i="13"/>
  <c r="C183" i="13"/>
  <c r="C184" i="13"/>
  <c r="C185" i="13"/>
  <c r="C186" i="13"/>
  <c r="C187" i="13"/>
  <c r="C188" i="13"/>
  <c r="C189" i="13"/>
  <c r="C192" i="13"/>
  <c r="C193" i="13"/>
  <c r="C194" i="13"/>
  <c r="C195" i="13"/>
  <c r="C196" i="13"/>
  <c r="C197" i="13"/>
  <c r="C198" i="13"/>
  <c r="C200" i="13"/>
  <c r="C201" i="13"/>
  <c r="C202" i="13"/>
  <c r="C203" i="13"/>
  <c r="C204" i="13"/>
  <c r="C205" i="13"/>
  <c r="C206" i="13"/>
  <c r="C207" i="13"/>
  <c r="C209" i="13"/>
  <c r="C210" i="13"/>
  <c r="C211" i="13"/>
  <c r="C212" i="13"/>
  <c r="C213" i="13"/>
  <c r="C214" i="13"/>
  <c r="C215" i="13"/>
  <c r="C216" i="13"/>
  <c r="C217" i="13"/>
  <c r="C218" i="13"/>
  <c r="C219" i="13"/>
  <c r="W9" i="13"/>
  <c r="W10" i="13"/>
  <c r="W11" i="13"/>
  <c r="W12" i="13"/>
  <c r="W13" i="13"/>
  <c r="W14" i="13"/>
  <c r="W15" i="13"/>
  <c r="W16" i="13"/>
  <c r="W17" i="13"/>
  <c r="W8" i="13"/>
  <c r="E16" i="12"/>
  <c r="E17" i="12"/>
  <c r="E18" i="12"/>
  <c r="E19" i="12"/>
  <c r="E20" i="12"/>
  <c r="E21" i="12"/>
  <c r="E22" i="12"/>
  <c r="E24" i="12"/>
  <c r="E25" i="12"/>
  <c r="E26" i="12"/>
  <c r="E27" i="12"/>
  <c r="E28" i="12"/>
  <c r="E29" i="12"/>
  <c r="E30" i="12"/>
  <c r="E32" i="12"/>
  <c r="E35" i="12"/>
  <c r="E36" i="12"/>
  <c r="E37" i="12"/>
  <c r="E38" i="12"/>
  <c r="E39" i="12"/>
  <c r="E41" i="12"/>
  <c r="E47" i="12"/>
  <c r="E49" i="12"/>
  <c r="E52" i="12"/>
  <c r="E53" i="12"/>
  <c r="E54" i="12"/>
  <c r="D15" i="12"/>
  <c r="F15" i="12"/>
  <c r="C16" i="12"/>
  <c r="D16" i="12"/>
  <c r="F16" i="12"/>
  <c r="C17" i="12"/>
  <c r="D17" i="12"/>
  <c r="F17" i="12"/>
  <c r="C18" i="12"/>
  <c r="D18" i="12"/>
  <c r="F18" i="12"/>
  <c r="C19" i="12"/>
  <c r="D19" i="12"/>
  <c r="F19" i="12"/>
  <c r="C20" i="12"/>
  <c r="D20" i="12"/>
  <c r="F20" i="12"/>
  <c r="C21" i="12"/>
  <c r="D21" i="12"/>
  <c r="F21" i="12"/>
  <c r="C22" i="12"/>
  <c r="D22" i="12"/>
  <c r="F22" i="12"/>
  <c r="C24" i="12"/>
  <c r="D24" i="12"/>
  <c r="F24" i="12"/>
  <c r="C25" i="12"/>
  <c r="D25" i="12"/>
  <c r="F25" i="12"/>
  <c r="C26" i="12"/>
  <c r="D26" i="12"/>
  <c r="F26" i="12"/>
  <c r="C27" i="12"/>
  <c r="D27" i="12"/>
  <c r="F27" i="12"/>
  <c r="C28" i="12"/>
  <c r="D28" i="12"/>
  <c r="F28" i="12"/>
  <c r="C29" i="12"/>
  <c r="D29" i="12"/>
  <c r="F29" i="12"/>
  <c r="C30" i="12"/>
  <c r="D30" i="12"/>
  <c r="F30" i="12"/>
  <c r="C32" i="12"/>
  <c r="D32" i="12"/>
  <c r="F32" i="12"/>
  <c r="C35" i="12"/>
  <c r="D35" i="12"/>
  <c r="F35" i="12"/>
  <c r="C36" i="12"/>
  <c r="D36" i="12"/>
  <c r="F36" i="12"/>
  <c r="C37" i="12"/>
  <c r="D37" i="12"/>
  <c r="F37" i="12"/>
  <c r="C38" i="12"/>
  <c r="D38" i="12"/>
  <c r="F38" i="12"/>
  <c r="C39" i="12"/>
  <c r="D39" i="12"/>
  <c r="F39" i="12"/>
  <c r="C41" i="12"/>
  <c r="D41" i="12"/>
  <c r="F41" i="12"/>
  <c r="C45" i="12"/>
  <c r="D45" i="12"/>
  <c r="F45" i="12"/>
  <c r="C47" i="12"/>
  <c r="D47" i="12"/>
  <c r="F47" i="12"/>
  <c r="C49" i="12"/>
  <c r="D49" i="12"/>
  <c r="F49" i="12"/>
  <c r="C52" i="12"/>
  <c r="D52" i="12"/>
  <c r="F52" i="12"/>
  <c r="C53" i="12"/>
  <c r="D53" i="12"/>
  <c r="F53" i="12"/>
  <c r="C54" i="12"/>
  <c r="D54" i="12"/>
  <c r="F54" i="12"/>
  <c r="CX143" i="13" l="1"/>
  <c r="CW143" i="13" s="1"/>
  <c r="CX135" i="13"/>
  <c r="CW135" i="13" s="1"/>
  <c r="CX120" i="13"/>
  <c r="CW120" i="13" s="1"/>
  <c r="CX128" i="13"/>
  <c r="CW128" i="13" s="1"/>
  <c r="CX156" i="13"/>
  <c r="CW156" i="13" s="1"/>
  <c r="CX173" i="13"/>
  <c r="CW173" i="13" s="1"/>
  <c r="CU140" i="13"/>
  <c r="CU141" i="13" s="1"/>
  <c r="CU142" i="13" s="1"/>
  <c r="CU176" i="13"/>
  <c r="CU177" i="13" s="1"/>
  <c r="CU178" i="13" s="1"/>
  <c r="CU179" i="13" s="1"/>
  <c r="CU180" i="13" s="1"/>
  <c r="CU181" i="13" s="1"/>
  <c r="CU170" i="13"/>
  <c r="CU171" i="13" s="1"/>
  <c r="CU172" i="13" s="1"/>
  <c r="CG230" i="13"/>
  <c r="BM11" i="12" s="1"/>
  <c r="CU185" i="13"/>
  <c r="CU186" i="13" s="1"/>
  <c r="CU187" i="13" s="1"/>
  <c r="CU188" i="13" s="1"/>
  <c r="CU189" i="13" s="1"/>
  <c r="CU190" i="13" s="1"/>
  <c r="CU191" i="13" s="1"/>
  <c r="CU192" i="13" s="1"/>
  <c r="CU193" i="13" s="1"/>
  <c r="CU194" i="13" s="1"/>
  <c r="CU195" i="13" s="1"/>
  <c r="CU196" i="13" s="1"/>
  <c r="CU197" i="13" s="1"/>
  <c r="CU198" i="13" s="1"/>
  <c r="CU199" i="13" s="1"/>
  <c r="CU200" i="13" s="1"/>
  <c r="CU201" i="13" s="1"/>
  <c r="CU202" i="13" s="1"/>
  <c r="CU203" i="13" s="1"/>
  <c r="CU204" i="13" s="1"/>
  <c r="CU205" i="13" s="1"/>
  <c r="CU206" i="13" s="1"/>
  <c r="CU207" i="13" s="1"/>
  <c r="CU208" i="13" s="1"/>
  <c r="CU209" i="13" s="1"/>
  <c r="CU210" i="13" s="1"/>
  <c r="CU211" i="13" s="1"/>
  <c r="CU212" i="13" s="1"/>
  <c r="CU213" i="13" s="1"/>
  <c r="CU214" i="13" s="1"/>
  <c r="CU215" i="13" s="1"/>
  <c r="CU216" i="13" s="1"/>
  <c r="CU217" i="13" s="1"/>
  <c r="CU218" i="13" s="1"/>
  <c r="CU219" i="13" s="1"/>
  <c r="CU228" i="13"/>
  <c r="CU229" i="13" s="1"/>
  <c r="CU230" i="13" s="1"/>
  <c r="CU231" i="13" s="1"/>
  <c r="CU232" i="13" s="1"/>
  <c r="CU233" i="13" s="1"/>
  <c r="CU234" i="13" s="1"/>
  <c r="CU235" i="13" s="1"/>
  <c r="CU236" i="13" s="1"/>
  <c r="CU237" i="13" s="1"/>
  <c r="CU238" i="13" s="1"/>
  <c r="CU239" i="13" s="1"/>
  <c r="CU240" i="13" s="1"/>
  <c r="CU241" i="13" s="1"/>
  <c r="CU242" i="13" s="1"/>
  <c r="CU243" i="13" s="1"/>
  <c r="CU244" i="13" s="1"/>
  <c r="CU245" i="13" s="1"/>
  <c r="CU246" i="13" s="1"/>
  <c r="CU247" i="13" s="1"/>
  <c r="CU248" i="13" s="1"/>
  <c r="CK230" i="13"/>
  <c r="BQ11" i="12" s="1"/>
  <c r="BZ161" i="13"/>
  <c r="BZ162" i="13" s="1"/>
  <c r="BZ163" i="13" s="1"/>
  <c r="BZ164" i="13" s="1"/>
  <c r="BZ165" i="13" s="1"/>
  <c r="CC120" i="13"/>
  <c r="CB120" i="13" s="1"/>
  <c r="CC173" i="13"/>
  <c r="CB173" i="13" s="1"/>
  <c r="BZ149" i="13"/>
  <c r="BZ150" i="13" s="1"/>
  <c r="BZ151" i="13" s="1"/>
  <c r="BZ152" i="13" s="1"/>
  <c r="BZ229" i="13"/>
  <c r="BZ230" i="13" s="1"/>
  <c r="BZ231" i="13" s="1"/>
  <c r="BZ232" i="13" s="1"/>
  <c r="BZ233" i="13" s="1"/>
  <c r="BZ234" i="13" s="1"/>
  <c r="BZ235" i="13" s="1"/>
  <c r="BZ236" i="13" s="1"/>
  <c r="BZ237" i="13" s="1"/>
  <c r="BZ238" i="13" s="1"/>
  <c r="BZ239" i="13" s="1"/>
  <c r="BZ240" i="13" s="1"/>
  <c r="BZ241" i="13" s="1"/>
  <c r="BZ242" i="13" s="1"/>
  <c r="BZ243" i="13" s="1"/>
  <c r="BZ244" i="13" s="1"/>
  <c r="BZ245" i="13" s="1"/>
  <c r="BZ246" i="13" s="1"/>
  <c r="BZ247" i="13" s="1"/>
  <c r="BZ248" i="13" s="1"/>
  <c r="CC225" i="13"/>
  <c r="CB225" i="13" s="1"/>
  <c r="CC182" i="13"/>
  <c r="CB182" i="13" s="1"/>
  <c r="CC166" i="13"/>
  <c r="CB166" i="13" s="1"/>
  <c r="CC128" i="13"/>
  <c r="CB128" i="13" s="1"/>
  <c r="CC135" i="13"/>
  <c r="CB135" i="13" s="1"/>
  <c r="BZ178" i="13"/>
  <c r="BZ179" i="13" s="1"/>
  <c r="BZ180" i="13" s="1"/>
  <c r="BZ181" i="13" s="1"/>
  <c r="AT228" i="13"/>
  <c r="AT230" i="13" s="1"/>
  <c r="AQ228" i="13"/>
  <c r="AQ230" i="13" s="1"/>
  <c r="W11" i="12" s="1"/>
  <c r="AR228" i="13"/>
  <c r="AR230" i="13" s="1"/>
  <c r="AV228" i="13"/>
  <c r="AV230" i="13" s="1"/>
  <c r="AB11" i="12" s="1"/>
  <c r="BE229" i="13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188" i="13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H182" i="13"/>
  <c r="BG182" i="13" s="1"/>
  <c r="BH156" i="13"/>
  <c r="BG156" i="13" s="1"/>
  <c r="BH135" i="13"/>
  <c r="BG135" i="13" s="1"/>
  <c r="BH173" i="13"/>
  <c r="BG173" i="13" s="1"/>
  <c r="BE130" i="13"/>
  <c r="BE131" i="13" s="1"/>
  <c r="BE132" i="13" s="1"/>
  <c r="BE133" i="13" s="1"/>
  <c r="BE134" i="13" s="1"/>
  <c r="BE125" i="13"/>
  <c r="BE126" i="13" s="1"/>
  <c r="BE127" i="13" s="1"/>
  <c r="BH143" i="13"/>
  <c r="BG143" i="13" s="1"/>
  <c r="BH166" i="13"/>
  <c r="BG166" i="13" s="1"/>
  <c r="BH153" i="13"/>
  <c r="BG153" i="13" s="1"/>
  <c r="AK121" i="13"/>
  <c r="E80" i="12"/>
  <c r="AM225" i="13"/>
  <c r="AL225" i="13" s="1"/>
  <c r="AJ122" i="13"/>
  <c r="AJ131" i="13"/>
  <c r="AJ132" i="13" s="1"/>
  <c r="AJ133" i="13" s="1"/>
  <c r="AJ134" i="13" s="1"/>
  <c r="AL128" i="13" s="1"/>
  <c r="AK136" i="13"/>
  <c r="AJ137" i="13"/>
  <c r="D86" i="12"/>
  <c r="C86" i="12"/>
  <c r="F86" i="12"/>
  <c r="F75" i="12"/>
  <c r="F67" i="12"/>
  <c r="D71" i="12"/>
  <c r="D81" i="12"/>
  <c r="D78" i="12"/>
  <c r="D79" i="12"/>
  <c r="E75" i="12"/>
  <c r="E70" i="12"/>
  <c r="E69" i="12"/>
  <c r="E68" i="12"/>
  <c r="E67" i="12"/>
  <c r="C71" i="12"/>
  <c r="D72" i="12"/>
  <c r="E73" i="12"/>
  <c r="C83" i="12"/>
  <c r="C82" i="12"/>
  <c r="C81" i="12"/>
  <c r="C78" i="12"/>
  <c r="C77" i="12"/>
  <c r="C76" i="12"/>
  <c r="D80" i="12"/>
  <c r="F80" i="12"/>
  <c r="F69" i="12"/>
  <c r="E72" i="12"/>
  <c r="D82" i="12"/>
  <c r="D77" i="12"/>
  <c r="F79" i="12"/>
  <c r="D75" i="12"/>
  <c r="D70" i="12"/>
  <c r="D69" i="12"/>
  <c r="D68" i="12"/>
  <c r="D67" i="12"/>
  <c r="C72" i="12"/>
  <c r="D73" i="12"/>
  <c r="F71" i="12"/>
  <c r="F83" i="12"/>
  <c r="F82" i="12"/>
  <c r="F81" i="12"/>
  <c r="F78" i="12"/>
  <c r="F77" i="12"/>
  <c r="F76" i="12"/>
  <c r="C79" i="12"/>
  <c r="E79" i="12"/>
  <c r="F70" i="12"/>
  <c r="F68" i="12"/>
  <c r="F73" i="12"/>
  <c r="D83" i="12"/>
  <c r="C75" i="12"/>
  <c r="C70" i="12"/>
  <c r="C69" i="12"/>
  <c r="C68" i="12"/>
  <c r="C67" i="12"/>
  <c r="C73" i="12"/>
  <c r="E71" i="12"/>
  <c r="F72" i="12"/>
  <c r="E83" i="12"/>
  <c r="E82" i="12"/>
  <c r="E81" i="12"/>
  <c r="E78" i="12"/>
  <c r="E77" i="12"/>
  <c r="E76" i="12"/>
  <c r="C80" i="12"/>
  <c r="CX225" i="13" l="1"/>
  <c r="CW225" i="13" s="1"/>
  <c r="CX182" i="13"/>
  <c r="CW182" i="13" s="1"/>
  <c r="CX166" i="13"/>
  <c r="CW166" i="13" s="1"/>
  <c r="CW220" i="13" s="1"/>
  <c r="BL7" i="12" s="1"/>
  <c r="X11" i="12"/>
  <c r="CC143" i="13"/>
  <c r="CB143" i="13" s="1"/>
  <c r="CB220" i="13" s="1"/>
  <c r="AQ7" i="12" s="1"/>
  <c r="CC156" i="13"/>
  <c r="CB156" i="13" s="1"/>
  <c r="BH128" i="13"/>
  <c r="BG128" i="13" s="1"/>
  <c r="BH120" i="13"/>
  <c r="BG120" i="13" s="1"/>
  <c r="BH225" i="13"/>
  <c r="BG225" i="13" s="1"/>
  <c r="AJ123" i="13"/>
  <c r="AJ124" i="13" s="1"/>
  <c r="AJ125" i="13" s="1"/>
  <c r="AJ126" i="13" s="1"/>
  <c r="AJ127" i="13" s="1"/>
  <c r="AJ129" i="13" s="1"/>
  <c r="AJ130" i="13" s="1"/>
  <c r="AJ138" i="13"/>
  <c r="AJ139" i="13" s="1"/>
  <c r="AJ140" i="13" s="1"/>
  <c r="AJ141" i="13" s="1"/>
  <c r="AJ142" i="13" s="1"/>
  <c r="AK137" i="13"/>
  <c r="I11" i="12"/>
  <c r="I7" i="12"/>
  <c r="L36" i="1"/>
  <c r="F43" i="1"/>
  <c r="D43" i="1"/>
  <c r="B43" i="1"/>
  <c r="H63" i="1"/>
  <c r="H57" i="1"/>
  <c r="H51" i="1"/>
  <c r="H49" i="1"/>
  <c r="C49" i="1"/>
  <c r="D47" i="1"/>
  <c r="O189" i="3"/>
  <c r="BG220" i="13" l="1"/>
  <c r="V7" i="12" s="1"/>
  <c r="AM120" i="13"/>
  <c r="AL135" i="13"/>
  <c r="AK143" i="13"/>
  <c r="AJ144" i="13"/>
  <c r="Y228" i="13"/>
  <c r="Y230" i="13" s="1"/>
  <c r="E11" i="12" s="1"/>
  <c r="W228" i="13"/>
  <c r="W230" i="13" s="1"/>
  <c r="C11" i="12" s="1"/>
  <c r="X228" i="13"/>
  <c r="Z228" i="13"/>
  <c r="Z230" i="13" s="1"/>
  <c r="F11" i="12" s="1"/>
  <c r="V228" i="13"/>
  <c r="V230" i="13" s="1"/>
  <c r="B11" i="12" s="1"/>
  <c r="AA228" i="13"/>
  <c r="AA230" i="13" s="1"/>
  <c r="G11" i="12" s="1"/>
  <c r="M174" i="3"/>
  <c r="N174" i="3" s="1"/>
  <c r="X230" i="13" l="1"/>
  <c r="D11" i="12" s="1"/>
  <c r="Z11" i="12"/>
  <c r="AL120" i="13"/>
  <c r="AJ145" i="13"/>
  <c r="AJ146" i="13" s="1"/>
  <c r="AJ147" i="13" s="1"/>
  <c r="AJ148" i="13" s="1"/>
  <c r="AJ149" i="13" s="1"/>
  <c r="AJ150" i="13" s="1"/>
  <c r="AJ151" i="13" s="1"/>
  <c r="AJ152" i="13" s="1"/>
  <c r="AJ154" i="13"/>
  <c r="AK153" i="13"/>
  <c r="D182" i="3"/>
  <c r="D183" i="3"/>
  <c r="D184" i="3"/>
  <c r="D185" i="3"/>
  <c r="D186" i="3"/>
  <c r="D187" i="3"/>
  <c r="D188" i="3"/>
  <c r="D189" i="3"/>
  <c r="D190" i="3"/>
  <c r="D191" i="3"/>
  <c r="D192" i="3"/>
  <c r="Y11" i="12" l="1"/>
  <c r="AL220" i="13"/>
  <c r="AL143" i="13"/>
  <c r="AJ155" i="13"/>
  <c r="AL153" i="13"/>
  <c r="AK156" i="13"/>
  <c r="AJ157" i="13"/>
  <c r="CC88" i="3"/>
  <c r="CE87" i="3"/>
  <c r="CD86" i="3"/>
  <c r="CD84" i="3"/>
  <c r="CD82" i="3"/>
  <c r="CD87" i="3"/>
  <c r="CC84" i="3"/>
  <c r="CC82" i="3"/>
  <c r="CC83" i="3"/>
  <c r="CC87" i="3"/>
  <c r="CC111" i="3"/>
  <c r="CC121" i="3"/>
  <c r="CC120" i="3"/>
  <c r="CC119" i="3"/>
  <c r="CC114" i="3"/>
  <c r="CC117" i="3"/>
  <c r="CC118" i="3"/>
  <c r="CD115" i="3"/>
  <c r="CC115" i="3"/>
  <c r="CC113" i="3"/>
  <c r="CG91" i="3"/>
  <c r="CC96" i="3"/>
  <c r="CC95" i="3"/>
  <c r="CD93" i="3"/>
  <c r="CC94" i="3"/>
  <c r="CF91" i="3"/>
  <c r="CE91" i="3"/>
  <c r="CD91" i="3"/>
  <c r="CC93" i="3"/>
  <c r="CC91" i="3"/>
  <c r="CC108" i="3"/>
  <c r="CC107" i="3"/>
  <c r="CD101" i="3"/>
  <c r="CC104" i="3"/>
  <c r="CC101" i="3"/>
  <c r="CC102" i="3"/>
  <c r="CC81" i="3"/>
  <c r="CC86" i="3"/>
  <c r="CC106" i="3"/>
  <c r="CC85" i="3"/>
  <c r="CC89" i="3"/>
  <c r="CC90" i="3"/>
  <c r="CC92" i="3"/>
  <c r="CC97" i="3"/>
  <c r="CC98" i="3"/>
  <c r="CC99" i="3"/>
  <c r="CC100" i="3"/>
  <c r="CC103" i="3"/>
  <c r="CC105" i="3"/>
  <c r="CC109" i="3"/>
  <c r="CC110" i="3"/>
  <c r="CC112" i="3"/>
  <c r="CC116" i="3"/>
  <c r="AJ158" i="13" l="1"/>
  <c r="AJ159" i="13" s="1"/>
  <c r="AJ160" i="13" s="1"/>
  <c r="AJ161" i="13" s="1"/>
  <c r="AJ162" i="13" s="1"/>
  <c r="AJ163" i="13" s="1"/>
  <c r="AJ164" i="13" s="1"/>
  <c r="AJ165" i="13" s="1"/>
  <c r="AK166" i="13"/>
  <c r="AJ167" i="13"/>
  <c r="P205" i="5"/>
  <c r="O205" i="5"/>
  <c r="N205" i="5"/>
  <c r="J205" i="5"/>
  <c r="D205" i="5"/>
  <c r="C205" i="5"/>
  <c r="B205" i="5"/>
  <c r="P204" i="5"/>
  <c r="O204" i="5"/>
  <c r="N204" i="5"/>
  <c r="J204" i="5"/>
  <c r="P203" i="5"/>
  <c r="O203" i="5"/>
  <c r="N203" i="5"/>
  <c r="J203" i="5"/>
  <c r="P202" i="5"/>
  <c r="O202" i="5"/>
  <c r="N202" i="5"/>
  <c r="J202" i="5"/>
  <c r="E202" i="5"/>
  <c r="P199" i="5"/>
  <c r="O199" i="5"/>
  <c r="N199" i="5"/>
  <c r="J199" i="5"/>
  <c r="D199" i="5"/>
  <c r="C199" i="5"/>
  <c r="B199" i="5"/>
  <c r="P198" i="5"/>
  <c r="O198" i="5"/>
  <c r="N198" i="5"/>
  <c r="J198" i="5"/>
  <c r="P197" i="5"/>
  <c r="O197" i="5"/>
  <c r="N197" i="5"/>
  <c r="J197" i="5"/>
  <c r="P196" i="5"/>
  <c r="O196" i="5"/>
  <c r="N196" i="5"/>
  <c r="J196" i="5"/>
  <c r="E196" i="5"/>
  <c r="P193" i="5"/>
  <c r="O193" i="5"/>
  <c r="N193" i="5"/>
  <c r="J193" i="5"/>
  <c r="D193" i="5"/>
  <c r="C193" i="5"/>
  <c r="B193" i="5"/>
  <c r="P192" i="5"/>
  <c r="O192" i="5"/>
  <c r="N192" i="5"/>
  <c r="J192" i="5"/>
  <c r="P191" i="5"/>
  <c r="O191" i="5"/>
  <c r="N191" i="5"/>
  <c r="J191" i="5"/>
  <c r="P190" i="5"/>
  <c r="O190" i="5"/>
  <c r="N190" i="5"/>
  <c r="J190" i="5"/>
  <c r="E190" i="5"/>
  <c r="P187" i="5"/>
  <c r="O187" i="5"/>
  <c r="N187" i="5"/>
  <c r="J187" i="5"/>
  <c r="D187" i="5"/>
  <c r="C187" i="5"/>
  <c r="B187" i="5"/>
  <c r="P186" i="5"/>
  <c r="O186" i="5"/>
  <c r="N186" i="5"/>
  <c r="J186" i="5"/>
  <c r="P185" i="5"/>
  <c r="O185" i="5"/>
  <c r="N185" i="5"/>
  <c r="J185" i="5"/>
  <c r="P184" i="5"/>
  <c r="O184" i="5"/>
  <c r="N184" i="5"/>
  <c r="J184" i="5"/>
  <c r="E184" i="5"/>
  <c r="P181" i="5"/>
  <c r="O181" i="5"/>
  <c r="N181" i="5"/>
  <c r="J181" i="5"/>
  <c r="D181" i="5"/>
  <c r="C181" i="5"/>
  <c r="B181" i="5"/>
  <c r="P180" i="5"/>
  <c r="O180" i="5"/>
  <c r="N180" i="5"/>
  <c r="J180" i="5"/>
  <c r="P179" i="5"/>
  <c r="O179" i="5"/>
  <c r="N179" i="5"/>
  <c r="J179" i="5"/>
  <c r="P178" i="5"/>
  <c r="O178" i="5"/>
  <c r="N178" i="5"/>
  <c r="J178" i="5"/>
  <c r="E178" i="5"/>
  <c r="P175" i="5"/>
  <c r="O175" i="5"/>
  <c r="N175" i="5"/>
  <c r="J175" i="5"/>
  <c r="D175" i="5"/>
  <c r="C175" i="5"/>
  <c r="B175" i="5"/>
  <c r="P174" i="5"/>
  <c r="O174" i="5"/>
  <c r="N174" i="5"/>
  <c r="J174" i="5"/>
  <c r="P173" i="5"/>
  <c r="O173" i="5"/>
  <c r="N173" i="5"/>
  <c r="J173" i="5"/>
  <c r="P172" i="5"/>
  <c r="O172" i="5"/>
  <c r="N172" i="5"/>
  <c r="J172" i="5"/>
  <c r="E172" i="5"/>
  <c r="P169" i="5"/>
  <c r="O169" i="5"/>
  <c r="N169" i="5"/>
  <c r="J169" i="5"/>
  <c r="D169" i="5"/>
  <c r="C169" i="5"/>
  <c r="B169" i="5"/>
  <c r="P168" i="5"/>
  <c r="O168" i="5"/>
  <c r="N168" i="5"/>
  <c r="J168" i="5"/>
  <c r="P167" i="5"/>
  <c r="O167" i="5"/>
  <c r="N167" i="5"/>
  <c r="J167" i="5"/>
  <c r="P166" i="5"/>
  <c r="O166" i="5"/>
  <c r="N166" i="5"/>
  <c r="J166" i="5"/>
  <c r="E166" i="5"/>
  <c r="P163" i="5"/>
  <c r="O163" i="5"/>
  <c r="N163" i="5"/>
  <c r="J163" i="5"/>
  <c r="D163" i="5"/>
  <c r="C163" i="5"/>
  <c r="B163" i="5"/>
  <c r="P162" i="5"/>
  <c r="O162" i="5"/>
  <c r="N162" i="5"/>
  <c r="J162" i="5"/>
  <c r="P161" i="5"/>
  <c r="O161" i="5"/>
  <c r="N161" i="5"/>
  <c r="J161" i="5"/>
  <c r="P160" i="5"/>
  <c r="O160" i="5"/>
  <c r="N160" i="5"/>
  <c r="J160" i="5"/>
  <c r="E160" i="5"/>
  <c r="P157" i="5"/>
  <c r="O157" i="5"/>
  <c r="N157" i="5"/>
  <c r="J157" i="5"/>
  <c r="D157" i="5"/>
  <c r="C157" i="5"/>
  <c r="B157" i="5"/>
  <c r="P156" i="5"/>
  <c r="O156" i="5"/>
  <c r="N156" i="5"/>
  <c r="J156" i="5"/>
  <c r="P155" i="5"/>
  <c r="O155" i="5"/>
  <c r="N155" i="5"/>
  <c r="J155" i="5"/>
  <c r="P154" i="5"/>
  <c r="O154" i="5"/>
  <c r="N154" i="5"/>
  <c r="J154" i="5"/>
  <c r="E154" i="5"/>
  <c r="P151" i="5"/>
  <c r="O151" i="5"/>
  <c r="N151" i="5"/>
  <c r="J151" i="5"/>
  <c r="D151" i="5"/>
  <c r="C151" i="5"/>
  <c r="B151" i="5"/>
  <c r="P150" i="5"/>
  <c r="O150" i="5"/>
  <c r="N150" i="5"/>
  <c r="J150" i="5"/>
  <c r="P149" i="5"/>
  <c r="O149" i="5"/>
  <c r="N149" i="5"/>
  <c r="J149" i="5"/>
  <c r="P148" i="5"/>
  <c r="O148" i="5"/>
  <c r="N148" i="5"/>
  <c r="J148" i="5"/>
  <c r="E148" i="5"/>
  <c r="P145" i="5"/>
  <c r="O145" i="5"/>
  <c r="N145" i="5"/>
  <c r="J145" i="5"/>
  <c r="D145" i="5"/>
  <c r="C145" i="5"/>
  <c r="B145" i="5"/>
  <c r="P144" i="5"/>
  <c r="O144" i="5"/>
  <c r="N144" i="5"/>
  <c r="J144" i="5"/>
  <c r="P143" i="5"/>
  <c r="O143" i="5"/>
  <c r="N143" i="5"/>
  <c r="J143" i="5"/>
  <c r="P142" i="5"/>
  <c r="O142" i="5"/>
  <c r="N142" i="5"/>
  <c r="J142" i="5"/>
  <c r="E142" i="5"/>
  <c r="P139" i="5"/>
  <c r="O139" i="5"/>
  <c r="N139" i="5"/>
  <c r="J139" i="5"/>
  <c r="D139" i="5"/>
  <c r="C139" i="5"/>
  <c r="B139" i="5"/>
  <c r="P138" i="5"/>
  <c r="O138" i="5"/>
  <c r="N138" i="5"/>
  <c r="J138" i="5"/>
  <c r="P137" i="5"/>
  <c r="O137" i="5"/>
  <c r="N137" i="5"/>
  <c r="J137" i="5"/>
  <c r="P136" i="5"/>
  <c r="O136" i="5"/>
  <c r="N136" i="5"/>
  <c r="J136" i="5"/>
  <c r="E136" i="5"/>
  <c r="P133" i="5"/>
  <c r="O133" i="5"/>
  <c r="N133" i="5"/>
  <c r="J133" i="5"/>
  <c r="D133" i="5"/>
  <c r="C133" i="5"/>
  <c r="B133" i="5"/>
  <c r="P132" i="5"/>
  <c r="O132" i="5"/>
  <c r="N132" i="5"/>
  <c r="J132" i="5"/>
  <c r="P131" i="5"/>
  <c r="O131" i="5"/>
  <c r="N131" i="5"/>
  <c r="J131" i="5"/>
  <c r="P130" i="5"/>
  <c r="O130" i="5"/>
  <c r="N130" i="5"/>
  <c r="J130" i="5"/>
  <c r="E130" i="5"/>
  <c r="P127" i="5"/>
  <c r="O127" i="5"/>
  <c r="N127" i="5"/>
  <c r="J127" i="5"/>
  <c r="D127" i="5"/>
  <c r="C127" i="5"/>
  <c r="B127" i="5"/>
  <c r="P126" i="5"/>
  <c r="O126" i="5"/>
  <c r="N126" i="5"/>
  <c r="J126" i="5"/>
  <c r="P125" i="5"/>
  <c r="O125" i="5"/>
  <c r="N125" i="5"/>
  <c r="J125" i="5"/>
  <c r="P124" i="5"/>
  <c r="O124" i="5"/>
  <c r="N124" i="5"/>
  <c r="J124" i="5"/>
  <c r="E124" i="5"/>
  <c r="P121" i="5"/>
  <c r="O121" i="5"/>
  <c r="N121" i="5"/>
  <c r="J121" i="5"/>
  <c r="D121" i="5"/>
  <c r="C121" i="5"/>
  <c r="B121" i="5"/>
  <c r="P120" i="5"/>
  <c r="O120" i="5"/>
  <c r="N120" i="5"/>
  <c r="J120" i="5"/>
  <c r="P119" i="5"/>
  <c r="O119" i="5"/>
  <c r="N119" i="5"/>
  <c r="J119" i="5"/>
  <c r="P118" i="5"/>
  <c r="O118" i="5"/>
  <c r="N118" i="5"/>
  <c r="J118" i="5"/>
  <c r="E118" i="5"/>
  <c r="P115" i="5"/>
  <c r="O115" i="5"/>
  <c r="N115" i="5"/>
  <c r="J115" i="5"/>
  <c r="D115" i="5"/>
  <c r="C115" i="5"/>
  <c r="B115" i="5"/>
  <c r="P114" i="5"/>
  <c r="O114" i="5"/>
  <c r="N114" i="5"/>
  <c r="J114" i="5"/>
  <c r="P113" i="5"/>
  <c r="O113" i="5"/>
  <c r="N113" i="5"/>
  <c r="J113" i="5"/>
  <c r="P112" i="5"/>
  <c r="O112" i="5"/>
  <c r="N112" i="5"/>
  <c r="J112" i="5"/>
  <c r="E112" i="5"/>
  <c r="P109" i="5"/>
  <c r="O109" i="5"/>
  <c r="N109" i="5"/>
  <c r="J109" i="5"/>
  <c r="D109" i="5"/>
  <c r="C109" i="5"/>
  <c r="B109" i="5"/>
  <c r="P108" i="5"/>
  <c r="O108" i="5"/>
  <c r="N108" i="5"/>
  <c r="J108" i="5"/>
  <c r="P107" i="5"/>
  <c r="O107" i="5"/>
  <c r="N107" i="5"/>
  <c r="J107" i="5"/>
  <c r="P106" i="5"/>
  <c r="O106" i="5"/>
  <c r="N106" i="5"/>
  <c r="J106" i="5"/>
  <c r="E106" i="5"/>
  <c r="P103" i="5"/>
  <c r="O103" i="5"/>
  <c r="N103" i="5"/>
  <c r="J103" i="5"/>
  <c r="D103" i="5"/>
  <c r="C103" i="5"/>
  <c r="B103" i="5"/>
  <c r="P102" i="5"/>
  <c r="O102" i="5"/>
  <c r="N102" i="5"/>
  <c r="J102" i="5"/>
  <c r="P101" i="5"/>
  <c r="O101" i="5"/>
  <c r="N101" i="5"/>
  <c r="J101" i="5"/>
  <c r="P100" i="5"/>
  <c r="O100" i="5"/>
  <c r="N100" i="5"/>
  <c r="J100" i="5"/>
  <c r="E100" i="5"/>
  <c r="P97" i="5"/>
  <c r="O97" i="5"/>
  <c r="N97" i="5"/>
  <c r="J97" i="5"/>
  <c r="D97" i="5"/>
  <c r="C97" i="5"/>
  <c r="B97" i="5"/>
  <c r="P96" i="5"/>
  <c r="O96" i="5"/>
  <c r="N96" i="5"/>
  <c r="J96" i="5"/>
  <c r="P95" i="5"/>
  <c r="O95" i="5"/>
  <c r="N95" i="5"/>
  <c r="J95" i="5"/>
  <c r="P94" i="5"/>
  <c r="O94" i="5"/>
  <c r="N94" i="5"/>
  <c r="J94" i="5"/>
  <c r="E94" i="5"/>
  <c r="P91" i="5"/>
  <c r="O91" i="5"/>
  <c r="N91" i="5"/>
  <c r="J91" i="5"/>
  <c r="D91" i="5"/>
  <c r="C91" i="5"/>
  <c r="B91" i="5"/>
  <c r="P90" i="5"/>
  <c r="O90" i="5"/>
  <c r="N90" i="5"/>
  <c r="J90" i="5"/>
  <c r="P89" i="5"/>
  <c r="O89" i="5"/>
  <c r="N89" i="5"/>
  <c r="J89" i="5"/>
  <c r="P88" i="5"/>
  <c r="O88" i="5"/>
  <c r="N88" i="5"/>
  <c r="J88" i="5"/>
  <c r="E88" i="5"/>
  <c r="P85" i="5"/>
  <c r="O85" i="5"/>
  <c r="N85" i="5"/>
  <c r="J85" i="5"/>
  <c r="D85" i="5"/>
  <c r="C85" i="5"/>
  <c r="B85" i="5"/>
  <c r="P84" i="5"/>
  <c r="O84" i="5"/>
  <c r="N84" i="5"/>
  <c r="J84" i="5"/>
  <c r="P83" i="5"/>
  <c r="O83" i="5"/>
  <c r="N83" i="5"/>
  <c r="J83" i="5"/>
  <c r="P82" i="5"/>
  <c r="O82" i="5"/>
  <c r="N82" i="5"/>
  <c r="J82" i="5"/>
  <c r="E82" i="5"/>
  <c r="P79" i="5"/>
  <c r="O79" i="5"/>
  <c r="N79" i="5"/>
  <c r="J79" i="5"/>
  <c r="D79" i="5"/>
  <c r="C79" i="5"/>
  <c r="B79" i="5"/>
  <c r="P78" i="5"/>
  <c r="O78" i="5"/>
  <c r="N78" i="5"/>
  <c r="J78" i="5"/>
  <c r="P77" i="5"/>
  <c r="O77" i="5"/>
  <c r="N77" i="5"/>
  <c r="J77" i="5"/>
  <c r="P76" i="5"/>
  <c r="O76" i="5"/>
  <c r="N76" i="5"/>
  <c r="J76" i="5"/>
  <c r="E76" i="5"/>
  <c r="P73" i="5"/>
  <c r="O73" i="5"/>
  <c r="N73" i="5"/>
  <c r="J73" i="5"/>
  <c r="D73" i="5"/>
  <c r="C73" i="5"/>
  <c r="B73" i="5"/>
  <c r="P72" i="5"/>
  <c r="O72" i="5"/>
  <c r="N72" i="5"/>
  <c r="J72" i="5"/>
  <c r="P71" i="5"/>
  <c r="O71" i="5"/>
  <c r="N71" i="5"/>
  <c r="J71" i="5"/>
  <c r="P70" i="5"/>
  <c r="O70" i="5"/>
  <c r="N70" i="5"/>
  <c r="J70" i="5"/>
  <c r="E70" i="5"/>
  <c r="P67" i="5"/>
  <c r="O67" i="5"/>
  <c r="N67" i="5"/>
  <c r="J67" i="5"/>
  <c r="D67" i="5"/>
  <c r="C67" i="5"/>
  <c r="B67" i="5"/>
  <c r="P66" i="5"/>
  <c r="O66" i="5"/>
  <c r="N66" i="5"/>
  <c r="J66" i="5"/>
  <c r="P65" i="5"/>
  <c r="O65" i="5"/>
  <c r="N65" i="5"/>
  <c r="J65" i="5"/>
  <c r="P64" i="5"/>
  <c r="O64" i="5"/>
  <c r="N64" i="5"/>
  <c r="J64" i="5"/>
  <c r="E64" i="5"/>
  <c r="P61" i="5"/>
  <c r="O61" i="5"/>
  <c r="N61" i="5"/>
  <c r="J61" i="5"/>
  <c r="D61" i="5"/>
  <c r="C61" i="5"/>
  <c r="B61" i="5"/>
  <c r="P60" i="5"/>
  <c r="O60" i="5"/>
  <c r="N60" i="5"/>
  <c r="J60" i="5"/>
  <c r="P59" i="5"/>
  <c r="O59" i="5"/>
  <c r="N59" i="5"/>
  <c r="J59" i="5"/>
  <c r="P58" i="5"/>
  <c r="O58" i="5"/>
  <c r="N58" i="5"/>
  <c r="J58" i="5"/>
  <c r="E58" i="5"/>
  <c r="P55" i="5"/>
  <c r="O55" i="5"/>
  <c r="N55" i="5"/>
  <c r="J55" i="5"/>
  <c r="D55" i="5"/>
  <c r="C55" i="5"/>
  <c r="B55" i="5"/>
  <c r="P54" i="5"/>
  <c r="O54" i="5"/>
  <c r="N54" i="5"/>
  <c r="J54" i="5"/>
  <c r="P53" i="5"/>
  <c r="O53" i="5"/>
  <c r="N53" i="5"/>
  <c r="J53" i="5"/>
  <c r="P52" i="5"/>
  <c r="O52" i="5"/>
  <c r="N52" i="5"/>
  <c r="J52" i="5"/>
  <c r="E52" i="5"/>
  <c r="P49" i="5"/>
  <c r="O49" i="5"/>
  <c r="N49" i="5"/>
  <c r="J49" i="5"/>
  <c r="D49" i="5"/>
  <c r="C49" i="5"/>
  <c r="B49" i="5"/>
  <c r="P48" i="5"/>
  <c r="O48" i="5"/>
  <c r="N48" i="5"/>
  <c r="J48" i="5"/>
  <c r="P47" i="5"/>
  <c r="O47" i="5"/>
  <c r="N47" i="5"/>
  <c r="J47" i="5"/>
  <c r="P46" i="5"/>
  <c r="O46" i="5"/>
  <c r="N46" i="5"/>
  <c r="J46" i="5"/>
  <c r="E46" i="5"/>
  <c r="P43" i="5"/>
  <c r="O43" i="5"/>
  <c r="N43" i="5"/>
  <c r="J43" i="5"/>
  <c r="D43" i="5"/>
  <c r="C43" i="5"/>
  <c r="B43" i="5"/>
  <c r="P42" i="5"/>
  <c r="O42" i="5"/>
  <c r="N42" i="5"/>
  <c r="J42" i="5"/>
  <c r="P41" i="5"/>
  <c r="O41" i="5"/>
  <c r="N41" i="5"/>
  <c r="J41" i="5"/>
  <c r="P40" i="5"/>
  <c r="O40" i="5"/>
  <c r="N40" i="5"/>
  <c r="J40" i="5"/>
  <c r="E40" i="5"/>
  <c r="P37" i="5"/>
  <c r="O37" i="5"/>
  <c r="N37" i="5"/>
  <c r="J37" i="5"/>
  <c r="D37" i="5"/>
  <c r="C37" i="5"/>
  <c r="B37" i="5"/>
  <c r="P36" i="5"/>
  <c r="O36" i="5"/>
  <c r="N36" i="5"/>
  <c r="J36" i="5"/>
  <c r="P35" i="5"/>
  <c r="O35" i="5"/>
  <c r="N35" i="5"/>
  <c r="J35" i="5"/>
  <c r="P34" i="5"/>
  <c r="O34" i="5"/>
  <c r="N34" i="5"/>
  <c r="J34" i="5"/>
  <c r="E34" i="5"/>
  <c r="P31" i="5"/>
  <c r="O31" i="5"/>
  <c r="N31" i="5"/>
  <c r="J31" i="5"/>
  <c r="D31" i="5"/>
  <c r="C31" i="5"/>
  <c r="B31" i="5"/>
  <c r="P30" i="5"/>
  <c r="O30" i="5"/>
  <c r="N30" i="5"/>
  <c r="J30" i="5"/>
  <c r="P29" i="5"/>
  <c r="O29" i="5"/>
  <c r="N29" i="5"/>
  <c r="J29" i="5"/>
  <c r="P28" i="5"/>
  <c r="O28" i="5"/>
  <c r="N28" i="5"/>
  <c r="J28" i="5"/>
  <c r="E28" i="5"/>
  <c r="P25" i="5"/>
  <c r="O25" i="5"/>
  <c r="N25" i="5"/>
  <c r="J25" i="5"/>
  <c r="D25" i="5"/>
  <c r="C25" i="5"/>
  <c r="B25" i="5"/>
  <c r="P24" i="5"/>
  <c r="O24" i="5"/>
  <c r="N24" i="5"/>
  <c r="J24" i="5"/>
  <c r="P23" i="5"/>
  <c r="O23" i="5"/>
  <c r="N23" i="5"/>
  <c r="J23" i="5"/>
  <c r="P22" i="5"/>
  <c r="O22" i="5"/>
  <c r="N22" i="5"/>
  <c r="J22" i="5"/>
  <c r="E22" i="5"/>
  <c r="P19" i="5"/>
  <c r="O19" i="5"/>
  <c r="N19" i="5"/>
  <c r="J19" i="5"/>
  <c r="D19" i="5"/>
  <c r="C19" i="5"/>
  <c r="B19" i="5"/>
  <c r="P18" i="5"/>
  <c r="O18" i="5"/>
  <c r="N18" i="5"/>
  <c r="J18" i="5"/>
  <c r="P17" i="5"/>
  <c r="O17" i="5"/>
  <c r="N17" i="5"/>
  <c r="J17" i="5"/>
  <c r="P16" i="5"/>
  <c r="O16" i="5"/>
  <c r="N16" i="5"/>
  <c r="J16" i="5"/>
  <c r="E16" i="5"/>
  <c r="P13" i="5"/>
  <c r="O13" i="5"/>
  <c r="N13" i="5"/>
  <c r="J13" i="5"/>
  <c r="D13" i="5"/>
  <c r="C13" i="5"/>
  <c r="B13" i="5"/>
  <c r="P12" i="5"/>
  <c r="O12" i="5"/>
  <c r="N12" i="5"/>
  <c r="J12" i="5"/>
  <c r="P11" i="5"/>
  <c r="O11" i="5"/>
  <c r="N11" i="5"/>
  <c r="J11" i="5"/>
  <c r="P10" i="5"/>
  <c r="O10" i="5"/>
  <c r="N10" i="5"/>
  <c r="J10" i="5"/>
  <c r="E10" i="5"/>
  <c r="DD89" i="3"/>
  <c r="DD90" i="3"/>
  <c r="DD91" i="3"/>
  <c r="DE91" i="3" s="1"/>
  <c r="DD92" i="3"/>
  <c r="DD93" i="3"/>
  <c r="DE93" i="3" s="1"/>
  <c r="DD94" i="3"/>
  <c r="DE94" i="3" s="1"/>
  <c r="DD95" i="3"/>
  <c r="DE95" i="3" s="1"/>
  <c r="DD96" i="3"/>
  <c r="DE96" i="3" s="1"/>
  <c r="DD97" i="3"/>
  <c r="DD98" i="3"/>
  <c r="DE98" i="3" s="1"/>
  <c r="DD99" i="3"/>
  <c r="DE99" i="3" s="1"/>
  <c r="DD100" i="3"/>
  <c r="DE100" i="3" s="1"/>
  <c r="DD101" i="3"/>
  <c r="DE101" i="3" s="1"/>
  <c r="DD102" i="3"/>
  <c r="DE102" i="3" s="1"/>
  <c r="DD103" i="3"/>
  <c r="DE103" i="3" s="1"/>
  <c r="DD104" i="3"/>
  <c r="DE104" i="3" s="1"/>
  <c r="DD105" i="3"/>
  <c r="DE105" i="3" s="1"/>
  <c r="DD106" i="3"/>
  <c r="DE106" i="3" s="1"/>
  <c r="DD107" i="3"/>
  <c r="DD108" i="3"/>
  <c r="DE108" i="3" s="1"/>
  <c r="DD109" i="3"/>
  <c r="DE109" i="3" s="1"/>
  <c r="DD110" i="3"/>
  <c r="DE110" i="3" s="1"/>
  <c r="DD111" i="3"/>
  <c r="DE111" i="3" s="1"/>
  <c r="DD112" i="3"/>
  <c r="DE112" i="3" s="1"/>
  <c r="DD113" i="3"/>
  <c r="DE113" i="3" s="1"/>
  <c r="DD114" i="3"/>
  <c r="DD87" i="3"/>
  <c r="DD88" i="3"/>
  <c r="DE88" i="3" s="1"/>
  <c r="AY90" i="6"/>
  <c r="BA90" i="6" s="1"/>
  <c r="AY91" i="6"/>
  <c r="AY88" i="6"/>
  <c r="BA88" i="6" s="1"/>
  <c r="AY89" i="6"/>
  <c r="BA89" i="6" s="1"/>
  <c r="AY84" i="6"/>
  <c r="BA84" i="6" s="1"/>
  <c r="AY85" i="6"/>
  <c r="BA85" i="6" s="1"/>
  <c r="AY86" i="6"/>
  <c r="BA86" i="6" s="1"/>
  <c r="AY87" i="6"/>
  <c r="BA87" i="6" s="1"/>
  <c r="AY65" i="6"/>
  <c r="AY66" i="6"/>
  <c r="BA66" i="6" s="1"/>
  <c r="AY67" i="6"/>
  <c r="BA67" i="6" s="1"/>
  <c r="AY68" i="6"/>
  <c r="BA68" i="6" s="1"/>
  <c r="AY69" i="6"/>
  <c r="BA69" i="6" s="1"/>
  <c r="AY70" i="6"/>
  <c r="BA70" i="6" s="1"/>
  <c r="AY71" i="6"/>
  <c r="BA71" i="6" s="1"/>
  <c r="AY72" i="6"/>
  <c r="BA72" i="6" s="1"/>
  <c r="AY73" i="6"/>
  <c r="BA73" i="6" s="1"/>
  <c r="AY74" i="6"/>
  <c r="BA74" i="6" s="1"/>
  <c r="AY75" i="6"/>
  <c r="BA75" i="6" s="1"/>
  <c r="AY76" i="6"/>
  <c r="AY77" i="6"/>
  <c r="BA77" i="6" s="1"/>
  <c r="AY78" i="6"/>
  <c r="BA78" i="6" s="1"/>
  <c r="AY79" i="6"/>
  <c r="BA79" i="6" s="1"/>
  <c r="AY80" i="6"/>
  <c r="BA80" i="6" s="1"/>
  <c r="AY81" i="6"/>
  <c r="BA81" i="6" s="1"/>
  <c r="AY82" i="6"/>
  <c r="BA82" i="6" s="1"/>
  <c r="AY83" i="6"/>
  <c r="BA83" i="6" s="1"/>
  <c r="AY64" i="6"/>
  <c r="AZ65" i="6" s="1"/>
  <c r="DE97" i="3"/>
  <c r="DE114" i="3"/>
  <c r="DE90" i="3"/>
  <c r="DE107" i="3"/>
  <c r="DI81" i="3"/>
  <c r="DJ81" i="3"/>
  <c r="DK81" i="3"/>
  <c r="DL81" i="3"/>
  <c r="DM81" i="3"/>
  <c r="DN81" i="3"/>
  <c r="DO81" i="3"/>
  <c r="DP81" i="3"/>
  <c r="DQ81" i="3"/>
  <c r="DH81" i="3"/>
  <c r="CY69" i="3"/>
  <c r="CZ69" i="3"/>
  <c r="DA69" i="3"/>
  <c r="DB69" i="3"/>
  <c r="DC69" i="3"/>
  <c r="DD69" i="3"/>
  <c r="DE69" i="3"/>
  <c r="DF69" i="3"/>
  <c r="DG69" i="3"/>
  <c r="CY70" i="3"/>
  <c r="CZ70" i="3"/>
  <c r="DA70" i="3"/>
  <c r="DB70" i="3"/>
  <c r="DC70" i="3"/>
  <c r="DD70" i="3"/>
  <c r="DE70" i="3"/>
  <c r="DF70" i="3"/>
  <c r="DG70" i="3"/>
  <c r="CY71" i="3"/>
  <c r="CZ71" i="3"/>
  <c r="DA71" i="3"/>
  <c r="DB71" i="3"/>
  <c r="DC71" i="3"/>
  <c r="DD71" i="3"/>
  <c r="DE71" i="3"/>
  <c r="DF71" i="3"/>
  <c r="DG71" i="3"/>
  <c r="CY72" i="3"/>
  <c r="CZ72" i="3"/>
  <c r="DA72" i="3"/>
  <c r="DB72" i="3"/>
  <c r="DC72" i="3"/>
  <c r="DD72" i="3"/>
  <c r="DE72" i="3"/>
  <c r="DF72" i="3"/>
  <c r="DG72" i="3"/>
  <c r="CY73" i="3"/>
  <c r="CZ73" i="3"/>
  <c r="DA73" i="3"/>
  <c r="DB73" i="3"/>
  <c r="DC73" i="3"/>
  <c r="DD73" i="3"/>
  <c r="DE73" i="3"/>
  <c r="DF73" i="3"/>
  <c r="DG73" i="3"/>
  <c r="CY74" i="3"/>
  <c r="CZ74" i="3"/>
  <c r="DA74" i="3"/>
  <c r="DB74" i="3"/>
  <c r="DC74" i="3"/>
  <c r="DD74" i="3"/>
  <c r="DE74" i="3"/>
  <c r="DF74" i="3"/>
  <c r="DG74" i="3"/>
  <c r="CY75" i="3"/>
  <c r="CZ75" i="3"/>
  <c r="DA75" i="3"/>
  <c r="DB75" i="3"/>
  <c r="DC75" i="3"/>
  <c r="DD75" i="3"/>
  <c r="DE75" i="3"/>
  <c r="DF75" i="3"/>
  <c r="DG75" i="3"/>
  <c r="CY76" i="3"/>
  <c r="CZ76" i="3"/>
  <c r="DA76" i="3"/>
  <c r="DB76" i="3"/>
  <c r="DC76" i="3"/>
  <c r="DD76" i="3"/>
  <c r="DE76" i="3"/>
  <c r="DF76" i="3"/>
  <c r="DG76" i="3"/>
  <c r="CY77" i="3"/>
  <c r="CZ77" i="3"/>
  <c r="DA77" i="3"/>
  <c r="DB77" i="3"/>
  <c r="DC77" i="3"/>
  <c r="DD77" i="3"/>
  <c r="DE77" i="3"/>
  <c r="DF77" i="3"/>
  <c r="DG77" i="3"/>
  <c r="CY78" i="3"/>
  <c r="CZ78" i="3"/>
  <c r="DA78" i="3"/>
  <c r="DB78" i="3"/>
  <c r="DC78" i="3"/>
  <c r="DD78" i="3"/>
  <c r="DE78" i="3"/>
  <c r="DF78" i="3"/>
  <c r="DG78" i="3"/>
  <c r="CY79" i="3"/>
  <c r="CZ79" i="3"/>
  <c r="DA79" i="3"/>
  <c r="DB79" i="3"/>
  <c r="DC79" i="3"/>
  <c r="DD79" i="3"/>
  <c r="DE79" i="3"/>
  <c r="DF79" i="3"/>
  <c r="DG79" i="3"/>
  <c r="CX72" i="3"/>
  <c r="CX73" i="3"/>
  <c r="CX74" i="3"/>
  <c r="CX75" i="3"/>
  <c r="CX76" i="3"/>
  <c r="CX77" i="3"/>
  <c r="CX78" i="3"/>
  <c r="CX79" i="3"/>
  <c r="CX70" i="3"/>
  <c r="CX71" i="3"/>
  <c r="CX69" i="3"/>
  <c r="CW79" i="3"/>
  <c r="DI79" i="3" s="1"/>
  <c r="CW78" i="3"/>
  <c r="CW77" i="3"/>
  <c r="CW76" i="3"/>
  <c r="CW75" i="3"/>
  <c r="DI75" i="3" s="1"/>
  <c r="CW74" i="3"/>
  <c r="CW73" i="3"/>
  <c r="DJ73" i="3" s="1"/>
  <c r="CW72" i="3"/>
  <c r="DK72" i="3" s="1"/>
  <c r="CW71" i="3"/>
  <c r="DK71" i="3" s="1"/>
  <c r="CW70" i="3"/>
  <c r="CW69" i="3"/>
  <c r="CK46" i="6"/>
  <c r="CM56" i="6" s="1"/>
  <c r="CN56" i="6" s="1"/>
  <c r="CH46" i="6"/>
  <c r="CJ55" i="6" s="1"/>
  <c r="CK55" i="6" s="1"/>
  <c r="CE46" i="6"/>
  <c r="CG56" i="6" s="1"/>
  <c r="CH56" i="6" s="1"/>
  <c r="CB46" i="6"/>
  <c r="CD54" i="6" s="1"/>
  <c r="CE54" i="6" s="1"/>
  <c r="BY46" i="6"/>
  <c r="CA55" i="6" s="1"/>
  <c r="CB55" i="6" s="1"/>
  <c r="BV46" i="6"/>
  <c r="BX56" i="6" s="1"/>
  <c r="BY56" i="6" s="1"/>
  <c r="BS46" i="6"/>
  <c r="BU56" i="6" s="1"/>
  <c r="BV56" i="6" s="1"/>
  <c r="BP46" i="6"/>
  <c r="BR56" i="6" s="1"/>
  <c r="BS56" i="6" s="1"/>
  <c r="BM46" i="6"/>
  <c r="BO56" i="6" s="1"/>
  <c r="BP56" i="6" s="1"/>
  <c r="BJ46" i="6"/>
  <c r="BL55" i="6" s="1"/>
  <c r="BM55" i="6" s="1"/>
  <c r="BG46" i="6"/>
  <c r="BI56" i="6" s="1"/>
  <c r="BJ56" i="6" s="1"/>
  <c r="BD46" i="6"/>
  <c r="BF55" i="6" s="1"/>
  <c r="BG55" i="6" s="1"/>
  <c r="BA46" i="6"/>
  <c r="BC55" i="6" s="1"/>
  <c r="BD55" i="6" s="1"/>
  <c r="AX46" i="6"/>
  <c r="CC1" i="6"/>
  <c r="CE37" i="6" s="1"/>
  <c r="CF37" i="6" s="1"/>
  <c r="BZ1" i="6"/>
  <c r="CB30" i="6" s="1"/>
  <c r="CC30" i="6" s="1"/>
  <c r="BW1" i="6"/>
  <c r="BY29" i="6" s="1"/>
  <c r="BZ29" i="6" s="1"/>
  <c r="BT1" i="6"/>
  <c r="BV30" i="6" s="1"/>
  <c r="BW30" i="6" s="1"/>
  <c r="BQ1" i="6"/>
  <c r="BS29" i="6" s="1"/>
  <c r="BT29" i="6" s="1"/>
  <c r="BN1" i="6"/>
  <c r="BP29" i="6" s="1"/>
  <c r="BQ29" i="6" s="1"/>
  <c r="BK1" i="6"/>
  <c r="BM5" i="6" s="1"/>
  <c r="BN5" i="6" s="1"/>
  <c r="BG1" i="6"/>
  <c r="BI2" i="6" s="1"/>
  <c r="BD1" i="6"/>
  <c r="BF41" i="6" s="1"/>
  <c r="BA1" i="6"/>
  <c r="BC3" i="6" s="1"/>
  <c r="AX1" i="6"/>
  <c r="AZ2" i="6" s="1"/>
  <c r="BA2" i="6" s="1"/>
  <c r="AR2" i="1"/>
  <c r="BR22" i="1"/>
  <c r="AR8" i="1"/>
  <c r="CX52" i="3"/>
  <c r="CX53" i="3"/>
  <c r="CX54" i="3"/>
  <c r="CX55" i="3"/>
  <c r="CX56" i="3"/>
  <c r="CX57" i="3"/>
  <c r="CX58" i="3"/>
  <c r="CX59" i="3"/>
  <c r="CX60" i="3"/>
  <c r="CX61" i="3"/>
  <c r="CX51" i="3"/>
  <c r="CW52" i="3"/>
  <c r="CW53" i="3"/>
  <c r="CW54" i="3"/>
  <c r="CW55" i="3"/>
  <c r="CW56" i="3"/>
  <c r="CW57" i="3"/>
  <c r="CW58" i="3"/>
  <c r="CW59" i="3"/>
  <c r="CW60" i="3"/>
  <c r="CW61" i="3"/>
  <c r="CW51" i="3"/>
  <c r="X32" i="2"/>
  <c r="X30" i="2"/>
  <c r="X28" i="2"/>
  <c r="X26" i="2"/>
  <c r="X24" i="2"/>
  <c r="X22" i="2"/>
  <c r="W21" i="2"/>
  <c r="BX81" i="3"/>
  <c r="BX88" i="3"/>
  <c r="BZ88" i="3" s="1"/>
  <c r="BX112" i="3"/>
  <c r="BX91" i="3"/>
  <c r="BX82" i="3"/>
  <c r="BX120" i="3"/>
  <c r="BX121" i="3"/>
  <c r="BX119" i="3"/>
  <c r="BX118" i="3"/>
  <c r="BX117" i="3"/>
  <c r="BX116" i="3"/>
  <c r="BX115" i="3"/>
  <c r="BX114" i="3"/>
  <c r="BX113" i="3"/>
  <c r="BX111" i="3"/>
  <c r="BX110" i="3"/>
  <c r="BZ110" i="3" s="1"/>
  <c r="BX109" i="3"/>
  <c r="BZ109" i="3" s="1"/>
  <c r="BX108" i="3"/>
  <c r="BX107" i="3"/>
  <c r="BX106" i="3"/>
  <c r="BX105" i="3"/>
  <c r="BX104" i="3"/>
  <c r="BX103" i="3"/>
  <c r="BX102" i="3"/>
  <c r="BX101" i="3"/>
  <c r="BX100" i="3"/>
  <c r="BX99" i="3"/>
  <c r="BX98" i="3"/>
  <c r="BX97" i="3"/>
  <c r="BZ97" i="3" s="1"/>
  <c r="BX96" i="3"/>
  <c r="BX95" i="3"/>
  <c r="BX94" i="3"/>
  <c r="BX93" i="3"/>
  <c r="BX92" i="3"/>
  <c r="BX90" i="3"/>
  <c r="BX89" i="3"/>
  <c r="BX87" i="3"/>
  <c r="BX86" i="3"/>
  <c r="BX85" i="3"/>
  <c r="BX84" i="3"/>
  <c r="BX83" i="3"/>
  <c r="K16" i="1"/>
  <c r="K5" i="11"/>
  <c r="BD14" i="1" s="1"/>
  <c r="AZ51" i="6" l="1"/>
  <c r="BA51" i="6" s="1"/>
  <c r="AZ54" i="6"/>
  <c r="AL156" i="13"/>
  <c r="AJ168" i="13"/>
  <c r="AJ169" i="13" s="1"/>
  <c r="AJ170" i="13" s="1"/>
  <c r="AJ171" i="13" s="1"/>
  <c r="AJ172" i="13" s="1"/>
  <c r="AJ174" i="13"/>
  <c r="AK173" i="13"/>
  <c r="DL76" i="3"/>
  <c r="DK77" i="3"/>
  <c r="DJ78" i="3"/>
  <c r="CB8" i="6"/>
  <c r="CC8" i="6" s="1"/>
  <c r="CB16" i="6"/>
  <c r="CC16" i="6" s="1"/>
  <c r="CB24" i="6"/>
  <c r="CC24" i="6" s="1"/>
  <c r="CE19" i="6"/>
  <c r="CF19" i="6" s="1"/>
  <c r="CE38" i="6"/>
  <c r="CF38" i="6" s="1"/>
  <c r="DH76" i="3"/>
  <c r="DP79" i="3"/>
  <c r="DL79" i="3"/>
  <c r="DQ78" i="3"/>
  <c r="DM78" i="3"/>
  <c r="DI78" i="3"/>
  <c r="DN77" i="3"/>
  <c r="DJ77" i="3"/>
  <c r="DO76" i="3"/>
  <c r="DK76" i="3"/>
  <c r="DP75" i="3"/>
  <c r="DL75" i="3"/>
  <c r="DQ73" i="3"/>
  <c r="DM73" i="3"/>
  <c r="DI73" i="3"/>
  <c r="CB2" i="6"/>
  <c r="CC2" i="6" s="1"/>
  <c r="CB10" i="6"/>
  <c r="CC10" i="6" s="1"/>
  <c r="CB19" i="6"/>
  <c r="CC19" i="6" s="1"/>
  <c r="CB27" i="6"/>
  <c r="CC27" i="6" s="1"/>
  <c r="CE7" i="6"/>
  <c r="CF7" i="6" s="1"/>
  <c r="CE26" i="6"/>
  <c r="CF26" i="6" s="1"/>
  <c r="CE41" i="6"/>
  <c r="CF41" i="6" s="1"/>
  <c r="DH79" i="3"/>
  <c r="DH75" i="3"/>
  <c r="DO79" i="3"/>
  <c r="DK79" i="3"/>
  <c r="DP78" i="3"/>
  <c r="DL78" i="3"/>
  <c r="DQ77" i="3"/>
  <c r="DM77" i="3"/>
  <c r="DI77" i="3"/>
  <c r="DN76" i="3"/>
  <c r="DJ76" i="3"/>
  <c r="DO75" i="3"/>
  <c r="DK75" i="3"/>
  <c r="DP73" i="3"/>
  <c r="DL73" i="3"/>
  <c r="CB5" i="6"/>
  <c r="CC5" i="6" s="1"/>
  <c r="CB13" i="6"/>
  <c r="CC13" i="6" s="1"/>
  <c r="CB20" i="6"/>
  <c r="CC20" i="6" s="1"/>
  <c r="CB28" i="6"/>
  <c r="CC28" i="6" s="1"/>
  <c r="CE10" i="6"/>
  <c r="CF10" i="6" s="1"/>
  <c r="CE30" i="6"/>
  <c r="CF30" i="6" s="1"/>
  <c r="DH78" i="3"/>
  <c r="DH73" i="3"/>
  <c r="DN79" i="3"/>
  <c r="DJ79" i="3"/>
  <c r="DO78" i="3"/>
  <c r="DK78" i="3"/>
  <c r="DP77" i="3"/>
  <c r="DL77" i="3"/>
  <c r="DQ76" i="3"/>
  <c r="DM76" i="3"/>
  <c r="DI76" i="3"/>
  <c r="DN75" i="3"/>
  <c r="DJ75" i="3"/>
  <c r="DO73" i="3"/>
  <c r="DK73" i="3"/>
  <c r="CB7" i="6"/>
  <c r="CC7" i="6" s="1"/>
  <c r="CB15" i="6"/>
  <c r="CC15" i="6" s="1"/>
  <c r="CB23" i="6"/>
  <c r="CC23" i="6" s="1"/>
  <c r="CB31" i="6"/>
  <c r="CC31" i="6" s="1"/>
  <c r="CE15" i="6"/>
  <c r="CF15" i="6" s="1"/>
  <c r="CE34" i="6"/>
  <c r="CF34" i="6" s="1"/>
  <c r="DH74" i="3"/>
  <c r="DH77" i="3"/>
  <c r="DQ79" i="3"/>
  <c r="DM79" i="3"/>
  <c r="DN78" i="3"/>
  <c r="DO77" i="3"/>
  <c r="DP76" i="3"/>
  <c r="DQ75" i="3"/>
  <c r="DM75" i="3"/>
  <c r="DN73" i="3"/>
  <c r="BY83" i="3"/>
  <c r="BY84" i="3" s="1"/>
  <c r="DN71" i="3"/>
  <c r="DJ71" i="3"/>
  <c r="DM71" i="3"/>
  <c r="DH71" i="3"/>
  <c r="DP71" i="3"/>
  <c r="DL71" i="3"/>
  <c r="DQ71" i="3"/>
  <c r="DI71" i="3"/>
  <c r="DO71" i="3"/>
  <c r="DN72" i="3"/>
  <c r="DJ72" i="3"/>
  <c r="DH72" i="3"/>
  <c r="DQ72" i="3"/>
  <c r="DM72" i="3"/>
  <c r="DI72" i="3"/>
  <c r="DP72" i="3"/>
  <c r="DL72" i="3"/>
  <c r="DO72" i="3"/>
  <c r="CW80" i="3"/>
  <c r="DK69" i="3"/>
  <c r="DH69" i="3"/>
  <c r="DN69" i="3"/>
  <c r="DJ69" i="3"/>
  <c r="DQ69" i="3"/>
  <c r="DM69" i="3"/>
  <c r="DI69" i="3"/>
  <c r="DO69" i="3"/>
  <c r="DP69" i="3"/>
  <c r="DL69" i="3"/>
  <c r="DL70" i="3"/>
  <c r="AZ66" i="6"/>
  <c r="AZ67" i="6" s="1"/>
  <c r="AZ68" i="6" s="1"/>
  <c r="AZ69" i="6" s="1"/>
  <c r="AZ70" i="6" s="1"/>
  <c r="AZ71" i="6" s="1"/>
  <c r="AZ72" i="6" s="1"/>
  <c r="AZ73" i="6" s="1"/>
  <c r="AZ74" i="6" s="1"/>
  <c r="AZ75" i="6" s="1"/>
  <c r="AZ76" i="6" s="1"/>
  <c r="BA76" i="6"/>
  <c r="BA64" i="6"/>
  <c r="BA65" i="6"/>
  <c r="DK70" i="3"/>
  <c r="DH70" i="3"/>
  <c r="DN70" i="3"/>
  <c r="DJ70" i="3"/>
  <c r="DO70" i="3"/>
  <c r="DQ70" i="3"/>
  <c r="DM70" i="3"/>
  <c r="DI70" i="3"/>
  <c r="DP70" i="3"/>
  <c r="DM74" i="3"/>
  <c r="DO74" i="3"/>
  <c r="DJ74" i="3"/>
  <c r="DN74" i="3"/>
  <c r="DI74" i="3"/>
  <c r="DQ74" i="3"/>
  <c r="DL74" i="3"/>
  <c r="DP74" i="3"/>
  <c r="DK74" i="3"/>
  <c r="BU50" i="6"/>
  <c r="BV50" i="6" s="1"/>
  <c r="BU53" i="6"/>
  <c r="BV53" i="6" s="1"/>
  <c r="BI49" i="6"/>
  <c r="BJ49" i="6" s="1"/>
  <c r="CG49" i="6"/>
  <c r="CH49" i="6" s="1"/>
  <c r="BL53" i="6"/>
  <c r="BM53" i="6" s="1"/>
  <c r="CJ53" i="6"/>
  <c r="CK53" i="6" s="1"/>
  <c r="BO49" i="6"/>
  <c r="BP49" i="6" s="1"/>
  <c r="CM49" i="6"/>
  <c r="CN49" i="6" s="1"/>
  <c r="BI54" i="6"/>
  <c r="BJ54" i="6" s="1"/>
  <c r="BO54" i="6"/>
  <c r="BP54" i="6" s="1"/>
  <c r="BU54" i="6"/>
  <c r="BV54" i="6" s="1"/>
  <c r="CG53" i="6"/>
  <c r="CH53" i="6" s="1"/>
  <c r="CM54" i="6"/>
  <c r="CN54" i="6" s="1"/>
  <c r="CA53" i="6"/>
  <c r="CB53" i="6" s="1"/>
  <c r="BL50" i="6"/>
  <c r="BM50" i="6" s="1"/>
  <c r="BU49" i="6"/>
  <c r="BV49" i="6" s="1"/>
  <c r="CA50" i="6"/>
  <c r="CB50" i="6" s="1"/>
  <c r="CJ50" i="6"/>
  <c r="CK50" i="6" s="1"/>
  <c r="BA54" i="6"/>
  <c r="AZ49" i="6"/>
  <c r="BA49" i="6" s="1"/>
  <c r="AZ55" i="6"/>
  <c r="BA55" i="6" s="1"/>
  <c r="AZ47" i="6"/>
  <c r="BA47" i="6" s="1"/>
  <c r="AZ53" i="6"/>
  <c r="BA53" i="6" s="1"/>
  <c r="AZ48" i="6"/>
  <c r="BA48" i="6" s="1"/>
  <c r="AZ50" i="6"/>
  <c r="BA50" i="6" s="1"/>
  <c r="AZ56" i="6"/>
  <c r="BA56" i="6" s="1"/>
  <c r="AZ52" i="6"/>
  <c r="BA52" i="6" s="1"/>
  <c r="BC48" i="6"/>
  <c r="BD48" i="6" s="1"/>
  <c r="BC51" i="6"/>
  <c r="BD51" i="6" s="1"/>
  <c r="BC56" i="6"/>
  <c r="BD56" i="6" s="1"/>
  <c r="BC53" i="6"/>
  <c r="BD53" i="6" s="1"/>
  <c r="BC49" i="6"/>
  <c r="BD49" i="6" s="1"/>
  <c r="BC54" i="6"/>
  <c r="BD54" i="6" s="1"/>
  <c r="BC50" i="6"/>
  <c r="BD50" i="6" s="1"/>
  <c r="BC47" i="6"/>
  <c r="BD47" i="6" s="1"/>
  <c r="BC52" i="6"/>
  <c r="BD52" i="6" s="1"/>
  <c r="BF50" i="6"/>
  <c r="BG50" i="6" s="1"/>
  <c r="BF53" i="6"/>
  <c r="BG53" i="6" s="1"/>
  <c r="BF48" i="6"/>
  <c r="BG48" i="6" s="1"/>
  <c r="BF51" i="6"/>
  <c r="BG51" i="6" s="1"/>
  <c r="BF56" i="6"/>
  <c r="BG56" i="6" s="1"/>
  <c r="BF49" i="6"/>
  <c r="BG49" i="6" s="1"/>
  <c r="BF54" i="6"/>
  <c r="BG54" i="6" s="1"/>
  <c r="BF47" i="6"/>
  <c r="BG47" i="6" s="1"/>
  <c r="BF52" i="6"/>
  <c r="BG52" i="6" s="1"/>
  <c r="BI47" i="6"/>
  <c r="BJ47" i="6" s="1"/>
  <c r="BI52" i="6"/>
  <c r="BJ52" i="6" s="1"/>
  <c r="BI55" i="6"/>
  <c r="BJ55" i="6" s="1"/>
  <c r="BI50" i="6"/>
  <c r="BJ50" i="6" s="1"/>
  <c r="BI53" i="6"/>
  <c r="BJ53" i="6" s="1"/>
  <c r="BI48" i="6"/>
  <c r="BJ48" i="6" s="1"/>
  <c r="BI51" i="6"/>
  <c r="BJ51" i="6" s="1"/>
  <c r="BL48" i="6"/>
  <c r="BM48" i="6" s="1"/>
  <c r="BL51" i="6"/>
  <c r="BM51" i="6" s="1"/>
  <c r="BL56" i="6"/>
  <c r="BM56" i="6" s="1"/>
  <c r="BL49" i="6"/>
  <c r="BM49" i="6" s="1"/>
  <c r="BL54" i="6"/>
  <c r="BM54" i="6" s="1"/>
  <c r="BL47" i="6"/>
  <c r="BM47" i="6" s="1"/>
  <c r="BL52" i="6"/>
  <c r="BM52" i="6" s="1"/>
  <c r="BO47" i="6"/>
  <c r="BP47" i="6" s="1"/>
  <c r="BO52" i="6"/>
  <c r="BP52" i="6" s="1"/>
  <c r="BO55" i="6"/>
  <c r="BP55" i="6" s="1"/>
  <c r="BO50" i="6"/>
  <c r="BP50" i="6" s="1"/>
  <c r="BO53" i="6"/>
  <c r="BP53" i="6" s="1"/>
  <c r="BO48" i="6"/>
  <c r="BP48" i="6" s="1"/>
  <c r="BO51" i="6"/>
  <c r="BP51" i="6" s="1"/>
  <c r="BR54" i="6"/>
  <c r="BS54" i="6" s="1"/>
  <c r="BR55" i="6"/>
  <c r="BS55" i="6" s="1"/>
  <c r="BR50" i="6"/>
  <c r="BS50" i="6" s="1"/>
  <c r="BR53" i="6"/>
  <c r="BS53" i="6" s="1"/>
  <c r="BR49" i="6"/>
  <c r="BS49" i="6" s="1"/>
  <c r="BR47" i="6"/>
  <c r="BS47" i="6" s="1"/>
  <c r="BR52" i="6"/>
  <c r="BS52" i="6" s="1"/>
  <c r="BR48" i="6"/>
  <c r="BS48" i="6" s="1"/>
  <c r="BR51" i="6"/>
  <c r="BS51" i="6" s="1"/>
  <c r="BU47" i="6"/>
  <c r="BV47" i="6" s="1"/>
  <c r="BU51" i="6"/>
  <c r="BV51" i="6" s="1"/>
  <c r="BU55" i="6"/>
  <c r="BV55" i="6" s="1"/>
  <c r="BU48" i="6"/>
  <c r="BV48" i="6" s="1"/>
  <c r="BU52" i="6"/>
  <c r="BV52" i="6" s="1"/>
  <c r="BX47" i="6"/>
  <c r="BY47" i="6" s="1"/>
  <c r="BX55" i="6"/>
  <c r="BY55" i="6" s="1"/>
  <c r="BX50" i="6"/>
  <c r="BY50" i="6" s="1"/>
  <c r="BX53" i="6"/>
  <c r="BY53" i="6" s="1"/>
  <c r="BX49" i="6"/>
  <c r="BY49" i="6" s="1"/>
  <c r="BX54" i="6"/>
  <c r="BY54" i="6" s="1"/>
  <c r="BX52" i="6"/>
  <c r="BY52" i="6" s="1"/>
  <c r="BX48" i="6"/>
  <c r="BY48" i="6" s="1"/>
  <c r="BX51" i="6"/>
  <c r="BY51" i="6" s="1"/>
  <c r="CA48" i="6"/>
  <c r="CB48" i="6" s="1"/>
  <c r="CA51" i="6"/>
  <c r="CB51" i="6" s="1"/>
  <c r="CA56" i="6"/>
  <c r="CB56" i="6" s="1"/>
  <c r="CA49" i="6"/>
  <c r="CB49" i="6" s="1"/>
  <c r="CA54" i="6"/>
  <c r="CB54" i="6" s="1"/>
  <c r="CA47" i="6"/>
  <c r="CB47" i="6" s="1"/>
  <c r="CA52" i="6"/>
  <c r="CB52" i="6" s="1"/>
  <c r="CD47" i="6"/>
  <c r="CE47" i="6" s="1"/>
  <c r="CD48" i="6"/>
  <c r="CE48" i="6" s="1"/>
  <c r="CD52" i="6"/>
  <c r="CE52" i="6" s="1"/>
  <c r="CD56" i="6"/>
  <c r="CE56" i="6" s="1"/>
  <c r="CD55" i="6"/>
  <c r="CE55" i="6" s="1"/>
  <c r="CD49" i="6"/>
  <c r="CE49" i="6" s="1"/>
  <c r="CD53" i="6"/>
  <c r="CE53" i="6" s="1"/>
  <c r="CD51" i="6"/>
  <c r="CE51" i="6" s="1"/>
  <c r="CD50" i="6"/>
  <c r="CE50" i="6" s="1"/>
  <c r="CG50" i="6"/>
  <c r="CH50" i="6" s="1"/>
  <c r="CG54" i="6"/>
  <c r="CH54" i="6" s="1"/>
  <c r="CG47" i="6"/>
  <c r="CH47" i="6" s="1"/>
  <c r="CG51" i="6"/>
  <c r="CH51" i="6" s="1"/>
  <c r="CG55" i="6"/>
  <c r="CH55" i="6" s="1"/>
  <c r="CG48" i="6"/>
  <c r="CH48" i="6" s="1"/>
  <c r="CG52" i="6"/>
  <c r="CH52" i="6" s="1"/>
  <c r="CJ48" i="6"/>
  <c r="CK48" i="6" s="1"/>
  <c r="CJ51" i="6"/>
  <c r="CK51" i="6" s="1"/>
  <c r="CJ56" i="6"/>
  <c r="CK56" i="6" s="1"/>
  <c r="CJ49" i="6"/>
  <c r="CK49" i="6" s="1"/>
  <c r="CJ54" i="6"/>
  <c r="CK54" i="6" s="1"/>
  <c r="CJ47" i="6"/>
  <c r="CK47" i="6" s="1"/>
  <c r="CJ52" i="6"/>
  <c r="CK52" i="6" s="1"/>
  <c r="CM47" i="6"/>
  <c r="CN47" i="6" s="1"/>
  <c r="CM52" i="6"/>
  <c r="CN52" i="6" s="1"/>
  <c r="CM55" i="6"/>
  <c r="CN55" i="6" s="1"/>
  <c r="CM50" i="6"/>
  <c r="CN50" i="6" s="1"/>
  <c r="CM53" i="6"/>
  <c r="CN53" i="6" s="1"/>
  <c r="CM48" i="6"/>
  <c r="CN48" i="6" s="1"/>
  <c r="CM51" i="6"/>
  <c r="CN51" i="6" s="1"/>
  <c r="CE5" i="6"/>
  <c r="CF5" i="6" s="1"/>
  <c r="CE8" i="6"/>
  <c r="CF8" i="6" s="1"/>
  <c r="CE13" i="6"/>
  <c r="CF13" i="6" s="1"/>
  <c r="CE16" i="6"/>
  <c r="CF16" i="6" s="1"/>
  <c r="CE20" i="6"/>
  <c r="CF20" i="6" s="1"/>
  <c r="CE23" i="6"/>
  <c r="CF23" i="6" s="1"/>
  <c r="CE27" i="6"/>
  <c r="CF27" i="6" s="1"/>
  <c r="CE31" i="6"/>
  <c r="CF31" i="6" s="1"/>
  <c r="CE35" i="6"/>
  <c r="CF35" i="6" s="1"/>
  <c r="CE39" i="6"/>
  <c r="CF39" i="6" s="1"/>
  <c r="CE2" i="6"/>
  <c r="CF2" i="6" s="1"/>
  <c r="CB3" i="6"/>
  <c r="CC3" i="6" s="1"/>
  <c r="CB6" i="6"/>
  <c r="CC6" i="6" s="1"/>
  <c r="CB11" i="6"/>
  <c r="CC11" i="6" s="1"/>
  <c r="CB14" i="6"/>
  <c r="CC14" i="6" s="1"/>
  <c r="CB17" i="6"/>
  <c r="CC17" i="6" s="1"/>
  <c r="CB21" i="6"/>
  <c r="CC21" i="6" s="1"/>
  <c r="CB25" i="6"/>
  <c r="CC25" i="6" s="1"/>
  <c r="CB29" i="6"/>
  <c r="CC29" i="6" s="1"/>
  <c r="CE3" i="6"/>
  <c r="CF3" i="6" s="1"/>
  <c r="CE6" i="6"/>
  <c r="CF6" i="6" s="1"/>
  <c r="CE11" i="6"/>
  <c r="CF11" i="6" s="1"/>
  <c r="CE14" i="6"/>
  <c r="CF14" i="6" s="1"/>
  <c r="CE17" i="6"/>
  <c r="CF17" i="6" s="1"/>
  <c r="CE21" i="6"/>
  <c r="CF21" i="6" s="1"/>
  <c r="CE24" i="6"/>
  <c r="CF24" i="6" s="1"/>
  <c r="CE28" i="6"/>
  <c r="CF28" i="6" s="1"/>
  <c r="CE32" i="6"/>
  <c r="CF32" i="6" s="1"/>
  <c r="CE36" i="6"/>
  <c r="CF36" i="6" s="1"/>
  <c r="CE40" i="6"/>
  <c r="CF40" i="6" s="1"/>
  <c r="CB4" i="6"/>
  <c r="CC4" i="6" s="1"/>
  <c r="CB9" i="6"/>
  <c r="CC9" i="6" s="1"/>
  <c r="CB12" i="6"/>
  <c r="CC12" i="6" s="1"/>
  <c r="CB18" i="6"/>
  <c r="CC18" i="6" s="1"/>
  <c r="CB22" i="6"/>
  <c r="CC22" i="6" s="1"/>
  <c r="CB26" i="6"/>
  <c r="CC26" i="6" s="1"/>
  <c r="CE4" i="6"/>
  <c r="CF4" i="6" s="1"/>
  <c r="CE9" i="6"/>
  <c r="CF9" i="6" s="1"/>
  <c r="CE12" i="6"/>
  <c r="CF12" i="6" s="1"/>
  <c r="CE18" i="6"/>
  <c r="CF18" i="6" s="1"/>
  <c r="CE22" i="6"/>
  <c r="CF22" i="6" s="1"/>
  <c r="CE25" i="6"/>
  <c r="CF25" i="6" s="1"/>
  <c r="CE29" i="6"/>
  <c r="CF29" i="6" s="1"/>
  <c r="CE33" i="6"/>
  <c r="CF33" i="6" s="1"/>
  <c r="BY6" i="6"/>
  <c r="BZ6" i="6" s="1"/>
  <c r="BY11" i="6"/>
  <c r="BZ11" i="6" s="1"/>
  <c r="BY27" i="6"/>
  <c r="BZ27" i="6" s="1"/>
  <c r="BY22" i="6"/>
  <c r="BZ22" i="6" s="1"/>
  <c r="BY14" i="6"/>
  <c r="BZ14" i="6" s="1"/>
  <c r="BY30" i="6"/>
  <c r="BZ30" i="6" s="1"/>
  <c r="BY3" i="6"/>
  <c r="BZ3" i="6" s="1"/>
  <c r="BY19" i="6"/>
  <c r="BZ19" i="6" s="1"/>
  <c r="BY12" i="6"/>
  <c r="BZ12" i="6" s="1"/>
  <c r="BY17" i="6"/>
  <c r="BZ17" i="6" s="1"/>
  <c r="BY20" i="6"/>
  <c r="BZ20" i="6" s="1"/>
  <c r="BY25" i="6"/>
  <c r="BZ25" i="6" s="1"/>
  <c r="BY2" i="6"/>
  <c r="BZ2" i="6" s="1"/>
  <c r="BY7" i="6"/>
  <c r="BZ7" i="6" s="1"/>
  <c r="BY10" i="6"/>
  <c r="BZ10" i="6" s="1"/>
  <c r="BY15" i="6"/>
  <c r="BZ15" i="6" s="1"/>
  <c r="BY18" i="6"/>
  <c r="BZ18" i="6" s="1"/>
  <c r="BY23" i="6"/>
  <c r="BZ23" i="6" s="1"/>
  <c r="BY26" i="6"/>
  <c r="BZ26" i="6" s="1"/>
  <c r="BY31" i="6"/>
  <c r="BZ31" i="6" s="1"/>
  <c r="BY4" i="6"/>
  <c r="BZ4" i="6" s="1"/>
  <c r="BY9" i="6"/>
  <c r="BZ9" i="6" s="1"/>
  <c r="BY28" i="6"/>
  <c r="BZ28" i="6" s="1"/>
  <c r="BY5" i="6"/>
  <c r="BZ5" i="6" s="1"/>
  <c r="BY8" i="6"/>
  <c r="BZ8" i="6" s="1"/>
  <c r="BY13" i="6"/>
  <c r="BZ13" i="6" s="1"/>
  <c r="BY16" i="6"/>
  <c r="BZ16" i="6" s="1"/>
  <c r="BY21" i="6"/>
  <c r="BZ21" i="6" s="1"/>
  <c r="BY24" i="6"/>
  <c r="BZ24" i="6" s="1"/>
  <c r="BS6" i="6"/>
  <c r="BT6" i="6" s="1"/>
  <c r="BV4" i="6"/>
  <c r="BW4" i="6" s="1"/>
  <c r="BV9" i="6"/>
  <c r="BW9" i="6" s="1"/>
  <c r="BV12" i="6"/>
  <c r="BW12" i="6" s="1"/>
  <c r="BV17" i="6"/>
  <c r="BW17" i="6" s="1"/>
  <c r="BV20" i="6"/>
  <c r="BW20" i="6" s="1"/>
  <c r="BV25" i="6"/>
  <c r="BW25" i="6" s="1"/>
  <c r="BV28" i="6"/>
  <c r="BW28" i="6" s="1"/>
  <c r="BS11" i="6"/>
  <c r="BT11" i="6" s="1"/>
  <c r="BV2" i="6"/>
  <c r="BW2" i="6" s="1"/>
  <c r="BV7" i="6"/>
  <c r="BW7" i="6" s="1"/>
  <c r="BV10" i="6"/>
  <c r="BW10" i="6" s="1"/>
  <c r="BV15" i="6"/>
  <c r="BW15" i="6" s="1"/>
  <c r="BV18" i="6"/>
  <c r="BW18" i="6" s="1"/>
  <c r="BV23" i="6"/>
  <c r="BW23" i="6" s="1"/>
  <c r="BV26" i="6"/>
  <c r="BW26" i="6" s="1"/>
  <c r="BV31" i="6"/>
  <c r="BW31" i="6" s="1"/>
  <c r="BS22" i="6"/>
  <c r="BT22" i="6" s="1"/>
  <c r="BV5" i="6"/>
  <c r="BW5" i="6" s="1"/>
  <c r="BV8" i="6"/>
  <c r="BW8" i="6" s="1"/>
  <c r="BV13" i="6"/>
  <c r="BW13" i="6" s="1"/>
  <c r="BV16" i="6"/>
  <c r="BW16" i="6" s="1"/>
  <c r="BV21" i="6"/>
  <c r="BW21" i="6" s="1"/>
  <c r="BV24" i="6"/>
  <c r="BW24" i="6" s="1"/>
  <c r="BV29" i="6"/>
  <c r="BW29" i="6" s="1"/>
  <c r="BS27" i="6"/>
  <c r="BT27" i="6" s="1"/>
  <c r="BV3" i="6"/>
  <c r="BW3" i="6" s="1"/>
  <c r="BV6" i="6"/>
  <c r="BW6" i="6" s="1"/>
  <c r="BV11" i="6"/>
  <c r="BW11" i="6" s="1"/>
  <c r="BV14" i="6"/>
  <c r="BW14" i="6" s="1"/>
  <c r="BV19" i="6"/>
  <c r="BW19" i="6" s="1"/>
  <c r="BV22" i="6"/>
  <c r="BW22" i="6" s="1"/>
  <c r="BV27" i="6"/>
  <c r="BW27" i="6" s="1"/>
  <c r="BM22" i="6"/>
  <c r="BN22" i="6" s="1"/>
  <c r="BM18" i="6"/>
  <c r="BN18" i="6" s="1"/>
  <c r="BS14" i="6"/>
  <c r="BT14" i="6" s="1"/>
  <c r="BS30" i="6"/>
  <c r="BT30" i="6" s="1"/>
  <c r="BS3" i="6"/>
  <c r="BT3" i="6" s="1"/>
  <c r="BS19" i="6"/>
  <c r="BT19" i="6" s="1"/>
  <c r="BP27" i="6"/>
  <c r="BQ27" i="6" s="1"/>
  <c r="BP6" i="6"/>
  <c r="BQ6" i="6" s="1"/>
  <c r="BS4" i="6"/>
  <c r="BT4" i="6" s="1"/>
  <c r="BS9" i="6"/>
  <c r="BT9" i="6" s="1"/>
  <c r="BS12" i="6"/>
  <c r="BT12" i="6" s="1"/>
  <c r="BS17" i="6"/>
  <c r="BT17" i="6" s="1"/>
  <c r="BS20" i="6"/>
  <c r="BT20" i="6" s="1"/>
  <c r="BS25" i="6"/>
  <c r="BT25" i="6" s="1"/>
  <c r="BS28" i="6"/>
  <c r="BT28" i="6" s="1"/>
  <c r="BP11" i="6"/>
  <c r="BQ11" i="6" s="1"/>
  <c r="BS2" i="6"/>
  <c r="BT2" i="6" s="1"/>
  <c r="BS7" i="6"/>
  <c r="BT7" i="6" s="1"/>
  <c r="BS10" i="6"/>
  <c r="BT10" i="6" s="1"/>
  <c r="BS15" i="6"/>
  <c r="BT15" i="6" s="1"/>
  <c r="BS18" i="6"/>
  <c r="BT18" i="6" s="1"/>
  <c r="BS23" i="6"/>
  <c r="BT23" i="6" s="1"/>
  <c r="BS26" i="6"/>
  <c r="BT26" i="6" s="1"/>
  <c r="BS31" i="6"/>
  <c r="BT31" i="6" s="1"/>
  <c r="BP22" i="6"/>
  <c r="BQ22" i="6" s="1"/>
  <c r="BS5" i="6"/>
  <c r="BT5" i="6" s="1"/>
  <c r="BS8" i="6"/>
  <c r="BT8" i="6" s="1"/>
  <c r="BS13" i="6"/>
  <c r="BT13" i="6" s="1"/>
  <c r="BS16" i="6"/>
  <c r="BT16" i="6" s="1"/>
  <c r="BS21" i="6"/>
  <c r="BT21" i="6" s="1"/>
  <c r="BS24" i="6"/>
  <c r="BT24" i="6" s="1"/>
  <c r="BM30" i="6"/>
  <c r="BN30" i="6" s="1"/>
  <c r="BM13" i="6"/>
  <c r="BN13" i="6" s="1"/>
  <c r="BP14" i="6"/>
  <c r="BQ14" i="6" s="1"/>
  <c r="BP30" i="6"/>
  <c r="BQ30" i="6" s="1"/>
  <c r="BM26" i="6"/>
  <c r="BN26" i="6" s="1"/>
  <c r="BM7" i="6"/>
  <c r="BN7" i="6" s="1"/>
  <c r="BP3" i="6"/>
  <c r="BQ3" i="6" s="1"/>
  <c r="BP19" i="6"/>
  <c r="BQ19" i="6" s="1"/>
  <c r="BM29" i="6"/>
  <c r="BN29" i="6" s="1"/>
  <c r="BM25" i="6"/>
  <c r="BN25" i="6" s="1"/>
  <c r="BM21" i="6"/>
  <c r="BN21" i="6" s="1"/>
  <c r="BM17" i="6"/>
  <c r="BN17" i="6" s="1"/>
  <c r="BM12" i="6"/>
  <c r="BN12" i="6" s="1"/>
  <c r="BM4" i="6"/>
  <c r="BN4" i="6" s="1"/>
  <c r="BP4" i="6"/>
  <c r="BQ4" i="6" s="1"/>
  <c r="BP9" i="6"/>
  <c r="BQ9" i="6" s="1"/>
  <c r="BP12" i="6"/>
  <c r="BQ12" i="6" s="1"/>
  <c r="BP17" i="6"/>
  <c r="BQ17" i="6" s="1"/>
  <c r="BP20" i="6"/>
  <c r="BQ20" i="6" s="1"/>
  <c r="BP25" i="6"/>
  <c r="BQ25" i="6" s="1"/>
  <c r="BP28" i="6"/>
  <c r="BQ28" i="6" s="1"/>
  <c r="BM28" i="6"/>
  <c r="BN28" i="6" s="1"/>
  <c r="BM24" i="6"/>
  <c r="BN24" i="6" s="1"/>
  <c r="BM20" i="6"/>
  <c r="BN20" i="6" s="1"/>
  <c r="BM16" i="6"/>
  <c r="BN16" i="6" s="1"/>
  <c r="BM9" i="6"/>
  <c r="BN9" i="6" s="1"/>
  <c r="BM2" i="6"/>
  <c r="BN2" i="6" s="1"/>
  <c r="BP2" i="6"/>
  <c r="BQ2" i="6" s="1"/>
  <c r="BP7" i="6"/>
  <c r="BQ7" i="6" s="1"/>
  <c r="BP10" i="6"/>
  <c r="BQ10" i="6" s="1"/>
  <c r="BP15" i="6"/>
  <c r="BQ15" i="6" s="1"/>
  <c r="BP18" i="6"/>
  <c r="BQ18" i="6" s="1"/>
  <c r="BP23" i="6"/>
  <c r="BQ23" i="6" s="1"/>
  <c r="BP26" i="6"/>
  <c r="BQ26" i="6" s="1"/>
  <c r="BP31" i="6"/>
  <c r="BQ31" i="6" s="1"/>
  <c r="BM31" i="6"/>
  <c r="BN31" i="6" s="1"/>
  <c r="BM27" i="6"/>
  <c r="BN27" i="6" s="1"/>
  <c r="BM23" i="6"/>
  <c r="BN23" i="6" s="1"/>
  <c r="BM19" i="6"/>
  <c r="BN19" i="6" s="1"/>
  <c r="BM14" i="6"/>
  <c r="BN14" i="6" s="1"/>
  <c r="BM8" i="6"/>
  <c r="BN8" i="6" s="1"/>
  <c r="BP5" i="6"/>
  <c r="BQ5" i="6" s="1"/>
  <c r="BP8" i="6"/>
  <c r="BQ8" i="6" s="1"/>
  <c r="BP13" i="6"/>
  <c r="BQ13" i="6" s="1"/>
  <c r="BP16" i="6"/>
  <c r="BQ16" i="6" s="1"/>
  <c r="BP21" i="6"/>
  <c r="BQ21" i="6" s="1"/>
  <c r="BP24" i="6"/>
  <c r="BQ24" i="6" s="1"/>
  <c r="BC2" i="6"/>
  <c r="BD2" i="6" s="1"/>
  <c r="BC26" i="6"/>
  <c r="BC10" i="6"/>
  <c r="BM15" i="6"/>
  <c r="BN15" i="6" s="1"/>
  <c r="BM11" i="6"/>
  <c r="BN11" i="6" s="1"/>
  <c r="BM3" i="6"/>
  <c r="BN3" i="6" s="1"/>
  <c r="BM10" i="6"/>
  <c r="BN10" i="6" s="1"/>
  <c r="BM6" i="6"/>
  <c r="BN6" i="6" s="1"/>
  <c r="BF26" i="6"/>
  <c r="BC38" i="6"/>
  <c r="BC22" i="6"/>
  <c r="BC6" i="6"/>
  <c r="BF14" i="6"/>
  <c r="BF30" i="6"/>
  <c r="BF10" i="6"/>
  <c r="BC34" i="6"/>
  <c r="BC18" i="6"/>
  <c r="BF2" i="6"/>
  <c r="BF18" i="6"/>
  <c r="BF34" i="6"/>
  <c r="BC30" i="6"/>
  <c r="BC14" i="6"/>
  <c r="BF6" i="6"/>
  <c r="BF22" i="6"/>
  <c r="BF38" i="6"/>
  <c r="BG38" i="6" s="1"/>
  <c r="BI11" i="6"/>
  <c r="BI23" i="6"/>
  <c r="BI39" i="6"/>
  <c r="BC41" i="6"/>
  <c r="BC37" i="6"/>
  <c r="BC33" i="6"/>
  <c r="BD33" i="6" s="1"/>
  <c r="BC29" i="6"/>
  <c r="BD29" i="6" s="1"/>
  <c r="BC25" i="6"/>
  <c r="BD25" i="6" s="1"/>
  <c r="BC21" i="6"/>
  <c r="BD21" i="6" s="1"/>
  <c r="BC17" i="6"/>
  <c r="BD17" i="6" s="1"/>
  <c r="BC13" i="6"/>
  <c r="BD13" i="6" s="1"/>
  <c r="BC9" i="6"/>
  <c r="BD9" i="6" s="1"/>
  <c r="BC5" i="6"/>
  <c r="BD5" i="6" s="1"/>
  <c r="BF3" i="6"/>
  <c r="BF7" i="6"/>
  <c r="BF11" i="6"/>
  <c r="BG11" i="6" s="1"/>
  <c r="BF15" i="6"/>
  <c r="BF19" i="6"/>
  <c r="BF23" i="6"/>
  <c r="BF27" i="6"/>
  <c r="BF31" i="6"/>
  <c r="BG31" i="6" s="1"/>
  <c r="BF35" i="6"/>
  <c r="BF39" i="6"/>
  <c r="BI4" i="6"/>
  <c r="BI8" i="6"/>
  <c r="BI12" i="6"/>
  <c r="BI16" i="6"/>
  <c r="BI20" i="6"/>
  <c r="BI24" i="6"/>
  <c r="BI28" i="6"/>
  <c r="BI32" i="6"/>
  <c r="BI36" i="6"/>
  <c r="BI40" i="6"/>
  <c r="BI3" i="6"/>
  <c r="BI15" i="6"/>
  <c r="BI27" i="6"/>
  <c r="BI35" i="6"/>
  <c r="BC40" i="6"/>
  <c r="BC36" i="6"/>
  <c r="BC32" i="6"/>
  <c r="BC28" i="6"/>
  <c r="BC24" i="6"/>
  <c r="BC20" i="6"/>
  <c r="BC16" i="6"/>
  <c r="BC12" i="6"/>
  <c r="BC8" i="6"/>
  <c r="BC4" i="6"/>
  <c r="BF4" i="6"/>
  <c r="BF8" i="6"/>
  <c r="BF12" i="6"/>
  <c r="BF16" i="6"/>
  <c r="BF20" i="6"/>
  <c r="BF24" i="6"/>
  <c r="BF28" i="6"/>
  <c r="BF32" i="6"/>
  <c r="BF36" i="6"/>
  <c r="BF40" i="6"/>
  <c r="BI5" i="6"/>
  <c r="BI9" i="6"/>
  <c r="BI13" i="6"/>
  <c r="BI17" i="6"/>
  <c r="BI21" i="6"/>
  <c r="BI25" i="6"/>
  <c r="BI29" i="6"/>
  <c r="BI33" i="6"/>
  <c r="BI37" i="6"/>
  <c r="BI41" i="6"/>
  <c r="BI7" i="6"/>
  <c r="BI19" i="6"/>
  <c r="BI31" i="6"/>
  <c r="BC39" i="6"/>
  <c r="BC35" i="6"/>
  <c r="BC31" i="6"/>
  <c r="BC27" i="6"/>
  <c r="BC23" i="6"/>
  <c r="BC19" i="6"/>
  <c r="BC15" i="6"/>
  <c r="BC11" i="6"/>
  <c r="BC7" i="6"/>
  <c r="BF5" i="6"/>
  <c r="BF9" i="6"/>
  <c r="BF13" i="6"/>
  <c r="BF17" i="6"/>
  <c r="BF21" i="6"/>
  <c r="BF25" i="6"/>
  <c r="BF29" i="6"/>
  <c r="BF33" i="6"/>
  <c r="BF37" i="6"/>
  <c r="BI6" i="6"/>
  <c r="BI10" i="6"/>
  <c r="BI14" i="6"/>
  <c r="BI18" i="6"/>
  <c r="BI22" i="6"/>
  <c r="BI26" i="6"/>
  <c r="BI30" i="6"/>
  <c r="BI34" i="6"/>
  <c r="BI38" i="6"/>
  <c r="AZ17" i="6"/>
  <c r="BA17" i="6" s="1"/>
  <c r="AZ33" i="6"/>
  <c r="BA33" i="6" s="1"/>
  <c r="AZ29" i="6"/>
  <c r="BA29" i="6" s="1"/>
  <c r="AZ13" i="6"/>
  <c r="BA13" i="6" s="1"/>
  <c r="AZ25" i="6"/>
  <c r="BA25" i="6" s="1"/>
  <c r="AZ9" i="6"/>
  <c r="BA9" i="6" s="1"/>
  <c r="AZ37" i="6"/>
  <c r="BA37" i="6" s="1"/>
  <c r="AZ21" i="6"/>
  <c r="BA21" i="6" s="1"/>
  <c r="AZ5" i="6"/>
  <c r="BA5" i="6" s="1"/>
  <c r="BG41" i="6"/>
  <c r="AZ36" i="6"/>
  <c r="BA36" i="6" s="1"/>
  <c r="AZ32" i="6"/>
  <c r="BA32" i="6" s="1"/>
  <c r="AZ28" i="6"/>
  <c r="BA28" i="6" s="1"/>
  <c r="AZ24" i="6"/>
  <c r="BA24" i="6" s="1"/>
  <c r="AZ20" i="6"/>
  <c r="BA20" i="6" s="1"/>
  <c r="AZ16" i="6"/>
  <c r="BA16" i="6" s="1"/>
  <c r="AZ12" i="6"/>
  <c r="BA12" i="6" s="1"/>
  <c r="AZ8" i="6"/>
  <c r="BA8" i="6" s="1"/>
  <c r="AZ4" i="6"/>
  <c r="BA4" i="6" s="1"/>
  <c r="AZ39" i="6"/>
  <c r="BA39" i="6" s="1"/>
  <c r="AZ35" i="6"/>
  <c r="BA35" i="6" s="1"/>
  <c r="AZ31" i="6"/>
  <c r="BA31" i="6" s="1"/>
  <c r="AZ27" i="6"/>
  <c r="BA27" i="6" s="1"/>
  <c r="AZ23" i="6"/>
  <c r="BA23" i="6" s="1"/>
  <c r="AZ19" i="6"/>
  <c r="BA19" i="6" s="1"/>
  <c r="AZ15" i="6"/>
  <c r="BA15" i="6" s="1"/>
  <c r="AZ11" i="6"/>
  <c r="BA11" i="6" s="1"/>
  <c r="AZ7" i="6"/>
  <c r="BA7" i="6" s="1"/>
  <c r="AZ3" i="6"/>
  <c r="BA3" i="6" s="1"/>
  <c r="BD3" i="6" s="1"/>
  <c r="AZ38" i="6"/>
  <c r="BA38" i="6" s="1"/>
  <c r="AZ34" i="6"/>
  <c r="BA34" i="6" s="1"/>
  <c r="AZ30" i="6"/>
  <c r="BA30" i="6" s="1"/>
  <c r="AZ26" i="6"/>
  <c r="BA26" i="6" s="1"/>
  <c r="AZ22" i="6"/>
  <c r="BA22" i="6" s="1"/>
  <c r="AZ18" i="6"/>
  <c r="BA18" i="6" s="1"/>
  <c r="AZ14" i="6"/>
  <c r="BA14" i="6" s="1"/>
  <c r="AZ10" i="6"/>
  <c r="BA10" i="6" s="1"/>
  <c r="AZ6" i="6"/>
  <c r="BA6" i="6" s="1"/>
  <c r="CW62" i="3"/>
  <c r="CZ62" i="3" s="1"/>
  <c r="CY61" i="3"/>
  <c r="CY51" i="3" s="1"/>
  <c r="CZ51" i="3" s="1"/>
  <c r="BG67" i="1"/>
  <c r="BG66" i="1"/>
  <c r="BG65" i="1"/>
  <c r="BG64" i="1"/>
  <c r="BG61" i="1"/>
  <c r="BG60" i="1"/>
  <c r="BG59" i="1"/>
  <c r="BG58" i="1"/>
  <c r="BG55" i="1"/>
  <c r="BG54" i="1"/>
  <c r="BG53" i="1"/>
  <c r="BG52" i="1"/>
  <c r="BG49" i="1"/>
  <c r="BG48" i="1"/>
  <c r="BG47" i="1"/>
  <c r="BG46" i="1"/>
  <c r="BG43" i="1"/>
  <c r="BG42" i="1"/>
  <c r="BG41" i="1"/>
  <c r="BG40" i="1"/>
  <c r="BG37" i="1"/>
  <c r="BG36" i="1"/>
  <c r="BG35" i="1"/>
  <c r="BG34" i="1"/>
  <c r="AL166" i="13" l="1"/>
  <c r="AJ175" i="13"/>
  <c r="AK182" i="13"/>
  <c r="BG3" i="6"/>
  <c r="DP80" i="3"/>
  <c r="DK80" i="3"/>
  <c r="DH80" i="3"/>
  <c r="CF42" i="6"/>
  <c r="CC32" i="6"/>
  <c r="BY85" i="3"/>
  <c r="BY86" i="3" s="1"/>
  <c r="BY87" i="3" s="1"/>
  <c r="BY88" i="3" s="1"/>
  <c r="BY89" i="3" s="1"/>
  <c r="BY90" i="3" s="1"/>
  <c r="BY91" i="3" s="1"/>
  <c r="BY92" i="3" s="1"/>
  <c r="BY93" i="3" s="1"/>
  <c r="BZ93" i="3" s="1"/>
  <c r="BZ84" i="3"/>
  <c r="BZ83" i="3"/>
  <c r="DL80" i="3"/>
  <c r="BJ3" i="6"/>
  <c r="DI80" i="3"/>
  <c r="DQ80" i="3"/>
  <c r="DQ83" i="3" s="1"/>
  <c r="DQ84" i="3" s="1"/>
  <c r="DQ85" i="3" s="1"/>
  <c r="DO80" i="3"/>
  <c r="DN80" i="3"/>
  <c r="AZ77" i="6"/>
  <c r="AZ78" i="6" s="1"/>
  <c r="AZ79" i="6" s="1"/>
  <c r="AZ80" i="6" s="1"/>
  <c r="AZ81" i="6" s="1"/>
  <c r="AZ82" i="6" s="1"/>
  <c r="AZ83" i="6" s="1"/>
  <c r="AZ84" i="6" s="1"/>
  <c r="AZ85" i="6" s="1"/>
  <c r="AZ86" i="6" s="1"/>
  <c r="AZ87" i="6" s="1"/>
  <c r="AZ88" i="6" s="1"/>
  <c r="AZ89" i="6" s="1"/>
  <c r="AZ90" i="6" s="1"/>
  <c r="AZ91" i="6" s="1"/>
  <c r="BA91" i="6" s="1"/>
  <c r="DM80" i="3"/>
  <c r="DJ80" i="3"/>
  <c r="BA42" i="6"/>
  <c r="CH57" i="6"/>
  <c r="CN57" i="6"/>
  <c r="CK57" i="6"/>
  <c r="CB57" i="6"/>
  <c r="BS57" i="6"/>
  <c r="BM57" i="6"/>
  <c r="BJ57" i="6"/>
  <c r="BG57" i="6"/>
  <c r="BP57" i="6"/>
  <c r="CE57" i="6"/>
  <c r="BY57" i="6"/>
  <c r="BV57" i="6"/>
  <c r="BD57" i="6"/>
  <c r="BD18" i="6"/>
  <c r="BA57" i="6"/>
  <c r="BZ32" i="6"/>
  <c r="BW32" i="6"/>
  <c r="BG13" i="6"/>
  <c r="BJ31" i="6"/>
  <c r="BJ11" i="6"/>
  <c r="BG9" i="6"/>
  <c r="BG5" i="6"/>
  <c r="BQ32" i="6"/>
  <c r="BG2" i="6"/>
  <c r="BJ2" i="6" s="1"/>
  <c r="BD41" i="6"/>
  <c r="BT32" i="6"/>
  <c r="BJ13" i="6"/>
  <c r="BD35" i="6"/>
  <c r="BG35" i="6" s="1"/>
  <c r="BJ35" i="6" s="1"/>
  <c r="BD37" i="6"/>
  <c r="BG37" i="6" s="1"/>
  <c r="BJ37" i="6" s="1"/>
  <c r="BD14" i="6"/>
  <c r="BG14" i="6" s="1"/>
  <c r="BJ14" i="6" s="1"/>
  <c r="BD30" i="6"/>
  <c r="BG30" i="6" s="1"/>
  <c r="BJ30" i="6" s="1"/>
  <c r="BG17" i="6"/>
  <c r="BJ17" i="6" s="1"/>
  <c r="BG33" i="6"/>
  <c r="BJ33" i="6" s="1"/>
  <c r="BG21" i="6"/>
  <c r="BG29" i="6"/>
  <c r="BJ29" i="6" s="1"/>
  <c r="BG25" i="6"/>
  <c r="BJ38" i="6"/>
  <c r="BD38" i="6"/>
  <c r="BJ21" i="6"/>
  <c r="BJ5" i="6"/>
  <c r="BG18" i="6"/>
  <c r="BJ18" i="6" s="1"/>
  <c r="BN32" i="6"/>
  <c r="BD31" i="6"/>
  <c r="BD34" i="6"/>
  <c r="BG34" i="6" s="1"/>
  <c r="BJ34" i="6" s="1"/>
  <c r="BJ25" i="6"/>
  <c r="BJ9" i="6"/>
  <c r="BJ41" i="6"/>
  <c r="BD11" i="6"/>
  <c r="BD27" i="6"/>
  <c r="BG27" i="6" s="1"/>
  <c r="BJ27" i="6" s="1"/>
  <c r="BD10" i="6"/>
  <c r="BG10" i="6" s="1"/>
  <c r="BJ10" i="6" s="1"/>
  <c r="BD19" i="6"/>
  <c r="BG19" i="6" s="1"/>
  <c r="BJ19" i="6" s="1"/>
  <c r="BD8" i="6"/>
  <c r="BG8" i="6" s="1"/>
  <c r="BJ8" i="6" s="1"/>
  <c r="BD7" i="6"/>
  <c r="BG7" i="6" s="1"/>
  <c r="BJ7" i="6" s="1"/>
  <c r="BD23" i="6"/>
  <c r="BG23" i="6" s="1"/>
  <c r="BJ23" i="6" s="1"/>
  <c r="BD39" i="6"/>
  <c r="BG39" i="6" s="1"/>
  <c r="BJ39" i="6" s="1"/>
  <c r="BD12" i="6"/>
  <c r="BG12" i="6" s="1"/>
  <c r="BJ12" i="6" s="1"/>
  <c r="BD28" i="6"/>
  <c r="BG28" i="6" s="1"/>
  <c r="BJ28" i="6" s="1"/>
  <c r="BD26" i="6"/>
  <c r="BG26" i="6" s="1"/>
  <c r="BJ26" i="6" s="1"/>
  <c r="BD24" i="6"/>
  <c r="BG24" i="6" s="1"/>
  <c r="BJ24" i="6" s="1"/>
  <c r="BD40" i="6"/>
  <c r="BD16" i="6"/>
  <c r="BG16" i="6" s="1"/>
  <c r="BJ16" i="6" s="1"/>
  <c r="BD32" i="6"/>
  <c r="BG32" i="6" s="1"/>
  <c r="BJ32" i="6" s="1"/>
  <c r="BG6" i="6"/>
  <c r="BJ6" i="6" s="1"/>
  <c r="BD6" i="6"/>
  <c r="BD22" i="6"/>
  <c r="BG22" i="6" s="1"/>
  <c r="BJ22" i="6" s="1"/>
  <c r="BD15" i="6"/>
  <c r="BG15" i="6" s="1"/>
  <c r="BJ15" i="6" s="1"/>
  <c r="BD4" i="6"/>
  <c r="BG4" i="6" s="1"/>
  <c r="BJ4" i="6" s="1"/>
  <c r="BD20" i="6"/>
  <c r="BG20" i="6" s="1"/>
  <c r="BJ20" i="6" s="1"/>
  <c r="BD36" i="6"/>
  <c r="BG36" i="6" s="1"/>
  <c r="BJ36" i="6" s="1"/>
  <c r="CY60" i="3"/>
  <c r="CZ60" i="3" s="1"/>
  <c r="CY56" i="3"/>
  <c r="CZ56" i="3" s="1"/>
  <c r="CY58" i="3"/>
  <c r="CZ58" i="3" s="1"/>
  <c r="CZ61" i="3"/>
  <c r="CY55" i="3"/>
  <c r="CZ55" i="3" s="1"/>
  <c r="CY57" i="3"/>
  <c r="CZ57" i="3" s="1"/>
  <c r="CY52" i="3"/>
  <c r="CZ52" i="3" s="1"/>
  <c r="CY59" i="3"/>
  <c r="CZ59" i="3" s="1"/>
  <c r="CY53" i="3"/>
  <c r="CZ53" i="3" s="1"/>
  <c r="CY54" i="3"/>
  <c r="CZ54" i="3" s="1"/>
  <c r="AQ242" i="3"/>
  <c r="AP242" i="3"/>
  <c r="AQ241" i="3"/>
  <c r="AP241" i="3"/>
  <c r="AQ240" i="3"/>
  <c r="AP240" i="3"/>
  <c r="CL98" i="1"/>
  <c r="CP96" i="1"/>
  <c r="CN96" i="1"/>
  <c r="CL93" i="1"/>
  <c r="CP91" i="1"/>
  <c r="CN91" i="1"/>
  <c r="CL88" i="1"/>
  <c r="CP86" i="1"/>
  <c r="CN86" i="1"/>
  <c r="CL83" i="1"/>
  <c r="CP81" i="1"/>
  <c r="CN81" i="1"/>
  <c r="CL78" i="1"/>
  <c r="CP76" i="1"/>
  <c r="CN76" i="1"/>
  <c r="CL73" i="1"/>
  <c r="CP71" i="1"/>
  <c r="CN71" i="1"/>
  <c r="CL68" i="1"/>
  <c r="CP66" i="1"/>
  <c r="CN66" i="1"/>
  <c r="CL63" i="1"/>
  <c r="CP61" i="1"/>
  <c r="CN61" i="1"/>
  <c r="CF98" i="1"/>
  <c r="CJ96" i="1"/>
  <c r="CH96" i="1"/>
  <c r="CF93" i="1"/>
  <c r="CJ91" i="1"/>
  <c r="CH91" i="1"/>
  <c r="CF88" i="1"/>
  <c r="CJ86" i="1"/>
  <c r="CH86" i="1"/>
  <c r="CF83" i="1"/>
  <c r="CJ81" i="1"/>
  <c r="CH81" i="1"/>
  <c r="CF78" i="1"/>
  <c r="CJ76" i="1"/>
  <c r="CH76" i="1"/>
  <c r="CF73" i="1"/>
  <c r="CJ71" i="1"/>
  <c r="CH71" i="1"/>
  <c r="CF68" i="1"/>
  <c r="CJ66" i="1"/>
  <c r="CH66" i="1"/>
  <c r="CF63" i="1"/>
  <c r="CJ61" i="1"/>
  <c r="CH61" i="1"/>
  <c r="CL53" i="1"/>
  <c r="CP51" i="1"/>
  <c r="CN51" i="1"/>
  <c r="CL48" i="1"/>
  <c r="CP46" i="1"/>
  <c r="CN46" i="1"/>
  <c r="CL43" i="1"/>
  <c r="CP41" i="1"/>
  <c r="CN41" i="1"/>
  <c r="CL38" i="1"/>
  <c r="CP36" i="1"/>
  <c r="CN36" i="1"/>
  <c r="CL33" i="1"/>
  <c r="CP31" i="1"/>
  <c r="CN31" i="1"/>
  <c r="CL28" i="1"/>
  <c r="CP26" i="1"/>
  <c r="CN26" i="1"/>
  <c r="CL23" i="1"/>
  <c r="CP21" i="1"/>
  <c r="CN21" i="1"/>
  <c r="CL18" i="1"/>
  <c r="CP16" i="1"/>
  <c r="CN16" i="1"/>
  <c r="CL13" i="1"/>
  <c r="CP11" i="1"/>
  <c r="CN11" i="1"/>
  <c r="CL8" i="1"/>
  <c r="CN6" i="1"/>
  <c r="CP6" i="1"/>
  <c r="CF53" i="1"/>
  <c r="CJ51" i="1"/>
  <c r="CH51" i="1"/>
  <c r="CF48" i="1"/>
  <c r="CJ46" i="1"/>
  <c r="CH46" i="1"/>
  <c r="CF43" i="1"/>
  <c r="CJ41" i="1"/>
  <c r="CH41" i="1"/>
  <c r="CF38" i="1"/>
  <c r="CJ36" i="1"/>
  <c r="CH36" i="1"/>
  <c r="CF33" i="1"/>
  <c r="CJ31" i="1"/>
  <c r="CH31" i="1"/>
  <c r="CF28" i="1"/>
  <c r="CJ26" i="1"/>
  <c r="CH26" i="1"/>
  <c r="CF23" i="1"/>
  <c r="CJ21" i="1"/>
  <c r="CH21" i="1"/>
  <c r="CF18" i="1"/>
  <c r="CJ16" i="1"/>
  <c r="CH16" i="1"/>
  <c r="CF13" i="1"/>
  <c r="CJ11" i="1"/>
  <c r="CH11" i="1"/>
  <c r="BF217" i="3"/>
  <c r="BE218" i="3"/>
  <c r="CF8" i="1"/>
  <c r="CJ6" i="1"/>
  <c r="CH6" i="1"/>
  <c r="BE217" i="3"/>
  <c r="AJ176" i="13" l="1"/>
  <c r="AJ177" i="13" s="1"/>
  <c r="AJ178" i="13" s="1"/>
  <c r="AJ179" i="13" s="1"/>
  <c r="AJ180" i="13" s="1"/>
  <c r="AJ181" i="13" s="1"/>
  <c r="AK175" i="13"/>
  <c r="AJ184" i="13"/>
  <c r="BZ85" i="3"/>
  <c r="BZ87" i="3"/>
  <c r="BY94" i="3"/>
  <c r="BZ94" i="3" s="1"/>
  <c r="BZ90" i="3"/>
  <c r="BZ91" i="3"/>
  <c r="BZ92" i="3"/>
  <c r="BZ89" i="3"/>
  <c r="DH87" i="3"/>
  <c r="AR69" i="1" s="1"/>
  <c r="DQ82" i="3"/>
  <c r="DP82" i="3" s="1"/>
  <c r="DO82" i="3" s="1"/>
  <c r="BB64" i="6"/>
  <c r="CO2" i="1"/>
  <c r="AY59" i="6"/>
  <c r="BG40" i="6"/>
  <c r="BD42" i="6"/>
  <c r="BZ86" i="3"/>
  <c r="CI2" i="1"/>
  <c r="CI57" i="1"/>
  <c r="CO57" i="1"/>
  <c r="AQ239" i="3"/>
  <c r="AP239" i="3"/>
  <c r="BC244" i="3" s="1"/>
  <c r="CW41" i="1"/>
  <c r="CW37" i="1"/>
  <c r="CW39" i="1" s="1"/>
  <c r="BO26" i="1"/>
  <c r="BO19" i="1"/>
  <c r="BO12" i="1"/>
  <c r="BO24" i="1"/>
  <c r="BO17" i="1"/>
  <c r="BO10" i="1"/>
  <c r="BP23" i="1"/>
  <c r="BO23" i="1"/>
  <c r="BO16" i="1"/>
  <c r="AJ185" i="13" l="1"/>
  <c r="AJ186" i="13" s="1"/>
  <c r="AJ187" i="13" s="1"/>
  <c r="AJ188" i="13" s="1"/>
  <c r="AJ189" i="13" s="1"/>
  <c r="AL173" i="13"/>
  <c r="AJ190" i="13"/>
  <c r="AJ191" i="13" s="1"/>
  <c r="AJ192" i="13" s="1"/>
  <c r="AJ193" i="13" s="1"/>
  <c r="AJ194" i="13" s="1"/>
  <c r="AJ195" i="13" s="1"/>
  <c r="AJ196" i="13" s="1"/>
  <c r="AJ197" i="13" s="1"/>
  <c r="AJ198" i="13" s="1"/>
  <c r="AJ199" i="13" s="1"/>
  <c r="AJ200" i="13" s="1"/>
  <c r="AJ201" i="13" s="1"/>
  <c r="AJ202" i="13" s="1"/>
  <c r="AJ203" i="13" s="1"/>
  <c r="AJ204" i="13" s="1"/>
  <c r="AJ205" i="13" s="1"/>
  <c r="AJ206" i="13" s="1"/>
  <c r="AJ207" i="13" s="1"/>
  <c r="AJ208" i="13" s="1"/>
  <c r="AJ209" i="13" s="1"/>
  <c r="AJ210" i="13" s="1"/>
  <c r="AJ211" i="13" s="1"/>
  <c r="AJ212" i="13" s="1"/>
  <c r="AJ213" i="13" s="1"/>
  <c r="AJ214" i="13" s="1"/>
  <c r="AJ215" i="13" s="1"/>
  <c r="AJ216" i="13" s="1"/>
  <c r="AJ217" i="13" s="1"/>
  <c r="AJ218" i="13" s="1"/>
  <c r="AJ219" i="13" s="1"/>
  <c r="AK189" i="13"/>
  <c r="BY95" i="3"/>
  <c r="BY96" i="3" s="1"/>
  <c r="DP83" i="3"/>
  <c r="DP84" i="3" s="1"/>
  <c r="DP85" i="3" s="1"/>
  <c r="DN82" i="3"/>
  <c r="DO83" i="3"/>
  <c r="DO84" i="3" s="1"/>
  <c r="DO85" i="3" s="1"/>
  <c r="BG42" i="6"/>
  <c r="BJ40" i="6"/>
  <c r="BJ42" i="6" s="1"/>
  <c r="BC247" i="3"/>
  <c r="AW363" i="3" s="1"/>
  <c r="BC241" i="3"/>
  <c r="AW292" i="3" s="1"/>
  <c r="BC242" i="3"/>
  <c r="BC254" i="3"/>
  <c r="BC246" i="3"/>
  <c r="BC250" i="3"/>
  <c r="BC249" i="3"/>
  <c r="BC252" i="3"/>
  <c r="AW384" i="3" s="1"/>
  <c r="BC253" i="3"/>
  <c r="AW367" i="3" s="1"/>
  <c r="BC251" i="3"/>
  <c r="AW365" i="3" s="1"/>
  <c r="BC248" i="3"/>
  <c r="AW282" i="3" s="1"/>
  <c r="BC245" i="3"/>
  <c r="AW345" i="3" s="1"/>
  <c r="BC243" i="3"/>
  <c r="AW352" i="3"/>
  <c r="AW391" i="3"/>
  <c r="AW329" i="3"/>
  <c r="AW231" i="3"/>
  <c r="AW316" i="3"/>
  <c r="G74" i="1"/>
  <c r="AY51" i="3"/>
  <c r="BC51" i="3"/>
  <c r="AO29" i="1"/>
  <c r="Q96" i="1"/>
  <c r="U82" i="1"/>
  <c r="I5" i="1"/>
  <c r="U85" i="1"/>
  <c r="U84" i="1"/>
  <c r="U83" i="1"/>
  <c r="G76" i="1"/>
  <c r="G75" i="1"/>
  <c r="G73" i="1"/>
  <c r="G72" i="1"/>
  <c r="D12" i="1"/>
  <c r="D17" i="1"/>
  <c r="D16" i="1"/>
  <c r="D15" i="1"/>
  <c r="D14" i="1"/>
  <c r="E14" i="1" s="1"/>
  <c r="D13" i="1"/>
  <c r="E13" i="1" s="1"/>
  <c r="D11" i="1"/>
  <c r="D10" i="1"/>
  <c r="AP194" i="3"/>
  <c r="AO194" i="3"/>
  <c r="AN194" i="3"/>
  <c r="AM194" i="3"/>
  <c r="AL194" i="3"/>
  <c r="AL202" i="3"/>
  <c r="AM202" i="3"/>
  <c r="AN202" i="3"/>
  <c r="AP202" i="3"/>
  <c r="AO202" i="3"/>
  <c r="R183" i="3" l="1"/>
  <c r="O187" i="3" s="1"/>
  <c r="B49" i="1" s="1"/>
  <c r="Q183" i="3"/>
  <c r="O188" i="3" s="1"/>
  <c r="AW250" i="3"/>
  <c r="AT197" i="3"/>
  <c r="BZ95" i="3"/>
  <c r="BY97" i="3"/>
  <c r="BY98" i="3" s="1"/>
  <c r="BZ96" i="3"/>
  <c r="AY44" i="6"/>
  <c r="AY72" i="1" s="1"/>
  <c r="DM82" i="3"/>
  <c r="DN83" i="3"/>
  <c r="DN84" i="3" s="1"/>
  <c r="DN85" i="3" s="1"/>
  <c r="AW239" i="3"/>
  <c r="AW243" i="3"/>
  <c r="AW378" i="3"/>
  <c r="AW317" i="3"/>
  <c r="AW298" i="3"/>
  <c r="AW232" i="3"/>
  <c r="AW348" i="3"/>
  <c r="AW309" i="3"/>
  <c r="AW280" i="3"/>
  <c r="AW359" i="3"/>
  <c r="AW259" i="3"/>
  <c r="AW308" i="3"/>
  <c r="AW274" i="3"/>
  <c r="AW256" i="3"/>
  <c r="AW276" i="3"/>
  <c r="AW281" i="3"/>
  <c r="AW341" i="3"/>
  <c r="AW328" i="3"/>
  <c r="AW386" i="3"/>
  <c r="AW325" i="3"/>
  <c r="AW315" i="3"/>
  <c r="AW258" i="3"/>
  <c r="AW241" i="3"/>
  <c r="AW333" i="3"/>
  <c r="AW285" i="3"/>
  <c r="AW262" i="3"/>
  <c r="AW261" i="3"/>
  <c r="AW257" i="3"/>
  <c r="AW284" i="3"/>
  <c r="AW237" i="3"/>
  <c r="AW304" i="3"/>
  <c r="AW364" i="3"/>
  <c r="AW303" i="3"/>
  <c r="AW374" i="3"/>
  <c r="AW265" i="3"/>
  <c r="AW375" i="3"/>
  <c r="AW376" i="3"/>
  <c r="AW269" i="3"/>
  <c r="AW255" i="3"/>
  <c r="AW288" i="3"/>
  <c r="AW362" i="3"/>
  <c r="AW336" i="3"/>
  <c r="AW368" i="3"/>
  <c r="AW300" i="3"/>
  <c r="AW228" i="3"/>
  <c r="AW254" i="3"/>
  <c r="AW305" i="3"/>
  <c r="AW366" i="3"/>
  <c r="AW301" i="3"/>
  <c r="AW387" i="3"/>
  <c r="BB51" i="3"/>
  <c r="L176" i="3"/>
  <c r="D49" i="1" s="1"/>
  <c r="E11" i="1"/>
  <c r="E12" i="1"/>
  <c r="E15" i="1"/>
  <c r="E16" i="1"/>
  <c r="E17" i="1"/>
  <c r="E10" i="1"/>
  <c r="A7" i="12" l="1"/>
  <c r="BY99" i="3"/>
  <c r="BZ98" i="3"/>
  <c r="DM83" i="3"/>
  <c r="DM84" i="3" s="1"/>
  <c r="DM85" i="3" s="1"/>
  <c r="DL82" i="3"/>
  <c r="E18" i="1"/>
  <c r="BL9" i="1"/>
  <c r="BF8" i="1"/>
  <c r="C88" i="3"/>
  <c r="BS45" i="3"/>
  <c r="BS44" i="3"/>
  <c r="BS43" i="3"/>
  <c r="BS42" i="3"/>
  <c r="BS41" i="3"/>
  <c r="AH3" i="1"/>
  <c r="AH2" i="1"/>
  <c r="J15" i="1"/>
  <c r="AE5" i="1"/>
  <c r="AE14" i="1"/>
  <c r="BY100" i="3" l="1"/>
  <c r="BZ99" i="3"/>
  <c r="DL83" i="3"/>
  <c r="DL84" i="3" s="1"/>
  <c r="DL85" i="3" s="1"/>
  <c r="DK82" i="3"/>
  <c r="J5" i="1"/>
  <c r="O436" i="3"/>
  <c r="BH10" i="1" s="1"/>
  <c r="O433" i="3"/>
  <c r="O428" i="3"/>
  <c r="L39" i="1" s="1"/>
  <c r="O425" i="3"/>
  <c r="G41" i="1" s="1"/>
  <c r="O422" i="3"/>
  <c r="E41" i="1" s="1"/>
  <c r="O419" i="3"/>
  <c r="C41" i="1" s="1"/>
  <c r="S438" i="3"/>
  <c r="S437" i="3"/>
  <c r="R430" i="3"/>
  <c r="O414" i="3"/>
  <c r="W5" i="1" s="1"/>
  <c r="S399" i="3"/>
  <c r="T399" i="3" s="1"/>
  <c r="S401" i="3"/>
  <c r="T401" i="3" s="1"/>
  <c r="AN4" i="1"/>
  <c r="O405" i="3"/>
  <c r="O408" i="3"/>
  <c r="O402" i="3"/>
  <c r="DA59" i="3" s="1"/>
  <c r="BY101" i="3" l="1"/>
  <c r="BZ100" i="3"/>
  <c r="BZ102" i="3"/>
  <c r="DK83" i="3"/>
  <c r="DK84" i="3" s="1"/>
  <c r="DK85" i="3" s="1"/>
  <c r="DJ82" i="3"/>
  <c r="BC17" i="1"/>
  <c r="S439" i="3"/>
  <c r="S440" i="3"/>
  <c r="AM22" i="1"/>
  <c r="AO16" i="1"/>
  <c r="AN16" i="1"/>
  <c r="G49" i="1" s="1"/>
  <c r="BY102" i="3" l="1"/>
  <c r="BY103" i="3" s="1"/>
  <c r="BY104" i="3" s="1"/>
  <c r="BY105" i="3" s="1"/>
  <c r="BZ101" i="3"/>
  <c r="BZ104" i="3"/>
  <c r="DJ83" i="3"/>
  <c r="DJ84" i="3" s="1"/>
  <c r="DJ85" i="3" s="1"/>
  <c r="DI82" i="3"/>
  <c r="AL305" i="3"/>
  <c r="AN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04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D304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E305" i="3"/>
  <c r="AD305" i="3"/>
  <c r="Y9" i="2"/>
  <c r="Y10" i="2"/>
  <c r="Y11" i="2"/>
  <c r="X9" i="2"/>
  <c r="Z9" i="2" s="1"/>
  <c r="X10" i="2"/>
  <c r="X11" i="2"/>
  <c r="X8" i="2"/>
  <c r="Y8" i="2"/>
  <c r="X6" i="2"/>
  <c r="X5" i="2"/>
  <c r="X4" i="2"/>
  <c r="Y4" i="2"/>
  <c r="Z8" i="2" l="1"/>
  <c r="Z11" i="2"/>
  <c r="Z10" i="2"/>
  <c r="BZ103" i="3"/>
  <c r="BY106" i="3"/>
  <c r="BZ105" i="3"/>
  <c r="DH82" i="3"/>
  <c r="DH83" i="3" s="1"/>
  <c r="DH84" i="3" s="1"/>
  <c r="DH85" i="3" s="1"/>
  <c r="DI83" i="3"/>
  <c r="DI84" i="3" s="1"/>
  <c r="DI85" i="3" s="1"/>
  <c r="O399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O304" i="3"/>
  <c r="AN304" i="3"/>
  <c r="AM304" i="3"/>
  <c r="AC304" i="3"/>
  <c r="AF304" i="3" s="1"/>
  <c r="AE304" i="3"/>
  <c r="AC312" i="3"/>
  <c r="AC313" i="3"/>
  <c r="AC314" i="3"/>
  <c r="AC315" i="3"/>
  <c r="AF315" i="3" s="1"/>
  <c r="AC316" i="3"/>
  <c r="AC317" i="3"/>
  <c r="AC318" i="3"/>
  <c r="AC319" i="3"/>
  <c r="AF319" i="3" s="1"/>
  <c r="AC320" i="3"/>
  <c r="AC321" i="3"/>
  <c r="AC322" i="3"/>
  <c r="AC323" i="3"/>
  <c r="AC324" i="3"/>
  <c r="AC325" i="3"/>
  <c r="AC326" i="3"/>
  <c r="AC327" i="3"/>
  <c r="AC328" i="3"/>
  <c r="AC329" i="3"/>
  <c r="AC330" i="3"/>
  <c r="AF330" i="3" s="1"/>
  <c r="AC331" i="3"/>
  <c r="AC332" i="3"/>
  <c r="AC333" i="3"/>
  <c r="AC334" i="3"/>
  <c r="AC335" i="3"/>
  <c r="AF335" i="3" s="1"/>
  <c r="AC336" i="3"/>
  <c r="AC337" i="3"/>
  <c r="AC338" i="3"/>
  <c r="AC339" i="3"/>
  <c r="AC340" i="3"/>
  <c r="AC341" i="3"/>
  <c r="AC342" i="3"/>
  <c r="AC343" i="3"/>
  <c r="AF343" i="3" s="1"/>
  <c r="AC344" i="3"/>
  <c r="AC345" i="3"/>
  <c r="AC346" i="3"/>
  <c r="AC347" i="3"/>
  <c r="AC348" i="3"/>
  <c r="AC305" i="3"/>
  <c r="AC306" i="3"/>
  <c r="AC307" i="3"/>
  <c r="AC308" i="3"/>
  <c r="AC309" i="3"/>
  <c r="AC310" i="3"/>
  <c r="AC311" i="3"/>
  <c r="AF311" i="3" s="1"/>
  <c r="T321" i="3"/>
  <c r="U2" i="2"/>
  <c r="U3" i="2"/>
  <c r="U4" i="2"/>
  <c r="Z12" i="2" l="1"/>
  <c r="BY107" i="3"/>
  <c r="BZ106" i="3"/>
  <c r="DR85" i="3"/>
  <c r="AP343" i="3"/>
  <c r="AP346" i="3" s="1"/>
  <c r="V55" i="1" s="1"/>
  <c r="AP335" i="3"/>
  <c r="AP338" i="3" s="1"/>
  <c r="V47" i="1" s="1"/>
  <c r="AP330" i="3"/>
  <c r="AP331" i="3" s="1"/>
  <c r="V40" i="1" s="1"/>
  <c r="AP319" i="3"/>
  <c r="AP327" i="3" s="1"/>
  <c r="V36" i="1" s="1"/>
  <c r="AP315" i="3"/>
  <c r="AP317" i="3" s="1"/>
  <c r="AP311" i="3"/>
  <c r="AP313" i="3" s="1"/>
  <c r="V22" i="1" s="1"/>
  <c r="AP304" i="3"/>
  <c r="AP309" i="3" s="1"/>
  <c r="V18" i="1" s="1"/>
  <c r="AF312" i="3"/>
  <c r="O21" i="1" s="1"/>
  <c r="AF336" i="3"/>
  <c r="O45" i="1" s="1"/>
  <c r="AF320" i="3"/>
  <c r="O29" i="1" s="1"/>
  <c r="AF316" i="3"/>
  <c r="O25" i="1" s="1"/>
  <c r="AF333" i="3"/>
  <c r="O42" i="1" s="1"/>
  <c r="AF308" i="3"/>
  <c r="O17" i="1" s="1"/>
  <c r="AF309" i="3"/>
  <c r="O18" i="1" s="1"/>
  <c r="AF307" i="3"/>
  <c r="O16" i="1" s="1"/>
  <c r="AF305" i="3"/>
  <c r="O14" i="1" s="1"/>
  <c r="AF346" i="3"/>
  <c r="O55" i="1" s="1"/>
  <c r="AF342" i="3"/>
  <c r="O51" i="1" s="1"/>
  <c r="AF338" i="3"/>
  <c r="O47" i="1" s="1"/>
  <c r="AF334" i="3"/>
  <c r="O43" i="1" s="1"/>
  <c r="AF326" i="3"/>
  <c r="O35" i="1" s="1"/>
  <c r="AF322" i="3"/>
  <c r="O31" i="1" s="1"/>
  <c r="AF318" i="3"/>
  <c r="O27" i="1" s="1"/>
  <c r="AF314" i="3"/>
  <c r="O23" i="1" s="1"/>
  <c r="AF310" i="3"/>
  <c r="O19" i="1" s="1"/>
  <c r="AF306" i="3"/>
  <c r="O15" i="1" s="1"/>
  <c r="AF339" i="3"/>
  <c r="O48" i="1" s="1"/>
  <c r="AF341" i="3"/>
  <c r="O50" i="1" s="1"/>
  <c r="AF325" i="3"/>
  <c r="O34" i="1" s="1"/>
  <c r="AF317" i="3"/>
  <c r="O26" i="1" s="1"/>
  <c r="AF348" i="3"/>
  <c r="O57" i="1" s="1"/>
  <c r="AF340" i="3"/>
  <c r="O49" i="1" s="1"/>
  <c r="AF332" i="3"/>
  <c r="O41" i="1" s="1"/>
  <c r="AF328" i="3"/>
  <c r="O37" i="1" s="1"/>
  <c r="AF324" i="3"/>
  <c r="O33" i="1" s="1"/>
  <c r="AF345" i="3"/>
  <c r="O54" i="1" s="1"/>
  <c r="AF344" i="3"/>
  <c r="O53" i="1" s="1"/>
  <c r="AF337" i="3"/>
  <c r="O46" i="1" s="1"/>
  <c r="AF329" i="3"/>
  <c r="O38" i="1" s="1"/>
  <c r="AF321" i="3"/>
  <c r="O30" i="1" s="1"/>
  <c r="AF313" i="3"/>
  <c r="O22" i="1" s="1"/>
  <c r="AF347" i="3"/>
  <c r="O56" i="1" s="1"/>
  <c r="AF331" i="3"/>
  <c r="O40" i="1" s="1"/>
  <c r="AF327" i="3"/>
  <c r="O36" i="1" s="1"/>
  <c r="AF323" i="3"/>
  <c r="O32" i="1" s="1"/>
  <c r="T302" i="3"/>
  <c r="O396" i="3"/>
  <c r="J396" i="3"/>
  <c r="N393" i="3"/>
  <c r="O393" i="3"/>
  <c r="O381" i="3"/>
  <c r="BU20" i="1" s="1"/>
  <c r="O390" i="3"/>
  <c r="O387" i="3"/>
  <c r="O384" i="3"/>
  <c r="BY108" i="3" l="1"/>
  <c r="BZ107" i="3"/>
  <c r="AP345" i="3"/>
  <c r="V54" i="1" s="1"/>
  <c r="AP334" i="3"/>
  <c r="V43" i="1" s="1"/>
  <c r="V26" i="1"/>
  <c r="AP344" i="3"/>
  <c r="V53" i="1" s="1"/>
  <c r="AP340" i="3"/>
  <c r="V49" i="1" s="1"/>
  <c r="AP347" i="3"/>
  <c r="V56" i="1" s="1"/>
  <c r="AP348" i="3"/>
  <c r="V57" i="1" s="1"/>
  <c r="AP318" i="3"/>
  <c r="V27" i="1" s="1"/>
  <c r="AP337" i="3"/>
  <c r="V46" i="1" s="1"/>
  <c r="AP332" i="3"/>
  <c r="V41" i="1" s="1"/>
  <c r="AP333" i="3"/>
  <c r="V42" i="1" s="1"/>
  <c r="AP314" i="3"/>
  <c r="V23" i="1" s="1"/>
  <c r="AP312" i="3"/>
  <c r="V21" i="1" s="1"/>
  <c r="AP339" i="3"/>
  <c r="V48" i="1" s="1"/>
  <c r="AP316" i="3"/>
  <c r="V25" i="1" s="1"/>
  <c r="AP341" i="3"/>
  <c r="V50" i="1" s="1"/>
  <c r="AP342" i="3"/>
  <c r="V51" i="1" s="1"/>
  <c r="AP336" i="3"/>
  <c r="V45" i="1" s="1"/>
  <c r="AP320" i="3"/>
  <c r="V29" i="1" s="1"/>
  <c r="AP324" i="3"/>
  <c r="V33" i="1" s="1"/>
  <c r="AP322" i="3"/>
  <c r="V31" i="1" s="1"/>
  <c r="AP328" i="3"/>
  <c r="V37" i="1" s="1"/>
  <c r="AP326" i="3"/>
  <c r="V35" i="1" s="1"/>
  <c r="AP325" i="3"/>
  <c r="V34" i="1" s="1"/>
  <c r="AP329" i="3"/>
  <c r="V38" i="1" s="1"/>
  <c r="AP321" i="3"/>
  <c r="V30" i="1" s="1"/>
  <c r="AP323" i="3"/>
  <c r="V32" i="1" s="1"/>
  <c r="AP308" i="3"/>
  <c r="V17" i="1" s="1"/>
  <c r="AP310" i="3"/>
  <c r="V19" i="1" s="1"/>
  <c r="AP307" i="3"/>
  <c r="V16" i="1" s="1"/>
  <c r="AP305" i="3"/>
  <c r="V14" i="1" s="1"/>
  <c r="AP306" i="3"/>
  <c r="V15" i="1" s="1"/>
  <c r="W63" i="1"/>
  <c r="W59" i="1"/>
  <c r="W60" i="1"/>
  <c r="W62" i="1"/>
  <c r="W61" i="1"/>
  <c r="O378" i="3"/>
  <c r="O373" i="3"/>
  <c r="AW6" i="1" s="1"/>
  <c r="O368" i="3"/>
  <c r="AX12" i="1" s="1"/>
  <c r="O363" i="3"/>
  <c r="D7" i="1" s="1"/>
  <c r="O358" i="3"/>
  <c r="O353" i="3"/>
  <c r="P90" i="1" s="1"/>
  <c r="O350" i="3"/>
  <c r="O345" i="3"/>
  <c r="V89" i="1" s="1"/>
  <c r="O341" i="3"/>
  <c r="O336" i="3"/>
  <c r="O333" i="3"/>
  <c r="O330" i="3"/>
  <c r="D174" i="3" l="1"/>
  <c r="D178" i="3"/>
  <c r="C173" i="3"/>
  <c r="V90" i="1" s="1"/>
  <c r="C177" i="3"/>
  <c r="C181" i="3"/>
  <c r="C185" i="3"/>
  <c r="C189" i="3"/>
  <c r="C178" i="3"/>
  <c r="C182" i="3"/>
  <c r="C186" i="3"/>
  <c r="D176" i="3"/>
  <c r="C175" i="3"/>
  <c r="C179" i="3"/>
  <c r="C183" i="3"/>
  <c r="C191" i="3"/>
  <c r="D177" i="3"/>
  <c r="D173" i="3"/>
  <c r="V91" i="1" s="1"/>
  <c r="C184" i="3"/>
  <c r="C192" i="3"/>
  <c r="D175" i="3"/>
  <c r="D179" i="3"/>
  <c r="C174" i="3"/>
  <c r="C190" i="3"/>
  <c r="D180" i="3"/>
  <c r="C187" i="3"/>
  <c r="D181" i="3"/>
  <c r="C176" i="3"/>
  <c r="C180" i="3"/>
  <c r="C188" i="3"/>
  <c r="BY109" i="3"/>
  <c r="BY110" i="3" s="1"/>
  <c r="BY111" i="3" s="1"/>
  <c r="BZ108" i="3"/>
  <c r="C5" i="11"/>
  <c r="N8" i="1"/>
  <c r="BO9" i="1"/>
  <c r="BY112" i="3" l="1"/>
  <c r="BZ112" i="3" s="1"/>
  <c r="BZ111" i="3"/>
  <c r="AA69" i="1"/>
  <c r="AA67" i="1"/>
  <c r="AB69" i="1"/>
  <c r="AB67" i="1"/>
  <c r="Y10" i="1"/>
  <c r="BY113" i="3" l="1"/>
  <c r="BY114" i="3" s="1"/>
  <c r="BY115" i="3" s="1"/>
  <c r="BZ115" i="3" s="1"/>
  <c r="S398" i="3"/>
  <c r="T398" i="3" s="1"/>
  <c r="V92" i="1"/>
  <c r="S397" i="3"/>
  <c r="T397" i="3" s="1"/>
  <c r="R90" i="1"/>
  <c r="Q9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71" i="1"/>
  <c r="BZ113" i="3" l="1"/>
  <c r="BZ114" i="3"/>
  <c r="BY116" i="3"/>
  <c r="K19" i="1"/>
  <c r="K12" i="1"/>
  <c r="BY117" i="3" l="1"/>
  <c r="BY118" i="3" s="1"/>
  <c r="BY119" i="3" s="1"/>
  <c r="BY120" i="3" s="1"/>
  <c r="BZ116" i="3"/>
  <c r="BZ117" i="3"/>
  <c r="BZ119" i="3"/>
  <c r="BZ118" i="3"/>
  <c r="BG21" i="1"/>
  <c r="BD21" i="1"/>
  <c r="AW21" i="1"/>
  <c r="AU21" i="1"/>
  <c r="AT21" i="1"/>
  <c r="EQ6" i="3"/>
  <c r="EM13" i="3" s="1"/>
  <c r="BY121" i="3" l="1"/>
  <c r="BZ121" i="3" s="1"/>
  <c r="BZ120" i="3"/>
  <c r="EM8" i="3"/>
  <c r="BC21" i="1" s="1"/>
  <c r="EM12" i="3"/>
  <c r="EM9" i="3"/>
  <c r="EM11" i="3"/>
  <c r="EM14" i="3"/>
  <c r="EM7" i="3"/>
  <c r="EM10" i="3"/>
  <c r="E49" i="1"/>
  <c r="H45" i="1"/>
  <c r="AE63" i="1"/>
  <c r="AH61" i="1"/>
  <c r="AF61" i="1"/>
  <c r="AE58" i="1"/>
  <c r="AE53" i="1"/>
  <c r="AH51" i="1"/>
  <c r="AF51" i="1"/>
  <c r="AE48" i="1"/>
  <c r="CA81" i="3" l="1"/>
  <c r="AR28" i="1" s="1"/>
  <c r="AH41" i="1"/>
  <c r="AF41" i="1"/>
  <c r="AE43" i="1"/>
  <c r="AE40" i="1"/>
  <c r="AE36" i="1"/>
  <c r="AE31" i="1"/>
  <c r="AH29" i="1"/>
  <c r="AF29" i="1"/>
  <c r="AE28" i="1"/>
  <c r="AE24" i="1"/>
  <c r="DS15" i="3"/>
  <c r="DS16" i="3" s="1"/>
  <c r="DS17" i="3" s="1"/>
  <c r="DS18" i="3" s="1"/>
  <c r="DS19" i="3" s="1"/>
  <c r="DS20" i="3" s="1"/>
  <c r="DS21" i="3" s="1"/>
  <c r="DS22" i="3" s="1"/>
  <c r="DS23" i="3" s="1"/>
  <c r="AB3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I69" i="1" l="1"/>
  <c r="DJ83" i="1" s="1"/>
  <c r="DI68" i="1"/>
  <c r="DJ75" i="1" s="1"/>
  <c r="DJ64" i="1"/>
  <c r="DJ67" i="1" s="1"/>
  <c r="DH64" i="1"/>
  <c r="DH66" i="1" s="1"/>
  <c r="DH67" i="1" s="1"/>
  <c r="DJ78" i="1" l="1"/>
  <c r="DJ79" i="1"/>
  <c r="DJ82" i="1"/>
  <c r="DJ77" i="1"/>
  <c r="DJ81" i="1"/>
  <c r="DJ74" i="1"/>
  <c r="DJ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R91" i="1" l="1"/>
  <c r="J32" i="1" l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B32" i="1"/>
  <c r="J30" i="1"/>
  <c r="B30" i="1"/>
  <c r="J29" i="1"/>
  <c r="B29" i="1"/>
  <c r="Q2" i="1"/>
  <c r="R2" i="1"/>
  <c r="S2" i="1"/>
  <c r="P2" i="1"/>
  <c r="F49" i="1"/>
  <c r="J47" i="1"/>
  <c r="G47" i="1"/>
  <c r="B47" i="1"/>
  <c r="BO99" i="1"/>
  <c r="BO98" i="1"/>
  <c r="BO97" i="1"/>
  <c r="BO96" i="1"/>
  <c r="BO95" i="1"/>
  <c r="BO94" i="1"/>
  <c r="BO93" i="1"/>
  <c r="BO92" i="1"/>
  <c r="BO91" i="1"/>
  <c r="BO90" i="1"/>
  <c r="BO87" i="1"/>
  <c r="BP86" i="1"/>
  <c r="BO86" i="1"/>
  <c r="BN86" i="1"/>
  <c r="BO81" i="1"/>
  <c r="BO80" i="1"/>
  <c r="BO79" i="1"/>
  <c r="BO78" i="1"/>
  <c r="BO77" i="1"/>
  <c r="BO76" i="1"/>
  <c r="BO75" i="1"/>
  <c r="BO74" i="1"/>
  <c r="BO73" i="1"/>
  <c r="BO72" i="1"/>
  <c r="BO69" i="1"/>
  <c r="BP68" i="1"/>
  <c r="BO68" i="1"/>
  <c r="BN68" i="1"/>
  <c r="BO63" i="1"/>
  <c r="BO62" i="1"/>
  <c r="BO61" i="1"/>
  <c r="BO60" i="1"/>
  <c r="BO59" i="1"/>
  <c r="BO58" i="1"/>
  <c r="BO57" i="1"/>
  <c r="BO56" i="1"/>
  <c r="BO55" i="1"/>
  <c r="BO54" i="1"/>
  <c r="BO51" i="1"/>
  <c r="BP50" i="1"/>
  <c r="BO50" i="1"/>
  <c r="BN50" i="1"/>
  <c r="BO45" i="1"/>
  <c r="BO44" i="1"/>
  <c r="BO43" i="1"/>
  <c r="BO42" i="1"/>
  <c r="BO41" i="1"/>
  <c r="BO40" i="1"/>
  <c r="BO39" i="1"/>
  <c r="BO38" i="1"/>
  <c r="BO37" i="1"/>
  <c r="BO36" i="1"/>
  <c r="BO33" i="1"/>
  <c r="BP32" i="1"/>
  <c r="BO32" i="1"/>
  <c r="BN32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9" i="1"/>
  <c r="BT98" i="1"/>
  <c r="BT97" i="1"/>
  <c r="BT96" i="1"/>
  <c r="BT95" i="1"/>
  <c r="BT94" i="1"/>
  <c r="BT93" i="1"/>
  <c r="BT92" i="1"/>
  <c r="BT91" i="1"/>
  <c r="BT90" i="1"/>
  <c r="BT87" i="1"/>
  <c r="BU86" i="1"/>
  <c r="BT86" i="1"/>
  <c r="BS86" i="1"/>
  <c r="BT81" i="1"/>
  <c r="BT80" i="1"/>
  <c r="BT79" i="1"/>
  <c r="BT78" i="1"/>
  <c r="BT77" i="1"/>
  <c r="BT76" i="1"/>
  <c r="BT75" i="1"/>
  <c r="BT74" i="1"/>
  <c r="BT73" i="1"/>
  <c r="BT72" i="1"/>
  <c r="BT69" i="1"/>
  <c r="BU68" i="1"/>
  <c r="BT68" i="1"/>
  <c r="BS68" i="1"/>
  <c r="BT63" i="1"/>
  <c r="BT62" i="1"/>
  <c r="BT61" i="1"/>
  <c r="BT60" i="1"/>
  <c r="BT59" i="1"/>
  <c r="BT58" i="1"/>
  <c r="BT57" i="1"/>
  <c r="BT56" i="1"/>
  <c r="BT55" i="1"/>
  <c r="BT54" i="1"/>
  <c r="BT51" i="1"/>
  <c r="BU50" i="1"/>
  <c r="BT50" i="1"/>
  <c r="BS50" i="1"/>
  <c r="BT45" i="1"/>
  <c r="BT44" i="1"/>
  <c r="BT43" i="1"/>
  <c r="BT42" i="1"/>
  <c r="BT41" i="1"/>
  <c r="BT40" i="1"/>
  <c r="BT39" i="1"/>
  <c r="BT38" i="1"/>
  <c r="BT37" i="1"/>
  <c r="BT36" i="1"/>
  <c r="BT33" i="1"/>
  <c r="BU32" i="1"/>
  <c r="BT32" i="1"/>
  <c r="BS32" i="1"/>
  <c r="BK99" i="1"/>
  <c r="BK98" i="1"/>
  <c r="BK97" i="1"/>
  <c r="BK96" i="1"/>
  <c r="BK95" i="1"/>
  <c r="BK94" i="1"/>
  <c r="BK93" i="1"/>
  <c r="BK92" i="1"/>
  <c r="BK91" i="1"/>
  <c r="BK90" i="1"/>
  <c r="BK87" i="1"/>
  <c r="BL86" i="1"/>
  <c r="BK86" i="1"/>
  <c r="BJ86" i="1"/>
  <c r="BK81" i="1"/>
  <c r="BK80" i="1"/>
  <c r="BK79" i="1"/>
  <c r="BK78" i="1"/>
  <c r="BK77" i="1"/>
  <c r="BK76" i="1"/>
  <c r="BK75" i="1"/>
  <c r="BK74" i="1"/>
  <c r="BK73" i="1"/>
  <c r="BK72" i="1"/>
  <c r="BK69" i="1"/>
  <c r="BL68" i="1"/>
  <c r="BK68" i="1"/>
  <c r="BJ68" i="1"/>
  <c r="BK63" i="1"/>
  <c r="BK62" i="1"/>
  <c r="BK61" i="1"/>
  <c r="BK60" i="1"/>
  <c r="BK59" i="1"/>
  <c r="BK58" i="1"/>
  <c r="BK57" i="1"/>
  <c r="BK56" i="1"/>
  <c r="BK55" i="1"/>
  <c r="BK54" i="1"/>
  <c r="BK51" i="1"/>
  <c r="BL50" i="1"/>
  <c r="BK50" i="1"/>
  <c r="BJ50" i="1"/>
  <c r="BK45" i="1"/>
  <c r="BK44" i="1"/>
  <c r="BK43" i="1"/>
  <c r="BK42" i="1"/>
  <c r="BK41" i="1"/>
  <c r="BK40" i="1"/>
  <c r="BK39" i="1"/>
  <c r="BK38" i="1"/>
  <c r="BK37" i="1"/>
  <c r="BK36" i="1"/>
  <c r="BK33" i="1"/>
  <c r="BL32" i="1"/>
  <c r="BK32" i="1"/>
  <c r="BJ32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P7" i="5"/>
  <c r="O7" i="5"/>
  <c r="N7" i="5"/>
  <c r="J7" i="5"/>
  <c r="D7" i="5"/>
  <c r="C7" i="5"/>
  <c r="B7" i="5"/>
  <c r="P6" i="5"/>
  <c r="O6" i="5"/>
  <c r="N6" i="5"/>
  <c r="J6" i="5"/>
  <c r="P5" i="5"/>
  <c r="O5" i="5"/>
  <c r="N5" i="5"/>
  <c r="J5" i="5"/>
  <c r="P4" i="5"/>
  <c r="O4" i="5"/>
  <c r="N4" i="5"/>
  <c r="J4" i="5"/>
  <c r="E4" i="5"/>
  <c r="F33" i="1" l="1"/>
  <c r="D33" i="1"/>
  <c r="C33" i="1"/>
  <c r="E33" i="1"/>
  <c r="I33" i="1"/>
  <c r="G33" i="1"/>
  <c r="H33" i="1"/>
  <c r="AT72" i="1" l="1"/>
  <c r="AT97" i="1"/>
  <c r="AX73" i="1"/>
  <c r="AX74" i="1"/>
  <c r="DE89" i="3" s="1"/>
  <c r="AX75" i="1"/>
  <c r="AX76" i="1"/>
  <c r="AX77" i="1"/>
  <c r="DE92" i="3" s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F67" i="1"/>
  <c r="BA67" i="1"/>
  <c r="AT67" i="1"/>
  <c r="AS67" i="1"/>
  <c r="BH66" i="1"/>
  <c r="BF66" i="1"/>
  <c r="BA66" i="1"/>
  <c r="BH65" i="1"/>
  <c r="BF65" i="1"/>
  <c r="BA65" i="1"/>
  <c r="BH64" i="1"/>
  <c r="BF64" i="1"/>
  <c r="BA64" i="1"/>
  <c r="BH61" i="1"/>
  <c r="BF61" i="1"/>
  <c r="BA61" i="1"/>
  <c r="AT61" i="1"/>
  <c r="AS61" i="1"/>
  <c r="AR61" i="1"/>
  <c r="BH60" i="1"/>
  <c r="BF60" i="1"/>
  <c r="BA60" i="1"/>
  <c r="BH59" i="1"/>
  <c r="BF59" i="1"/>
  <c r="BA59" i="1"/>
  <c r="BH58" i="1"/>
  <c r="BF58" i="1"/>
  <c r="BA58" i="1"/>
  <c r="AU58" i="1"/>
  <c r="BH55" i="1"/>
  <c r="BF55" i="1"/>
  <c r="BA55" i="1"/>
  <c r="AT55" i="1"/>
  <c r="AS55" i="1"/>
  <c r="AR55" i="1"/>
  <c r="BH54" i="1"/>
  <c r="BF54" i="1"/>
  <c r="BA54" i="1"/>
  <c r="BH53" i="1"/>
  <c r="BF53" i="1"/>
  <c r="BA53" i="1"/>
  <c r="BH52" i="1"/>
  <c r="BF52" i="1"/>
  <c r="BA52" i="1"/>
  <c r="AU52" i="1"/>
  <c r="BH49" i="1"/>
  <c r="BF49" i="1"/>
  <c r="BA49" i="1"/>
  <c r="AT49" i="1"/>
  <c r="AS49" i="1"/>
  <c r="AR49" i="1"/>
  <c r="BH48" i="1"/>
  <c r="BF48" i="1"/>
  <c r="BA48" i="1"/>
  <c r="BH47" i="1"/>
  <c r="BF47" i="1"/>
  <c r="BA47" i="1"/>
  <c r="BH46" i="1"/>
  <c r="BF46" i="1"/>
  <c r="BA46" i="1"/>
  <c r="AU46" i="1"/>
  <c r="BH43" i="1"/>
  <c r="BF43" i="1"/>
  <c r="BA43" i="1"/>
  <c r="AT43" i="1"/>
  <c r="AS43" i="1"/>
  <c r="AR43" i="1"/>
  <c r="BH42" i="1"/>
  <c r="BF42" i="1"/>
  <c r="BA42" i="1"/>
  <c r="BH41" i="1"/>
  <c r="BF41" i="1"/>
  <c r="BA41" i="1"/>
  <c r="BH40" i="1"/>
  <c r="BF40" i="1"/>
  <c r="BA40" i="1"/>
  <c r="AU40" i="1"/>
  <c r="AR37" i="1"/>
  <c r="BH37" i="1"/>
  <c r="BH36" i="1"/>
  <c r="BH35" i="1"/>
  <c r="BH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W2" i="1" l="1"/>
  <c r="AV9" i="1"/>
  <c r="BL4" i="1"/>
  <c r="G4" i="1"/>
  <c r="N7" i="1"/>
  <c r="Q7" i="1" s="1"/>
  <c r="P8" i="1"/>
  <c r="Q8" i="1"/>
  <c r="R8" i="1"/>
  <c r="S8" i="1"/>
  <c r="BP9" i="1"/>
  <c r="AF8" i="1"/>
  <c r="AH8" i="1" s="1"/>
  <c r="BP16" i="1"/>
  <c r="S400" i="3"/>
  <c r="T400" i="3" s="1"/>
  <c r="F15" i="1"/>
  <c r="AT3" i="1"/>
  <c r="AT6" i="1" s="1"/>
  <c r="C18" i="1"/>
  <c r="C37" i="1"/>
  <c r="B36" i="1" s="1"/>
  <c r="E37" i="1"/>
  <c r="G37" i="1"/>
  <c r="C47" i="1"/>
  <c r="P6" i="1"/>
  <c r="Q6" i="1"/>
  <c r="R6" i="1"/>
  <c r="AC15" i="1"/>
  <c r="AA17" i="1"/>
  <c r="Y19" i="1"/>
  <c r="AB19" i="1"/>
  <c r="AC19" i="1"/>
  <c r="S6" i="1"/>
  <c r="Y21" i="1"/>
  <c r="D71" i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82" i="1"/>
  <c r="V82" i="1"/>
  <c r="D92" i="1"/>
  <c r="O83" i="1"/>
  <c r="V83" i="1"/>
  <c r="D93" i="1"/>
  <c r="O84" i="1"/>
  <c r="V84" i="1"/>
  <c r="D94" i="1"/>
  <c r="O85" i="1"/>
  <c r="V85" i="1"/>
  <c r="DV2" i="1"/>
  <c r="DV4" i="1"/>
  <c r="DV5" i="1"/>
  <c r="DF13" i="1"/>
  <c r="DI24" i="1" s="1"/>
  <c r="DI26" i="1" s="1"/>
  <c r="DG13" i="1"/>
  <c r="DK13" i="1"/>
  <c r="DP13" i="1" s="1"/>
  <c r="DF14" i="1"/>
  <c r="DV6" i="1" s="1"/>
  <c r="DG14" i="1"/>
  <c r="DM14" i="1"/>
  <c r="DF15" i="1"/>
  <c r="DG15" i="1"/>
  <c r="DM15" i="1"/>
  <c r="DF16" i="1"/>
  <c r="DG16" i="1"/>
  <c r="DM16" i="1"/>
  <c r="DF17" i="1"/>
  <c r="DG17" i="1"/>
  <c r="DM17" i="1"/>
  <c r="DV17" i="1"/>
  <c r="DW17" i="1" s="1"/>
  <c r="DF18" i="1"/>
  <c r="DG18" i="1"/>
  <c r="DK18" i="1"/>
  <c r="DM18" i="1"/>
  <c r="DW18" i="1"/>
  <c r="DF19" i="1"/>
  <c r="DG19" i="1"/>
  <c r="DF20" i="1"/>
  <c r="DG20" i="1"/>
  <c r="DE27" i="1"/>
  <c r="DG27" i="1"/>
  <c r="DI27" i="1"/>
  <c r="DD31" i="1"/>
  <c r="DN31" i="1" s="1"/>
  <c r="DX36" i="1"/>
  <c r="DX37" i="1"/>
  <c r="DX38" i="1"/>
  <c r="DX39" i="1"/>
  <c r="DO40" i="1"/>
  <c r="DX40" i="1"/>
  <c r="DX41" i="1"/>
  <c r="DO42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D252" i="3"/>
  <c r="L251" i="3" l="1"/>
  <c r="F36" i="1"/>
  <c r="K251" i="3"/>
  <c r="D36" i="1"/>
  <c r="J13" i="1"/>
  <c r="BL10" i="1"/>
  <c r="J19" i="1" s="1"/>
  <c r="BJ9" i="1"/>
  <c r="D74" i="1"/>
  <c r="H71" i="1"/>
  <c r="AM76" i="1" s="1"/>
  <c r="AB4" i="1"/>
  <c r="AF11" i="1"/>
  <c r="AH11" i="1" s="1"/>
  <c r="S402" i="3"/>
  <c r="T402" i="3" s="1"/>
  <c r="T403" i="3" s="1"/>
  <c r="N411" i="3" s="1"/>
  <c r="O411" i="3" s="1"/>
  <c r="AG15" i="1" s="1"/>
  <c r="AG17" i="1" s="1"/>
  <c r="AG18" i="1" s="1"/>
  <c r="J14" i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AW5" i="1"/>
  <c r="AW7" i="1" s="1"/>
  <c r="AX10" i="1"/>
  <c r="AX13" i="1" s="1"/>
  <c r="AF9" i="1"/>
  <c r="AH9" i="1" s="1"/>
  <c r="Q95" i="1"/>
  <c r="V98" i="1" s="1"/>
  <c r="AG31" i="3"/>
  <c r="P92" i="1"/>
  <c r="P93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AN29" i="1" s="1"/>
  <c r="G254" i="3"/>
  <c r="J251" i="3"/>
  <c r="DK17" i="1"/>
  <c r="DP17" i="1" s="1"/>
  <c r="DK16" i="1"/>
  <c r="DP16" i="1" s="1"/>
  <c r="DK15" i="1"/>
  <c r="DP15" i="1" s="1"/>
  <c r="DK14" i="1"/>
  <c r="DP14" i="1" s="1"/>
  <c r="G252" i="3"/>
  <c r="R93" i="1"/>
  <c r="V94" i="1" s="1"/>
  <c r="G256" i="3"/>
  <c r="DL36" i="1"/>
  <c r="DK31" i="1"/>
  <c r="DG31" i="1"/>
  <c r="AF10" i="1"/>
  <c r="AH10" i="1" s="1"/>
  <c r="BF51" i="3"/>
  <c r="F11" i="1"/>
  <c r="W6" i="1" s="1"/>
  <c r="F10" i="1"/>
  <c r="S14" i="1" s="1"/>
  <c r="W14" i="1" s="1"/>
  <c r="AF7" i="1"/>
  <c r="AH7" i="1" s="1"/>
  <c r="G251" i="3"/>
  <c r="F13" i="1"/>
  <c r="DV14" i="1"/>
  <c r="DW14" i="1" s="1"/>
  <c r="J18" i="1"/>
  <c r="AX72" i="1"/>
  <c r="DE87" i="3" s="1"/>
  <c r="DE115" i="3" s="1"/>
  <c r="G253" i="3"/>
  <c r="DP18" i="1"/>
  <c r="DO41" i="1"/>
  <c r="DV7" i="1"/>
  <c r="D75" i="1"/>
  <c r="S7" i="1"/>
  <c r="D76" i="1"/>
  <c r="R7" i="1"/>
  <c r="P7" i="1"/>
  <c r="J11" i="1"/>
  <c r="DI31" i="1"/>
  <c r="DV13" i="1" s="1"/>
  <c r="DS31" i="1"/>
  <c r="DE31" i="1"/>
  <c r="DL31" i="1"/>
  <c r="DM36" i="1"/>
  <c r="DW9" i="1"/>
  <c r="DE24" i="1"/>
  <c r="DE26" i="1" s="1"/>
  <c r="DV15" i="1"/>
  <c r="DW15" i="1" s="1"/>
  <c r="DG24" i="1"/>
  <c r="DG26" i="1" s="1"/>
  <c r="DO39" i="1"/>
  <c r="D73" i="1"/>
  <c r="D72" i="1"/>
  <c r="F16" i="1"/>
  <c r="F14" i="1"/>
  <c r="W4" i="1"/>
  <c r="BL3" i="1"/>
  <c r="BL6" i="1" s="1"/>
  <c r="AF12" i="1"/>
  <c r="AH12" i="1" s="1"/>
  <c r="BH9" i="1"/>
  <c r="BH13" i="1" s="1"/>
  <c r="BF15" i="1" s="1"/>
  <c r="I4" i="1"/>
  <c r="F17" i="1"/>
  <c r="F12" i="1"/>
  <c r="E53" i="1" l="1"/>
  <c r="F53" i="1" s="1"/>
  <c r="E59" i="1"/>
  <c r="F59" i="1" s="1"/>
  <c r="E65" i="1"/>
  <c r="F65" i="1" s="1"/>
  <c r="BC15" i="1"/>
  <c r="CZ63" i="3"/>
  <c r="DA63" i="3" s="1"/>
  <c r="F74" i="1"/>
  <c r="H74" i="1" s="1"/>
  <c r="W7" i="1"/>
  <c r="U9" i="1" s="1"/>
  <c r="J12" i="1"/>
  <c r="AX14" i="1"/>
  <c r="BH120" i="3"/>
  <c r="BH178" i="3"/>
  <c r="V100" i="1"/>
  <c r="V99" i="1"/>
  <c r="S21" i="1"/>
  <c r="W21" i="1" s="1"/>
  <c r="S41" i="1"/>
  <c r="W41" i="1" s="1"/>
  <c r="S23" i="1"/>
  <c r="W23" i="1" s="1"/>
  <c r="T82" i="1"/>
  <c r="W82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F73" i="1"/>
  <c r="H73" i="1" s="1"/>
  <c r="N4" i="1"/>
  <c r="P4" i="1" s="1"/>
  <c r="G39" i="1"/>
  <c r="G42" i="1" s="1"/>
  <c r="F72" i="1"/>
  <c r="H72" i="1" s="1"/>
  <c r="AI31" i="3"/>
  <c r="BH51" i="3"/>
  <c r="L38" i="1"/>
  <c r="L40" i="1" s="1"/>
  <c r="N3" i="1" s="1"/>
  <c r="E47" i="1"/>
  <c r="F47" i="1" s="1"/>
  <c r="DO43" i="1"/>
  <c r="V95" i="1"/>
  <c r="V96" i="1"/>
  <c r="E39" i="1"/>
  <c r="E42" i="1" s="1"/>
  <c r="N5" i="1"/>
  <c r="AT10" i="1"/>
  <c r="AT12" i="1" s="1"/>
  <c r="BU24" i="1"/>
  <c r="BU26" i="1" s="1"/>
  <c r="C39" i="1"/>
  <c r="C42" i="1" s="1"/>
  <c r="F76" i="1"/>
  <c r="H76" i="1" s="1"/>
  <c r="T83" i="1"/>
  <c r="W83" i="1" s="1"/>
  <c r="T84" i="1"/>
  <c r="W84" i="1" s="1"/>
  <c r="T85" i="1"/>
  <c r="W85" i="1" s="1"/>
  <c r="F75" i="1"/>
  <c r="H75" i="1" s="1"/>
  <c r="DV19" i="1"/>
  <c r="DW13" i="1"/>
  <c r="DW19" i="1" s="1"/>
  <c r="BC16" i="1" l="1"/>
  <c r="BF2" i="1" s="1"/>
  <c r="N9" i="1"/>
  <c r="R4" i="1"/>
  <c r="S4" i="1"/>
  <c r="Q4" i="1"/>
  <c r="Q5" i="1"/>
  <c r="R5" i="1"/>
  <c r="S5" i="1"/>
  <c r="P5" i="1"/>
  <c r="AA13" i="1"/>
  <c r="AC13" i="1"/>
  <c r="J17" i="1" l="1"/>
  <c r="J16" i="1" s="1"/>
  <c r="J20" i="1" s="1"/>
  <c r="G3" i="1" s="1"/>
  <c r="G5" i="11"/>
  <c r="BA1" i="1"/>
  <c r="R3" i="1"/>
  <c r="R9" i="1" s="1"/>
  <c r="Q3" i="1"/>
  <c r="Q9" i="1" s="1"/>
  <c r="S3" i="1"/>
  <c r="S9" i="1" s="1"/>
  <c r="P3" i="1"/>
  <c r="P9" i="1" s="1"/>
  <c r="AR17" i="1"/>
  <c r="AT15" i="1"/>
  <c r="AT17" i="1" s="1"/>
</calcChain>
</file>

<file path=xl/comments1.xml><?xml version="1.0" encoding="utf-8"?>
<comments xmlns="http://schemas.openxmlformats.org/spreadsheetml/2006/main">
  <authors>
    <author>Alfredo</author>
    <author/>
  </authors>
  <commentList>
    <comment ref="T13" authorId="0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DS30" authorId="1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<sst xmlns="http://schemas.openxmlformats.org/spreadsheetml/2006/main" count="24450" uniqueCount="7179">
  <si>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</si>
  <si>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</si>
  <si>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</si>
  <si>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</si>
  <si>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</si>
  <si>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</si>
  <si>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</si>
  <si>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</si>
  <si>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</si>
  <si>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</si>
  <si>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</si>
  <si>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</si>
  <si>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</si>
  <si>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</si>
  <si>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</si>
  <si>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</si>
  <si>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</si>
  <si>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</si>
  <si>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</si>
  <si>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</si>
  <si>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Poderes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</si>
  <si>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</si>
  <si>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</si>
  <si>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</si>
  <si>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</si>
  <si>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</si>
  <si>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</si>
  <si>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</si>
  <si>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</si>
  <si>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</si>
  <si>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</si>
  <si>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</si>
  <si>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</si>
  <si>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</si>
  <si>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</si>
  <si>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</si>
  <si>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</si>
  <si>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</si>
  <si>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</si>
  <si>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</si>
  <si>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</si>
  <si>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</si>
  <si>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</si>
  <si>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</si>
  <si>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</si>
  <si>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</si>
  <si>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</si>
  <si>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</si>
  <si>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</si>
  <si>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</si>
  <si>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</si>
  <si>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</si>
  <si>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</si>
  <si>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</si>
  <si>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</si>
  <si>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</si>
  <si>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</si>
  <si>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</si>
  <si>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</si>
  <si>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</si>
  <si>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</si>
  <si>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</si>
  <si>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</si>
  <si>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</si>
  <si>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</si>
  <si>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</si>
  <si>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</si>
  <si>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</si>
  <si>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</si>
  <si>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</si>
  <si>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</si>
  <si>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</si>
  <si>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</si>
  <si>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</si>
  <si>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</si>
  <si>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</si>
  <si>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</si>
  <si>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</si>
  <si>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</si>
  <si>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</si>
  <si>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</si>
  <si>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CV</t>
  </si>
  <si>
    <t>Patron opuesto</t>
  </si>
  <si>
    <t>1 MP</t>
  </si>
  <si>
    <t>10 MC</t>
  </si>
  <si>
    <t>Actual</t>
  </si>
  <si>
    <t>Total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</si>
  <si>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</si>
  <si>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</si>
  <si>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</si>
  <si>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</si>
  <si>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</si>
  <si>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</si>
  <si>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</si>
  <si>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</si>
  <si>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</si>
  <si>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</si>
  <si>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</si>
  <si>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</si>
  <si>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</si>
  <si>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</si>
  <si>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</si>
  <si>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</si>
  <si>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</si>
  <si>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</si>
  <si>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</si>
  <si>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</si>
  <si>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</si>
  <si>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</si>
  <si>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</si>
  <si>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</si>
  <si>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</si>
  <si>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</si>
  <si>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</si>
  <si>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</si>
  <si>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</si>
  <si>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</si>
  <si>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</si>
  <si>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</si>
  <si>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</si>
  <si>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</si>
  <si>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</si>
  <si>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</si>
  <si>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</si>
  <si>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</si>
  <si>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</si>
  <si>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</si>
  <si>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</si>
  <si>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</si>
  <si>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</si>
  <si>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</si>
  <si>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</si>
  <si>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</si>
  <si>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</si>
  <si>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</si>
  <si>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</si>
  <si>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</si>
  <si>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</si>
  <si>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Descripción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</si>
  <si>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</si>
  <si>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</si>
  <si>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</si>
  <si>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</si>
  <si>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</si>
  <si>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</si>
  <si>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</si>
  <si>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</si>
  <si>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</si>
  <si>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</si>
  <si>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</si>
  <si>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</si>
  <si>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</si>
  <si>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</si>
  <si>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</si>
  <si>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</si>
  <si>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</si>
  <si>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</si>
  <si>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</si>
  <si>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</si>
  <si>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</si>
  <si>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</si>
  <si>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</si>
  <si>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</si>
  <si>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</si>
  <si>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</si>
  <si>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</si>
  <si>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</si>
  <si>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</si>
  <si>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</si>
  <si>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</si>
  <si>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</si>
  <si>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</si>
  <si>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</si>
  <si>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</si>
  <si>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</si>
  <si>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</si>
  <si>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</si>
  <si>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</si>
  <si>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</si>
  <si>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</si>
  <si>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</si>
  <si>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</si>
  <si>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</si>
  <si>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</si>
  <si>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</si>
  <si>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</si>
  <si>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</si>
  <si>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</si>
  <si>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</si>
  <si>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</si>
  <si>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</si>
  <si>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</si>
  <si>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</si>
  <si>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</si>
  <si>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</si>
  <si>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</si>
  <si>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</si>
  <si>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</si>
  <si>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</si>
  <si>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</si>
  <si>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</si>
  <si>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</si>
  <si>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</si>
  <si>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</si>
  <si>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</si>
  <si>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</si>
  <si>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</si>
  <si>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</si>
  <si>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</si>
  <si>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</si>
  <si>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</si>
  <si>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</si>
  <si>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</si>
  <si>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</si>
  <si>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</si>
  <si>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</si>
  <si>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</si>
  <si>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</si>
  <si>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</si>
  <si>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</si>
  <si>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</si>
  <si>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</si>
  <si>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</si>
  <si>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</si>
  <si>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</si>
  <si>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</si>
  <si>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</si>
  <si>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</si>
  <si>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</si>
  <si>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</si>
  <si>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</si>
  <si>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</si>
  <si>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</si>
  <si>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</si>
  <si>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</si>
  <si>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</si>
  <si>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</si>
  <si>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</si>
  <si>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</si>
  <si>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</si>
  <si>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</si>
  <si>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</si>
  <si>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</si>
  <si>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</si>
  <si>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</si>
  <si>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</si>
  <si>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</si>
  <si>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</si>
  <si>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</si>
  <si>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</si>
  <si>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</si>
  <si>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</si>
  <si>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</si>
  <si>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</si>
  <si>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</si>
  <si>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</si>
  <si>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</si>
  <si>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</si>
  <si>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</si>
  <si>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</si>
  <si>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</si>
  <si>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</si>
  <si>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</si>
  <si>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</si>
  <si>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</si>
  <si>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</si>
  <si>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</si>
  <si>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</si>
  <si>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</si>
  <si>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</si>
  <si>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</si>
  <si>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</si>
  <si>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</si>
  <si>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</si>
  <si>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</si>
  <si>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</si>
  <si>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</si>
  <si>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</si>
  <si>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</si>
  <si>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</si>
  <si>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</si>
  <si>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</si>
  <si>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</si>
  <si>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</si>
  <si>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</si>
  <si>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</si>
  <si>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</si>
  <si>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</si>
  <si>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</si>
  <si>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</si>
  <si>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</si>
  <si>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</si>
  <si>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</si>
  <si>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</si>
  <si>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</si>
  <si>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</si>
  <si>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</si>
  <si>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</si>
  <si>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</si>
  <si>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</si>
  <si>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</si>
  <si>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</si>
  <si>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</si>
  <si>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</si>
  <si>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</si>
  <si>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</si>
  <si>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</si>
  <si>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</si>
  <si>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</si>
  <si>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</si>
  <si>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</si>
  <si>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</si>
  <si>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</si>
  <si>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</si>
  <si>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</si>
  <si>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</si>
  <si>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</si>
  <si>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</si>
  <si>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</si>
  <si>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</si>
  <si>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</si>
  <si>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</si>
  <si>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</si>
  <si>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</si>
  <si>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</si>
  <si>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</si>
  <si>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</si>
  <si>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</si>
  <si>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</si>
  <si>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</si>
  <si>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</si>
  <si>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</si>
  <si>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</si>
  <si>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</si>
  <si>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</si>
  <si>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</si>
  <si>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</si>
  <si>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</si>
  <si>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</si>
  <si>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</si>
  <si>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</si>
  <si>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</si>
  <si>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</si>
  <si>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</si>
  <si>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</si>
  <si>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</si>
  <si>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</si>
  <si>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</si>
  <si>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</si>
  <si>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</si>
  <si>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</si>
  <si>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</si>
  <si>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</si>
  <si>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</si>
  <si>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</si>
  <si>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</si>
  <si>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</si>
  <si>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</si>
  <si>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</si>
  <si>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</si>
  <si>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</si>
  <si>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</si>
  <si>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</si>
  <si>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</si>
  <si>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</si>
  <si>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</si>
  <si>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</si>
  <si>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</si>
  <si>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</si>
  <si>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</si>
  <si>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</si>
  <si>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</si>
  <si>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</si>
  <si>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</si>
  <si>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</si>
  <si>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</si>
  <si>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</si>
  <si>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</si>
  <si>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</si>
  <si>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</si>
  <si>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</si>
  <si>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</si>
  <si>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</si>
  <si>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</si>
  <si>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</si>
  <si>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</si>
  <si>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</si>
  <si>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</si>
  <si>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</si>
  <si>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</si>
  <si>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</si>
  <si>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</si>
  <si>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</si>
  <si>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</si>
  <si>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</si>
  <si>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</si>
  <si>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</si>
  <si>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</si>
  <si>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</si>
  <si>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</si>
  <si>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</si>
  <si>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</si>
  <si>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</si>
  <si>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</si>
  <si>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</si>
  <si>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</si>
  <si>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</si>
  <si>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</si>
  <si>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</si>
  <si>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</si>
  <si>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</si>
  <si>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</si>
  <si>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</si>
  <si>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</si>
  <si>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</si>
  <si>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</si>
  <si>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</si>
  <si>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</si>
  <si>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</si>
  <si>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</si>
  <si>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</si>
  <si>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</si>
  <si>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</si>
  <si>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</si>
  <si>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</si>
  <si>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</si>
  <si>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</si>
  <si>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</si>
  <si>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</si>
  <si>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</si>
  <si>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</si>
  <si>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</si>
  <si>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</si>
  <si>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</si>
  <si>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</si>
  <si>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</si>
  <si>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</si>
  <si>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</si>
  <si>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</si>
  <si>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</si>
  <si>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</si>
  <si>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</si>
  <si>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</si>
  <si>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</si>
  <si>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</si>
  <si>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</si>
  <si>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</si>
  <si>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</si>
  <si>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</si>
  <si>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</si>
  <si>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</si>
  <si>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</si>
  <si>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</si>
  <si>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</si>
  <si>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</si>
  <si>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</si>
  <si>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</si>
  <si>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</si>
  <si>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</si>
  <si>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</si>
  <si>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</si>
  <si>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</si>
  <si>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</si>
  <si>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</si>
  <si>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</si>
  <si>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</si>
  <si>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</si>
  <si>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</si>
  <si>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</si>
  <si>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</si>
  <si>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</si>
  <si>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</si>
  <si>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</si>
  <si>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</si>
  <si>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</si>
  <si>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</si>
  <si>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</si>
  <si>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</si>
  <si>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</si>
  <si>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</si>
  <si>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</si>
  <si>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</si>
  <si>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</si>
  <si>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</si>
  <si>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</si>
  <si>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</si>
  <si>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</si>
  <si>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</si>
  <si>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</si>
  <si>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</si>
  <si>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</si>
  <si>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</si>
  <si>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</si>
  <si>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</si>
  <si>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</si>
  <si>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</si>
  <si>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</si>
  <si>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</si>
  <si>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</si>
  <si>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</si>
  <si>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</si>
  <si>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</si>
  <si>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</si>
  <si>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</si>
  <si>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</si>
  <si>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</si>
  <si>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</si>
  <si>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</si>
  <si>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</si>
  <si>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</si>
  <si>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</si>
  <si>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</si>
  <si>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</si>
  <si>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</si>
  <si>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</si>
  <si>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</si>
  <si>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</si>
  <si>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</si>
  <si>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</si>
  <si>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</si>
  <si>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</si>
  <si>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</si>
  <si>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</si>
  <si>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</si>
  <si>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</si>
  <si>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</si>
  <si>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</si>
  <si>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</si>
  <si>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</si>
  <si>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</si>
  <si>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</si>
  <si>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</si>
  <si>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</si>
  <si>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</si>
  <si>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</si>
  <si>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</si>
  <si>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</si>
  <si>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</si>
  <si>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</si>
  <si>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</si>
  <si>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</si>
  <si>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</si>
  <si>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</si>
  <si>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</si>
  <si>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</si>
  <si>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</si>
  <si>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</si>
  <si>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</si>
  <si>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</si>
  <si>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</si>
  <si>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</si>
  <si>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</si>
  <si>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</si>
  <si>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</si>
  <si>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</si>
  <si>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</si>
  <si>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</si>
  <si>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</si>
  <si>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</si>
  <si>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</si>
  <si>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</si>
  <si>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</si>
  <si>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</si>
  <si>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</si>
  <si>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</si>
  <si>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</si>
  <si>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</si>
  <si>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</si>
  <si>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</si>
  <si>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</si>
  <si>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</si>
  <si>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</si>
  <si>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</si>
  <si>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</si>
  <si>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</si>
  <si>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</si>
  <si>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</si>
  <si>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</si>
  <si>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</si>
  <si>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</si>
  <si>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</si>
  <si>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</si>
  <si>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</si>
  <si>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</si>
  <si>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</si>
  <si>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</si>
  <si>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</si>
  <si>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</si>
  <si>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</si>
  <si>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</si>
  <si>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</si>
  <si>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</si>
  <si>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</si>
  <si>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</si>
  <si>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</si>
  <si>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</si>
  <si>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</si>
  <si>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</si>
  <si>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</si>
  <si>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</si>
  <si>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</si>
  <si>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</si>
  <si>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</si>
  <si>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</si>
  <si>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</si>
  <si>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</si>
  <si>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</si>
  <si>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</si>
  <si>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</si>
  <si>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</si>
  <si>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</si>
  <si>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</si>
  <si>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</si>
  <si>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</si>
  <si>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</si>
  <si>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</si>
  <si>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</si>
  <si>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</si>
  <si>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</si>
  <si>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</si>
  <si>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</si>
  <si>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</si>
  <si>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</si>
  <si>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</si>
  <si>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</si>
  <si>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</si>
  <si>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</si>
  <si>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</si>
  <si>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</si>
  <si>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</si>
  <si>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</si>
  <si>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</si>
  <si>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</si>
  <si>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</si>
  <si>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</si>
  <si>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</si>
  <si>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</si>
  <si>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</si>
  <si>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</si>
  <si>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</si>
  <si>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</si>
  <si>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</si>
  <si>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</si>
  <si>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</si>
  <si>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</si>
  <si>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</si>
  <si>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</si>
  <si>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</si>
  <si>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</si>
  <si>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</si>
  <si>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</si>
  <si>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</si>
  <si>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</si>
  <si>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</si>
  <si>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</si>
  <si>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</si>
  <si>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</si>
  <si>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</si>
  <si>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</si>
  <si>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</si>
  <si>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</si>
  <si>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</si>
  <si>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</si>
  <si>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</si>
  <si>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</si>
  <si>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</si>
  <si>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</si>
  <si>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</si>
  <si>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</si>
  <si>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</si>
  <si>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</si>
  <si>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</si>
  <si>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</si>
  <si>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</si>
  <si>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</si>
  <si>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</si>
  <si>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</si>
  <si>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</si>
  <si>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</si>
  <si>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</si>
  <si>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</si>
  <si>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</si>
  <si>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</si>
  <si>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</si>
  <si>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</si>
  <si>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</si>
  <si>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</si>
  <si>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</si>
  <si>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</si>
  <si>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</si>
  <si>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</si>
  <si>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</si>
  <si>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</si>
  <si>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</si>
  <si>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</si>
  <si>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</si>
  <si>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</si>
  <si>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</si>
  <si>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</si>
  <si>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</si>
  <si>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</si>
  <si>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</si>
  <si>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</si>
  <si>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</si>
  <si>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</si>
  <si>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</si>
  <si>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</si>
  <si>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</si>
  <si>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</si>
  <si>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</si>
  <si>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</si>
  <si>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</si>
  <si>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</si>
  <si>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</si>
  <si>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</si>
  <si>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</si>
  <si>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-5/h</t>
  </si>
  <si>
    <t>-10/h</t>
  </si>
  <si>
    <t>-15/h</t>
  </si>
  <si>
    <t>-20/h</t>
  </si>
  <si>
    <t>-10/min</t>
  </si>
  <si>
    <t>-10/as</t>
  </si>
  <si>
    <t>-25/as</t>
  </si>
  <si>
    <t>todo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</si>
  <si>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</si>
  <si>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</si>
  <si>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</si>
  <si>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</si>
  <si>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</si>
  <si>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</si>
  <si>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</si>
  <si>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</si>
  <si>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</si>
  <si>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</si>
  <si>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</si>
  <si>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</si>
  <si>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</si>
  <si>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</si>
  <si>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</si>
  <si>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</si>
  <si>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</si>
  <si>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</si>
  <si>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</si>
  <si>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</si>
  <si>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</si>
  <si>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</si>
  <si>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</si>
  <si>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</si>
  <si>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</si>
  <si>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</si>
  <si>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</si>
  <si>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</si>
  <si>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</si>
  <si>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</si>
  <si>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</si>
  <si>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</si>
  <si>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</si>
  <si>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</si>
  <si>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</si>
  <si>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</si>
  <si>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</si>
  <si>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</si>
  <si>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</si>
  <si>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</si>
  <si>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</si>
  <si>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</si>
  <si>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</si>
  <si>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</si>
  <si>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</si>
  <si>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</si>
  <si>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</si>
  <si>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</si>
  <si>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</si>
  <si>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</si>
  <si>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</si>
  <si>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</si>
  <si>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</si>
  <si>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</si>
  <si>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</si>
  <si>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</si>
  <si>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</si>
  <si>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</si>
  <si>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</si>
  <si>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</si>
  <si>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</si>
  <si>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</si>
  <si>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</si>
  <si>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</si>
  <si>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</si>
  <si>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</si>
  <si>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</si>
  <si>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</si>
  <si>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</si>
  <si>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</si>
  <si>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</si>
  <si>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</si>
  <si>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</si>
  <si>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</si>
  <si>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</si>
  <si>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</si>
  <si>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</si>
  <si>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</si>
  <si>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</si>
  <si>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</si>
  <si>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</si>
  <si>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</si>
  <si>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</si>
  <si>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</si>
  <si>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</si>
  <si>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</si>
  <si>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</si>
  <si>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</si>
  <si>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</si>
  <si>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</si>
  <si>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</si>
  <si>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</si>
  <si>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</si>
  <si>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</si>
  <si>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</si>
  <si>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</si>
  <si>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</si>
  <si>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</si>
  <si>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</si>
  <si>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</si>
  <si>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</si>
  <si>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</si>
  <si>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</si>
  <si>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</si>
  <si>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</si>
  <si>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</si>
  <si>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</si>
  <si>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</si>
  <si>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</si>
  <si>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</si>
  <si>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</si>
  <si>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</si>
  <si>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</si>
  <si>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</si>
  <si>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</si>
  <si>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</si>
  <si>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</si>
  <si>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</si>
  <si>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</si>
  <si>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</si>
  <si>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</si>
  <si>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</si>
  <si>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</si>
  <si>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</si>
  <si>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</si>
  <si>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</si>
  <si>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</si>
  <si>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</si>
  <si>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</si>
  <si>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</si>
  <si>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</si>
  <si>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</si>
  <si>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</si>
  <si>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</si>
  <si>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</si>
  <si>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</si>
  <si>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</si>
  <si>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</si>
  <si>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</si>
  <si>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</si>
  <si>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</si>
  <si>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</si>
  <si>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</si>
  <si>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</si>
  <si>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</si>
  <si>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</si>
  <si>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</si>
  <si>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</si>
  <si>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</si>
  <si>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</si>
  <si>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</si>
  <si>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</si>
  <si>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</si>
  <si>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</si>
  <si>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</si>
  <si>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</si>
  <si>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</si>
  <si>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</si>
  <si>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</si>
  <si>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</si>
  <si>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</si>
  <si>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</si>
  <si>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</si>
  <si>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</si>
  <si>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</si>
  <si>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</si>
  <si>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</si>
  <si>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</si>
  <si>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</si>
  <si>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</si>
  <si>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</si>
  <si>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</si>
  <si>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</si>
  <si>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</si>
  <si>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</si>
  <si>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</si>
  <si>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</si>
  <si>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</si>
  <si>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</si>
  <si>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</si>
  <si>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</si>
  <si>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</si>
  <si>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</si>
  <si>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</si>
  <si>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</si>
  <si>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</si>
  <si>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</si>
  <si>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</si>
  <si>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</si>
  <si>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</si>
  <si>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</si>
  <si>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</si>
  <si>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</si>
  <si>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</si>
  <si>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</si>
  <si>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</si>
  <si>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</si>
  <si>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</si>
  <si>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</si>
  <si>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</si>
  <si>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</si>
  <si>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</si>
  <si>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</si>
  <si>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</si>
  <si>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</si>
  <si>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</si>
  <si>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</si>
  <si>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</si>
  <si>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</si>
  <si>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</si>
  <si>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</si>
  <si>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</si>
  <si>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</si>
  <si>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</si>
  <si>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</si>
  <si>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</si>
  <si>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</si>
  <si>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</si>
  <si>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</si>
  <si>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</si>
  <si>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</si>
  <si>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</si>
  <si>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</si>
  <si>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</si>
  <si>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</si>
  <si>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</si>
  <si>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</si>
  <si>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</si>
  <si>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</si>
  <si>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</si>
  <si>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</si>
  <si>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</si>
  <si>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</si>
  <si>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</si>
  <si>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</si>
  <si>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</si>
  <si>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</si>
  <si>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</si>
  <si>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</si>
  <si>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</si>
  <si>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</si>
  <si>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</si>
  <si>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</si>
  <si>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</si>
  <si>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</si>
  <si>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</si>
  <si>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</si>
  <si>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</si>
  <si>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</si>
  <si>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</si>
  <si>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</si>
  <si>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</si>
  <si>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</si>
  <si>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</si>
  <si>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</si>
  <si>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</si>
  <si>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</si>
  <si>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</si>
  <si>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</si>
  <si>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</si>
  <si>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</si>
  <si>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</si>
  <si>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</si>
  <si>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</si>
  <si>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</si>
  <si>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</si>
  <si>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</si>
  <si>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</si>
  <si>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</si>
  <si>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</si>
  <si>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</si>
  <si>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</si>
  <si>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</si>
  <si>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</si>
  <si>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</si>
  <si>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</si>
  <si>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</si>
  <si>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</si>
  <si>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</si>
  <si>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</si>
  <si>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</si>
  <si>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</si>
  <si>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</si>
  <si>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</si>
  <si>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</si>
  <si>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</si>
  <si>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</si>
  <si>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</si>
  <si>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</si>
  <si>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</si>
  <si>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</si>
  <si>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</si>
  <si>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</si>
  <si>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</si>
  <si>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</si>
  <si>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</si>
  <si>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</si>
  <si>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</si>
  <si>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</si>
  <si>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</si>
  <si>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</si>
  <si>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</si>
  <si>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</si>
  <si>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</si>
  <si>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</si>
  <si>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</si>
  <si>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</si>
  <si>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</si>
  <si>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</si>
  <si>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</si>
  <si>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</si>
  <si>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</si>
  <si>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</si>
  <si>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</si>
  <si>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</si>
  <si>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</si>
  <si>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</si>
  <si>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</si>
  <si>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</si>
  <si>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</si>
  <si>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</si>
  <si>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</si>
  <si>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</si>
  <si>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</si>
  <si>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</si>
  <si>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</si>
  <si>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</si>
  <si>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</si>
  <si>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</si>
  <si>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</si>
  <si>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</si>
  <si>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</si>
  <si>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</si>
  <si>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</si>
  <si>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</si>
  <si>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</si>
  <si>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</si>
  <si>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</si>
  <si>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</si>
  <si>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</si>
  <si>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</si>
  <si>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</si>
  <si>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</si>
  <si>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</si>
  <si>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</si>
  <si>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</si>
  <si>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</si>
  <si>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</si>
  <si>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</si>
  <si>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</si>
  <si>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</si>
  <si>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</si>
  <si>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</si>
  <si>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</si>
  <si>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</si>
  <si>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</si>
  <si>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</si>
  <si>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</si>
  <si>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</si>
  <si>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</si>
  <si>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</si>
  <si>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</si>
  <si>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</si>
  <si>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</si>
  <si>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</si>
  <si>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</si>
  <si>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</si>
  <si>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</si>
  <si>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</si>
  <si>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</si>
  <si>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</si>
  <si>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</si>
  <si>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</si>
  <si>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</si>
  <si>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</si>
  <si>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</si>
  <si>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</si>
  <si>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</si>
  <si>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</si>
  <si>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</si>
  <si>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</si>
  <si>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</si>
  <si>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</si>
  <si>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</si>
  <si>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</si>
  <si>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</si>
  <si>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</si>
  <si>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</si>
  <si>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</si>
  <si>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</si>
  <si>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</si>
  <si>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</si>
  <si>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</si>
  <si>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</si>
  <si>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</si>
  <si>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</si>
  <si>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</si>
  <si>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</si>
  <si>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</si>
  <si>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</si>
  <si>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</si>
  <si>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</si>
  <si>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</si>
  <si>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</si>
  <si>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</si>
  <si>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</si>
  <si>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</si>
  <si>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</si>
  <si>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</si>
  <si>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</si>
  <si>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</si>
  <si>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</si>
  <si>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</si>
  <si>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</si>
  <si>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</si>
  <si>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</si>
  <si>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</si>
  <si>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</si>
  <si>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</si>
  <si>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</si>
  <si>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</si>
  <si>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</si>
  <si>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</si>
  <si>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</si>
  <si>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</si>
  <si>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</si>
  <si>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</si>
  <si>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</si>
  <si>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</si>
  <si>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</si>
  <si>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</si>
  <si>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</si>
  <si>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</si>
  <si>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</si>
  <si>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</si>
  <si>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</si>
  <si>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</si>
  <si>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</si>
  <si>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</si>
  <si>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</si>
  <si>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</si>
  <si>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</si>
  <si>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</si>
  <si>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</si>
  <si>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</si>
  <si>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</si>
  <si>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</si>
  <si>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</si>
  <si>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</si>
  <si>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</si>
  <si>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</si>
  <si>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</si>
  <si>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</si>
  <si>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</si>
  <si>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</si>
  <si>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</si>
  <si>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</si>
  <si>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</si>
  <si>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</si>
  <si>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</si>
  <si>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</si>
  <si>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</si>
  <si>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</si>
  <si>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</si>
  <si>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</si>
  <si>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</si>
  <si>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</si>
  <si>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</si>
  <si>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</si>
  <si>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</si>
  <si>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</si>
  <si>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</si>
  <si>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</si>
  <si>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</si>
  <si>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</si>
  <si>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</si>
  <si>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</si>
  <si>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</si>
  <si>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</si>
  <si>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</si>
  <si>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</si>
  <si>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</si>
  <si>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</si>
  <si>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</si>
  <si>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</si>
  <si>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</si>
  <si>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</si>
  <si>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</si>
  <si>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</si>
  <si>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</si>
  <si>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</si>
  <si>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</si>
  <si>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</si>
  <si>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</si>
  <si>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</si>
  <si>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</si>
  <si>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</si>
  <si>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</si>
  <si>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</si>
  <si>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</si>
  <si>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</si>
  <si>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</si>
  <si>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</si>
  <si>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</si>
  <si>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</si>
  <si>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</si>
  <si>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</si>
  <si>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</si>
  <si>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</si>
  <si>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</si>
  <si>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</si>
  <si>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</si>
  <si>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</si>
  <si>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</si>
  <si>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</si>
  <si>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</si>
  <si>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</si>
  <si>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</si>
  <si>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</si>
  <si>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</si>
  <si>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</si>
  <si>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</si>
  <si>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</si>
  <si>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</si>
  <si>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</si>
  <si>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</si>
  <si>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</si>
  <si>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</si>
  <si>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</si>
  <si>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</si>
  <si>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</si>
  <si>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</si>
  <si>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</si>
  <si>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</si>
  <si>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</si>
  <si>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</si>
  <si>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</si>
  <si>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</si>
  <si>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</si>
  <si>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</si>
  <si>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</si>
  <si>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</si>
  <si>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</si>
  <si>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</si>
  <si>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</si>
  <si>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</si>
  <si>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</si>
  <si>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</si>
  <si>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</si>
  <si>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</si>
  <si>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</si>
  <si>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</si>
  <si>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</si>
  <si>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</si>
  <si>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</si>
  <si>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</si>
  <si>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</si>
  <si>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</si>
  <si>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</si>
  <si>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</si>
  <si>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</si>
  <si>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</si>
  <si>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</si>
  <si>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</si>
  <si>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</si>
  <si>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</si>
  <si>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</si>
  <si>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</si>
  <si>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</si>
  <si>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</si>
  <si>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</si>
  <si>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</si>
  <si>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</si>
  <si>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</si>
  <si>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</si>
  <si>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</si>
  <si>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</si>
  <si>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</si>
  <si>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</si>
  <si>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</si>
  <si>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</si>
  <si>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</si>
  <si>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</si>
  <si>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</si>
  <si>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</si>
  <si>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</si>
  <si>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</si>
  <si>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</si>
  <si>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</si>
  <si>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</si>
  <si>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</si>
  <si>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</si>
  <si>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</si>
  <si>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</si>
  <si>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</si>
  <si>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</si>
  <si>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</si>
  <si>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</si>
  <si>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</si>
  <si>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</si>
  <si>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</si>
  <si>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</si>
  <si>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</si>
  <si>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</si>
  <si>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</si>
  <si>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</si>
  <si>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</si>
  <si>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</si>
  <si>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</si>
  <si>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</si>
  <si>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</si>
  <si>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</si>
  <si>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</si>
  <si>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</si>
  <si>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</si>
  <si>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</si>
  <si>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</si>
  <si>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</si>
  <si>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</si>
  <si>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</si>
  <si>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</si>
  <si>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</si>
  <si>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</si>
  <si>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</si>
  <si>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</si>
  <si>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</si>
  <si>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</si>
  <si>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</si>
  <si>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</si>
  <si>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</si>
  <si>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</si>
  <si>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</si>
  <si>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</si>
  <si>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</si>
  <si>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</si>
  <si>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</si>
  <si>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</si>
  <si>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</si>
  <si>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</si>
  <si>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</si>
  <si>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</si>
  <si>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</si>
  <si>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</si>
  <si>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</si>
  <si>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</si>
  <si>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</si>
  <si>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</si>
  <si>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</si>
  <si>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</si>
  <si>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</si>
  <si>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</si>
  <si>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</si>
  <si>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</si>
  <si>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</si>
  <si>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</si>
  <si>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</si>
  <si>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</si>
  <si>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</si>
  <si>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</si>
  <si>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</si>
  <si>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</si>
  <si>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</si>
  <si>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</si>
  <si>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</si>
  <si>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</si>
  <si>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</si>
  <si>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</si>
  <si>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</si>
  <si>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</si>
  <si>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</si>
  <si>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</si>
  <si>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</si>
  <si>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</si>
  <si>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</si>
  <si>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</si>
  <si>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</si>
  <si>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</si>
  <si>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</si>
  <si>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</si>
  <si>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</si>
  <si>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</si>
  <si>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</si>
  <si>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</si>
  <si>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</si>
  <si>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</si>
  <si>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</si>
  <si>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</si>
  <si>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</si>
  <si>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</si>
  <si>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</si>
  <si>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</si>
  <si>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</si>
  <si>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</si>
  <si>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</si>
  <si>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</si>
  <si>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</si>
  <si>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</si>
  <si>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</si>
  <si>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</si>
  <si>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</si>
  <si>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</si>
  <si>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</si>
  <si>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</si>
  <si>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</si>
  <si>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</si>
  <si>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</si>
  <si>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Via</t>
  </si>
  <si>
    <t>Vias cerradas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</si>
  <si>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</si>
  <si>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</si>
  <si>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</si>
  <si>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</si>
  <si>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</si>
  <si>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</si>
  <si>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</si>
  <si>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</si>
  <si>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</si>
  <si>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</si>
  <si>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</si>
  <si>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</si>
  <si>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</si>
  <si>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</si>
  <si>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</si>
  <si>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</si>
  <si>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</si>
  <si>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</si>
  <si>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</si>
  <si>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</si>
  <si>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</si>
  <si>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</si>
  <si>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</si>
  <si>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</si>
  <si>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</si>
  <si>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</si>
  <si>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</si>
  <si>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</si>
  <si>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</si>
  <si>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</si>
  <si>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</si>
  <si>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</si>
  <si>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</si>
  <si>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</si>
  <si>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</si>
  <si>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</si>
  <si>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</si>
  <si>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</si>
  <si>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</si>
  <si>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1 Intensidad</t>
  </si>
  <si>
    <t>6 Intensidades</t>
  </si>
  <si>
    <t>8 Intensidades</t>
  </si>
  <si>
    <t>10 Intensidades</t>
  </si>
  <si>
    <t>Manantial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</si>
  <si>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</si>
  <si>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</si>
  <si>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</si>
  <si>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</si>
  <si>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</si>
  <si>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</si>
  <si>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</si>
  <si>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</si>
  <si>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</si>
  <si>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</si>
  <si>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</si>
  <si>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</si>
  <si>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</si>
  <si>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</si>
  <si>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</si>
  <si>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</si>
  <si>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</si>
  <si>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</si>
  <si>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</si>
  <si>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</si>
  <si>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</si>
  <si>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</si>
  <si>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</si>
  <si>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</si>
  <si>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</si>
  <si>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</si>
  <si>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</si>
  <si>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</si>
  <si>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</si>
  <si>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</si>
  <si>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</si>
  <si>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</si>
  <si>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</si>
  <si>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</si>
  <si>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</si>
  <si>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</si>
  <si>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</si>
  <si>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</si>
  <si>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</si>
  <si>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</si>
  <si>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</si>
  <si>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</si>
  <si>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</si>
  <si>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</si>
  <si>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</si>
  <si>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</si>
  <si>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</si>
  <si>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</si>
  <si>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</si>
  <si>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</si>
  <si>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</si>
  <si>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</si>
  <si>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</si>
  <si>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</si>
  <si>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</si>
  <si>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</si>
  <si>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</si>
  <si>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</si>
  <si>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</si>
  <si>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</si>
  <si>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</si>
  <si>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</si>
  <si>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</si>
  <si>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</si>
  <si>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</si>
  <si>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</si>
  <si>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</si>
  <si>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</si>
  <si>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</si>
  <si>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</si>
  <si>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</si>
  <si>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</si>
  <si>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</si>
  <si>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</si>
  <si>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</si>
  <si>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</si>
  <si>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</si>
  <si>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</si>
  <si>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</si>
  <si>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</si>
  <si>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</si>
  <si>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</si>
  <si>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</si>
  <si>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</si>
  <si>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</si>
  <si>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</si>
  <si>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</si>
  <si>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</si>
  <si>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</si>
  <si>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</si>
  <si>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</si>
  <si>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</si>
  <si>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</si>
  <si>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</si>
  <si>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</si>
  <si>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</si>
  <si>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</si>
  <si>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</si>
  <si>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</si>
  <si>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</si>
  <si>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</si>
  <si>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</si>
  <si>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</si>
  <si>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</si>
  <si>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</si>
  <si>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</si>
  <si>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</si>
  <si>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</si>
  <si>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</si>
  <si>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</si>
  <si>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</si>
  <si>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</si>
  <si>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</si>
  <si>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</si>
  <si>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</si>
  <si>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</si>
  <si>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</si>
  <si>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</si>
  <si>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</si>
  <si>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</si>
  <si>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</si>
  <si>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</si>
  <si>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</si>
  <si>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</si>
  <si>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</si>
  <si>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</si>
  <si>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</si>
  <si>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</si>
  <si>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</si>
  <si>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</si>
  <si>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</si>
  <si>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</si>
  <si>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</si>
  <si>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</si>
  <si>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</si>
  <si>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</si>
  <si>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</si>
  <si>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</si>
  <si>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</si>
  <si>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</si>
  <si>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</si>
  <si>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</si>
  <si>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</si>
  <si>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</si>
  <si>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</si>
  <si>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</si>
  <si>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</si>
  <si>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</si>
  <si>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</si>
  <si>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</si>
  <si>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</si>
  <si>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</si>
  <si>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</si>
  <si>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20 a 30</t>
  </si>
  <si>
    <t>Fuego y Tierra</t>
  </si>
  <si>
    <t>Libre Acceso 30-40</t>
  </si>
  <si>
    <t>Cerrar Realmente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</si>
  <si>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</si>
  <si>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</si>
  <si>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</si>
  <si>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</si>
  <si>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</si>
  <si>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</si>
  <si>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</si>
  <si>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</si>
  <si>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</si>
  <si>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</si>
  <si>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</si>
  <si>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</si>
  <si>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</si>
  <si>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</si>
  <si>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</si>
  <si>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</si>
  <si>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</si>
  <si>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</si>
  <si>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</si>
  <si>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</si>
  <si>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</si>
  <si>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</si>
  <si>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</si>
  <si>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</si>
  <si>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</si>
  <si>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</si>
  <si>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</si>
  <si>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</si>
  <si>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</si>
  <si>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</si>
  <si>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</si>
  <si>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</si>
  <si>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</si>
  <si>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</si>
  <si>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</si>
  <si>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</si>
  <si>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</si>
  <si>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</si>
  <si>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</si>
  <si>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</si>
  <si>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</si>
  <si>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</si>
  <si>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</si>
  <si>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</si>
  <si>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</si>
  <si>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</si>
  <si>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</si>
  <si>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</si>
  <si>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</si>
  <si>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</si>
  <si>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</si>
  <si>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</si>
  <si>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</si>
  <si>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</si>
  <si>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</si>
  <si>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</si>
  <si>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</si>
  <si>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</si>
  <si>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</si>
  <si>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</si>
  <si>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</si>
  <si>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</si>
  <si>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</si>
  <si>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</si>
  <si>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</si>
  <si>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</si>
  <si>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</si>
  <si>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</si>
  <si>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</si>
  <si>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</si>
  <si>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</si>
  <si>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</si>
  <si>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</si>
  <si>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</si>
  <si>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</si>
  <si>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</si>
  <si>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</si>
  <si>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</si>
  <si>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1 intensidad</t>
  </si>
  <si>
    <t>3 intensidades</t>
  </si>
  <si>
    <t>5 intensidades</t>
  </si>
  <si>
    <t>8 intensidades</t>
  </si>
  <si>
    <t>Vias secundarias</t>
  </si>
  <si>
    <t>Control Mineral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</si>
  <si>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</si>
  <si>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</si>
  <si>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</si>
  <si>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</si>
  <si>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</si>
  <si>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</si>
  <si>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</si>
  <si>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</si>
  <si>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</si>
  <si>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</si>
  <si>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</si>
  <si>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</si>
  <si>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</si>
  <si>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</si>
  <si>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</si>
  <si>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</si>
  <si>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</si>
  <si>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</si>
  <si>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</si>
  <si>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</si>
  <si>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</si>
  <si>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</si>
  <si>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</si>
  <si>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</si>
  <si>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</si>
  <si>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</si>
  <si>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</si>
  <si>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</si>
  <si>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</si>
  <si>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</si>
  <si>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</si>
  <si>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</si>
  <si>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</si>
  <si>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</si>
  <si>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</si>
  <si>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</si>
  <si>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</si>
  <si>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</si>
  <si>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</si>
  <si>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</si>
  <si>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</si>
  <si>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</si>
  <si>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</si>
  <si>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</si>
  <si>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</si>
  <si>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</si>
  <si>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</si>
  <si>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</si>
  <si>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</si>
  <si>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</si>
  <si>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</si>
  <si>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</si>
  <si>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</si>
  <si>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</si>
  <si>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</si>
  <si>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</si>
  <si>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</si>
  <si>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</si>
  <si>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</si>
  <si>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</si>
  <si>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</si>
  <si>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Inmune a los naturales</t>
  </si>
  <si>
    <t>Resistencias +40</t>
  </si>
  <si>
    <t>Resistencias +80</t>
  </si>
  <si>
    <t>Inmunidad Total</t>
  </si>
  <si>
    <t>Imbuir Pecado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</si>
  <si>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</si>
  <si>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</si>
  <si>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</si>
  <si>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</si>
  <si>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</si>
  <si>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</si>
  <si>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</si>
  <si>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</si>
  <si>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</si>
  <si>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</si>
  <si>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</si>
  <si>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</si>
  <si>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</si>
  <si>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</si>
  <si>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</si>
  <si>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</si>
  <si>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</si>
  <si>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</si>
  <si>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</si>
  <si>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</si>
  <si>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</si>
  <si>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</si>
  <si>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</si>
  <si>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</si>
  <si>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</si>
  <si>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</si>
  <si>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</si>
  <si>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</si>
  <si>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</si>
  <si>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</si>
  <si>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</si>
  <si>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</si>
  <si>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</si>
  <si>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</si>
  <si>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</si>
  <si>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</si>
  <si>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</si>
  <si>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</si>
  <si>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</si>
  <si>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</si>
  <si>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</si>
  <si>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</si>
  <si>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</si>
  <si>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</si>
  <si>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</si>
  <si>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</si>
  <si>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</si>
  <si>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</si>
  <si>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</si>
  <si>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</si>
  <si>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</si>
  <si>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</si>
  <si>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</si>
  <si>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</si>
  <si>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</si>
  <si>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</si>
  <si>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</si>
  <si>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</si>
  <si>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</si>
  <si>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</si>
  <si>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</si>
  <si>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</si>
  <si>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</si>
  <si>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</si>
  <si>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</si>
  <si>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RM80/25m</t>
  </si>
  <si>
    <t>RM100/150m</t>
  </si>
  <si>
    <t>RM120/250m</t>
  </si>
  <si>
    <t>RM140/350m</t>
  </si>
  <si>
    <t>Agua/Tierra</t>
  </si>
  <si>
    <t>Conjuro Natural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</si>
  <si>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</si>
  <si>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</si>
  <si>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</si>
  <si>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</si>
  <si>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</si>
  <si>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</si>
  <si>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</si>
  <si>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</si>
  <si>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</si>
  <si>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</si>
  <si>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</si>
  <si>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</si>
  <si>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</si>
  <si>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</si>
  <si>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</si>
  <si>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</si>
  <si>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</si>
  <si>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</si>
  <si>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</si>
  <si>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</si>
  <si>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</si>
  <si>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</si>
  <si>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</si>
  <si>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</si>
  <si>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</si>
  <si>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</si>
  <si>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</si>
  <si>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</si>
  <si>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</si>
  <si>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12 Intensidades</t>
  </si>
  <si>
    <t>30 Intensidades</t>
  </si>
  <si>
    <t>Capacidad Acuática</t>
  </si>
  <si>
    <t>Presencia 200</t>
  </si>
  <si>
    <t>Presencia 350</t>
  </si>
  <si>
    <t>Aumentar Peso</t>
  </si>
  <si>
    <t>20Kg</t>
  </si>
  <si>
    <t>120Kg</t>
  </si>
  <si>
    <t>200Kg</t>
  </si>
  <si>
    <t>300Kg</t>
  </si>
  <si>
    <t>Reducir Peso</t>
  </si>
  <si>
    <t>20- Kg</t>
  </si>
  <si>
    <t>150- Kg</t>
  </si>
  <si>
    <t>200- Kg</t>
  </si>
  <si>
    <t>350- Kg</t>
  </si>
  <si>
    <t>Comunicación por Esencia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</si>
  <si>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</si>
  <si>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</si>
  <si>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</si>
  <si>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</si>
  <si>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</si>
  <si>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</si>
  <si>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</si>
  <si>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</si>
  <si>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</si>
  <si>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</si>
  <si>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</si>
  <si>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</si>
  <si>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</si>
  <si>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</si>
  <si>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</si>
  <si>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</si>
  <si>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</si>
  <si>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</si>
  <si>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</si>
  <si>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</si>
  <si>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</si>
  <si>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</si>
  <si>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</si>
  <si>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</si>
  <si>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</si>
  <si>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</si>
  <si>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</si>
  <si>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</si>
  <si>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</si>
  <si>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</si>
  <si>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</si>
  <si>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</si>
  <si>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</si>
  <si>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</si>
  <si>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</si>
  <si>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</si>
  <si>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</si>
  <si>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</si>
  <si>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</si>
  <si>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</si>
  <si>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</si>
  <si>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</si>
  <si>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</si>
  <si>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</si>
  <si>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</si>
  <si>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</si>
  <si>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</si>
  <si>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</si>
  <si>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</si>
  <si>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</si>
  <si>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</si>
  <si>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</si>
  <si>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</si>
  <si>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</si>
  <si>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</si>
  <si>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</si>
  <si>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</si>
  <si>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</si>
  <si>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</si>
  <si>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</si>
  <si>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</si>
  <si>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</si>
  <si>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Presencia máxima 60</t>
  </si>
  <si>
    <t>Espiar los Sueños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</si>
  <si>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</si>
  <si>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</si>
  <si>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</si>
  <si>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</si>
  <si>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</si>
  <si>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</si>
  <si>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</si>
  <si>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</si>
  <si>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</si>
  <si>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</si>
  <si>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</si>
  <si>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</si>
  <si>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</si>
  <si>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</si>
  <si>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</si>
  <si>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</si>
  <si>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</si>
  <si>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</si>
  <si>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</si>
  <si>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</si>
  <si>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</si>
  <si>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</si>
  <si>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</si>
  <si>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</si>
  <si>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</si>
  <si>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</si>
  <si>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RM100</t>
  </si>
  <si>
    <t>RM110</t>
  </si>
  <si>
    <t>RM130</t>
  </si>
  <si>
    <t>Maldición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</si>
  <si>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</si>
  <si>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</si>
  <si>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</si>
  <si>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</si>
  <si>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</si>
  <si>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</si>
  <si>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</si>
  <si>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</si>
  <si>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</si>
  <si>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</si>
  <si>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</si>
  <si>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</si>
  <si>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</si>
  <si>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</si>
  <si>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</si>
  <si>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</si>
  <si>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</si>
  <si>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</si>
  <si>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</si>
  <si>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</si>
  <si>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</si>
  <si>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</si>
  <si>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</si>
  <si>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</si>
  <si>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</si>
  <si>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</si>
  <si>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</si>
  <si>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</si>
  <si>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</si>
  <si>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</si>
  <si>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</si>
  <si>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</si>
  <si>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</si>
  <si>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</si>
  <si>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</si>
  <si>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</si>
  <si>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</si>
  <si>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</si>
  <si>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</si>
  <si>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</si>
  <si>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</si>
  <si>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</si>
  <si>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</si>
  <si>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</si>
  <si>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</si>
  <si>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</si>
  <si>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</si>
  <si>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</si>
  <si>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</si>
  <si>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</si>
  <si>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</si>
  <si>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</si>
  <si>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</si>
  <si>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</si>
  <si>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</si>
  <si>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</si>
  <si>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</si>
  <si>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</si>
  <si>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</si>
  <si>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</si>
  <si>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</si>
  <si>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</si>
  <si>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</si>
  <si>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</si>
  <si>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</si>
  <si>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</si>
  <si>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</si>
  <si>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</si>
  <si>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</si>
  <si>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</si>
  <si>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</si>
  <si>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</si>
  <si>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</si>
  <si>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</si>
  <si>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</si>
  <si>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</si>
  <si>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</si>
  <si>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</si>
  <si>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</si>
  <si>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</si>
  <si>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</si>
  <si>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</si>
  <si>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</si>
  <si>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</si>
  <si>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</si>
  <si>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</si>
  <si>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</si>
  <si>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</si>
  <si>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</si>
  <si>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</si>
  <si>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</si>
  <si>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</si>
  <si>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</si>
  <si>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</si>
  <si>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</si>
  <si>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</si>
  <si>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</si>
  <si>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</si>
  <si>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</si>
  <si>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</si>
  <si>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</si>
  <si>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</si>
  <si>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</si>
  <si>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</si>
  <si>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</si>
  <si>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</si>
  <si>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</si>
  <si>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</si>
  <si>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</si>
  <si>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</si>
  <si>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</si>
  <si>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</si>
  <si>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</si>
  <si>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</si>
  <si>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</si>
  <si>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</si>
  <si>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</si>
  <si>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</si>
  <si>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</si>
  <si>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</si>
  <si>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</si>
  <si>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</si>
  <si>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</si>
  <si>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</si>
  <si>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</si>
  <si>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</si>
  <si>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</si>
  <si>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</si>
  <si>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</si>
  <si>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</si>
  <si>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</si>
  <si>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</si>
  <si>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</si>
  <si>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</si>
  <si>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</si>
  <si>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</si>
  <si>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</si>
  <si>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</si>
  <si>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</si>
  <si>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</si>
  <si>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</si>
  <si>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</si>
  <si>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</si>
  <si>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</si>
  <si>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</si>
  <si>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</si>
  <si>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</si>
  <si>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</si>
  <si>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</si>
  <si>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</si>
  <si>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</si>
  <si>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</si>
  <si>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</si>
  <si>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</si>
  <si>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</si>
  <si>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</si>
  <si>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</si>
  <si>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</si>
  <si>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</si>
  <si>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</si>
  <si>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</si>
  <si>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</si>
  <si>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</si>
  <si>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</si>
  <si>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</si>
  <si>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</si>
  <si>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</si>
  <si>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</si>
  <si>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</si>
  <si>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</si>
  <si>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</si>
  <si>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</si>
  <si>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</si>
  <si>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</si>
  <si>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Lo dicho</t>
  </si>
  <si>
    <t>Ignora frio y calor naturales</t>
  </si>
  <si>
    <t>Ignora todo lo natural</t>
  </si>
  <si>
    <t>1 Cansancio cada asalto</t>
  </si>
  <si>
    <t>Escudar Contra Poderes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</si>
  <si>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</si>
  <si>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</si>
  <si>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</si>
  <si>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</si>
  <si>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</si>
  <si>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</si>
  <si>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</si>
  <si>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</si>
  <si>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</si>
  <si>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</si>
  <si>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</si>
  <si>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</si>
  <si>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</si>
  <si>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</si>
  <si>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</si>
  <si>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</si>
  <si>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</si>
  <si>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</si>
  <si>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</si>
  <si>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</si>
  <si>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</si>
  <si>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</si>
  <si>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</si>
  <si>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</si>
  <si>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</si>
  <si>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</si>
  <si>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</si>
  <si>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</si>
  <si>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</si>
  <si>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</si>
  <si>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</si>
  <si>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</si>
  <si>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</si>
  <si>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</si>
  <si>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</si>
  <si>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</si>
  <si>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</si>
  <si>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</si>
  <si>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</si>
  <si>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</si>
  <si>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</si>
  <si>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</si>
  <si>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</si>
  <si>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</si>
  <si>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</si>
  <si>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</si>
  <si>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</si>
  <si>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</si>
  <si>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</si>
  <si>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</si>
  <si>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</si>
  <si>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</si>
  <si>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</si>
  <si>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</si>
  <si>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</si>
  <si>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</si>
  <si>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</si>
  <si>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</si>
  <si>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</si>
  <si>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</si>
  <si>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</si>
  <si>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</si>
  <si>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</si>
  <si>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</si>
  <si>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</si>
  <si>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</si>
  <si>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</si>
  <si>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</si>
  <si>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</si>
  <si>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</si>
  <si>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</si>
  <si>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</si>
  <si>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</si>
  <si>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</si>
  <si>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</si>
  <si>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</si>
  <si>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</si>
  <si>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</si>
  <si>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</si>
  <si>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</si>
  <si>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</si>
  <si>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</si>
  <si>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</si>
  <si>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</si>
  <si>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</si>
  <si>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</si>
  <si>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</si>
  <si>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</si>
  <si>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</si>
  <si>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</si>
  <si>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</si>
  <si>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</si>
  <si>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</si>
  <si>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</si>
  <si>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</si>
  <si>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</si>
  <si>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</si>
  <si>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</si>
  <si>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</si>
  <si>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</si>
  <si>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</si>
  <si>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</si>
  <si>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</si>
  <si>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</si>
  <si>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</si>
  <si>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2Km/ Puede volverse visible y hablar</t>
  </si>
  <si>
    <t>5Km/ Puede modificar su forma</t>
  </si>
  <si>
    <t>Cualquier distancia/Puede entrar en sueños/ RM150</t>
  </si>
  <si>
    <t>Detener el Tiempo</t>
  </si>
  <si>
    <t>RM 120/ 10m</t>
  </si>
  <si>
    <t>RM 140/ 25m</t>
  </si>
  <si>
    <t>RM 160/50m</t>
  </si>
  <si>
    <t>RM 180/100m</t>
  </si>
  <si>
    <t>Acechar en los Sueños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</si>
  <si>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</si>
  <si>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</si>
  <si>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</si>
  <si>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</si>
  <si>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</si>
  <si>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</si>
  <si>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</si>
  <si>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</si>
  <si>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</si>
  <si>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</si>
  <si>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</si>
  <si>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</si>
  <si>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</si>
  <si>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</si>
  <si>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</si>
  <si>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</si>
  <si>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</si>
  <si>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</si>
  <si>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</si>
  <si>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</si>
  <si>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</si>
  <si>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</si>
  <si>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</si>
  <si>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</si>
  <si>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</si>
  <si>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</si>
  <si>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</si>
  <si>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</si>
  <si>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</si>
  <si>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</si>
  <si>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</si>
  <si>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</si>
  <si>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</si>
  <si>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</si>
  <si>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</si>
  <si>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</si>
  <si>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</si>
  <si>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</si>
  <si>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</si>
  <si>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</si>
  <si>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</si>
  <si>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</si>
  <si>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</si>
  <si>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</si>
  <si>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</si>
  <si>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</si>
  <si>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</si>
  <si>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</si>
  <si>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</si>
  <si>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</si>
  <si>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</si>
  <si>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</si>
  <si>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</si>
  <si>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</si>
  <si>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</si>
  <si>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</si>
  <si>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</si>
  <si>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</si>
  <si>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</si>
  <si>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</si>
  <si>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10+</t>
  </si>
  <si>
    <t>20+</t>
  </si>
  <si>
    <t>30+</t>
  </si>
  <si>
    <t>40+</t>
  </si>
  <si>
    <t>Incrementar Debilidad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</si>
  <si>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</si>
  <si>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</si>
  <si>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</si>
  <si>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</si>
  <si>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</si>
  <si>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</si>
  <si>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</si>
  <si>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</si>
  <si>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</si>
  <si>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</si>
  <si>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</si>
  <si>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</si>
  <si>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</si>
  <si>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</si>
  <si>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</si>
  <si>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</si>
  <si>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</si>
  <si>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</si>
  <si>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</si>
  <si>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</si>
  <si>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</si>
  <si>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</si>
  <si>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</si>
  <si>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</si>
  <si>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</si>
  <si>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</si>
  <si>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</si>
  <si>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</si>
  <si>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</si>
  <si>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</si>
  <si>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</si>
  <si>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</si>
  <si>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</si>
  <si>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</si>
  <si>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</si>
  <si>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</si>
  <si>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</si>
  <si>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</si>
  <si>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</si>
  <si>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</si>
  <si>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</si>
  <si>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</si>
  <si>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</si>
  <si>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</si>
  <si>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</si>
  <si>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</si>
  <si>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</si>
  <si>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Nivel 2</t>
  </si>
  <si>
    <t>Nivel4</t>
  </si>
  <si>
    <t>Nivel8</t>
  </si>
  <si>
    <t>Nivel12</t>
  </si>
  <si>
    <t>Marcha Implacable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</si>
  <si>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</si>
  <si>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</si>
  <si>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</si>
  <si>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</si>
  <si>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</si>
  <si>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</si>
  <si>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</si>
  <si>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</si>
  <si>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</si>
  <si>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</si>
  <si>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</si>
  <si>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</si>
  <si>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</si>
  <si>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</si>
  <si>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</si>
  <si>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</si>
  <si>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</si>
  <si>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</si>
  <si>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</si>
  <si>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</si>
  <si>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</si>
  <si>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</si>
  <si>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</si>
  <si>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</si>
  <si>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</si>
  <si>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</si>
  <si>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</si>
  <si>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</si>
  <si>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</si>
  <si>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</si>
  <si>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</si>
  <si>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</si>
  <si>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</si>
  <si>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</si>
  <si>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</si>
  <si>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</si>
  <si>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</si>
  <si>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</si>
  <si>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</si>
  <si>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</si>
  <si>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</si>
  <si>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</si>
  <si>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</si>
  <si>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RM o RP 120/50m</t>
  </si>
  <si>
    <t>RM o RP 140/100m</t>
  </si>
  <si>
    <t>RM o RP 160/250m</t>
  </si>
  <si>
    <t>RM o RP 180/500m</t>
  </si>
  <si>
    <t>Aura de Vacío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</si>
  <si>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</si>
  <si>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</si>
  <si>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</si>
  <si>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</si>
  <si>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</si>
  <si>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</si>
  <si>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</si>
  <si>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</si>
  <si>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</si>
  <si>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</si>
  <si>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</si>
  <si>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</si>
  <si>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</si>
  <si>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</si>
  <si>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</si>
  <si>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</si>
  <si>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</si>
  <si>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</si>
  <si>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</si>
  <si>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</si>
  <si>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</si>
  <si>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</si>
  <si>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</si>
  <si>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</si>
  <si>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</si>
  <si>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</si>
  <si>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</si>
  <si>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</si>
  <si>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</si>
  <si>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</si>
  <si>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</si>
  <si>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</si>
  <si>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</si>
  <si>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</si>
  <si>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</si>
  <si>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</si>
  <si>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</si>
  <si>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</si>
  <si>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</si>
  <si>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</si>
  <si>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</si>
  <si>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</si>
  <si>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</si>
  <si>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</si>
  <si>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</si>
  <si>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</si>
  <si>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</si>
  <si>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</si>
  <si>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</si>
  <si>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</si>
  <si>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</si>
  <si>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</si>
  <si>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</si>
  <si>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</si>
  <si>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</si>
  <si>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</si>
  <si>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</si>
  <si>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</si>
  <si>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</si>
  <si>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</si>
  <si>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</si>
  <si>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</si>
  <si>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</si>
  <si>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</si>
  <si>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</si>
  <si>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</si>
  <si>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</si>
  <si>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</si>
  <si>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</si>
  <si>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</si>
  <si>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</si>
  <si>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</si>
  <si>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</si>
  <si>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</si>
  <si>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</si>
  <si>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</si>
  <si>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</si>
  <si>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</si>
  <si>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</si>
  <si>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</si>
  <si>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</si>
  <si>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</si>
  <si>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</si>
  <si>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</si>
  <si>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</si>
  <si>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</si>
  <si>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</si>
  <si>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</si>
  <si>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Pres100/RMoRP100/1Km</t>
  </si>
  <si>
    <t>P160/RMoRP160/10Km</t>
  </si>
  <si>
    <t>P200/RMoRP190/50Km</t>
  </si>
  <si>
    <t>P240/RMoRM110/150Km</t>
  </si>
  <si>
    <t>Alterar Apariencia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</si>
  <si>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</si>
  <si>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</si>
  <si>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</si>
  <si>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</si>
  <si>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</si>
  <si>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</si>
  <si>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</si>
  <si>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</si>
  <si>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</si>
  <si>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</si>
  <si>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</si>
  <si>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</si>
  <si>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</si>
  <si>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</si>
  <si>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</si>
  <si>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</si>
  <si>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</si>
  <si>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</si>
  <si>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</si>
  <si>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</si>
  <si>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</si>
  <si>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</si>
  <si>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</si>
  <si>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</si>
  <si>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</si>
  <si>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</si>
  <si>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</si>
  <si>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</si>
  <si>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</si>
  <si>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</si>
  <si>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</si>
  <si>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</si>
  <si>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</si>
  <si>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</si>
  <si>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</si>
  <si>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</si>
  <si>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</si>
  <si>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</si>
  <si>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</si>
  <si>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</si>
  <si>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</si>
  <si>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</si>
  <si>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</si>
  <si>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</si>
  <si>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</si>
  <si>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</si>
  <si>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</si>
  <si>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</si>
  <si>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</si>
  <si>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</si>
  <si>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</si>
  <si>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</si>
  <si>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</si>
  <si>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</si>
  <si>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</si>
  <si>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</si>
  <si>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</si>
  <si>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</si>
  <si>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</si>
  <si>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</si>
  <si>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</si>
  <si>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</si>
  <si>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</si>
  <si>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</si>
  <si>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</si>
  <si>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</si>
  <si>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</si>
  <si>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</si>
  <si>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</si>
  <si>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</si>
  <si>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</si>
  <si>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</si>
  <si>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</si>
  <si>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</si>
  <si>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</si>
  <si>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</si>
  <si>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</si>
  <si>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</si>
  <si>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</si>
  <si>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</si>
  <si>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</si>
  <si>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</si>
  <si>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</si>
  <si>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</si>
  <si>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</si>
  <si>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</si>
  <si>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</si>
  <si>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</si>
  <si>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</si>
  <si>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</si>
  <si>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</si>
  <si>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</si>
  <si>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</si>
  <si>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</si>
  <si>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</si>
  <si>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</si>
  <si>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</si>
  <si>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</si>
  <si>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</si>
  <si>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</si>
  <si>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</si>
  <si>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</si>
  <si>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</si>
  <si>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</si>
  <si>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</si>
  <si>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</si>
  <si>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</si>
  <si>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400 Zeon</t>
  </si>
  <si>
    <t>800 Zeon</t>
  </si>
  <si>
    <t>1.500 Zeon</t>
  </si>
  <si>
    <t>3.000 Zeon</t>
  </si>
  <si>
    <t>Posesión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</si>
  <si>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</si>
  <si>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</si>
  <si>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</si>
  <si>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</si>
  <si>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</si>
  <si>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</si>
  <si>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</si>
  <si>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</si>
  <si>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</si>
  <si>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</si>
  <si>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</si>
  <si>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</si>
  <si>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</si>
  <si>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</si>
  <si>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</si>
  <si>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</si>
  <si>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</si>
  <si>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</si>
  <si>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</si>
  <si>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</si>
  <si>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</si>
  <si>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</si>
  <si>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</si>
  <si>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</si>
  <si>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</si>
  <si>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</si>
  <si>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</si>
  <si>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</si>
  <si>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</si>
  <si>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</si>
  <si>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</si>
  <si>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</si>
  <si>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</si>
  <si>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</si>
  <si>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</si>
  <si>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</si>
  <si>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</si>
  <si>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</si>
  <si>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</si>
  <si>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</si>
  <si>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</si>
  <si>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</si>
  <si>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</si>
  <si>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</si>
  <si>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</si>
  <si>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</si>
  <si>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</si>
  <si>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</si>
  <si>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</si>
  <si>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</si>
  <si>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</si>
  <si>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</si>
  <si>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</si>
  <si>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</si>
  <si>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</si>
  <si>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</si>
  <si>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</si>
  <si>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</si>
  <si>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</si>
  <si>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</si>
  <si>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</si>
  <si>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</si>
  <si>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</si>
  <si>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</si>
  <si>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</si>
  <si>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</si>
  <si>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</si>
  <si>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</si>
  <si>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</si>
  <si>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</si>
  <si>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</si>
  <si>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</si>
  <si>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</si>
  <si>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</si>
  <si>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</si>
  <si>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</si>
  <si>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</si>
  <si>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</si>
  <si>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</si>
  <si>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</si>
  <si>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</si>
  <si>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</si>
  <si>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</si>
  <si>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</si>
  <si>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</si>
  <si>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</si>
  <si>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</si>
  <si>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</si>
  <si>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</si>
  <si>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</si>
  <si>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</si>
  <si>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</si>
  <si>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</si>
  <si>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</si>
  <si>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</si>
  <si>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</si>
  <si>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</si>
  <si>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</si>
  <si>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</si>
  <si>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</si>
  <si>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</si>
  <si>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</si>
  <si>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</si>
  <si>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</si>
  <si>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</si>
  <si>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</si>
  <si>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</si>
  <si>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</si>
  <si>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</si>
  <si>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</si>
  <si>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</si>
  <si>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</si>
  <si>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</si>
  <si>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</si>
  <si>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</si>
  <si>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</si>
  <si>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</si>
  <si>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</si>
  <si>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</si>
  <si>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</si>
  <si>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</si>
  <si>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</si>
  <si>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</si>
  <si>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</si>
  <si>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</si>
  <si>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</si>
  <si>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</si>
  <si>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</si>
  <si>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</si>
  <si>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</si>
  <si>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</si>
  <si>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</si>
  <si>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</si>
  <si>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</si>
  <si>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</si>
  <si>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</si>
  <si>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</si>
  <si>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</si>
  <si>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</si>
  <si>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</si>
  <si>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</si>
  <si>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</si>
  <si>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</si>
  <si>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</si>
  <si>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</si>
  <si>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</si>
  <si>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</si>
  <si>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</si>
  <si>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</si>
  <si>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</si>
  <si>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</si>
  <si>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</si>
  <si>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</si>
  <si>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</si>
  <si>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</si>
  <si>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</si>
  <si>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</si>
  <si>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</si>
  <si>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</si>
  <si>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</si>
  <si>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</si>
  <si>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</si>
  <si>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</si>
  <si>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</si>
  <si>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</si>
  <si>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</si>
  <si>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</si>
  <si>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</si>
  <si>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</si>
  <si>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</si>
  <si>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</si>
  <si>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</si>
  <si>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</si>
  <si>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</si>
  <si>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</si>
  <si>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</si>
  <si>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</si>
  <si>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</si>
  <si>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</si>
  <si>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</si>
  <si>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</si>
  <si>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</si>
  <si>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</si>
  <si>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</si>
  <si>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</si>
  <si>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</si>
  <si>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</si>
  <si>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</si>
  <si>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</si>
  <si>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</si>
  <si>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</si>
  <si>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</si>
  <si>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</si>
  <si>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</si>
  <si>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</si>
  <si>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</si>
  <si>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</si>
  <si>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</si>
  <si>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</si>
  <si>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</si>
  <si>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</si>
  <si>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</si>
  <si>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</si>
  <si>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</si>
  <si>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</si>
  <si>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</si>
  <si>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</si>
  <si>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</si>
  <si>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</si>
  <si>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</si>
  <si>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</si>
  <si>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</si>
  <si>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</si>
  <si>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</si>
  <si>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</si>
  <si>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</si>
  <si>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</si>
  <si>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</si>
  <si>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</si>
  <si>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</si>
  <si>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</si>
  <si>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</si>
  <si>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</si>
  <si>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</si>
  <si>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</si>
  <si>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</si>
  <si>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</si>
  <si>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</si>
  <si>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</si>
  <si>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</si>
  <si>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</si>
  <si>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</si>
  <si>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</si>
  <si>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</si>
  <si>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</si>
  <si>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</si>
  <si>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</si>
  <si>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</si>
  <si>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</si>
  <si>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</si>
  <si>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</si>
  <si>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</si>
  <si>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</si>
  <si>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</si>
  <si>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</si>
  <si>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</si>
  <si>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</si>
  <si>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</si>
  <si>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</si>
  <si>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</si>
  <si>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</si>
  <si>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</si>
  <si>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</si>
  <si>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</si>
  <si>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</si>
  <si>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</si>
  <si>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</si>
  <si>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</si>
  <si>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</si>
  <si>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</si>
  <si>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</si>
  <si>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</si>
  <si>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</si>
  <si>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</si>
  <si>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</si>
  <si>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</si>
  <si>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</si>
  <si>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</si>
  <si>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</si>
  <si>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</si>
  <si>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</si>
  <si>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</si>
  <si>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</si>
  <si>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</si>
  <si>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</si>
  <si>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</si>
  <si>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</si>
  <si>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</si>
  <si>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</si>
  <si>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</si>
  <si>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</si>
  <si>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</si>
  <si>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</si>
  <si>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</si>
  <si>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</si>
  <si>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</si>
  <si>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</si>
  <si>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</si>
  <si>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</si>
  <si>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</si>
  <si>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</si>
  <si>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</si>
  <si>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</si>
  <si>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</si>
  <si>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</si>
  <si>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</si>
  <si>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</si>
  <si>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</si>
  <si>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Inmunidad Física</t>
  </si>
  <si>
    <t>Magia Innata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</si>
  <si>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</si>
  <si>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</si>
  <si>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</si>
  <si>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</si>
  <si>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</si>
  <si>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</si>
  <si>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</si>
  <si>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</si>
  <si>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</si>
  <si>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</si>
  <si>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</si>
  <si>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</si>
  <si>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</si>
  <si>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</si>
  <si>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</si>
  <si>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</si>
  <si>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</si>
  <si>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</si>
  <si>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</si>
  <si>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</si>
  <si>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</si>
  <si>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</si>
  <si>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</si>
  <si>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</si>
  <si>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</si>
  <si>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</si>
  <si>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</si>
  <si>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</si>
  <si>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</si>
  <si>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</si>
  <si>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</si>
  <si>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</si>
  <si>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</si>
  <si>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</si>
  <si>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</si>
  <si>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</si>
  <si>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</si>
  <si>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</si>
  <si>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</si>
  <si>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</si>
  <si>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</si>
  <si>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</si>
  <si>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</si>
  <si>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</si>
  <si>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</si>
  <si>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</si>
  <si>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</si>
  <si>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</si>
  <si>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</si>
  <si>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</si>
  <si>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</si>
  <si>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</si>
  <si>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</si>
  <si>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</si>
  <si>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</si>
  <si>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</si>
  <si>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</si>
  <si>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</si>
  <si>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</si>
  <si>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</si>
  <si>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</si>
  <si>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</si>
  <si>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</si>
  <si>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</si>
  <si>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</si>
  <si>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</si>
  <si>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</si>
  <si>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</si>
  <si>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</si>
  <si>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</si>
  <si>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</si>
  <si>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</si>
  <si>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</si>
  <si>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</si>
  <si>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</si>
  <si>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</si>
  <si>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</si>
  <si>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</si>
  <si>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</si>
  <si>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</si>
  <si>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500m radio; 120 RM</t>
  </si>
  <si>
    <t>1km radio; 160</t>
  </si>
  <si>
    <t>2km; 200</t>
  </si>
  <si>
    <t>5km; 240</t>
  </si>
  <si>
    <t>Pax In Terrax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</si>
  <si>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</si>
  <si>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</si>
  <si>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</si>
  <si>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</si>
  <si>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</si>
  <si>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</si>
  <si>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</si>
  <si>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</si>
  <si>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</si>
  <si>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</si>
  <si>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</si>
  <si>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</si>
  <si>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</si>
  <si>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</si>
  <si>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</si>
  <si>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</si>
  <si>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</si>
  <si>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</si>
  <si>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</si>
  <si>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</si>
  <si>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</si>
  <si>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</si>
  <si>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</si>
  <si>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</si>
  <si>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</si>
  <si>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</si>
  <si>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</si>
  <si>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</si>
  <si>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</si>
  <si>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</si>
  <si>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</si>
  <si>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</si>
  <si>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</si>
  <si>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</si>
  <si>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</si>
  <si>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</si>
  <si>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</si>
  <si>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</si>
  <si>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</si>
  <si>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</si>
  <si>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</si>
  <si>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</si>
  <si>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</si>
  <si>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</si>
  <si>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</si>
  <si>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</si>
  <si>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</si>
  <si>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</si>
  <si>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</si>
  <si>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</si>
  <si>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</si>
  <si>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</si>
  <si>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</si>
  <si>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</si>
  <si>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</si>
  <si>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</si>
  <si>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</si>
  <si>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</si>
  <si>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</si>
  <si>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</si>
  <si>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</si>
  <si>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</si>
  <si>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</si>
  <si>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</si>
  <si>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</si>
  <si>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</si>
  <si>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</si>
  <si>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</si>
  <si>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</si>
  <si>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</si>
  <si>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</si>
  <si>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</si>
  <si>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</si>
  <si>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</si>
  <si>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</si>
  <si>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</si>
  <si>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</si>
  <si>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</si>
  <si>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</si>
  <si>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</si>
  <si>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</si>
  <si>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</si>
  <si>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</si>
  <si>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</si>
  <si>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</si>
  <si>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</si>
  <si>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</si>
  <si>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</si>
  <si>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</si>
  <si>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</si>
  <si>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</si>
  <si>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</si>
  <si>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</si>
  <si>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</si>
  <si>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</si>
  <si>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</si>
  <si>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</si>
  <si>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</si>
  <si>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</si>
  <si>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RF100/Pres30/1m</t>
  </si>
  <si>
    <t>RF120/Pres40/3m</t>
  </si>
  <si>
    <t>RF140/Pres60/5m</t>
  </si>
  <si>
    <t>RF160/Pres80/10m</t>
  </si>
  <si>
    <t>Adquirir capacidades 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</si>
  <si>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</si>
  <si>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</si>
  <si>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</si>
  <si>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</si>
  <si>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</si>
  <si>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</si>
  <si>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</si>
  <si>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Presencia 100/Nivel 0</t>
  </si>
  <si>
    <t>P300/N1</t>
  </si>
  <si>
    <t>P600/N2</t>
  </si>
  <si>
    <t>P1.000/N3</t>
  </si>
  <si>
    <t>Mensaje Estático</t>
  </si>
  <si>
    <t>50 Palabras</t>
  </si>
  <si>
    <t>150P</t>
  </si>
  <si>
    <t>250P</t>
  </si>
  <si>
    <t>500P</t>
  </si>
  <si>
    <t>Bolsa Infinita</t>
  </si>
  <si>
    <t>X10 su capacidad</t>
  </si>
  <si>
    <t>X30</t>
  </si>
  <si>
    <t>X40</t>
  </si>
  <si>
    <t>X50</t>
  </si>
  <si>
    <t>Protección Anticonceptiva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</si>
  <si>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</si>
  <si>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</si>
  <si>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</si>
  <si>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</si>
  <si>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</si>
  <si>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</si>
  <si>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</si>
  <si>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</si>
  <si>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</si>
  <si>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</si>
  <si>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</si>
  <si>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</si>
  <si>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</si>
  <si>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</si>
  <si>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</si>
  <si>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</si>
  <si>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</si>
  <si>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</si>
  <si>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</si>
  <si>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</si>
  <si>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</si>
  <si>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</si>
  <si>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</si>
  <si>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</si>
  <si>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</si>
  <si>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</si>
  <si>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</si>
  <si>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</si>
  <si>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</si>
  <si>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Zeon 300</t>
  </si>
  <si>
    <t>Zeon 400</t>
  </si>
  <si>
    <t>El Magistrado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</si>
  <si>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</si>
  <si>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</si>
  <si>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</si>
  <si>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</si>
  <si>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</si>
  <si>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</si>
  <si>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</si>
  <si>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</si>
  <si>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</si>
  <si>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</si>
  <si>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</si>
  <si>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</si>
  <si>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</si>
  <si>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</si>
  <si>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</si>
  <si>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</si>
  <si>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</si>
  <si>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</si>
  <si>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</si>
  <si>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10m/Daño 80</t>
  </si>
  <si>
    <t>50m/Daño 120</t>
  </si>
  <si>
    <t>150m/Daño 180</t>
  </si>
  <si>
    <t>250m/Daño 240</t>
  </si>
  <si>
    <t>Crear Líquidos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</si>
  <si>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</si>
  <si>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</si>
  <si>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</si>
  <si>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</si>
  <si>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</si>
  <si>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</si>
  <si>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</si>
  <si>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</si>
  <si>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</si>
  <si>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</si>
  <si>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</si>
  <si>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</si>
  <si>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</si>
  <si>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</si>
  <si>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</si>
  <si>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</si>
  <si>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RM120/N2/20m</t>
  </si>
  <si>
    <t>RM140/N4/50m</t>
  </si>
  <si>
    <t>RM160/N7/100m</t>
  </si>
  <si>
    <t>RM180/N10/250m</t>
  </si>
  <si>
    <t>Cuerpo Muerto</t>
  </si>
  <si>
    <t>Personajes de Nivel 3 o menos</t>
  </si>
  <si>
    <t>Nivel 6</t>
  </si>
  <si>
    <t>Nivel 18</t>
  </si>
  <si>
    <t>Cambiar de Color</t>
  </si>
  <si>
    <t>Presencia 40/RM100</t>
  </si>
  <si>
    <t>P60/RM120</t>
  </si>
  <si>
    <t>P80/RM140</t>
  </si>
  <si>
    <t>P100/RM160</t>
  </si>
  <si>
    <t>Inhumanidad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</si>
  <si>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</si>
  <si>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</si>
  <si>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</si>
  <si>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</si>
  <si>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</si>
  <si>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</si>
  <si>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</si>
  <si>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</si>
  <si>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</si>
  <si>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</si>
  <si>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</si>
  <si>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</si>
  <si>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</si>
  <si>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</si>
  <si>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</si>
  <si>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</si>
  <si>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</si>
  <si>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</si>
  <si>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</si>
  <si>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</si>
  <si>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</si>
  <si>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</si>
  <si>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</si>
  <si>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</si>
  <si>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</si>
  <si>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</si>
  <si>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</si>
  <si>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</si>
  <si>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</si>
  <si>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</si>
  <si>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</si>
  <si>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</si>
  <si>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</si>
  <si>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</si>
  <si>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</si>
  <si>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</si>
  <si>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</si>
  <si>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</si>
  <si>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</si>
  <si>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</si>
  <si>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</si>
  <si>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</si>
  <si>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</si>
  <si>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</si>
  <si>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</si>
  <si>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</si>
  <si>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50+RMoRP y 50+O.deKi</t>
  </si>
  <si>
    <t>140+RMoRP y 150+O.deKi</t>
  </si>
  <si>
    <t>220+RMoRP y 200+O.deKi</t>
  </si>
  <si>
    <t>280+RMoRP y 250+O.deKi</t>
  </si>
  <si>
    <t>Inmunidad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</si>
  <si>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</si>
  <si>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</si>
  <si>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</si>
  <si>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</si>
  <si>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</si>
  <si>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</si>
  <si>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</si>
  <si>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</si>
  <si>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</si>
  <si>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</si>
  <si>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</si>
  <si>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</si>
  <si>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</si>
  <si>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</si>
  <si>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</si>
  <si>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</si>
  <si>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</si>
  <si>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</si>
  <si>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</si>
  <si>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</si>
  <si>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</si>
  <si>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</si>
  <si>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</si>
  <si>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</si>
  <si>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</si>
  <si>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</si>
  <si>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</si>
  <si>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</si>
  <si>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</si>
  <si>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</si>
  <si>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</si>
  <si>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</si>
  <si>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</si>
  <si>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</si>
  <si>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</si>
  <si>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</si>
  <si>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</si>
  <si>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</si>
  <si>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</si>
  <si>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</si>
  <si>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100Adv,Bus; 1Km</t>
  </si>
  <si>
    <t>150Adv,Bus;10Km</t>
  </si>
  <si>
    <t>200Adv,Bus;50Km</t>
  </si>
  <si>
    <t>250Adv,Bus;500Km</t>
  </si>
  <si>
    <t>Ofuscar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</si>
  <si>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</si>
  <si>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</si>
  <si>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</si>
  <si>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</si>
  <si>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</si>
  <si>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</si>
  <si>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</si>
  <si>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</si>
  <si>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</si>
  <si>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</si>
  <si>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</si>
  <si>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</si>
  <si>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</si>
  <si>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</si>
  <si>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</si>
  <si>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</si>
  <si>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</si>
  <si>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</si>
  <si>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</si>
  <si>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</si>
  <si>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</si>
  <si>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</si>
  <si>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</si>
  <si>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</si>
  <si>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</si>
  <si>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</si>
  <si>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</si>
  <si>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</si>
  <si>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</si>
  <si>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</si>
  <si>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</si>
  <si>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</si>
  <si>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</si>
  <si>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</si>
  <si>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</si>
  <si>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</si>
  <si>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</si>
  <si>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</si>
  <si>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</si>
  <si>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</si>
  <si>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</si>
  <si>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RM100;X2;/2</t>
  </si>
  <si>
    <t>RM120;X10;/10</t>
  </si>
  <si>
    <t>RM140;X50;/50</t>
  </si>
  <si>
    <t>RM160;X100;/100</t>
  </si>
  <si>
    <t>Detectar Mentiras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</si>
  <si>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</si>
  <si>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</si>
  <si>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</si>
  <si>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</si>
  <si>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</si>
  <si>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</si>
  <si>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</si>
  <si>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</si>
  <si>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</si>
  <si>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</si>
  <si>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</si>
  <si>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</si>
  <si>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</si>
  <si>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</si>
  <si>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</si>
  <si>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</si>
  <si>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</si>
  <si>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</si>
  <si>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</si>
  <si>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</si>
  <si>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</si>
  <si>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</si>
  <si>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</si>
  <si>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</si>
  <si>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</si>
  <si>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</si>
  <si>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</si>
  <si>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</si>
  <si>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</si>
  <si>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</si>
  <si>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</si>
  <si>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</si>
  <si>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</si>
  <si>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</si>
  <si>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</si>
  <si>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</si>
  <si>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</si>
  <si>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</si>
  <si>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</si>
  <si>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</si>
  <si>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</si>
  <si>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</si>
  <si>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</si>
  <si>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</si>
  <si>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</si>
  <si>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</si>
  <si>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</si>
  <si>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</si>
  <si>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</si>
  <si>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</si>
  <si>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</si>
  <si>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</si>
  <si>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</si>
  <si>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</si>
  <si>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</si>
  <si>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</si>
  <si>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</si>
  <si>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</si>
  <si>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</si>
  <si>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</si>
  <si>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</si>
  <si>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</si>
  <si>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</si>
  <si>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</si>
  <si>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</si>
  <si>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</si>
  <si>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</si>
  <si>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</si>
  <si>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</si>
  <si>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</si>
  <si>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</si>
  <si>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</si>
  <si>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</si>
  <si>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</si>
  <si>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</si>
  <si>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</si>
  <si>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</si>
  <si>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</si>
  <si>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</si>
  <si>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</si>
  <si>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</si>
  <si>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</si>
  <si>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</si>
  <si>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</si>
  <si>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</si>
  <si>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</si>
  <si>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</si>
  <si>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</si>
  <si>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RM180/250m</t>
  </si>
  <si>
    <t>RM220/500m</t>
  </si>
  <si>
    <t>Controlar a los Muertos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</si>
  <si>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</si>
  <si>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</si>
  <si>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</si>
  <si>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</si>
  <si>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</si>
  <si>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</si>
  <si>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</si>
  <si>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</si>
  <si>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</si>
  <si>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</si>
  <si>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</si>
  <si>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</si>
  <si>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</si>
  <si>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</si>
  <si>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</si>
  <si>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</si>
  <si>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</si>
  <si>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</si>
  <si>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</si>
  <si>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</si>
  <si>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</si>
  <si>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</si>
  <si>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</si>
  <si>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</si>
  <si>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</si>
  <si>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</si>
  <si>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</si>
  <si>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</si>
  <si>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</si>
  <si>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</si>
  <si>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</si>
  <si>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</si>
  <si>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</si>
  <si>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</si>
  <si>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Mentira</t>
  </si>
  <si>
    <t>Marchitar la Vida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</si>
  <si>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</si>
  <si>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</si>
  <si>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</si>
  <si>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</si>
  <si>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</si>
  <si>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</si>
  <si>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</si>
  <si>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</si>
  <si>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</si>
  <si>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</si>
  <si>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</si>
  <si>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</si>
  <si>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</si>
  <si>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</si>
  <si>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</si>
  <si>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</si>
  <si>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</si>
  <si>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</si>
  <si>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</si>
  <si>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</si>
  <si>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</si>
  <si>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</si>
  <si>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</si>
  <si>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</si>
  <si>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</si>
  <si>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</si>
  <si>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</si>
  <si>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</si>
  <si>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</si>
  <si>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</si>
  <si>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</si>
  <si>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</si>
  <si>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</si>
  <si>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</si>
  <si>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</si>
  <si>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</si>
  <si>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</si>
  <si>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</si>
  <si>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</si>
  <si>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</si>
  <si>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</si>
  <si>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</si>
  <si>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</si>
  <si>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RM:180/20m</t>
  </si>
  <si>
    <t>RM240/80m</t>
  </si>
  <si>
    <t>RM280/150m</t>
  </si>
  <si>
    <t>RM340/250m</t>
  </si>
  <si>
    <t>Zona de Ocultación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</si>
  <si>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</si>
  <si>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</si>
  <si>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</si>
  <si>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</si>
  <si>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</si>
  <si>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</si>
  <si>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</si>
  <si>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</si>
  <si>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</si>
  <si>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</si>
  <si>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</si>
  <si>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</si>
  <si>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</si>
  <si>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</si>
  <si>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</si>
  <si>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</si>
  <si>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</si>
  <si>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</si>
  <si>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</si>
  <si>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</si>
  <si>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</si>
  <si>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</si>
  <si>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</si>
  <si>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</si>
  <si>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</si>
  <si>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</si>
  <si>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</si>
  <si>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</si>
  <si>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</si>
  <si>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</si>
  <si>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</si>
  <si>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</si>
  <si>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</si>
  <si>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</si>
  <si>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</si>
  <si>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</si>
  <si>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</si>
  <si>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</si>
  <si>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Introducirse en los Sueños</t>
  </si>
  <si>
    <t>RM/RP:140/10m</t>
  </si>
  <si>
    <t>RM/RP:160/80m</t>
  </si>
  <si>
    <t>RM/RP:200/140m</t>
  </si>
  <si>
    <t>RM/RP:240/200m</t>
  </si>
  <si>
    <t>Introducirse en las Pesadillas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</si>
  <si>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</si>
  <si>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</si>
  <si>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</si>
  <si>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</si>
  <si>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</si>
  <si>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</si>
  <si>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</si>
  <si>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RM80/Pres60/1m</t>
  </si>
  <si>
    <t>RM100/Pres90/5m</t>
  </si>
  <si>
    <t>RM120/Pres120/15m</t>
  </si>
  <si>
    <t>RM150/Pres150/25m</t>
  </si>
  <si>
    <t>Sacrificio de Poder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</si>
  <si>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</si>
  <si>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</si>
  <si>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</si>
  <si>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</si>
  <si>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</si>
  <si>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</si>
  <si>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</si>
  <si>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</si>
  <si>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</si>
  <si>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</si>
  <si>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</si>
  <si>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</si>
  <si>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</si>
  <si>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</si>
  <si>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</si>
  <si>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</si>
  <si>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</si>
  <si>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</si>
  <si>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</si>
  <si>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</si>
  <si>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</si>
  <si>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</si>
  <si>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</si>
  <si>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</si>
  <si>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</si>
  <si>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</si>
  <si>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</si>
  <si>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</si>
  <si>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</si>
  <si>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</si>
  <si>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</si>
  <si>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</si>
  <si>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</si>
  <si>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</si>
  <si>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</si>
  <si>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</si>
  <si>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</si>
  <si>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</si>
  <si>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</si>
  <si>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</si>
  <si>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</si>
  <si>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</si>
  <si>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</si>
  <si>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</si>
  <si>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</si>
  <si>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</si>
  <si>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</si>
  <si>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</si>
  <si>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</si>
  <si>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</si>
  <si>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</si>
  <si>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Creación Mineral</t>
  </si>
  <si>
    <t>P 70</t>
  </si>
  <si>
    <t>P 100</t>
  </si>
  <si>
    <t>Inmaterialidad</t>
  </si>
  <si>
    <t>RM100/Pres80</t>
  </si>
  <si>
    <t>RM160/Pres160</t>
  </si>
  <si>
    <t>RM200/Pres200</t>
  </si>
  <si>
    <t>Control Sobrenatural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</si>
  <si>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</si>
  <si>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</si>
  <si>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</si>
  <si>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</si>
  <si>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</si>
  <si>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</si>
  <si>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</si>
  <si>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</si>
  <si>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</si>
  <si>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</si>
  <si>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</si>
  <si>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</si>
  <si>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</si>
  <si>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</si>
  <si>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</si>
  <si>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</si>
  <si>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</si>
  <si>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</si>
  <si>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</si>
  <si>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</si>
  <si>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</si>
  <si>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</si>
  <si>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</si>
  <si>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</si>
  <si>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</si>
  <si>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</si>
  <si>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</si>
  <si>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</si>
  <si>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</si>
  <si>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</si>
  <si>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Magia por Capacidades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</si>
  <si>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</si>
  <si>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</si>
  <si>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</si>
  <si>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</si>
  <si>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</si>
  <si>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</si>
  <si>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</si>
  <si>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</si>
  <si>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</si>
  <si>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</si>
  <si>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</si>
  <si>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</si>
  <si>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</si>
  <si>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</si>
  <si>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</si>
  <si>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</si>
  <si>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</si>
  <si>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</si>
  <si>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</si>
  <si>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</si>
  <si>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</si>
  <si>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Modificación Nigromántica</t>
  </si>
  <si>
    <t>Da PD a un no muerto, sus efectos no se superponen</t>
  </si>
  <si>
    <t>400PD</t>
  </si>
  <si>
    <t>Crear sentimientos positivos</t>
  </si>
  <si>
    <t>20m;RM/RP:120</t>
  </si>
  <si>
    <t>100m/RM/RP160</t>
  </si>
  <si>
    <t>250m/RM/Rp:180</t>
  </si>
  <si>
    <t>500m/RM/RP:220</t>
  </si>
  <si>
    <t>Crear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</si>
  <si>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</si>
  <si>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</si>
  <si>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</si>
  <si>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</si>
  <si>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</si>
  <si>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</si>
  <si>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</si>
  <si>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</si>
  <si>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</si>
  <si>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</si>
  <si>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</si>
  <si>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</si>
  <si>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</si>
  <si>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</si>
  <si>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</si>
  <si>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</si>
  <si>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</si>
  <si>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</si>
  <si>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</si>
  <si>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</si>
  <si>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</si>
  <si>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</si>
  <si>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</si>
  <si>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</si>
  <si>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</si>
  <si>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</si>
  <si>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</si>
  <si>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</si>
  <si>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</si>
  <si>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</si>
  <si>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</si>
  <si>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</si>
  <si>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</si>
  <si>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</si>
  <si>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</si>
  <si>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</si>
  <si>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</si>
  <si>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</si>
  <si>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</si>
  <si>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</si>
  <si>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</si>
  <si>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</si>
  <si>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</si>
  <si>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</si>
  <si>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</si>
  <si>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</si>
  <si>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Destruir Poderes</t>
  </si>
  <si>
    <t>Consumir Vida por Magia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</si>
  <si>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</si>
  <si>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</si>
  <si>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</si>
  <si>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</si>
  <si>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</si>
  <si>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</si>
  <si>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</si>
  <si>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</si>
  <si>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</si>
  <si>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</si>
  <si>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</si>
  <si>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</si>
  <si>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</si>
  <si>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</si>
  <si>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</si>
  <si>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</si>
  <si>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</si>
  <si>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</si>
  <si>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</si>
  <si>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</si>
  <si>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RM160/5Km</t>
  </si>
  <si>
    <t>RM200/10Km</t>
  </si>
  <si>
    <t>RM240/20Km</t>
  </si>
  <si>
    <t>Levantar Espectros</t>
  </si>
  <si>
    <t>Nivel 1/Presencia 100</t>
  </si>
  <si>
    <t>N2/P160</t>
  </si>
  <si>
    <t>N3/P220</t>
  </si>
  <si>
    <t>N6/P280</t>
  </si>
  <si>
    <t>Escudar contra lo negativo</t>
  </si>
  <si>
    <t>RM:120/20m</t>
  </si>
  <si>
    <t>RM180/500m</t>
  </si>
  <si>
    <t>Escudar contra lo Positivo</t>
  </si>
  <si>
    <t>Vitalidad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</si>
  <si>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</si>
  <si>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</si>
  <si>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</si>
  <si>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</si>
  <si>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</si>
  <si>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</si>
  <si>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</si>
  <si>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</si>
  <si>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</si>
  <si>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</si>
  <si>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</si>
  <si>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</si>
  <si>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</si>
  <si>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</si>
  <si>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</si>
  <si>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</si>
  <si>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</si>
  <si>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</si>
  <si>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</si>
  <si>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</si>
  <si>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</si>
  <si>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</si>
  <si>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</si>
  <si>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</si>
  <si>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</si>
  <si>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</si>
  <si>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</si>
  <si>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</si>
  <si>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</si>
  <si>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</si>
  <si>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</si>
  <si>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</si>
  <si>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</si>
  <si>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</si>
  <si>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</si>
  <si>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15 Intensidades</t>
  </si>
  <si>
    <t>25 Intensidades</t>
  </si>
  <si>
    <t>35 Intensidades</t>
  </si>
  <si>
    <t>45 Intensidades</t>
  </si>
  <si>
    <t>Congelar la Magia</t>
  </si>
  <si>
    <t>Zeon máximo 150</t>
  </si>
  <si>
    <t>Zeon M 250</t>
  </si>
  <si>
    <t>Zeon M 400</t>
  </si>
  <si>
    <t>Aumento de Gravedad</t>
  </si>
  <si>
    <t>100m/ X2 al peso</t>
  </si>
  <si>
    <t>200m/ X3 al peso</t>
  </si>
  <si>
    <t>300m/ X5 al peso</t>
  </si>
  <si>
    <t>400m/ X10 al peso</t>
  </si>
  <si>
    <t>Telequinesis Superior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</si>
  <si>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</si>
  <si>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</si>
  <si>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</si>
  <si>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</si>
  <si>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</si>
  <si>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</si>
  <si>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</si>
  <si>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</si>
  <si>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</si>
  <si>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</si>
  <si>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</si>
  <si>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</si>
  <si>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</si>
  <si>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</si>
  <si>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</si>
  <si>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</si>
  <si>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</si>
  <si>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</si>
  <si>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</si>
  <si>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</si>
  <si>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</si>
  <si>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</si>
  <si>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</si>
  <si>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</si>
  <si>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</si>
  <si>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</si>
  <si>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</si>
  <si>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</si>
  <si>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</si>
  <si>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</si>
  <si>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</si>
  <si>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</si>
  <si>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</si>
  <si>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</si>
  <si>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250m/RM180</t>
  </si>
  <si>
    <t>500m/RM200</t>
  </si>
  <si>
    <t>Devastación</t>
  </si>
  <si>
    <t>Explota en un área con un daño base 200 en TA Calor</t>
  </si>
  <si>
    <t>En el Interior del Espejo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</si>
  <si>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</si>
  <si>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</si>
  <si>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</si>
  <si>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</si>
  <si>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</si>
  <si>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</si>
  <si>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</si>
  <si>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</si>
  <si>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</si>
  <si>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</si>
  <si>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</si>
  <si>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</si>
  <si>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</si>
  <si>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</si>
  <si>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</si>
  <si>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</si>
  <si>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</si>
  <si>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</si>
  <si>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</si>
  <si>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</si>
  <si>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</si>
  <si>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</si>
  <si>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</si>
  <si>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</si>
  <si>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</si>
  <si>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</si>
  <si>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</si>
  <si>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</si>
  <si>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</si>
  <si>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</si>
  <si>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</si>
  <si>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</si>
  <si>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</si>
  <si>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</si>
  <si>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</si>
  <si>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</si>
  <si>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</si>
  <si>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</si>
  <si>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</si>
  <si>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</si>
  <si>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</si>
  <si>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</si>
  <si>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</si>
  <si>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RM160/3Km</t>
  </si>
  <si>
    <t>RM180/5Km</t>
  </si>
  <si>
    <t>Señor de los Hielos</t>
  </si>
  <si>
    <t>1.000Km/RM180</t>
  </si>
  <si>
    <t>10.000Km/RM200</t>
  </si>
  <si>
    <t>100.000Km/RM240</t>
  </si>
  <si>
    <t>Control de la Gravedad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</si>
  <si>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</si>
  <si>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</si>
  <si>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</si>
  <si>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</si>
  <si>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</si>
  <si>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</si>
  <si>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</si>
  <si>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</si>
  <si>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</si>
  <si>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</si>
  <si>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RM100/100Km</t>
  </si>
  <si>
    <t>RM130/500Km</t>
  </si>
  <si>
    <t>RM160/1.500Km</t>
  </si>
  <si>
    <t>RM200/2.500Km</t>
  </si>
  <si>
    <t>Engañar a la Muerte</t>
  </si>
  <si>
    <t>Nivel 5</t>
  </si>
  <si>
    <t>N10</t>
  </si>
  <si>
    <t>N15</t>
  </si>
  <si>
    <t>N20</t>
  </si>
  <si>
    <t>Quimera Nigromántica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</si>
  <si>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</si>
  <si>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</si>
  <si>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</si>
  <si>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</si>
  <si>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</si>
  <si>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</si>
  <si>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</si>
  <si>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</si>
  <si>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</si>
  <si>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</si>
  <si>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</si>
  <si>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</si>
  <si>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</si>
  <si>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</si>
  <si>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</si>
  <si>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</si>
  <si>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</si>
  <si>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</si>
  <si>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</si>
  <si>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</si>
  <si>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</si>
  <si>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</si>
  <si>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</si>
  <si>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</si>
  <si>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</si>
  <si>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</si>
  <si>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</si>
  <si>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</si>
  <si>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</si>
  <si>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</si>
  <si>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</si>
  <si>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</si>
  <si>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</si>
  <si>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</si>
  <si>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</si>
  <si>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</si>
  <si>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</si>
  <si>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</si>
  <si>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</si>
  <si>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</si>
  <si>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</si>
  <si>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</si>
  <si>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</si>
  <si>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</si>
  <si>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</si>
  <si>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</si>
  <si>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</si>
  <si>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</si>
  <si>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</si>
  <si>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</si>
  <si>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</si>
  <si>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</si>
  <si>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</si>
  <si>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</si>
  <si>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</si>
  <si>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</si>
  <si>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</si>
  <si>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</si>
  <si>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</si>
  <si>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</si>
  <si>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</si>
  <si>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</si>
  <si>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</si>
  <si>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</si>
  <si>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</si>
  <si>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</si>
  <si>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</si>
  <si>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</si>
  <si>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</si>
  <si>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</si>
  <si>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</si>
  <si>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</si>
  <si>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</si>
  <si>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</si>
  <si>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</si>
  <si>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</si>
  <si>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</si>
  <si>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</si>
  <si>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</si>
  <si>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</si>
  <si>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</si>
  <si>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</si>
  <si>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</si>
  <si>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</si>
  <si>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</si>
  <si>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</si>
  <si>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</si>
  <si>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</si>
  <si>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</si>
  <si>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</si>
  <si>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</si>
  <si>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</si>
  <si>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</si>
  <si>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</si>
  <si>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</si>
  <si>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</si>
  <si>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</si>
  <si>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</si>
  <si>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</si>
  <si>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</si>
  <si>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</si>
  <si>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</si>
  <si>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</si>
  <si>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</si>
  <si>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</si>
  <si>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</si>
  <si>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</si>
  <si>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</si>
  <si>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</si>
  <si>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</si>
  <si>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</si>
  <si>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</si>
  <si>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</si>
  <si>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</si>
  <si>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</si>
  <si>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</si>
  <si>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</si>
  <si>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</si>
  <si>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</si>
  <si>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</si>
  <si>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</si>
  <si>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</si>
  <si>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Creación Oscura</t>
  </si>
  <si>
    <t>Zona de Salvaguardia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</si>
  <si>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</si>
  <si>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</si>
  <si>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</si>
  <si>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</si>
  <si>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</si>
  <si>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</si>
  <si>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</si>
  <si>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</si>
  <si>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</si>
  <si>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</si>
  <si>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</si>
  <si>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100 Contra Choque / 800PV</t>
  </si>
  <si>
    <t>120CC;1.500PV</t>
  </si>
  <si>
    <t>140CC;3.000PV</t>
  </si>
  <si>
    <t>180CC;6.000PV</t>
  </si>
  <si>
    <t>Ocultarse ante la magia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</si>
  <si>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</si>
  <si>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</si>
  <si>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</si>
  <si>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</si>
  <si>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</si>
  <si>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</si>
  <si>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</si>
  <si>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</si>
  <si>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</si>
  <si>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</si>
  <si>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</si>
  <si>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</si>
  <si>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</si>
  <si>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</si>
  <si>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</si>
  <si>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</si>
  <si>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</si>
  <si>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</si>
  <si>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</si>
  <si>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</si>
  <si>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</si>
  <si>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</si>
  <si>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</si>
  <si>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</si>
  <si>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</si>
  <si>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</si>
  <si>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</si>
  <si>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</si>
  <si>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</si>
  <si>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</si>
  <si>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</si>
  <si>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</si>
  <si>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</si>
  <si>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</si>
  <si>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</si>
  <si>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</si>
  <si>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</si>
  <si>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</si>
  <si>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</si>
  <si>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Conjuros y psiquicos</t>
  </si>
  <si>
    <t>Habilidades de Ki</t>
  </si>
  <si>
    <t>Detecciones sobrenaturales</t>
  </si>
  <si>
    <t>Todo menos Adv,Bus</t>
  </si>
  <si>
    <t>Creación Mayor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</si>
  <si>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</si>
  <si>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</si>
  <si>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</si>
  <si>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</si>
  <si>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</si>
  <si>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</si>
  <si>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</si>
  <si>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</si>
  <si>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</si>
  <si>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</si>
  <si>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</si>
  <si>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</si>
  <si>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</si>
  <si>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</si>
  <si>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</si>
  <si>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</si>
  <si>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</si>
  <si>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</si>
  <si>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</si>
  <si>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</si>
  <si>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</si>
  <si>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</si>
  <si>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</si>
  <si>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</si>
  <si>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</si>
  <si>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</si>
  <si>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</si>
  <si>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</si>
  <si>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</si>
  <si>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</si>
  <si>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</si>
  <si>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</si>
  <si>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</si>
  <si>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</si>
  <si>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</si>
  <si>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</si>
  <si>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</si>
  <si>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</si>
  <si>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</si>
  <si>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</si>
  <si>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</si>
  <si>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</si>
  <si>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</si>
  <si>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</si>
  <si>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</si>
  <si>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</si>
  <si>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</si>
  <si>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</si>
  <si>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</si>
  <si>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</si>
  <si>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</si>
  <si>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</si>
  <si>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</si>
  <si>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</si>
  <si>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</si>
  <si>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</si>
  <si>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</si>
  <si>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</si>
  <si>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</si>
  <si>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</si>
  <si>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</si>
  <si>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</si>
  <si>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</si>
  <si>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</si>
  <si>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</si>
  <si>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</si>
  <si>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</si>
  <si>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</si>
  <si>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</si>
  <si>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</si>
  <si>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</si>
  <si>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</si>
  <si>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</si>
  <si>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</si>
  <si>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</si>
  <si>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</si>
  <si>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</si>
  <si>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</si>
  <si>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</si>
  <si>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</si>
  <si>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</si>
  <si>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</si>
  <si>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</si>
  <si>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</si>
  <si>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</si>
  <si>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</si>
  <si>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</si>
  <si>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</si>
  <si>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</si>
  <si>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</si>
  <si>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</si>
  <si>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</si>
  <si>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</si>
  <si>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</si>
  <si>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</si>
  <si>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</si>
  <si>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</si>
  <si>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</si>
  <si>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</si>
  <si>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</si>
  <si>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</si>
  <si>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</si>
  <si>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</si>
  <si>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</si>
  <si>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</si>
  <si>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</si>
  <si>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</si>
  <si>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</si>
  <si>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</si>
  <si>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</si>
  <si>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</si>
  <si>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</si>
  <si>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</si>
  <si>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</si>
  <si>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</si>
  <si>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</si>
  <si>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</si>
  <si>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</si>
  <si>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</si>
  <si>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</si>
  <si>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</si>
  <si>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</si>
  <si>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</si>
  <si>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</si>
  <si>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</si>
  <si>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</si>
  <si>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</si>
  <si>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</si>
  <si>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</si>
  <si>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</si>
  <si>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</si>
  <si>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</si>
  <si>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</si>
  <si>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</si>
  <si>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</si>
  <si>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</si>
  <si>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</si>
  <si>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</si>
  <si>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</si>
  <si>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</si>
  <si>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</si>
  <si>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</si>
  <si>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</si>
  <si>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</si>
  <si>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</si>
  <si>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</si>
  <si>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</si>
  <si>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</si>
  <si>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</si>
  <si>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</si>
  <si>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</si>
  <si>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</si>
  <si>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</si>
  <si>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</si>
  <si>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</si>
  <si>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</si>
  <si>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</si>
  <si>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</si>
  <si>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</si>
  <si>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</si>
  <si>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</si>
  <si>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</si>
  <si>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</si>
  <si>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</si>
  <si>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</si>
  <si>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</si>
  <si>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</si>
  <si>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</si>
  <si>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</si>
  <si>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</si>
  <si>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</si>
  <si>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</si>
  <si>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</si>
  <si>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</si>
  <si>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</si>
  <si>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</si>
  <si>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</si>
  <si>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</si>
  <si>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</si>
  <si>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</si>
  <si>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</si>
  <si>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</si>
  <si>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</si>
  <si>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</si>
  <si>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</si>
  <si>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</si>
  <si>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</si>
  <si>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</si>
  <si>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</si>
  <si>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</si>
  <si>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</si>
  <si>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</si>
  <si>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</si>
  <si>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</si>
  <si>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</si>
  <si>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</si>
  <si>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</si>
  <si>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</si>
  <si>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</si>
  <si>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</si>
  <si>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</si>
  <si>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</si>
  <si>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</si>
  <si>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</si>
  <si>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</si>
  <si>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</si>
  <si>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</si>
  <si>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</si>
  <si>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</si>
  <si>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</si>
  <si>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</si>
  <si>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</si>
  <si>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</si>
  <si>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</si>
  <si>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</si>
  <si>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</si>
  <si>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</si>
  <si>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</si>
  <si>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</si>
  <si>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</si>
  <si>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</si>
  <si>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</si>
  <si>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</si>
  <si>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</si>
  <si>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</si>
  <si>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</si>
  <si>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</si>
  <si>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</si>
  <si>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</si>
  <si>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</si>
  <si>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</si>
  <si>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</si>
  <si>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</si>
  <si>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</si>
  <si>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</si>
  <si>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</si>
  <si>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</si>
  <si>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</si>
  <si>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</si>
  <si>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</si>
  <si>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</si>
  <si>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</si>
  <si>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</si>
  <si>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</si>
  <si>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</si>
  <si>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</si>
  <si>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</si>
  <si>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</si>
  <si>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</si>
  <si>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</si>
  <si>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</si>
  <si>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</si>
  <si>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</si>
  <si>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</si>
  <si>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</si>
  <si>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</si>
  <si>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</si>
  <si>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</si>
  <si>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</si>
  <si>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</si>
  <si>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</si>
  <si>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</si>
  <si>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</si>
  <si>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</si>
  <si>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</si>
  <si>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</si>
  <si>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</si>
  <si>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</si>
  <si>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</si>
  <si>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</si>
  <si>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</si>
  <si>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</si>
  <si>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</si>
  <si>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</si>
  <si>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</si>
  <si>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</si>
  <si>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</si>
  <si>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</si>
  <si>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</si>
  <si>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</si>
  <si>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</si>
  <si>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</si>
  <si>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</si>
  <si>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</si>
  <si>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</si>
  <si>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</si>
  <si>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</si>
  <si>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</si>
  <si>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</si>
  <si>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</si>
  <si>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</si>
  <si>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</si>
  <si>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</si>
  <si>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</si>
  <si>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</si>
  <si>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</si>
  <si>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</si>
  <si>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</si>
  <si>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</si>
  <si>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</si>
  <si>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</si>
  <si>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</si>
  <si>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</si>
  <si>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</si>
  <si>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</si>
  <si>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</si>
  <si>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</si>
  <si>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</si>
  <si>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</si>
  <si>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</si>
  <si>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</si>
  <si>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</si>
  <si>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</si>
  <si>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</si>
  <si>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</si>
  <si>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</si>
  <si>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</si>
  <si>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</si>
  <si>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</si>
  <si>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</si>
  <si>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</si>
  <si>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</si>
  <si>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</si>
  <si>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</si>
  <si>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</si>
  <si>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</si>
  <si>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</si>
  <si>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</si>
  <si>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</si>
  <si>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</si>
  <si>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</si>
  <si>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</si>
  <si>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</si>
  <si>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</si>
  <si>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</si>
  <si>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</si>
  <si>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</si>
  <si>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</si>
  <si>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</si>
  <si>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</si>
  <si>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</si>
  <si>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</si>
  <si>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</si>
  <si>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</si>
  <si>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</si>
  <si>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</si>
  <si>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</si>
  <si>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</si>
  <si>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</si>
  <si>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</si>
  <si>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</si>
  <si>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</si>
  <si>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</si>
  <si>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</si>
  <si>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</si>
  <si>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</si>
  <si>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</si>
  <si>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</si>
  <si>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</si>
  <si>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</si>
  <si>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</si>
  <si>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</si>
  <si>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</si>
  <si>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</si>
  <si>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</si>
  <si>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</si>
  <si>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</si>
  <si>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</si>
  <si>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</si>
  <si>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</si>
  <si>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</si>
  <si>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</si>
  <si>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</si>
  <si>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</si>
  <si>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</si>
  <si>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</si>
  <si>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</si>
  <si>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</si>
  <si>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</si>
  <si>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</si>
  <si>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</si>
  <si>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</si>
  <si>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</si>
  <si>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</si>
  <si>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</si>
  <si>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</si>
  <si>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</si>
  <si>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</si>
  <si>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</si>
  <si>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</si>
  <si>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</si>
  <si>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</si>
  <si>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</si>
  <si>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</si>
  <si>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</si>
  <si>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</si>
  <si>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</si>
  <si>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</si>
  <si>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</si>
  <si>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</si>
  <si>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</si>
  <si>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</si>
  <si>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</si>
  <si>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</si>
  <si>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</si>
  <si>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</si>
  <si>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</si>
  <si>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</si>
  <si>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</si>
  <si>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</si>
  <si>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</si>
  <si>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</si>
  <si>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</si>
  <si>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</si>
  <si>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</si>
  <si>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</si>
  <si>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</si>
  <si>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</si>
  <si>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</si>
  <si>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</si>
  <si>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</si>
  <si>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</si>
  <si>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</si>
  <si>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</si>
  <si>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</si>
  <si>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</si>
  <si>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</si>
  <si>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</si>
  <si>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</si>
  <si>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</si>
  <si>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</si>
  <si>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</si>
  <si>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</si>
  <si>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</si>
  <si>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</si>
  <si>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</si>
  <si>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</si>
  <si>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</si>
  <si>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</si>
  <si>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</si>
  <si>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</si>
  <si>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</si>
  <si>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</si>
  <si>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</si>
  <si>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</si>
  <si>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</si>
  <si>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</si>
  <si>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</si>
  <si>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</si>
  <si>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</si>
  <si>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</si>
  <si>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</si>
  <si>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</si>
  <si>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</si>
  <si>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</si>
  <si>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</si>
  <si>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</si>
  <si>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</si>
  <si>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</si>
  <si>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</si>
  <si>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</si>
  <si>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</si>
  <si>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</si>
  <si>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</si>
  <si>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</si>
  <si>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</si>
  <si>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</si>
  <si>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</si>
  <si>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</si>
  <si>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</si>
  <si>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</si>
  <si>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</si>
  <si>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</si>
  <si>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</si>
  <si>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</si>
  <si>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</si>
  <si>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</si>
  <si>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</si>
  <si>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</si>
  <si>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</si>
  <si>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</si>
  <si>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</si>
  <si>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</si>
  <si>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</si>
  <si>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</si>
  <si>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</si>
  <si>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</si>
  <si>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</si>
  <si>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</si>
  <si>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</si>
  <si>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</si>
  <si>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</si>
  <si>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</si>
  <si>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</si>
  <si>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</si>
  <si>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</si>
  <si>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</si>
  <si>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</si>
  <si>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</si>
  <si>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</si>
  <si>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</si>
  <si>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</si>
  <si>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</si>
  <si>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</si>
  <si>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</si>
  <si>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</si>
  <si>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</si>
  <si>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</si>
  <si>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</si>
  <si>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</si>
  <si>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</si>
  <si>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</si>
  <si>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</si>
  <si>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</si>
  <si>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</si>
  <si>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</si>
  <si>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</si>
  <si>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</si>
  <si>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</si>
  <si>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</si>
  <si>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</si>
  <si>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</si>
  <si>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</si>
  <si>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</si>
  <si>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</si>
  <si>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</si>
  <si>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</si>
  <si>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</si>
  <si>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</si>
  <si>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</si>
  <si>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</si>
  <si>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</si>
  <si>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</si>
  <si>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</si>
  <si>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</si>
  <si>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</si>
  <si>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</si>
  <si>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</si>
  <si>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</si>
  <si>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</si>
  <si>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</si>
  <si>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</si>
  <si>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</si>
  <si>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</si>
  <si>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</si>
  <si>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</si>
  <si>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</si>
  <si>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</si>
  <si>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</si>
  <si>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</si>
  <si>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</si>
  <si>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</si>
  <si>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</si>
  <si>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</si>
  <si>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</si>
  <si>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</si>
  <si>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</si>
  <si>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</si>
  <si>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</si>
  <si>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</si>
  <si>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</si>
  <si>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</si>
  <si>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</si>
  <si>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</si>
  <si>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</si>
  <si>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</si>
  <si>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</si>
  <si>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</si>
  <si>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</si>
  <si>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</si>
  <si>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</si>
  <si>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</si>
  <si>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</si>
  <si>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</si>
  <si>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</si>
  <si>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</si>
  <si>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</si>
  <si>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</si>
  <si>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</si>
  <si>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</si>
  <si>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</si>
  <si>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</si>
  <si>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</si>
  <si>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</si>
  <si>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</si>
  <si>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</si>
  <si>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</si>
  <si>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</si>
  <si>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</si>
  <si>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</si>
  <si>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</si>
  <si>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</si>
  <si>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</si>
  <si>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</si>
  <si>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</si>
  <si>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</si>
  <si>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</si>
  <si>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</si>
  <si>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</si>
  <si>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</si>
  <si>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</si>
  <si>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</si>
  <si>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</si>
  <si>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</si>
  <si>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</si>
  <si>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</si>
  <si>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</si>
  <si>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</si>
  <si>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</si>
  <si>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</si>
  <si>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</si>
  <si>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</si>
  <si>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</si>
  <si>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</si>
  <si>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</si>
  <si>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</si>
  <si>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</si>
  <si>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</si>
  <si>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</si>
  <si>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</si>
  <si>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</si>
  <si>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</si>
  <si>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</si>
  <si>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</si>
  <si>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</si>
  <si>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</si>
  <si>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</si>
  <si>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</si>
  <si>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</si>
  <si>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</si>
  <si>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</si>
  <si>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</si>
  <si>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</si>
  <si>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</si>
  <si>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</si>
  <si>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</si>
  <si>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</si>
  <si>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</si>
  <si>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</si>
  <si>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</si>
  <si>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</si>
  <si>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</si>
  <si>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</si>
  <si>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</si>
  <si>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</si>
  <si>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</si>
  <si>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</si>
  <si>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</si>
  <si>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</si>
  <si>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</si>
  <si>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</si>
  <si>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</si>
  <si>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</si>
  <si>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</si>
  <si>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</si>
  <si>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</si>
  <si>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</si>
  <si>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</si>
  <si>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</si>
  <si>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</si>
  <si>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</si>
  <si>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</si>
  <si>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</si>
  <si>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</si>
  <si>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</si>
  <si>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</si>
  <si>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</si>
  <si>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</si>
  <si>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</si>
  <si>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</si>
  <si>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</si>
  <si>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</si>
  <si>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</si>
  <si>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</si>
  <si>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</si>
  <si>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</si>
  <si>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</si>
  <si>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</si>
  <si>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</si>
  <si>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</si>
  <si>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</si>
  <si>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</si>
  <si>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</si>
  <si>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</si>
  <si>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</si>
  <si>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</si>
  <si>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</si>
  <si>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</si>
  <si>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</si>
  <si>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</si>
  <si>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</si>
  <si>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</si>
  <si>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</si>
  <si>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</si>
  <si>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</si>
  <si>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</si>
  <si>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</si>
  <si>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</si>
  <si>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</si>
  <si>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</si>
  <si>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</si>
  <si>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</si>
  <si>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</si>
  <si>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</si>
  <si>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</si>
  <si>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</si>
  <si>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</si>
  <si>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</si>
  <si>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</si>
  <si>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</si>
  <si>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</si>
  <si>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</si>
  <si>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</si>
  <si>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</si>
  <si>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</si>
  <si>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</si>
  <si>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</si>
  <si>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</si>
  <si>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</si>
  <si>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</si>
  <si>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</si>
  <si>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</si>
  <si>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</si>
  <si>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</si>
  <si>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</si>
  <si>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</si>
  <si>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</si>
  <si>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</si>
  <si>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</si>
  <si>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</si>
  <si>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</si>
  <si>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</si>
  <si>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</si>
  <si>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</si>
  <si>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</si>
  <si>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</si>
  <si>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</si>
  <si>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</si>
  <si>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</si>
  <si>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</si>
  <si>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</si>
  <si>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</si>
  <si>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</si>
  <si>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</si>
  <si>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</si>
  <si>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</si>
  <si>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</si>
  <si>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</si>
  <si>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</si>
  <si>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</si>
  <si>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</si>
  <si>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</si>
  <si>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</si>
  <si>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</si>
  <si>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</si>
  <si>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</si>
  <si>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</si>
  <si>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</si>
  <si>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</si>
  <si>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</si>
  <si>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</si>
  <si>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</si>
  <si>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</si>
  <si>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</si>
  <si>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</si>
  <si>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</si>
  <si>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</si>
  <si>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</si>
  <si>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</si>
  <si>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</si>
  <si>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</si>
  <si>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</si>
  <si>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</si>
  <si>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</si>
  <si>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</si>
  <si>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</si>
  <si>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</si>
  <si>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</si>
  <si>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</si>
  <si>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</si>
  <si>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</si>
  <si>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</si>
  <si>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</si>
  <si>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</si>
  <si>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</si>
  <si>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</si>
  <si>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</si>
  <si>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</si>
  <si>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</si>
  <si>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</si>
  <si>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</si>
  <si>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</si>
  <si>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</si>
  <si>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</si>
  <si>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</si>
  <si>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</si>
  <si>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</si>
  <si>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</si>
  <si>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</si>
  <si>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</si>
  <si>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</si>
  <si>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</si>
  <si>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</si>
  <si>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</si>
  <si>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</si>
  <si>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</si>
  <si>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</si>
  <si>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</si>
  <si>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</si>
  <si>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</si>
  <si>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</si>
  <si>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</si>
  <si>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</si>
  <si>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</si>
  <si>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</si>
  <si>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</si>
  <si>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</si>
  <si>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</si>
  <si>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</si>
  <si>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</si>
  <si>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</si>
  <si>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</si>
  <si>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</si>
  <si>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</si>
  <si>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</si>
  <si>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</si>
  <si>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</si>
  <si>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</si>
  <si>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</si>
  <si>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</si>
  <si>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</si>
  <si>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</si>
  <si>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</si>
  <si>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</si>
  <si>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</si>
  <si>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</si>
  <si>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</si>
  <si>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</si>
  <si>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</si>
  <si>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</si>
  <si>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</si>
  <si>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</si>
  <si>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</si>
  <si>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</si>
  <si>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</si>
  <si>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</si>
  <si>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</si>
  <si>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</si>
  <si>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</si>
  <si>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</si>
  <si>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</si>
  <si>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</si>
  <si>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</si>
  <si>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</si>
  <si>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</si>
  <si>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</si>
  <si>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</si>
  <si>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</si>
  <si>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</si>
  <si>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</si>
  <si>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</si>
  <si>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</si>
  <si>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</si>
  <si>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</si>
  <si>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</si>
  <si>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</si>
  <si>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</si>
  <si>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</si>
  <si>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</si>
  <si>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</si>
  <si>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</si>
  <si>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</si>
  <si>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</si>
  <si>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</si>
  <si>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</si>
  <si>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</si>
  <si>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</si>
  <si>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</si>
  <si>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</si>
  <si>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</si>
  <si>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</si>
  <si>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</si>
  <si>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</si>
  <si>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</si>
  <si>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</si>
  <si>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</si>
  <si>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</si>
  <si>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</si>
  <si>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</si>
  <si>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</si>
  <si>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</si>
  <si>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</si>
  <si>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</si>
  <si>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</si>
  <si>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</si>
  <si>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</si>
  <si>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</si>
  <si>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</si>
  <si>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</si>
  <si>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</si>
  <si>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</si>
  <si>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</si>
  <si>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</si>
  <si>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</si>
  <si>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</si>
  <si>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</si>
  <si>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</si>
  <si>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</si>
  <si>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</si>
  <si>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</si>
  <si>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</si>
  <si>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</si>
  <si>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</si>
  <si>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</si>
  <si>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</si>
  <si>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</si>
  <si>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</si>
  <si>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</si>
  <si>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</si>
  <si>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</si>
  <si>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</si>
  <si>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</si>
  <si>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</si>
  <si>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</si>
  <si>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</si>
  <si>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</si>
  <si>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</si>
  <si>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</si>
  <si>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</si>
  <si>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</si>
  <si>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</si>
  <si>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</si>
  <si>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</si>
  <si>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</si>
  <si>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</si>
  <si>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</si>
  <si>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</si>
  <si>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</si>
  <si>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</si>
  <si>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</si>
  <si>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</si>
  <si>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</si>
  <si>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</si>
  <si>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</si>
  <si>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</si>
  <si>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</si>
  <si>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</si>
  <si>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</si>
  <si>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</si>
  <si>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</si>
  <si>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</si>
  <si>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</si>
  <si>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</si>
  <si>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</si>
  <si>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</si>
  <si>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</si>
  <si>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</si>
  <si>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</si>
  <si>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</si>
  <si>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</si>
  <si>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</si>
  <si>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</si>
  <si>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</si>
  <si>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</si>
  <si>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</si>
  <si>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</si>
  <si>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</si>
  <si>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</si>
  <si>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</si>
  <si>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</si>
  <si>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</si>
  <si>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</si>
  <si>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</si>
  <si>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</si>
  <si>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</si>
  <si>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</si>
  <si>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</si>
  <si>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</si>
  <si>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</si>
  <si>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</si>
  <si>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</si>
  <si>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</si>
  <si>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</si>
  <si>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</si>
  <si>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</si>
  <si>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</si>
  <si>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</si>
  <si>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</si>
  <si>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</si>
  <si>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</si>
  <si>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</si>
  <si>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</si>
  <si>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</si>
  <si>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</si>
  <si>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</si>
  <si>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</si>
  <si>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</si>
  <si>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</si>
  <si>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</si>
  <si>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</si>
  <si>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</si>
  <si>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</si>
  <si>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</si>
  <si>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</si>
  <si>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</si>
  <si>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</si>
  <si>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</si>
  <si>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</si>
  <si>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</si>
  <si>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</si>
  <si>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</si>
  <si>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</si>
  <si>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</si>
  <si>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</si>
  <si>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</si>
  <si>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</si>
  <si>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</si>
  <si>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</si>
  <si>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</si>
  <si>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</si>
  <si>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</si>
  <si>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</si>
  <si>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</si>
  <si>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</si>
  <si>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</si>
  <si>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</si>
  <si>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</si>
  <si>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</si>
  <si>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</si>
  <si>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</si>
  <si>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</si>
  <si>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</si>
  <si>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</si>
  <si>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</si>
  <si>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</si>
  <si>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</si>
  <si>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</si>
  <si>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</si>
  <si>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</si>
  <si>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</si>
  <si>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</si>
  <si>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</si>
  <si>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</si>
  <si>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</si>
  <si>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</si>
  <si>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</si>
  <si>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</si>
  <si>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</si>
  <si>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</si>
  <si>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</si>
  <si>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</si>
  <si>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</si>
  <si>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</si>
  <si>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</si>
  <si>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</si>
  <si>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</si>
  <si>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</si>
  <si>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</si>
  <si>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</si>
  <si>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</si>
  <si>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</si>
  <si>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</si>
  <si>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</si>
  <si>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</si>
  <si>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</si>
  <si>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</si>
  <si>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</si>
  <si>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</si>
  <si>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</si>
  <si>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</si>
  <si>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</si>
  <si>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</si>
  <si>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</si>
  <si>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</si>
  <si>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</si>
  <si>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</si>
  <si>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</si>
  <si>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</si>
  <si>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</si>
  <si>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</si>
  <si>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</si>
  <si>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</si>
  <si>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</si>
  <si>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</si>
  <si>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</si>
  <si>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</si>
  <si>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</si>
  <si>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</si>
  <si>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</si>
  <si>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Lujiaodao</t>
  </si>
  <si>
    <t>Maza Barra</t>
  </si>
  <si>
    <t>Montante</t>
  </si>
  <si>
    <t>8/11</t>
  </si>
  <si>
    <t>Pata</t>
  </si>
  <si>
    <t>Pica</t>
  </si>
  <si>
    <t>Turno 20 fuera de combata</t>
  </si>
  <si>
    <t>Pudao</t>
  </si>
  <si>
    <t>Shang Gou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</si>
  <si>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</si>
  <si>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</si>
  <si>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</si>
  <si>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</si>
  <si>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</si>
  <si>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</si>
  <si>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</si>
  <si>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</si>
  <si>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</si>
  <si>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</si>
  <si>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</si>
  <si>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</si>
  <si>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</si>
  <si>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</si>
  <si>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</si>
  <si>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</si>
  <si>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</si>
  <si>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</si>
  <si>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</si>
  <si>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</si>
  <si>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</si>
  <si>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</si>
  <si>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</si>
  <si>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</si>
  <si>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</si>
  <si>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</si>
  <si>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</si>
  <si>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</si>
  <si>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</si>
  <si>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</si>
  <si>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</si>
  <si>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</si>
  <si>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</si>
  <si>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</si>
  <si>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</si>
  <si>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</si>
  <si>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</si>
  <si>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</si>
  <si>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</si>
  <si>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</si>
  <si>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</si>
  <si>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</si>
  <si>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</si>
  <si>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</si>
  <si>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</si>
  <si>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</si>
  <si>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</si>
  <si>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</si>
  <si>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</si>
  <si>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</si>
  <si>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</si>
  <si>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</si>
  <si>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</si>
  <si>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</si>
  <si>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</si>
  <si>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</si>
  <si>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</si>
  <si>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</si>
  <si>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</si>
  <si>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</si>
  <si>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</si>
  <si>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</si>
  <si>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</si>
  <si>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</si>
  <si>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</si>
  <si>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</si>
  <si>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</si>
  <si>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</si>
  <si>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</si>
  <si>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</si>
  <si>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</si>
  <si>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</si>
  <si>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</si>
  <si>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</si>
  <si>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</si>
  <si>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</si>
  <si>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</si>
  <si>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</si>
  <si>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</si>
  <si>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</si>
  <si>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</si>
  <si>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</si>
  <si>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</si>
  <si>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</si>
  <si>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</si>
  <si>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</si>
  <si>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</si>
  <si>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</si>
  <si>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</si>
  <si>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</si>
  <si>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</si>
  <si>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</si>
  <si>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</si>
  <si>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</si>
  <si>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</si>
  <si>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</si>
  <si>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</si>
  <si>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</si>
  <si>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</si>
  <si>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</si>
  <si>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</si>
  <si>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</si>
  <si>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</si>
  <si>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</si>
  <si>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</si>
  <si>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</si>
  <si>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</si>
  <si>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</si>
  <si>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</si>
  <si>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</si>
  <si>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</si>
  <si>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</si>
  <si>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</si>
  <si>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</si>
  <si>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</si>
  <si>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</si>
  <si>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</si>
  <si>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</si>
  <si>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</si>
  <si>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</si>
  <si>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</si>
  <si>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</si>
  <si>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</si>
  <si>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</si>
  <si>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</si>
  <si>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</si>
  <si>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</si>
  <si>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</si>
  <si>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</si>
  <si>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</si>
  <si>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</si>
  <si>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</si>
  <si>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</si>
  <si>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</si>
  <si>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</si>
  <si>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</si>
  <si>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</si>
  <si>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</si>
  <si>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</si>
  <si>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</si>
  <si>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</si>
  <si>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</si>
  <si>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</si>
  <si>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</si>
  <si>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</si>
  <si>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</si>
  <si>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</si>
  <si>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</si>
  <si>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</si>
  <si>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</si>
  <si>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</si>
  <si>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</si>
  <si>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</si>
  <si>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</si>
  <si>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</si>
  <si>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</si>
  <si>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</si>
  <si>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</si>
  <si>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</si>
  <si>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</si>
  <si>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</si>
  <si>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</si>
  <si>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</si>
  <si>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</si>
  <si>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</si>
  <si>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</si>
  <si>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</si>
  <si>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</si>
  <si>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</si>
  <si>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</si>
  <si>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</si>
  <si>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</si>
  <si>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</si>
  <si>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</si>
  <si>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</si>
  <si>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</si>
  <si>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</si>
  <si>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</si>
  <si>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</si>
  <si>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</si>
  <si>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</si>
  <si>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</si>
  <si>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</si>
  <si>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</si>
  <si>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</si>
  <si>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</si>
  <si>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</si>
  <si>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</si>
  <si>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</si>
  <si>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</si>
  <si>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</si>
  <si>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</si>
  <si>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</si>
  <si>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</si>
  <si>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</si>
  <si>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</si>
  <si>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</si>
  <si>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</si>
  <si>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</si>
  <si>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</si>
  <si>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</si>
  <si>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</si>
  <si>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</si>
  <si>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</si>
  <si>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</si>
  <si>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</si>
  <si>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</si>
  <si>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</si>
  <si>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</si>
  <si>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</si>
  <si>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</si>
  <si>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</si>
  <si>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</si>
  <si>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</si>
  <si>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</si>
  <si>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</si>
  <si>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</si>
  <si>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</si>
  <si>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</si>
  <si>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</si>
  <si>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</si>
  <si>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</si>
  <si>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</si>
  <si>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</si>
  <si>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</si>
  <si>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</si>
  <si>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</si>
  <si>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</si>
  <si>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</si>
  <si>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</si>
  <si>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</si>
  <si>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</si>
  <si>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</si>
  <si>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</si>
  <si>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</si>
  <si>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</si>
  <si>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</si>
  <si>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</si>
  <si>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</si>
  <si>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</si>
  <si>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</si>
  <si>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</si>
  <si>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</si>
  <si>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</si>
  <si>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</si>
  <si>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</si>
  <si>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</si>
  <si>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</si>
  <si>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</si>
  <si>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</si>
  <si>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</si>
  <si>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</si>
  <si>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</si>
  <si>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</si>
  <si>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</si>
  <si>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</si>
  <si>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</si>
  <si>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</si>
  <si>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</si>
  <si>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</si>
  <si>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</si>
  <si>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</si>
  <si>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</si>
  <si>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</si>
  <si>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</si>
  <si>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</si>
  <si>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</si>
  <si>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</si>
  <si>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</si>
  <si>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</si>
  <si>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</si>
  <si>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</si>
  <si>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</si>
  <si>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</si>
  <si>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</si>
  <si>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</si>
  <si>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</si>
  <si>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</si>
  <si>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</si>
  <si>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</si>
  <si>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</si>
  <si>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</si>
  <si>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</si>
  <si>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</si>
  <si>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</si>
  <si>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</si>
  <si>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</si>
  <si>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</si>
  <si>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</si>
  <si>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</si>
  <si>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</si>
  <si>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</si>
  <si>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</si>
  <si>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</si>
  <si>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</si>
  <si>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</si>
  <si>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</si>
  <si>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</si>
  <si>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</si>
  <si>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</si>
  <si>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</si>
  <si>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</si>
  <si>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</si>
  <si>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</si>
  <si>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</si>
  <si>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</si>
  <si>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</si>
  <si>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</si>
  <si>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</si>
  <si>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</si>
  <si>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</si>
  <si>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</si>
  <si>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</si>
  <si>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</si>
  <si>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</si>
  <si>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</si>
  <si>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</si>
  <si>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</si>
  <si>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</si>
  <si>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</si>
  <si>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</si>
  <si>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</si>
  <si>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</si>
  <si>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</si>
  <si>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</si>
  <si>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</si>
  <si>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</si>
  <si>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</si>
  <si>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</si>
  <si>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</si>
  <si>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</si>
  <si>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</si>
  <si>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</si>
  <si>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</si>
  <si>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</si>
  <si>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</si>
  <si>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</si>
  <si>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</si>
  <si>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</si>
  <si>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</si>
  <si>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</si>
  <si>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</si>
  <si>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</si>
  <si>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</si>
  <si>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</si>
  <si>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</si>
  <si>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</si>
  <si>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</si>
  <si>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</si>
  <si>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</si>
  <si>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</si>
  <si>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</si>
  <si>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</si>
  <si>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</si>
  <si>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</si>
  <si>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</si>
  <si>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</si>
  <si>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</si>
  <si>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</si>
  <si>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</si>
  <si>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</si>
  <si>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</si>
  <si>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</si>
  <si>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</si>
  <si>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</si>
  <si>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</si>
  <si>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</si>
  <si>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</si>
  <si>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</si>
  <si>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</si>
  <si>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</si>
  <si>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</si>
  <si>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</si>
  <si>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</si>
  <si>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</si>
  <si>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</si>
  <si>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</si>
  <si>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</si>
  <si>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</si>
  <si>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</si>
  <si>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</si>
  <si>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</si>
  <si>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</si>
  <si>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</si>
  <si>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</si>
  <si>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</si>
  <si>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</si>
  <si>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</si>
  <si>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</si>
  <si>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</si>
  <si>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</si>
  <si>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</si>
  <si>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</si>
  <si>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</si>
  <si>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</si>
  <si>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</si>
  <si>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</si>
  <si>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</si>
  <si>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</si>
  <si>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</si>
  <si>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</si>
  <si>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</si>
  <si>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</si>
  <si>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</si>
  <si>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</si>
  <si>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</si>
  <si>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</si>
  <si>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</si>
  <si>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</si>
  <si>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</si>
  <si>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</si>
  <si>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</si>
  <si>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</si>
  <si>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</si>
  <si>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</si>
  <si>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</si>
  <si>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</si>
  <si>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</si>
  <si>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</si>
  <si>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</si>
  <si>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</si>
  <si>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</si>
  <si>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</si>
  <si>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</si>
  <si>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</si>
  <si>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</si>
  <si>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</si>
  <si>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</si>
  <si>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</si>
  <si>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</si>
  <si>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</si>
  <si>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</si>
  <si>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</si>
  <si>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</si>
  <si>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</si>
  <si>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</si>
  <si>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/>
  </si>
  <si>
    <t>Lista</t>
  </si>
  <si>
    <t>Relaciones</t>
  </si>
  <si>
    <t>RF</t>
  </si>
  <si>
    <t>RM</t>
  </si>
  <si>
    <t>RP</t>
  </si>
  <si>
    <t>Regeneracion</t>
  </si>
  <si>
    <t>Advertir y Buscar</t>
  </si>
  <si>
    <t>Armaduras</t>
  </si>
  <si>
    <t>EXP</t>
  </si>
  <si>
    <t>Mana regen</t>
  </si>
  <si>
    <t>Nivel de vía</t>
  </si>
  <si>
    <t>Potenciar poderes</t>
  </si>
  <si>
    <t>RE</t>
  </si>
  <si>
    <t>RV</t>
  </si>
  <si>
    <t>Hecho</t>
  </si>
  <si>
    <t>Especial de turno</t>
  </si>
  <si>
    <t>Arma 1</t>
  </si>
  <si>
    <t>Arma 2</t>
  </si>
  <si>
    <t>Arma 3</t>
  </si>
  <si>
    <t>Arma 4</t>
  </si>
  <si>
    <t>X</t>
  </si>
  <si>
    <t>a</t>
  </si>
  <si>
    <t>b</t>
  </si>
  <si>
    <t>c</t>
  </si>
  <si>
    <t>└  Atléticas</t>
  </si>
  <si>
    <t>└  Vigor</t>
  </si>
  <si>
    <t>└  Perceptivas</t>
  </si>
  <si>
    <t>└  Intelectuales</t>
  </si>
  <si>
    <t>└  Sociales</t>
  </si>
  <si>
    <t>└  Subterfugio</t>
  </si>
  <si>
    <t>└  Creativas</t>
  </si>
  <si>
    <t>SI.ERROR(SI(BUSCARV(V2;$T$2:$T$8;1;FALSO)=V2;-1;0);0)</t>
  </si>
  <si>
    <t>SI(Y(T304=T304;T305=T305);"verdadero";"falso")</t>
  </si>
  <si>
    <t>└ Acrobacias</t>
  </si>
  <si>
    <t>└ Atletismo</t>
  </si>
  <si>
    <t>└ Montar</t>
  </si>
  <si>
    <t>└ Nadar</t>
  </si>
  <si>
    <t>└ Saltar</t>
  </si>
  <si>
    <t>└ Trepar</t>
  </si>
  <si>
    <t>└ Vigor</t>
  </si>
  <si>
    <t>└ Frialdad</t>
  </si>
  <si>
    <t>└ Proezas de fuerza</t>
  </si>
  <si>
    <t>└ Resistir el dolor</t>
  </si>
  <si>
    <t>└ Perceptivas</t>
  </si>
  <si>
    <t>└ Advertir</t>
  </si>
  <si>
    <t>└ Buscar</t>
  </si>
  <si>
    <t>└ Rastrear</t>
  </si>
  <si>
    <t>└ Intelectuales</t>
  </si>
  <si>
    <t>└ Animales</t>
  </si>
  <si>
    <t>└ Ciencia</t>
  </si>
  <si>
    <t>└ Herbolaria</t>
  </si>
  <si>
    <t>└ Historia</t>
  </si>
  <si>
    <t>└ Medicina</t>
  </si>
  <si>
    <t>└ Memorizar</t>
  </si>
  <si>
    <t>└ Navegación</t>
  </si>
  <si>
    <t>└ Ocultismo</t>
  </si>
  <si>
    <t>└ Tasación</t>
  </si>
  <si>
    <t>└ Valoración mágica</t>
  </si>
  <si>
    <t>└ Sociales</t>
  </si>
  <si>
    <t>└ Estilo</t>
  </si>
  <si>
    <t>└ Intimidar</t>
  </si>
  <si>
    <t>└ Liderazgo</t>
  </si>
  <si>
    <t>└ Persuasión</t>
  </si>
  <si>
    <t>└ Subterfugio</t>
  </si>
  <si>
    <t>└ Cerrajería</t>
  </si>
  <si>
    <t>└ Disfraz</t>
  </si>
  <si>
    <t>└ Ocultarse</t>
  </si>
  <si>
    <t>└ Robo</t>
  </si>
  <si>
    <t>└ Sigilo</t>
  </si>
  <si>
    <t>└ Trampería</t>
  </si>
  <si>
    <t>└ Venenos</t>
  </si>
  <si>
    <t>└ Creativas</t>
  </si>
  <si>
    <t>└ Arte</t>
  </si>
  <si>
    <t>└ Baile</t>
  </si>
  <si>
    <t>└ Forja</t>
  </si>
  <si>
    <t>└ Música</t>
  </si>
  <si>
    <t>└ Trucos de manos</t>
  </si>
  <si>
    <t>└ Atléticas</t>
  </si>
  <si>
    <t>si.error(y(si(buscarv(z304;hoja1;1;falso)=z304;1;0);(si(buscarv(z305;hoja1;1;falso)=z305;1;0));0)</t>
  </si>
  <si>
    <t>SI.ERROR(SI(BUSCARV(Z304;'Hoja básica'!S66:W73;1;FALSO)=Sheet3!Z304;1;0);0)</t>
  </si>
  <si>
    <t>SI.ERROR(SI(BUSCARV(Z303;'Hoja básica'!S66:W73;1;FALSO)=Sheet3!Z303;1;0);0)</t>
  </si>
  <si>
    <t>└  Acrobacias</t>
  </si>
  <si>
    <t>└  Atletismo</t>
  </si>
  <si>
    <t>└  Montar</t>
  </si>
  <si>
    <t>└  Nadar</t>
  </si>
  <si>
    <t>└  Saltar</t>
  </si>
  <si>
    <t>└  Trepar</t>
  </si>
  <si>
    <t>└  Frialdad</t>
  </si>
  <si>
    <t>└  Proezas de fuerza</t>
  </si>
  <si>
    <t>└  Resistir el dolor</t>
  </si>
  <si>
    <t>└  Advertir</t>
  </si>
  <si>
    <t>└  Buscar</t>
  </si>
  <si>
    <t>└  Rastrear</t>
  </si>
  <si>
    <t>└  Animales</t>
  </si>
  <si>
    <t>└  Ciencia</t>
  </si>
  <si>
    <t>└  Herbolaria</t>
  </si>
  <si>
    <t>└  Historia</t>
  </si>
  <si>
    <t>└  Medicina</t>
  </si>
  <si>
    <t>└  Memorizar</t>
  </si>
  <si>
    <t>└  Navegación</t>
  </si>
  <si>
    <t>└  Ocultismo</t>
  </si>
  <si>
    <t>└  Tasación</t>
  </si>
  <si>
    <t>└  Valoración mágica</t>
  </si>
  <si>
    <t>└  Estilo</t>
  </si>
  <si>
    <t>└  Intimidar</t>
  </si>
  <si>
    <t>└  Liderazgo</t>
  </si>
  <si>
    <t>└  Persuasión</t>
  </si>
  <si>
    <t>└  Cerrajería</t>
  </si>
  <si>
    <t>└  Disfraz</t>
  </si>
  <si>
    <t>└  Ocultarse</t>
  </si>
  <si>
    <t>└  Robo</t>
  </si>
  <si>
    <t>└  Sigilo</t>
  </si>
  <si>
    <t>└  Trampería</t>
  </si>
  <si>
    <t>└  Venenos</t>
  </si>
  <si>
    <t>└  Arte</t>
  </si>
  <si>
    <t>└  Baile</t>
  </si>
  <si>
    <t>└  Forja</t>
  </si>
  <si>
    <t>└  Música</t>
  </si>
  <si>
    <t>└  Trucos de manos</t>
  </si>
  <si>
    <t>Sumatorio</t>
  </si>
  <si>
    <t>Desventajas Libres</t>
  </si>
  <si>
    <t>Ventajas Libres</t>
  </si>
  <si>
    <t>buscamos 2b</t>
  </si>
  <si>
    <t>└   Atléticas</t>
  </si>
  <si>
    <t>└   Vigor</t>
  </si>
  <si>
    <t>└   Perceptivas</t>
  </si>
  <si>
    <t>└   Intelectuales</t>
  </si>
  <si>
    <t>└   Sociales</t>
  </si>
  <si>
    <t>└   Subterfugio</t>
  </si>
  <si>
    <t>└   Creativas</t>
  </si>
  <si>
    <t>└   Acrobacias</t>
  </si>
  <si>
    <t>└   Atletismo</t>
  </si>
  <si>
    <t>└   Montar</t>
  </si>
  <si>
    <t>└   Nadar</t>
  </si>
  <si>
    <t>└   Saltar</t>
  </si>
  <si>
    <t>└   Trepar</t>
  </si>
  <si>
    <t>└   Frialdad</t>
  </si>
  <si>
    <t>└   Advertir</t>
  </si>
  <si>
    <t>└   Buscar</t>
  </si>
  <si>
    <t>└   Rastrear</t>
  </si>
  <si>
    <t>└   Animales</t>
  </si>
  <si>
    <t>└   Ciencia</t>
  </si>
  <si>
    <t>└   Herbolaria</t>
  </si>
  <si>
    <t>└   Historia</t>
  </si>
  <si>
    <t>└   Medicina</t>
  </si>
  <si>
    <t>└   Memorizar</t>
  </si>
  <si>
    <t>└   Navegación</t>
  </si>
  <si>
    <t>└   Ocultismo</t>
  </si>
  <si>
    <t>└   Tasación</t>
  </si>
  <si>
    <t>└   Estilo</t>
  </si>
  <si>
    <t>└   Intimidar</t>
  </si>
  <si>
    <t>└   Liderazgo</t>
  </si>
  <si>
    <t>└   Persuasión</t>
  </si>
  <si>
    <t>└   Cerrajería</t>
  </si>
  <si>
    <t>└   Disfraz</t>
  </si>
  <si>
    <t>└   Ocultarse</t>
  </si>
  <si>
    <t>└   Robo</t>
  </si>
  <si>
    <t>└   Sigilo</t>
  </si>
  <si>
    <t>└   Trampería</t>
  </si>
  <si>
    <t>└   Venenos</t>
  </si>
  <si>
    <t>└   Arte</t>
  </si>
  <si>
    <t>└   Baile</t>
  </si>
  <si>
    <t>└   Forja</t>
  </si>
  <si>
    <t>└   Música</t>
  </si>
  <si>
    <t>1 espacio</t>
  </si>
  <si>
    <t>2 espacios</t>
  </si>
  <si>
    <t>3 espacios</t>
  </si>
  <si>
    <t>└   Proezas de fuerza</t>
  </si>
  <si>
    <t>└   Resistir el dolor</t>
  </si>
  <si>
    <t>└   Valoración mágica</t>
  </si>
  <si>
    <t>└   Trucos de manos</t>
  </si>
  <si>
    <t>└    Acrobacias</t>
  </si>
  <si>
    <t>└    Atletismo</t>
  </si>
  <si>
    <t>└    Montar</t>
  </si>
  <si>
    <t>└    Nadar</t>
  </si>
  <si>
    <t>└    Saltar</t>
  </si>
  <si>
    <t>└    Trepar</t>
  </si>
  <si>
    <t>└    Frialdad</t>
  </si>
  <si>
    <t>└    Proezas de fuerza</t>
  </si>
  <si>
    <t>└    Resistir el dolor</t>
  </si>
  <si>
    <t>└    Advertir</t>
  </si>
  <si>
    <t>└    Buscar</t>
  </si>
  <si>
    <t>└    Rastrear</t>
  </si>
  <si>
    <t>└    Animales</t>
  </si>
  <si>
    <t>└    Ciencia</t>
  </si>
  <si>
    <t>└    Herbolaria</t>
  </si>
  <si>
    <t>└    Historia</t>
  </si>
  <si>
    <t>└    Medicina</t>
  </si>
  <si>
    <t>└    Memorizar</t>
  </si>
  <si>
    <t>└    Navegación</t>
  </si>
  <si>
    <t>└    Ocultismo</t>
  </si>
  <si>
    <t>└    Tasación</t>
  </si>
  <si>
    <t>└    Valoración mágica</t>
  </si>
  <si>
    <t>└    Estilo</t>
  </si>
  <si>
    <t>└    Intimidar</t>
  </si>
  <si>
    <t>└    Liderazgo</t>
  </si>
  <si>
    <t>└    Persuasión</t>
  </si>
  <si>
    <t>└    Cerrajería</t>
  </si>
  <si>
    <t>└    Disfraz</t>
  </si>
  <si>
    <t>└    Ocultarse</t>
  </si>
  <si>
    <t>└    Robo</t>
  </si>
  <si>
    <t>└    Sigilo</t>
  </si>
  <si>
    <t>└    Trampería</t>
  </si>
  <si>
    <t>└    Venenos</t>
  </si>
  <si>
    <t>└    Arte</t>
  </si>
  <si>
    <t>└    Baile</t>
  </si>
  <si>
    <t>└    Forja</t>
  </si>
  <si>
    <t>└    Música</t>
  </si>
  <si>
    <t>└    Trucos de manos</t>
  </si>
  <si>
    <t>SI(S66=v.11;v.1;SI(S66=v.12;v.2;SI(S66=v.13;v.3;SI(S66=v.14;v.4;SI(S66=v.15;v.5;SI(S66=v.16;v.6;SI(S66=v.17;v.7;ventajas)))))))</t>
  </si>
  <si>
    <t>Versatibilidad Metamágica – 1</t>
  </si>
  <si>
    <t>Hechicero Nato - 1</t>
  </si>
  <si>
    <t>Aprendizaje Mágico Gradual - 1</t>
  </si>
  <si>
    <t>Don Incompleto - 1</t>
  </si>
  <si>
    <t>Esencia Sheele - 1</t>
  </si>
  <si>
    <t>Familiar - 2</t>
  </si>
  <si>
    <t>Familiar - 3</t>
  </si>
  <si>
    <t>Convocador de Masas - 1</t>
  </si>
  <si>
    <t>Convocador de Masas - 2</t>
  </si>
  <si>
    <t>Convocador de Masas - 3</t>
  </si>
  <si>
    <t>Acumulación Plena - 2</t>
  </si>
  <si>
    <t>Aprendizaje Marcial - 1</t>
  </si>
  <si>
    <t>Poder Innato - 1</t>
  </si>
  <si>
    <t>Técnicas Desvinculadas - 1</t>
  </si>
  <si>
    <t>Acumulación de Ki Incrementada - 2</t>
  </si>
  <si>
    <t>Acumulación de Ki Incrementada - 1</t>
  </si>
  <si>
    <t>Percepción de Ki - 1</t>
  </si>
  <si>
    <t>Límite Dual - 1</t>
  </si>
  <si>
    <t>Inutilidad Gestual - 1</t>
  </si>
  <si>
    <t>Sellos Magistrales - 1</t>
  </si>
  <si>
    <t>Tabla</t>
  </si>
  <si>
    <t>Critico</t>
  </si>
  <si>
    <t>ELE</t>
  </si>
  <si>
    <t>FRI</t>
  </si>
  <si>
    <t>ENE</t>
  </si>
  <si>
    <t>Ki Imperceptible - 1</t>
  </si>
  <si>
    <t>Ki de poder innato</t>
  </si>
  <si>
    <t>caracteristica</t>
  </si>
  <si>
    <t>ki que da</t>
  </si>
  <si>
    <t>Difícil de Matar - 1</t>
  </si>
  <si>
    <t>Difícil de Matar - 2</t>
  </si>
  <si>
    <t>Difícil de Matar - 3</t>
  </si>
  <si>
    <t>Al límite</t>
  </si>
  <si>
    <t>Inmunidad Sobrenatural - 1</t>
  </si>
  <si>
    <t>Inmunidad Sobrenatural - 2</t>
  </si>
  <si>
    <t>Inmunidad Sobrenatural - 3</t>
  </si>
  <si>
    <t>Sin límite de familiares - 2</t>
  </si>
  <si>
    <t>Sentido del combate (Ataque) - 3</t>
  </si>
  <si>
    <t>Sentido del combate (Parada) - 3</t>
  </si>
  <si>
    <t>Sentido del combate (Esquiva) - 3</t>
  </si>
  <si>
    <t>Bonificador Natural Incrementado - 2</t>
  </si>
  <si>
    <t>Uso de Armadura - 1</t>
  </si>
  <si>
    <t>Uso de Armadura - 2</t>
  </si>
  <si>
    <t>Uso de Armadura - 3</t>
  </si>
  <si>
    <t>Versátil - 1</t>
  </si>
  <si>
    <t>Superviviente - 1</t>
  </si>
  <si>
    <t>Tocado por el Destino - 1</t>
  </si>
  <si>
    <t>Inmunidad Psíquica - 1</t>
  </si>
  <si>
    <t>Habilidoso - 1</t>
  </si>
  <si>
    <t>Libre Albedrío - 1</t>
  </si>
  <si>
    <t>Seductor - 1</t>
  </si>
  <si>
    <t>Mágia Opuesta - 1</t>
  </si>
  <si>
    <t>Naturaleza mágica - 1</t>
  </si>
  <si>
    <t>Naturaleza mágica - 2</t>
  </si>
  <si>
    <t>Naturaleza mágica - 3</t>
  </si>
  <si>
    <t>Poder Natural - 1</t>
  </si>
  <si>
    <t>Dicción Mágica - 1</t>
  </si>
  <si>
    <t>Ambivalencia psíquica - 1</t>
  </si>
  <si>
    <t>Modificador Psíquico Incrementado - 1</t>
  </si>
  <si>
    <t>Endeble - 1</t>
  </si>
  <si>
    <t>Cobardía - 1</t>
  </si>
  <si>
    <t>Patoso - 1</t>
  </si>
  <si>
    <t>Sin bonificador natural - 1</t>
  </si>
  <si>
    <t>Insufrible - 1</t>
  </si>
  <si>
    <t>Novato - 1</t>
  </si>
  <si>
    <t>Destino aciago - 2</t>
  </si>
  <si>
    <t>Maldito - 1</t>
  </si>
  <si>
    <t>Maldito - 2</t>
  </si>
  <si>
    <t>lista de ventajas</t>
  </si>
  <si>
    <t>d</t>
  </si>
  <si>
    <t>e</t>
  </si>
  <si>
    <t>ventajas don</t>
  </si>
  <si>
    <t>ventajas psiquicos</t>
  </si>
  <si>
    <t>ventajas ambos</t>
  </si>
  <si>
    <t>ve.1</t>
  </si>
  <si>
    <t>ve.2</t>
  </si>
  <si>
    <t>ve.3</t>
  </si>
  <si>
    <t>ve.4</t>
  </si>
  <si>
    <t>desventajas don</t>
  </si>
  <si>
    <t>desventajas psíquicas</t>
  </si>
  <si>
    <t>desventajas ambas</t>
  </si>
  <si>
    <t>de.1</t>
  </si>
  <si>
    <t>de.2</t>
  </si>
  <si>
    <t>de.3</t>
  </si>
  <si>
    <t>de.4</t>
  </si>
  <si>
    <t>1+</t>
  </si>
  <si>
    <t>2+</t>
  </si>
  <si>
    <t>3+</t>
  </si>
  <si>
    <t>4+</t>
  </si>
  <si>
    <t>5+</t>
  </si>
  <si>
    <t>Afinidad de Uso - 1</t>
  </si>
  <si>
    <t>PUROS</t>
  </si>
  <si>
    <t>Turak</t>
  </si>
  <si>
    <t>Nephilim Turak</t>
  </si>
  <si>
    <t>Límites</t>
  </si>
  <si>
    <t>limites</t>
  </si>
  <si>
    <t>Mors: Límite de la muerte</t>
  </si>
  <si>
    <t>Cenobus: Límite del sacrificio</t>
  </si>
  <si>
    <t>Caelum: Límite del peligro</t>
  </si>
  <si>
    <t>Agon: Limite de la guerra</t>
  </si>
  <si>
    <t>Custodium: Límite del guardián</t>
  </si>
  <si>
    <t>Cruor: Límite de la sangre</t>
  </si>
  <si>
    <t>Terminus: Límite de fin</t>
  </si>
  <si>
    <t>Modificadores</t>
  </si>
  <si>
    <t>Arma inicial</t>
  </si>
  <si>
    <t>Sin coste</t>
  </si>
  <si>
    <t>lista de armas</t>
  </si>
  <si>
    <t>por múltiplo</t>
  </si>
  <si>
    <t>PV Finales</t>
  </si>
  <si>
    <t>Si</t>
  </si>
  <si>
    <t>1</t>
  </si>
  <si>
    <t>CV fraccion</t>
  </si>
  <si>
    <t>No usada más, servia para calcular los innatos, no era muy buena XD</t>
  </si>
  <si>
    <t>Consumos de Voluntad (CV)</t>
  </si>
  <si>
    <t>Modificador</t>
  </si>
  <si>
    <t>+10RM; +10RP; +20RE; +5RV; +5FR; +1 Regeneración; Necesidades limitadas; Desequilibrio a la luz</t>
  </si>
  <si>
    <t>+2 Tamaño; +1 Cansancio; +15RF; +1 FUE; -10 RM</t>
  </si>
  <si>
    <t>Ocultación de ki y +30</t>
  </si>
  <si>
    <t>-1 Tamaño</t>
  </si>
  <si>
    <t>Hombre</t>
  </si>
  <si>
    <t>Mujer</t>
  </si>
  <si>
    <t>SEXO (no gracias estoy muerto)</t>
  </si>
  <si>
    <t xml:space="preserve">DES;AGI;POD;INT +1; FUE;CON -1; +30RM RP; +20 RE; +10 RV; Necesidades limitadas; +3 regeneración; </t>
  </si>
  <si>
    <t>Ocultación de ki y +50</t>
  </si>
  <si>
    <t>+2 Tamaño; +2 FUE; +1 CON; +3 Cansancio; +20RF; Armas Naturales; -20RM; -1POD</t>
  </si>
  <si>
    <t>+1 AGI DES; -1 CON VOL; Armas naturales; -1 Tamaño</t>
  </si>
  <si>
    <t>+10 RM RP; +10 Convocar y Desconvocar; -10 RF RE</t>
  </si>
  <si>
    <t>+1INT POD VOL; -1 FUE; -2 CON; +2 Tamaño; +15 RM y RP; -10 RE RF; +10 Convocatoria</t>
  </si>
  <si>
    <t>+4 Regeneración</t>
  </si>
  <si>
    <t>+1 Regeneración; -20 RE</t>
  </si>
  <si>
    <t>Armas naturales; +1 PER</t>
  </si>
  <si>
    <t>+1 FUE CON; -1 INT; Armas naturales; TA2 FIL CON PEN CAL; +1 Regen</t>
  </si>
  <si>
    <t>Armas naturales; TA1 FIL CON PEN CAL</t>
  </si>
  <si>
    <t>Controla</t>
  </si>
  <si>
    <t>Ocultación de ki</t>
  </si>
  <si>
    <t>TA FIL</t>
  </si>
  <si>
    <t>TA CON</t>
  </si>
  <si>
    <t>TA PEN</t>
  </si>
  <si>
    <t>TA CAL</t>
  </si>
  <si>
    <t>RAZAS</t>
  </si>
  <si>
    <t>Necesidades limitadas</t>
  </si>
  <si>
    <t xml:space="preserve">Hombres +15 Resitencias RF+20; Mujeres +15 Resistencias RM +20; Desequilibrio oscuridad; +1 Regeneración; Necesidades limitadas; Visión nocturna?; Piroquinesis?; </t>
  </si>
  <si>
    <t>Combate desarmado / Armas naturales</t>
  </si>
  <si>
    <t>+1 CARACTERISTICAS; Hombres +15 Resitencias RF+20; Mujeres +15 Resistencias RM +20; +5 Regeneración; Necesidades limitadas</t>
  </si>
  <si>
    <t>Habilidades de Combate Físicas</t>
  </si>
  <si>
    <t>Penalizador</t>
  </si>
  <si>
    <t>Bono de DES</t>
  </si>
  <si>
    <t>+30 Proyeccion al defenderse, +1 nivel en poderes para defenderse</t>
  </si>
  <si>
    <t>-40 al Potencial cuando sienta miedo y estado de Miedo</t>
  </si>
  <si>
    <t>+1 Nivel al ayudar y protege sin penalizadores</t>
  </si>
  <si>
    <t>-20 a toda accion por tratar de dañar a alguien; VOL contra 18 para matar</t>
  </si>
  <si>
    <t>+20 al Potencial y la Proyección al afectar a otros</t>
  </si>
  <si>
    <t>Matrices visibles; -40 a todo si no hay gente; Dobla la pifia en poderes sobre sí</t>
  </si>
  <si>
    <t>+40 al Potencial sobre si mismo y mantiene un grado por encima esos poderes</t>
  </si>
  <si>
    <t>-20 a la Proyección al afectar a otros;
-40 a sociales frente a desconocidos</t>
  </si>
  <si>
    <t>Salud Mental 0</t>
  </si>
  <si>
    <t>Modifica su Potencial cada vez que usa un poder según 1D10</t>
  </si>
  <si>
    <t>+20 Proyección, +30 Potencial y +10 Daño para herir o manipular; +40 Frialdad</t>
  </si>
  <si>
    <t>-80 Potencial para vínculos, -20 Potencial para no dañar; -100 sociales</t>
  </si>
  <si>
    <t>+30 Proyección ofensiva y +1 nivel en los ataques</t>
  </si>
  <si>
    <t>-20 Proyección defensiva, -40 a toda acción al intentar escapar</t>
  </si>
  <si>
    <t>Requisito</t>
  </si>
  <si>
    <t>Mikael "El Alma de Dios"</t>
  </si>
  <si>
    <t>Zemial "El Fin de los Dias"</t>
  </si>
  <si>
    <t>Uriel "El Espíritu de la Libertad"</t>
  </si>
  <si>
    <t>Jedah "El Señor de las Marionetas"</t>
  </si>
  <si>
    <t>Gabriel "Dama de los Sentimientos"</t>
  </si>
  <si>
    <t>Rafael "La Madre de la Naturaleza"</t>
  </si>
  <si>
    <t>Erebus "La Sombra de los Sueños"</t>
  </si>
  <si>
    <t>Noah "El Guerrero Oscuro"</t>
  </si>
  <si>
    <t>Azrael "La Reina de las Espadas"</t>
  </si>
  <si>
    <t>Abbadon "El Mal Primigenio"</t>
  </si>
  <si>
    <t>Barakiel "El Dios Perfecto"</t>
  </si>
  <si>
    <t>Eriol "Ángel del Caos"</t>
  </si>
  <si>
    <t>Edamiel "El Espíritu del Vacío"</t>
  </si>
  <si>
    <t>Meseguis "El Llanto de la Oscuridad"</t>
  </si>
  <si>
    <t>Luz de esperanza</t>
  </si>
  <si>
    <t>Extirpar enfermedades</t>
  </si>
  <si>
    <t>Mantener en el mundo</t>
  </si>
  <si>
    <t>Permite sacar a alguien del estado entre la vida y la muerte</t>
  </si>
  <si>
    <t>Resistencia celestial</t>
  </si>
  <si>
    <t>Exorcizar el mal</t>
  </si>
  <si>
    <t>Aura</t>
  </si>
  <si>
    <t>50; Resistencia celestial</t>
  </si>
  <si>
    <t>Milagro</t>
  </si>
  <si>
    <t>Permite hacer pequeños milagros sin causar perjuicios</t>
  </si>
  <si>
    <t>Deshacer estados negativos</t>
  </si>
  <si>
    <t>Salvador</t>
  </si>
  <si>
    <t>Ayuda celestial</t>
  </si>
  <si>
    <t>Permite una llamada a elementales de luz al mes (adicionales gastan Elan)</t>
  </si>
  <si>
    <t>Levántate y anda</t>
  </si>
  <si>
    <t>Permite revivir</t>
  </si>
  <si>
    <t>Y al tercer día resucitó</t>
  </si>
  <si>
    <t>Asalto espiritual</t>
  </si>
  <si>
    <t>Ansia demencial</t>
  </si>
  <si>
    <t>Tras matar puedes entrar en ira voluntariamente e ignoras intentos de calmarte</t>
  </si>
  <si>
    <t>Daño anímico</t>
  </si>
  <si>
    <t>40, Asalto espiritual</t>
  </si>
  <si>
    <t>Las heridas causadas solo pueden curarse por medios sobrenaturales</t>
  </si>
  <si>
    <t>Destructor</t>
  </si>
  <si>
    <t>Señor de la destrucción (Tacto)</t>
  </si>
  <si>
    <t>elan 1</t>
  </si>
  <si>
    <t>elan 2</t>
  </si>
  <si>
    <t>elan 3</t>
  </si>
  <si>
    <t>elan 4</t>
  </si>
  <si>
    <t>Presencia exterminadora</t>
  </si>
  <si>
    <t>Señor de la destrucción (Vista)</t>
  </si>
  <si>
    <t>60; Tacto</t>
  </si>
  <si>
    <t>Señor de la destrucción (Aura)</t>
  </si>
  <si>
    <t>70; Vista</t>
  </si>
  <si>
    <t>Asalto destructor</t>
  </si>
  <si>
    <t>La sangre de la locura</t>
  </si>
  <si>
    <t>Si beben tu sangre RV 140 o se vuelven locos</t>
  </si>
  <si>
    <t>Portador de catástrofes</t>
  </si>
  <si>
    <t>Catástrofes a tu alrededor</t>
  </si>
  <si>
    <t>Instinto de libertad</t>
  </si>
  <si>
    <t>Inadvertido</t>
  </si>
  <si>
    <t>Espiritu indomable</t>
  </si>
  <si>
    <t>Alma libre</t>
  </si>
  <si>
    <t>Visionario</t>
  </si>
  <si>
    <t>Medio de transporte</t>
  </si>
  <si>
    <t>Romper las cadenas</t>
  </si>
  <si>
    <t>Ojos del futuro</t>
  </si>
  <si>
    <t>60; Visionario</t>
  </si>
  <si>
    <t>Paso libre</t>
  </si>
  <si>
    <t>Comunión con Uriel</t>
  </si>
  <si>
    <t>Esencia sobrenatural</t>
  </si>
  <si>
    <t>Una segunda oportunidad</t>
  </si>
  <si>
    <t>El viajero</t>
  </si>
  <si>
    <t>Puedes atravesar cualquier barrera física</t>
  </si>
  <si>
    <t>Predicciones poco claras sobre el futuro</t>
  </si>
  <si>
    <t>+1 en POD, VOL y DES</t>
  </si>
  <si>
    <t>Puedes repetir tiradas de resistencia que te pongan en un estado negativo</t>
  </si>
  <si>
    <t>Una vez por asalto puedes ir donde quieras sin tener en cuenta protecciones</t>
  </si>
  <si>
    <t>Don de la política</t>
  </si>
  <si>
    <t>Dominación incrementada</t>
  </si>
  <si>
    <t>Afinidad oscura</t>
  </si>
  <si>
    <t>El poder del conocimiento</t>
  </si>
  <si>
    <t>Cadena de mando</t>
  </si>
  <si>
    <t>Señor de las sombras</t>
  </si>
  <si>
    <t>65; Afinidad oscura</t>
  </si>
  <si>
    <t>Poder oscuro</t>
  </si>
  <si>
    <t>70; Habla</t>
  </si>
  <si>
    <t>90; Vista</t>
  </si>
  <si>
    <t>Maestro de marionetas</t>
  </si>
  <si>
    <t>El Dominador (Aura)</t>
  </si>
  <si>
    <t>El Dominador (Vista)</t>
  </si>
  <si>
    <t>El Dominador (Habla)</t>
  </si>
  <si>
    <t>Los seres de oscuridad te reconocen como uno de ellos</t>
  </si>
  <si>
    <t>Permite invocar seres oscuros y mantenerlos atados</t>
  </si>
  <si>
    <t>+1 POD, VOL y INT</t>
  </si>
  <si>
    <t>Aptitud artística</t>
  </si>
  <si>
    <t>Gracia</t>
  </si>
  <si>
    <t>Empatía positiva</t>
  </si>
  <si>
    <t>Aumenta los rasgos positivos de las personas a su alrededor</t>
  </si>
  <si>
    <t>Pacificador</t>
  </si>
  <si>
    <t>Percepción de sentimientos</t>
  </si>
  <si>
    <t>Permite sentir los sentimientos positivos en un área</t>
  </si>
  <si>
    <t>Imbuir sentimientos</t>
  </si>
  <si>
    <t>Auxilio</t>
  </si>
  <si>
    <t>Canto de la paz</t>
  </si>
  <si>
    <t>Protección</t>
  </si>
  <si>
    <t>Paraíso</t>
  </si>
  <si>
    <t>100 Elan</t>
  </si>
  <si>
    <t>En las manos apropiadas</t>
  </si>
  <si>
    <t>Puedes encontrar el material que necesitas</t>
  </si>
  <si>
    <t>Espíritu de superación</t>
  </si>
  <si>
    <t>Resistente</t>
  </si>
  <si>
    <t>Ignorar penalizadores</t>
  </si>
  <si>
    <t>Potencia oscura</t>
  </si>
  <si>
    <t>Dote</t>
  </si>
  <si>
    <t>Todos tus objetos cuentan como Calidad +10</t>
  </si>
  <si>
    <t>Mejorar ante los retos</t>
  </si>
  <si>
    <t>Obtienes bonificadores si enfrentas retos imposibles, +10 en ataque o +20 en secundarias</t>
  </si>
  <si>
    <t>Aura de guerra</t>
  </si>
  <si>
    <t>Avatar oscuro</t>
  </si>
  <si>
    <t>80; Inhumano</t>
  </si>
  <si>
    <t>La sombra de la guerra</t>
  </si>
  <si>
    <t>El vencedor</t>
  </si>
  <si>
    <t>Permite absorber las estadisticas de los rivales vencidos si estas son mayores a las propias</t>
  </si>
  <si>
    <t>Conocimiento de la naturaleza</t>
  </si>
  <si>
    <t>Conocimiento animal</t>
  </si>
  <si>
    <t>Manto de fertilidad</t>
  </si>
  <si>
    <t>Eliminar venenos naturales</t>
  </si>
  <si>
    <t>Tótem</t>
  </si>
  <si>
    <t>Curación expandida</t>
  </si>
  <si>
    <t>50; Curación</t>
  </si>
  <si>
    <t>Los ojos de la naturaleza</t>
  </si>
  <si>
    <t>Invocar animales</t>
  </si>
  <si>
    <t>Transformación animal</t>
  </si>
  <si>
    <t>Invocación incrementada</t>
  </si>
  <si>
    <t>80; Invocar</t>
  </si>
  <si>
    <t>Permite aumentar las razas que se invocan o multiplicar por 10 la cantidad invocada</t>
  </si>
  <si>
    <t>Curación ilimitada</t>
  </si>
  <si>
    <t>90; Curación 2</t>
  </si>
  <si>
    <t>Permite curar 5PV por asalto sin limite al día</t>
  </si>
  <si>
    <t>Conciencia de la naturaleza</t>
  </si>
  <si>
    <t>Conocimiento sobrenatural</t>
  </si>
  <si>
    <t>Presencia tenebrosa</t>
  </si>
  <si>
    <t>El damino de las pesadillas</t>
  </si>
  <si>
    <t>Permite hacer que alrededor la gente sueñe cosas buenas o malas</t>
  </si>
  <si>
    <t>Susurros oníricos</t>
  </si>
  <si>
    <t>Místico nato</t>
  </si>
  <si>
    <t>Influjo sobrenatural</t>
  </si>
  <si>
    <t>+2 a VOL o POD a elección</t>
  </si>
  <si>
    <t>Caminante de los sueños</t>
  </si>
  <si>
    <t>Los miedos cardinales</t>
  </si>
  <si>
    <t>Potenciación sobrenatural</t>
  </si>
  <si>
    <t>Nux, el miedo absoluto</t>
  </si>
  <si>
    <t>90; Miedos</t>
  </si>
  <si>
    <t>Miedo automático, RM o RP contra 140 o destrucción absoluta; Solo una vez por persona</t>
  </si>
  <si>
    <t>Demiurgo</t>
  </si>
  <si>
    <t>Control absoluto de los sueños, Gnosis 45 en vigília, 5 puntos a repartir en INT, POD y VOL</t>
  </si>
  <si>
    <t>Lider</t>
  </si>
  <si>
    <t>El valor de los héroes</t>
  </si>
  <si>
    <t>Exaltación del espíritu</t>
  </si>
  <si>
    <t>Sentido de la justicia</t>
  </si>
  <si>
    <t>Permite sentir actos injustos o malvados</t>
  </si>
  <si>
    <t>Espíritu sagrado</t>
  </si>
  <si>
    <t>Aura de poder</t>
  </si>
  <si>
    <t>60; Espíritu</t>
  </si>
  <si>
    <t>Destructor del mal</t>
  </si>
  <si>
    <t>Dobla el daño producido a criaturas oscuras o malignas</t>
  </si>
  <si>
    <t>Bendecido</t>
  </si>
  <si>
    <t>Guerrero de Azrael</t>
  </si>
  <si>
    <t>+1 FUE y DES</t>
  </si>
  <si>
    <t>Consagrar</t>
  </si>
  <si>
    <t>90, Aura</t>
  </si>
  <si>
    <t>Yihad</t>
  </si>
  <si>
    <t>Permite convocar una guerra santa, los seguidores son inmunes al miedo o al terror</t>
  </si>
  <si>
    <t>Empatía oscura</t>
  </si>
  <si>
    <t>Los ojos de la maldad</t>
  </si>
  <si>
    <t>Señor de los pecados</t>
  </si>
  <si>
    <t>Ser oscuro</t>
  </si>
  <si>
    <t>Corruptor de almas</t>
  </si>
  <si>
    <t>Encarnación demoníaca</t>
  </si>
  <si>
    <t>60, Ser oscuro</t>
  </si>
  <si>
    <t>Destructor de los sagrado</t>
  </si>
  <si>
    <t>Dobla el daño producido a criaturas benignas o de luz</t>
  </si>
  <si>
    <t>Don de la malignidad</t>
  </si>
  <si>
    <t>80, Ser oscuro</t>
  </si>
  <si>
    <t>Invocación demoníaca</t>
  </si>
  <si>
    <t>Devorador de almas</t>
  </si>
  <si>
    <t>La semilla del diablo</t>
  </si>
  <si>
    <t>Permite pervertir a otros convirtiendolos en seres demoníacos, otorga 200PD</t>
  </si>
  <si>
    <t>Estética</t>
  </si>
  <si>
    <t>Atrayente</t>
  </si>
  <si>
    <t>Saber de la ciencia</t>
  </si>
  <si>
    <t>Percibir emperfecciones</t>
  </si>
  <si>
    <t>Sentir el orden</t>
  </si>
  <si>
    <t>Permite sentir alteraciones caóticas o sobrenaturales</t>
  </si>
  <si>
    <t>Cuerpo perfecto</t>
  </si>
  <si>
    <t>50, Belleza</t>
  </si>
  <si>
    <t>Belleza perfecta</t>
  </si>
  <si>
    <t>Suma un punto a su APA cada semana hasta llegar a 10</t>
  </si>
  <si>
    <t>Aura de orden</t>
  </si>
  <si>
    <t>La esencia de Barakiel</t>
  </si>
  <si>
    <t>Incapaz de errar</t>
  </si>
  <si>
    <t>Divinidad en cuerpo y alma</t>
  </si>
  <si>
    <t>80, Cuerpo</t>
  </si>
  <si>
    <t>90, Cuerpo</t>
  </si>
  <si>
    <t>Perfección absoluta</t>
  </si>
  <si>
    <t>Otorgar fortuna y desgracia</t>
  </si>
  <si>
    <t>Permite otorgar buena o mala fortuna</t>
  </si>
  <si>
    <t>Alterar la ley de la casualidad</t>
  </si>
  <si>
    <t>Sentir el caos</t>
  </si>
  <si>
    <t>Robar la suerte</t>
  </si>
  <si>
    <t>Conjurar la providencia</t>
  </si>
  <si>
    <t>Estigma del caos</t>
  </si>
  <si>
    <t>Aura de caos</t>
  </si>
  <si>
    <t>Alterar el destino</t>
  </si>
  <si>
    <t>70, Providencia</t>
  </si>
  <si>
    <t>Permite entregar repetir tiradas a otros aunque gastan 2 usos en vez de 1</t>
  </si>
  <si>
    <t>Forzar la suerte</t>
  </si>
  <si>
    <t>Truncar el sino</t>
  </si>
  <si>
    <t>Señor del Caos</t>
  </si>
  <si>
    <t>100, Aura</t>
  </si>
  <si>
    <t>Permite controlar cosas que podrían suceder de modo normal</t>
  </si>
  <si>
    <t>Deseable</t>
  </si>
  <si>
    <t>Amplificador del placer</t>
  </si>
  <si>
    <t>La voz del placer</t>
  </si>
  <si>
    <t>Sentir el deseo</t>
  </si>
  <si>
    <t>Permite percibir los deseos en área</t>
  </si>
  <si>
    <t>Inmunidad psicológica Edamiel</t>
  </si>
  <si>
    <t>Inmunidad psicológica Gabriel</t>
  </si>
  <si>
    <t>Arrancar los sentimientos</t>
  </si>
  <si>
    <t>Permite retirar una emoción de alguien que quiere desacerse de ella</t>
  </si>
  <si>
    <t>Pasividad</t>
  </si>
  <si>
    <t>Anulación</t>
  </si>
  <si>
    <t>70, Arrancar</t>
  </si>
  <si>
    <t>Transición hacia el vacío</t>
  </si>
  <si>
    <t>Vórtice</t>
  </si>
  <si>
    <t>El paso de la nada</t>
  </si>
  <si>
    <t>La serenidad de la melancolía</t>
  </si>
  <si>
    <t>Camino de la venganza</t>
  </si>
  <si>
    <t>Ojos de pesadumbre</t>
  </si>
  <si>
    <t>Lágrimas por los demás</t>
  </si>
  <si>
    <t>Permite absorber la tristeza de los demás</t>
  </si>
  <si>
    <t>Transmitir el dolor</t>
  </si>
  <si>
    <t>Espíritu de la venganza</t>
  </si>
  <si>
    <t>La voz de los muertos</t>
  </si>
  <si>
    <t>Permite hablar con muertos que esten llenos de dolor y sufrimiento</t>
  </si>
  <si>
    <t>Vengador oscuro</t>
  </si>
  <si>
    <t>La voz del dolor</t>
  </si>
  <si>
    <t>60, Transmitir</t>
  </si>
  <si>
    <t>Más allá de la muerte</t>
  </si>
  <si>
    <t>Ejecutor oscuro</t>
  </si>
  <si>
    <t>80, Vengador</t>
  </si>
  <si>
    <t>Incrementa el bono de vengador a +20</t>
  </si>
  <si>
    <t>Espejo oscuro</t>
  </si>
  <si>
    <t>RM o RP contra 140, si fallo menor a 40 paralisis, si es mayor entonces muerte absoluta</t>
  </si>
  <si>
    <t>Comunión con los caídos</t>
  </si>
  <si>
    <t>100, La voz de los muertos</t>
  </si>
  <si>
    <t>Obtienes las habilidades de los muertos para enfrentarte a sus antagonistas</t>
  </si>
  <si>
    <t>be.1</t>
  </si>
  <si>
    <t>be.2</t>
  </si>
  <si>
    <t>be.3</t>
  </si>
  <si>
    <t>be.4</t>
  </si>
  <si>
    <t>ee.1</t>
  </si>
  <si>
    <t>ee.2</t>
  </si>
  <si>
    <t>ee.3</t>
  </si>
  <si>
    <t>ee.4</t>
  </si>
  <si>
    <t>ee.5</t>
  </si>
  <si>
    <t>ee.6</t>
  </si>
  <si>
    <t>ee.7</t>
  </si>
  <si>
    <t>ee.8</t>
  </si>
  <si>
    <t>ee.9</t>
  </si>
  <si>
    <t>ee.10</t>
  </si>
  <si>
    <t>ee.11</t>
  </si>
  <si>
    <t>ee.12</t>
  </si>
  <si>
    <t>ee.13</t>
  </si>
  <si>
    <t>ee.14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</si>
  <si>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</si>
  <si>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</si>
  <si>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</si>
  <si>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</si>
  <si>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</si>
  <si>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</si>
  <si>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</si>
  <si>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</si>
  <si>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</si>
  <si>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e.10</t>
  </si>
  <si>
    <t>e.11</t>
  </si>
  <si>
    <t>e.12</t>
  </si>
  <si>
    <t>e.13</t>
  </si>
  <si>
    <t>e.14</t>
  </si>
  <si>
    <t>referencias</t>
  </si>
  <si>
    <t>elan de cada uno</t>
  </si>
  <si>
    <t>Aumentas la dificultad de las resistencias que obligues a otros a pasar en +20</t>
  </si>
  <si>
    <t>Impulsas a seguir los sueños y abandonar los grilletes</t>
  </si>
  <si>
    <t>Aumentas el placer que produces en las relaciones</t>
  </si>
  <si>
    <t>Ignoras protecciones especiales al dañar</t>
  </si>
  <si>
    <t>Dañas energía</t>
  </si>
  <si>
    <t>Atraes la atención sobre ti mismo</t>
  </si>
  <si>
    <t>Generas un aura que hace que tu entorno sea más caótico</t>
  </si>
  <si>
    <t>Creas orden a tu alrededor</t>
  </si>
  <si>
    <t>Cuando pides ayuda sueles recibirla, incluso en los casos mas inverosímiles</t>
  </si>
  <si>
    <t>Al enfrentarte a una criatura maligna obtienes un +10 a todo, +30 si gastas un punto de Elan</t>
  </si>
  <si>
    <t>Puedes pasar poderes concretos a subordinados, no puedes usarlo mientras lo tiene otro</t>
  </si>
  <si>
    <t>Permite introducirte en los sueños de otros</t>
  </si>
  <si>
    <t>Permite saber por donde buscar para cumplir tu venganza</t>
  </si>
  <si>
    <t>Dentro de un entorno natural eres consciente de todo lo que sepan los seres vivos de su interior</t>
  </si>
  <si>
    <t>Permite alcanzar inhumano y no tienes penalizadores por cansancio</t>
  </si>
  <si>
    <t>Potencia tu libido</t>
  </si>
  <si>
    <t>Anulas estados, efectos y accidentes naturales, en los causados sobrenaturalmente permite repetir la tirada</t>
  </si>
  <si>
    <t>Te permite alimentarte de almas a tu servicio, recuperando vida, zeon o aumentando tus características</t>
  </si>
  <si>
    <t>Aumenta tus características en 1 cada mes hasta alcanzar el 10, sin contar bonos raciales</t>
  </si>
  <si>
    <t>Atraes a otros seres oscuros</t>
  </si>
  <si>
    <t>Tu presencia despoja de alma lentamente el entorno</t>
  </si>
  <si>
    <t>Posees un aura de maldad que saca lo peor de los que te rodean</t>
  </si>
  <si>
    <t>Tienes Gnosis 30</t>
  </si>
  <si>
    <t>Aumenta las tendencias vengativas de las personas a tu alrededor</t>
  </si>
  <si>
    <t>Imbuye de un sentimiento de superación a los que te rodean</t>
  </si>
  <si>
    <t>Eres como un elemental de luz pura</t>
  </si>
  <si>
    <t>La gente a tu alrededor se hace consciente de la importancia de comportarse correctamente</t>
  </si>
  <si>
    <t>Eres percibido como hermoso</t>
  </si>
  <si>
    <t>Pasas desapercibido</t>
  </si>
  <si>
    <t>No puedes hacer pifia</t>
  </si>
  <si>
    <t>Permite alcanzar inhumanidad en los campos en los que seas experto</t>
  </si>
  <si>
    <t>Dejas de envejecer, te vuelves inmune a enfermedades y venenos naturales</t>
  </si>
  <si>
    <t>Inconscientemente conoces la salida y los caminos más cortos</t>
  </si>
  <si>
    <t>1 Llamada al mes, invocas a un demonio con el que puedes hacer pactos</t>
  </si>
  <si>
    <t>Una vez al día puedes convocar un grupo de animales previamente decidido</t>
  </si>
  <si>
    <t>Tus debilidades o desventajas desaparecen a un ritmo de 1 al mes</t>
  </si>
  <si>
    <t>A tu paso generas guerras y conflictos</t>
  </si>
  <si>
    <t>Estableces un lazo con un individuo, podeis usar las resistencias del otro y comunicaros con la mirada</t>
  </si>
  <si>
    <t>RM o RP contra 140 o causas Miedo más un efecto; Ceguera y fobia a la oscuridad - Dolor y fobia al dolor - Muerte</t>
  </si>
  <si>
    <t>Percibes la maldad de las personas</t>
  </si>
  <si>
    <t>Otorgas esperanza y devuelves las ilusiones</t>
  </si>
  <si>
    <t>Permite expandir tus sentidos a los subordinados y controlarlos, dandoles acceso a tus conocimiento</t>
  </si>
  <si>
    <t>Mejora la salud de las cosas a tu alrededor</t>
  </si>
  <si>
    <t>Encuentras los medios apropiados para viajar</t>
  </si>
  <si>
    <t>Sientes la tristeza y el odio de los demás</t>
  </si>
  <si>
    <t>Reduces los conflictos y los apaciguas a pequeña escala</t>
  </si>
  <si>
    <t>Los que tengan menos presencia que tu no pueden tener sentimientos negativos ni dañar a otros</t>
  </si>
  <si>
    <t>Percibes de manera acentuada las imperfecciones</t>
  </si>
  <si>
    <t>Dejas de tirar dados, los resultados siempre son 100 o 10</t>
  </si>
  <si>
    <t>Matas lentamente las cosas a tu alrededor</t>
  </si>
  <si>
    <t>Reduces en uno la dificultad de un control por salvar a otro (u obtiene un +40)</t>
  </si>
  <si>
    <t>Permite sentir el caos a tu alrededor</t>
  </si>
  <si>
    <t>Obtienes el estatus de un elemental oscuro</t>
  </si>
  <si>
    <t>Puedes modificar tu sombra a voluntad</t>
  </si>
  <si>
    <t>Permite comunicarte con seres dormidos</t>
  </si>
  <si>
    <t>Un animal natural se vincula a ti, el animal tiene +5 INT; compartis sentidos y os comunicáis</t>
  </si>
  <si>
    <t>No puedes morir a no ser que destruyan tu alma o te ataque un ser con presencia mayor a 160</t>
  </si>
  <si>
    <t>+10 a todo si sirve para llevar a cabo tu venganza</t>
  </si>
  <si>
    <t>Revives tras pocos días sin negativos</t>
  </si>
  <si>
    <t>Puntos libres</t>
  </si>
  <si>
    <t>Lanzable, Precisa, Traba el arma</t>
  </si>
  <si>
    <t>A dos manos</t>
  </si>
  <si>
    <t>Compleja, A dos manos, Ver</t>
  </si>
  <si>
    <t>Compleja, Ver, Fuerza 11</t>
  </si>
  <si>
    <t>A dos manos,Ver</t>
  </si>
  <si>
    <t>A dos manos, Ver</t>
  </si>
  <si>
    <t>A una o dos manos, Lanzable</t>
  </si>
  <si>
    <t>Fuerza 13, Ver</t>
  </si>
  <si>
    <t>Fuerza 12,Ver</t>
  </si>
  <si>
    <t>A una o dos manos, Ver, Fue8</t>
  </si>
  <si>
    <t>A una o dos manos, Ver, Fue10</t>
  </si>
  <si>
    <t>Ver, Fuerza 6</t>
  </si>
  <si>
    <t>A una o dos manos, Ver</t>
  </si>
  <si>
    <t>Presa 10, Compleja, Ver</t>
  </si>
  <si>
    <t>Ver, A dos manos</t>
  </si>
  <si>
    <t>Fuerza 14, Ver</t>
  </si>
  <si>
    <t>Compleja, Precisa, Ver</t>
  </si>
  <si>
    <t>+30Parada, +15Esquiva, Ver</t>
  </si>
  <si>
    <t>+20Parada, +10Esquiva, Ver</t>
  </si>
  <si>
    <t>A una o dos manos</t>
  </si>
  <si>
    <t>Traba el arma</t>
  </si>
  <si>
    <t>A dos manos, Presa 8, Ver</t>
  </si>
  <si>
    <t>Lanzable, A una o dos manos</t>
  </si>
  <si>
    <t>Compleja, Presa 9, Ver</t>
  </si>
  <si>
    <t>A dos manos, Presa 8, Compleja</t>
  </si>
  <si>
    <t>Compleja, Ver, Fuerza 9</t>
  </si>
  <si>
    <t>A dos manos, Presa 7, Ver</t>
  </si>
  <si>
    <t>Lanzable, Presa 10, Ver</t>
  </si>
  <si>
    <t>+10Parada, +5Esquiva, Ver</t>
  </si>
  <si>
    <t>Precisa, Traba el arma</t>
  </si>
  <si>
    <t>Compleja, Traba el arma, Ver</t>
  </si>
  <si>
    <t>Nigromancia, Ilusión, Esencia, Fuego, Tierra, Agua</t>
  </si>
  <si>
    <t>Crea engendro, PJ elige mitad de los PD. Gnosis 20, y el nivel debe ser menor que el PJ</t>
  </si>
  <si>
    <t>Diario</t>
  </si>
  <si>
    <t>Dia</t>
  </si>
  <si>
    <t>Alrededor del brujo baja la temperatura natural</t>
  </si>
  <si>
    <t>Cambia la temperatura corporal para adaptarse al entorno</t>
  </si>
  <si>
    <t>Conjela un hechizo haciendo que no tenga efecto ni requiera mantenimiento</t>
  </si>
  <si>
    <t>Convierte los miedos en terrores y la locura transitoria en demencia</t>
  </si>
  <si>
    <t>Crea una barrera impenetrable, para cruzar hay que saber que está y pasar una RM</t>
  </si>
  <si>
    <t>El afectado no puede despertarse hasta que el hechicero quiera, RM diaria con +40 a la dificultad</t>
  </si>
  <si>
    <t>El yo onirico se hace presente en el mundo real mientras el objetivo del sueño duerme</t>
  </si>
  <si>
    <t>Impide que la persona despierte y la tortura con pesadillas</t>
  </si>
  <si>
    <t>los objetos deben caber en la bolsa, no aumenta su peso, los demás sacan cosas al azar</t>
  </si>
  <si>
    <t>Para seres luminosos, daño = fracaso; adiquieren un penalizador, Área Estática</t>
  </si>
  <si>
    <t>Permite comprender idiomas escritos o hablados</t>
  </si>
  <si>
    <t>permite congelar a las personas en el tiempo volviendolas inmunes</t>
  </si>
  <si>
    <t>Permite protegerse contra cosas que obligen a lanzar RM o RP, no ataques físicos</t>
  </si>
  <si>
    <t>Permite reducir los grados de aprendizaje de conjuros</t>
  </si>
  <si>
    <t>Transpasa una habilidad conceptual o niveles de magia de una persona a otra, quitandoselos a la primera</t>
  </si>
  <si>
    <t>Refleja hechizos, ki y matrices, no hechizos anímicos, atacas con tu proyeción</t>
  </si>
  <si>
    <t>Permite cambiar sigilo, ocultarse y ocultación de ki</t>
  </si>
  <si>
    <t>Afecta a niveles, si esperan el llamamiento espectros, sino cadáveres. Si Gn &gt; 15+natura no muerto perfecto</t>
  </si>
  <si>
    <t>Afecta a tantos sujetos hasta presencia máxima. Moverse y respirar bajo el agua</t>
  </si>
  <si>
    <t>Altera complexión fisica adquiriendo apariencia perfecta</t>
  </si>
  <si>
    <t>Amor,amistad...</t>
  </si>
  <si>
    <t>Área estática, aumenta la gravedad de lo que quiera</t>
  </si>
  <si>
    <t>Área estática, elimina las actitudes agresivas</t>
  </si>
  <si>
    <t>Ata el conjuro en un objeto para 1 solo uso, un objeto puede tener 4 veces zeon que su presencia</t>
  </si>
  <si>
    <t>Aumenta el máximo de puntos de vida. Seres con acumulación multiplican por cinco la cantidad</t>
  </si>
  <si>
    <t>Aumenta las capacidades del campo intelecutal, repartiendo como quiera hasta 340</t>
  </si>
  <si>
    <t>Aumenta las Resistencias contra detección; Permite usar y aumenta ocultación de ki</t>
  </si>
  <si>
    <t>Aumenta un valor falso el valor de zeon del conjuro para evitar efectos destuctores de hechizos</t>
  </si>
  <si>
    <t>Cambia de color algo, se puede resistir con RM 1 vez</t>
  </si>
  <si>
    <t>Cambia el exterior pero no las cualidades</t>
  </si>
  <si>
    <t>Cambia la localización de un hechizo a otro lugar. Si se translada un anímico el nuevo puede tirar RM</t>
  </si>
  <si>
    <t>Cierra de tal manera que solo puede ser abierta destrozándola o por medios mágicos</t>
  </si>
  <si>
    <t>Coloca TA a todo menos energía, no es otra capa de armadura</t>
  </si>
  <si>
    <t>Conecta los sentidos de varias criauras a los suyos, usándolos a su favor</t>
  </si>
  <si>
    <t>Confiere Uso de la Energía necesaria y Eliminación de necesidades</t>
  </si>
  <si>
    <t>Congela en área o a una persona (+20 Dificultad). RM, fallos: &lt;20 Paralisis menor, &lt;80 Paralisis Mayor, &gt;80 Completa</t>
  </si>
  <si>
    <t>Considerarán al hechicero su maestro e ideal; el culmen de toda su admiración</t>
  </si>
  <si>
    <t>Consume 25 Zeon por un +1 a una de sus características. No se superpone con otros hechizos de sacrificio (N56;N66;N80)</t>
  </si>
  <si>
    <t>Controla a los muertos en un área tras el lanzamiento, luego aunque entren no puede controlarlos</t>
  </si>
  <si>
    <t>Controla el clima</t>
  </si>
  <si>
    <t>Controla el cuerpo de un oponente, no la mente, se tira 1 vez al día.</t>
  </si>
  <si>
    <t>Controla el flujo de almas y las almas de la tierra libremente. 1RM al día</t>
  </si>
  <si>
    <t>Controla todo los elementales y el elemento</t>
  </si>
  <si>
    <t>Conviente en piedra al objetivo si no pasa la RM</t>
  </si>
  <si>
    <t>Crea caos de todo y todos, puede intentar controlarlo. Afecta según gnosis.</t>
  </si>
  <si>
    <t>Crea cualquier cosa, su presencia no puede ser mas del doble de la del brujo</t>
  </si>
  <si>
    <t>Crea intensidades de fuego y si el objeto es inflamable arde</t>
  </si>
  <si>
    <t>Crea minerales de una forma lógica (en el suelo)</t>
  </si>
  <si>
    <t>Crea nubes a control de hechicero</t>
  </si>
  <si>
    <t>Crea sentimientos negativos</t>
  </si>
  <si>
    <t>Crea un área estática donde no se puede hacer ningún daño</t>
  </si>
  <si>
    <t>Crea un área ilusoria; 1 RM solo</t>
  </si>
  <si>
    <t>Crea un arma con calidad según el grado del conjuro</t>
  </si>
  <si>
    <t>Crea un caos absoluto en donde todo puede pasar, permanece donde es lanzada</t>
  </si>
  <si>
    <t>Crea un contenedor con zeon interno; Solo puede haber un prisma a la vez</t>
  </si>
  <si>
    <t>Crea un espacio paralelo que copia el original, con 1 o más puertas. No copia seres de presencia &gt;20</t>
  </si>
  <si>
    <t>Crea un mensaje en un lugar que puede hacer aparecer o desaparecer</t>
  </si>
  <si>
    <t>Crea un personaje con personalidad e historia que escriba el hechicero</t>
  </si>
  <si>
    <t>Crea un vínculo de amistad si no se pasa RM o RP, una oportunidad al día</t>
  </si>
  <si>
    <t>Crea una abertura de 1 o 2 direcciones. Abertura, Distancia que separan, presencias al día</t>
  </si>
  <si>
    <t>Crea una cantidad determinada de cualquier líquido que no sea místico</t>
  </si>
  <si>
    <t>Crea una magistra interpretación de alguna forma de arte; con X habilidad o con la mitad como bono</t>
  </si>
  <si>
    <t>Crea una niebla como quiera el lanzador en una zona estática</t>
  </si>
  <si>
    <t>Crea una pluma que escribe según el hechicero quiera; Reduce a la mitad el resto de conjuros de esta subvía</t>
  </si>
  <si>
    <t>Creas un ser entre mundos</t>
  </si>
  <si>
    <t>Cuando alguien mienta al lanzador, lanza una RM o RP o el lanzador descubrirá la verdad</t>
  </si>
  <si>
    <t>Cuando la temperatura aumente 10 grados por encima del máximo histórico aumenta a la mitad</t>
  </si>
  <si>
    <t>Detección exacta; No se mueve el área</t>
  </si>
  <si>
    <t>Dobla el daño, Todo punto vulnerable, Evita barreras de Daño, Ent-5; Estático; Control 1 vez/día</t>
  </si>
  <si>
    <t>Dobla los negativos por vulnerabilidad</t>
  </si>
  <si>
    <t>Dota al hechicero con la capacidad de lanzar un conjuro de forma gratuíta, solo puede tener un conjuro así</t>
  </si>
  <si>
    <t>El brujo elige quien fallece en el radio a voluntad, si alguien supera RM no puede ser afectado nuevamente.</t>
  </si>
  <si>
    <t>El hechicero sabrá si le mienten aunque no en que</t>
  </si>
  <si>
    <t>El objetivo lanza una RM, si no la pasa creerá todo lo que diga el mago. +40 a tirada si está prevenido</t>
  </si>
  <si>
    <t>El ser posee Gnosis 25, tiene 1 nivel menos que su creador y -1 por cada otro ser</t>
  </si>
  <si>
    <t>El ser posee Gnosis 25, tiene 1 nivel menos que su creador y -1 por cada otro ser. Tiene que tener las partes que lo forman</t>
  </si>
  <si>
    <t>El ser se hace afín a los animales, que lo aceptan como uno más de su especie</t>
  </si>
  <si>
    <t>Elige el momento en el que alguien muere y como lo hará</t>
  </si>
  <si>
    <t>Elimina imperfecciones, realza el color y elimina afecciones cutaneas, dando aspecto vital y saludable</t>
  </si>
  <si>
    <t>En un área el conjuro innato tiene un nivel adicional de lo que sea su ACT, y añade un bono</t>
  </si>
  <si>
    <t>En un área los efectos de tecnicas, hechizos, poderes psíquicos, convocaciones, no tienen efecto</t>
  </si>
  <si>
    <t>En un área todos dejan de ser violentos. Cada cción violenta requiere RM</t>
  </si>
  <si>
    <t>En un radio del lanzador todos se vuelven afectados, elige que no pueden hacer si no pasan la RM, cada asalto</t>
  </si>
  <si>
    <t>Encanta un cuerpo físico de forma que todo lo que se ponga en contacto sufre un impacto</t>
  </si>
  <si>
    <t>Encanta un libro, para que recoja las experiencias del hechicero durante X tiempo</t>
  </si>
  <si>
    <t>Encanta un libro, para que responda a preguntas con una habilidad depende del grado</t>
  </si>
  <si>
    <t>Estático; Impide entrar tipos específicos; Área o Muro; 1 RM por hora</t>
  </si>
  <si>
    <t>Fragante aroma,suave y agradable que provoca placenteras sensaciones a quien lo huelen</t>
  </si>
  <si>
    <t>Funde la vigilia con la realidad, aunque no permite cruzar</t>
  </si>
  <si>
    <t>Hace aparecer un manantial atrayendo agua de las proximidades (en metros)</t>
  </si>
  <si>
    <t>Hace que ciertas acciones de una persona siempre salgan mal si no supera una RM, una en cada caso</t>
  </si>
  <si>
    <t>Hace que el resto del mundo deje de percibirle, siendo detectado solo por sobrenatural o pasando una RM</t>
  </si>
  <si>
    <t>Hace que no pueda soñar y lo expulsa de la vigilia, RM 1 vez al día</t>
  </si>
  <si>
    <t>Hace que un individuo cometa su pecado capital más afín</t>
  </si>
  <si>
    <t>Hacer realidad lo que sueña la gente, seres con Gnosis 25 máximo, nivel y presencia de objetos indicado</t>
  </si>
  <si>
    <t>Incrementa el peso</t>
  </si>
  <si>
    <t>Incrementa la RF o la entereza</t>
  </si>
  <si>
    <t>Incremetna la RM o RP para ser asaltado en sus sueños o llevado a la vigilia</t>
  </si>
  <si>
    <t>Inmuniza contra efectos psicológicos</t>
  </si>
  <si>
    <t>Introduce recuerdos falsos en la mente de otra persona. 1 RM para siempre</t>
  </si>
  <si>
    <t>Introduce una emoción en un objetivo, RM una vez al día</t>
  </si>
  <si>
    <t>Las romas no pueden mancharse, están planchadas e impecables</t>
  </si>
  <si>
    <t>Los sujetos a su alrededor tiran RM, si fallan &gt;20 duermen instantaneo, &lt;20 en 1 minuto. Mientras mantenga no despiertan</t>
  </si>
  <si>
    <t>Modifica el cuerpo de alguen dentro de los límites de su tamaño, RM 1 vez al día</t>
  </si>
  <si>
    <t>Modifica la realidad, Crea seres con nivel máximo la mitad del propio; Aplica reglas del conjuro fantasmal</t>
  </si>
  <si>
    <t>Modifica por entero cualquier cosa, seres con Gnosis 0 pueden obtener habilidades. RM una vez al dia</t>
  </si>
  <si>
    <t>Montura, acumulación de daño, Eliminación de peso y Atletismo 200</t>
  </si>
  <si>
    <t>Multiplica o Divide el ritmo de crecimiento por un valor. Solo 1 RM, para siempre</t>
  </si>
  <si>
    <t>No negativos por hambre, cansancio o sueño, puede seguir usando cansancio con normalidad</t>
  </si>
  <si>
    <t>Obtiene el control de todos los muertos en el área que no pasen la RM</t>
  </si>
  <si>
    <t>Obtiene el control de un ser espiritual o Entre Mundos; 1 RM al día</t>
  </si>
  <si>
    <t>Oculta la apariencia de algo, para verlo superar RM</t>
  </si>
  <si>
    <t>Otorga PD para usarse en habilidades derivadas de Fuerza, Agilidad o Percepción. No se pueden coger Sobrenaturales</t>
  </si>
  <si>
    <t>Otorga TA en energia, ignora hechizos y poderes psiquicos por debajo de lo indicado</t>
  </si>
  <si>
    <t>Otorga un bono a Resistir el Dolor</t>
  </si>
  <si>
    <t>Para seres oscuros, daño = fracaso; adiquieren un penalizador, Área Estática</t>
  </si>
  <si>
    <t>Paraliza todo el tiempo, el mago puede moverse pero no regenera zeon. Con Gn&gt;35 se puede lanzar RM</t>
  </si>
  <si>
    <t>Permite a los objetos ser cuerpos sobrenaturales de energia (barrera, espada...)</t>
  </si>
  <si>
    <t>Permite abrir un portal a la vigilia</t>
  </si>
  <si>
    <t>Permite colocar en un lugar sus sentidos, para percibir como si estuviera. RM para resistir</t>
  </si>
  <si>
    <t>Permite comunicarse con otros seres automáticamente</t>
  </si>
  <si>
    <t>Permite controlar a un ser de Gn 0, RM cada día</t>
  </si>
  <si>
    <t>Permite controlar criaturas naturales en un radio si no superan una RM a la vez</t>
  </si>
  <si>
    <t>Permite controlar el flujo de agua alrededor del hechicero</t>
  </si>
  <si>
    <t>Permite hacer que un hechizo lanzado no se active hasta que se den las circustancias adecuadas</t>
  </si>
  <si>
    <t>Permite obtener inhumanidad en lo que indique el conjuro</t>
  </si>
  <si>
    <t>Permite transformar un tipo de energía en otro, alterando su naturaleza. RM elementales</t>
  </si>
  <si>
    <t>Permite usar con otros el sacrificio, afecta a todos los que esten en el area si no superan la RM</t>
  </si>
  <si>
    <t>Permite ver en la oscuridad perfectamente a un máximo de presencias.</t>
  </si>
  <si>
    <t>Permite ver los sueños, solo en arcano se puede intervenir</t>
  </si>
  <si>
    <t>Premite repartir puntos de presencia en distintos objetos hasta una presencia máxima</t>
  </si>
  <si>
    <t>Presencia máxima indicada, puede afectar a varios</t>
  </si>
  <si>
    <t>Proporciona barrera de daño</t>
  </si>
  <si>
    <t>Proporciona inmaterialidad; Se puede resistir; Hay máxima presencia</t>
  </si>
  <si>
    <t>Puede levantar zombis por un máximo de presencia y con niveles máximos</t>
  </si>
  <si>
    <t>Puede mover cualquier cosa que no supere la RM y pesen en total menos que el máximo</t>
  </si>
  <si>
    <t>Reduce cualquier negativo (críticos no) a la mitad, permite estar entre la vida y la muerte sin nada. Parece un cadaver</t>
  </si>
  <si>
    <t>Reduce la valoración mágica de aquellos que intenten detectar conjuros</t>
  </si>
  <si>
    <t>Regenera todos sus PV al final del asalto</t>
  </si>
  <si>
    <t>RM o controlado, una vez al día</t>
  </si>
  <si>
    <t>RM o posee a otra persona, si no dañan energia resta PV solo al poseido, puede usar las habilidades del poseido</t>
  </si>
  <si>
    <t>RM o subiran hasta una altura máxima en un radio alrededor del hechicero</t>
  </si>
  <si>
    <t>Sacrifica 10 puntos de Zeon por +5 ACT al turno. No se superpone con otros hechizos de sacrificio (N56;N80)</t>
  </si>
  <si>
    <t>Sacrifica PV por beneficios, se recuperan a un ritmo de 10 al día, sin importar la regeneración. No otros sacrificios</t>
  </si>
  <si>
    <t>Sacrificio 5 PV por 100 Zeon a usar. Se regenera 10 al día. No se superpone con otros hechizos de sacrificio (N56;N66;72)</t>
  </si>
  <si>
    <t>Sella dentro de su cuerpo un objeto no 10 veces mayor, requiere un turno sacarlo</t>
  </si>
  <si>
    <t>Si falla la RM o RP se verá obligado a mentir en lo que el lanzador quiera</t>
  </si>
  <si>
    <t>Si no se supera RM o RF pierde 5 puntos de presencia coloca un Neg -10 al día. Estático; Se recupera al mismo ritmo</t>
  </si>
  <si>
    <t>Siempre que alguien lanze una detección lanza una RM o el brujo podrá engañarlo sin que se de cuenta</t>
  </si>
  <si>
    <t>Siempre que la suma de presencias no se supere no pueden ser dañadas si no es por energia</t>
  </si>
  <si>
    <t>Siempre que no se supere la presencia máxima Rastrear (280) para seguirles</t>
  </si>
  <si>
    <t>Siente el Caos alrededor del lanzador</t>
  </si>
  <si>
    <t>Suma de presencias, permite respirar en líquidos</t>
  </si>
  <si>
    <t>TA Cal; Ataca en area, &gt; /2 área: 240, &lt; /2 área: 280, bocajarro: 320. Activarlo es una acción activa</t>
  </si>
  <si>
    <t>Tiene la mitad de nivel que su cuerpo original, debe estar recien muerto, obtiene 100PD adicionales</t>
  </si>
  <si>
    <t>Todo lo que entre en el área lanza un RM o pierde la capacidad de salir</t>
  </si>
  <si>
    <t>Todo lo que entre en el área lanza un RM o pirde vida igual al fracaso. Presencia del objeto. Área afectada</t>
  </si>
  <si>
    <t>Todo ser vivo de presencia menor a 20 se pudre y marchita a gran velocidad</t>
  </si>
  <si>
    <t>Ver sobrenatural; Bono RM contra ilusión</t>
  </si>
  <si>
    <t>Aumenta la RM contra ilusiones</t>
  </si>
  <si>
    <t>Aumenta las resistencias, no se superpone al mismo hechizo</t>
  </si>
  <si>
    <t>Aumenta su belleza y obtiene un +200a persuasión(seducción), y la gente sexualmente compatible le atraerá abiertamente</t>
  </si>
  <si>
    <t>Controla el elemento y elementales si no pasan RM. Sangre +40 RM o RF</t>
  </si>
  <si>
    <t>Crea intensiades de frio, la temperatura se mantiene</t>
  </si>
  <si>
    <t>Crea luz</t>
  </si>
  <si>
    <t>Crea un homunculo de nivel 0 con Gn:5;Características&lt;=5;-2tamaño;Intelectuales bajo creador</t>
  </si>
  <si>
    <t>Crea un ser ilusorio, RM para descubrir. No pude tener más de dos nivele por encima del lanzador</t>
  </si>
  <si>
    <t>Crea una zona estática donde aumenta la RM contra detecciones y reduce las habilidades de detección</t>
  </si>
  <si>
    <t>Electrifica un objeto de máxima presencia y longitud. RF o daño /2 Fallo; Tocar</t>
  </si>
  <si>
    <t>En área puede controlar la gravedad, aumentándola o reduciéndola a voluntad en cada cuerpo que desee</t>
  </si>
  <si>
    <t>En pesadilla, no lo controlas; Te quedas en la vigilia</t>
  </si>
  <si>
    <t>En sueño, no lo controlas; Te quedas en la vigilia</t>
  </si>
  <si>
    <t>Evita la muerte física, aunque sufra daño. No protege frente a destrucción del alma</t>
  </si>
  <si>
    <t>Hace indetectable al que lo reciba a detecciones sobrenaturales</t>
  </si>
  <si>
    <t>Hace que los hechizos de efecto automático deban alcanzarle con proyección mágica</t>
  </si>
  <si>
    <t>Impide obtener Experiencia y desarrollar al personaje</t>
  </si>
  <si>
    <t>Niega todas las habilidades sobrenaturales</t>
  </si>
  <si>
    <t>Otorga una regeneración diferente a un ser</t>
  </si>
  <si>
    <t>Protege contra intensidades de calor y da un bono a la resistencia igual al daño protegido (1intensidad=5Daño)</t>
  </si>
  <si>
    <t>Protege contra intensidades de frio y da un bono a la resistencia igual al daño protegido (1intensidad=5Daño)</t>
  </si>
  <si>
    <t>Protege contra intensidades y da un bono a la resistencia igual al daño protegido (1intensidad=5Daño)</t>
  </si>
  <si>
    <t>Reduce el peso de algo hasta 1 Kg como máximo</t>
  </si>
  <si>
    <t>Reduce la Gnosis, 1 sola tirada para siempre</t>
  </si>
  <si>
    <t>Separa la presencia del cuerpo, que actua como fantasma, invisible, capaz de tocar cosas, dañado por energia...</t>
  </si>
  <si>
    <t>Siempre que la presencia conjunta no sea mayor pueden no respirar</t>
  </si>
  <si>
    <t>Todo lo que no supere la RM obtiene tipo de vuelo 6 y se mueve como quiera el lanzador</t>
  </si>
  <si>
    <t>Vuelo 14; Con sus ojos o con los tuyos (no a la vez) PV:1 Solo dañado por ENE</t>
  </si>
  <si>
    <t>X2 metros que pueden moverse por asalto, suma de presencias no superar la máxima</t>
  </si>
  <si>
    <t>Nv 4</t>
  </si>
  <si>
    <t>Coste:</t>
  </si>
  <si>
    <t>Nv 5</t>
  </si>
  <si>
    <t>Forzar Velocidad</t>
  </si>
  <si>
    <t>Nv 2</t>
  </si>
  <si>
    <t>Sentir la Magia</t>
  </si>
  <si>
    <t>Transmisión de Magia</t>
  </si>
  <si>
    <t>Nv 3</t>
  </si>
  <si>
    <t>Seguridad Defensiva</t>
  </si>
  <si>
    <t>Magia Vital</t>
  </si>
  <si>
    <t>Control de la Energía</t>
  </si>
  <si>
    <t>Bucle Existencial</t>
  </si>
  <si>
    <t>Nv 6</t>
  </si>
  <si>
    <t>Aguante al Daño Sobrenatural</t>
  </si>
  <si>
    <t>Doble Conjuro Innato</t>
  </si>
  <si>
    <t>Nv 7</t>
  </si>
  <si>
    <t>Nv 9</t>
  </si>
  <si>
    <t>Mantenimiento Añadido</t>
  </si>
  <si>
    <t>Nv 10</t>
  </si>
  <si>
    <t>Magia Oculta</t>
  </si>
  <si>
    <t>Proyección Mágica Determinada</t>
  </si>
  <si>
    <t>Regeneración Zeónica Avanzada</t>
  </si>
  <si>
    <t>Área Potenciada</t>
  </si>
  <si>
    <t>Incremento Destructivo</t>
  </si>
  <si>
    <t>Precisión Mística</t>
  </si>
  <si>
    <t>Doble Daño</t>
  </si>
  <si>
    <t>Conjuro Especialista Nv 50</t>
  </si>
  <si>
    <t>Distancia Incrementada</t>
  </si>
  <si>
    <t>Conjuro Especialista Nv 60</t>
  </si>
  <si>
    <t>Conjuro Especialista Nv 30</t>
  </si>
  <si>
    <t>Concentración Mística</t>
  </si>
  <si>
    <t>Romper Resistencias</t>
  </si>
  <si>
    <t>Maximización de Conjuros</t>
  </si>
  <si>
    <t>Conjuro Especialista Nv 80</t>
  </si>
  <si>
    <t>Nv 8</t>
  </si>
  <si>
    <t>Doble Conjuro</t>
  </si>
  <si>
    <t>Enlazar Conjuros</t>
  </si>
  <si>
    <t>Conjuro Innato Superior</t>
  </si>
  <si>
    <t>Alta Magia</t>
  </si>
  <si>
    <t>Conjuro Especialista Nv 70</t>
  </si>
  <si>
    <t>Explotación de la Energía Física</t>
  </si>
  <si>
    <t>Magia Combinada</t>
  </si>
  <si>
    <t>Efectos Persistentes</t>
  </si>
  <si>
    <t>Elevación</t>
  </si>
  <si>
    <t>Avatar</t>
  </si>
  <si>
    <t>Zeon Ilimitado</t>
  </si>
  <si>
    <t>Nivel gastado en Arcana Sepirah</t>
  </si>
  <si>
    <t xml:space="preserve">Nivel Máximo de Vía </t>
  </si>
  <si>
    <t>Arcana sepirah</t>
  </si>
  <si>
    <t>poderes</t>
  </si>
  <si>
    <t>contar</t>
  </si>
  <si>
    <t>Escudos Potenciados</t>
  </si>
  <si>
    <t>Eliminar Protección</t>
  </si>
  <si>
    <t>Control del Espacio</t>
  </si>
  <si>
    <t>manual</t>
  </si>
  <si>
    <t>comas</t>
  </si>
  <si>
    <t>texto</t>
  </si>
  <si>
    <t>texto concatenado</t>
  </si>
  <si>
    <t>Via total</t>
  </si>
  <si>
    <t>Via comprada</t>
  </si>
  <si>
    <t>Conocimiento natural de via</t>
  </si>
  <si>
    <t>Máximo Nivel Total</t>
  </si>
  <si>
    <t>Vía usada</t>
  </si>
  <si>
    <t>Nivel de Vía Usada</t>
  </si>
  <si>
    <t>valor de la via</t>
  </si>
  <si>
    <t>modificadores a la via</t>
  </si>
  <si>
    <t>multiplicadores a la via</t>
  </si>
  <si>
    <t>via final</t>
  </si>
  <si>
    <t>resultado</t>
  </si>
  <si>
    <t>Nivel natural disponible</t>
  </si>
  <si>
    <t>LISTA</t>
  </si>
  <si>
    <t>LUZ</t>
  </si>
  <si>
    <t>OSCURIDAD</t>
  </si>
  <si>
    <t>CREACIÓN</t>
  </si>
  <si>
    <t>DESTRUCCIÓN</t>
  </si>
  <si>
    <t>FUEGO</t>
  </si>
  <si>
    <t>AGUA</t>
  </si>
  <si>
    <t>TIERRA</t>
  </si>
  <si>
    <t>AIRE</t>
  </si>
  <si>
    <t>ESENCIA</t>
  </si>
  <si>
    <t>ILUSIÓN</t>
  </si>
  <si>
    <t>NIGROMANCIA</t>
  </si>
  <si>
    <t>GRIMORIO</t>
  </si>
  <si>
    <t>La ultracelda 1</t>
  </si>
  <si>
    <t>VACÍO</t>
  </si>
  <si>
    <t>UMBRAL</t>
  </si>
  <si>
    <t>TIEMPO</t>
  </si>
  <si>
    <t>SUEÑOS</t>
  </si>
  <si>
    <t>SANGRE</t>
  </si>
  <si>
    <t>CONOCIMIENTO</t>
  </si>
  <si>
    <t>PECADO</t>
  </si>
  <si>
    <t>PAZ</t>
  </si>
  <si>
    <t>NOBLEZA</t>
  </si>
  <si>
    <t>MUSICAL</t>
  </si>
  <si>
    <t>MUERTE</t>
  </si>
  <si>
    <t>LITERAE</t>
  </si>
  <si>
    <t>GUERRA</t>
  </si>
  <si>
    <t>CAOS</t>
  </si>
  <si>
    <t>La ultracelda 2</t>
  </si>
  <si>
    <t>Libre acceso disponibles</t>
  </si>
  <si>
    <t>totales</t>
  </si>
  <si>
    <t>escogidos</t>
  </si>
  <si>
    <t>resultados</t>
  </si>
  <si>
    <t>A pagar</t>
  </si>
  <si>
    <t>Pagados</t>
  </si>
  <si>
    <t>PD por libres</t>
  </si>
  <si>
    <t>Otros libres</t>
  </si>
  <si>
    <t>Comas</t>
  </si>
  <si>
    <t>La ultracelda 3</t>
  </si>
  <si>
    <t>celda de texto</t>
  </si>
  <si>
    <t>Poner el hechizo como en la Hoja básica para verlos mejor</t>
  </si>
  <si>
    <t>version</t>
  </si>
  <si>
    <t>armas naturales</t>
  </si>
  <si>
    <t>ataque adicional</t>
  </si>
  <si>
    <t>daño incrementado</t>
  </si>
  <si>
    <t>GN</t>
  </si>
  <si>
    <t>con -60 a HA</t>
  </si>
  <si>
    <t>+20 daño</t>
  </si>
  <si>
    <t>al día</t>
  </si>
  <si>
    <t>por minuto</t>
  </si>
  <si>
    <t>por asalto</t>
  </si>
  <si>
    <t>Fuerza</t>
  </si>
  <si>
    <t>tamaño de las armas</t>
  </si>
  <si>
    <t>grande</t>
  </si>
  <si>
    <t>enorme</t>
  </si>
  <si>
    <t>rotura</t>
  </si>
  <si>
    <t>entereza</t>
  </si>
  <si>
    <t>daño</t>
  </si>
  <si>
    <t>turno</t>
  </si>
  <si>
    <t>tamaño</t>
  </si>
  <si>
    <t>medio</t>
  </si>
  <si>
    <t>fuerza requerida</t>
  </si>
  <si>
    <t>+5</t>
  </si>
  <si>
    <t>+2</t>
  </si>
  <si>
    <t>Grande</t>
  </si>
  <si>
    <t>Enorme</t>
  </si>
  <si>
    <t>CM maxx</t>
  </si>
  <si>
    <t>CM min</t>
  </si>
  <si>
    <t>max desventajas</t>
  </si>
  <si>
    <t>Técnica 1</t>
  </si>
  <si>
    <t>Efectos Ofensivos</t>
  </si>
  <si>
    <t>Combinable</t>
  </si>
  <si>
    <t>Efecto principal</t>
  </si>
  <si>
    <t>Habilidad de ataque completa</t>
  </si>
  <si>
    <t>Habilidad de ataque</t>
  </si>
  <si>
    <t>Ataque predeterminado</t>
  </si>
  <si>
    <t>Car. Primaria</t>
  </si>
  <si>
    <t>Elementos</t>
  </si>
  <si>
    <t>Habilidad de contraataque</t>
  </si>
  <si>
    <t>Maniobras de combate y apuntar</t>
  </si>
  <si>
    <t>Maniobras de combate y apuntar reales</t>
  </si>
  <si>
    <t>Ataque indirecto</t>
  </si>
  <si>
    <t>Camuflar ataque</t>
  </si>
  <si>
    <t>Efectos Defensivos</t>
  </si>
  <si>
    <t>+10</t>
  </si>
  <si>
    <t>Contraataque</t>
  </si>
  <si>
    <t>Aire, Fuego, Oscuridad</t>
  </si>
  <si>
    <t>+3</t>
  </si>
  <si>
    <t>+1</t>
  </si>
  <si>
    <t>+25</t>
  </si>
  <si>
    <t>+40</t>
  </si>
  <si>
    <t>+50</t>
  </si>
  <si>
    <t>+75</t>
  </si>
  <si>
    <t>+90</t>
  </si>
  <si>
    <t>+100</t>
  </si>
  <si>
    <t>+125</t>
  </si>
  <si>
    <t>+175</t>
  </si>
  <si>
    <t>+200</t>
  </si>
  <si>
    <t>coste 2</t>
  </si>
  <si>
    <t>Sme</t>
  </si>
  <si>
    <t>Sma</t>
  </si>
  <si>
    <t>+150</t>
  </si>
  <si>
    <t>Asalto</t>
  </si>
  <si>
    <t>Luz, Oscuridad, Tierra</t>
  </si>
  <si>
    <t>Media (80)</t>
  </si>
  <si>
    <t>Difícil (120)</t>
  </si>
  <si>
    <t>Muy Difícil (140)</t>
  </si>
  <si>
    <t>Absurdo (180)</t>
  </si>
  <si>
    <t>Casi Imposible (240)</t>
  </si>
  <si>
    <t>Imposible (280)</t>
  </si>
  <si>
    <t>Inhumano (320)</t>
  </si>
  <si>
    <t>Zen (440)</t>
  </si>
  <si>
    <t>Agua, Aire, Tierra</t>
  </si>
  <si>
    <t>-25</t>
  </si>
  <si>
    <t>-50</t>
  </si>
  <si>
    <t>-75</t>
  </si>
  <si>
    <t>-100</t>
  </si>
  <si>
    <t>Agua, Aire, Oscuridad</t>
  </si>
  <si>
    <t>Técnica 1º Nv</t>
  </si>
  <si>
    <t>Técnica 2º Nv</t>
  </si>
  <si>
    <t>Técnica 3º Nv</t>
  </si>
  <si>
    <t>Habilidad de parada</t>
  </si>
  <si>
    <t>Habilidad de parada completa</t>
  </si>
  <si>
    <t>Habilidad de parada limitada</t>
  </si>
  <si>
    <t>Habilidad de esquiva</t>
  </si>
  <si>
    <t>Habilidad de esquiva completa</t>
  </si>
  <si>
    <t>Habilidad de esquiva limitada</t>
  </si>
  <si>
    <t>Defensa predeterminada</t>
  </si>
  <si>
    <t>Agua, Luz, Tierra</t>
  </si>
  <si>
    <t>Agua, Aire, Luz</t>
  </si>
  <si>
    <t>Aire, Luz, Oscuridad</t>
  </si>
  <si>
    <t>Efectos Destructivos</t>
  </si>
  <si>
    <t>Aumento de daño</t>
  </si>
  <si>
    <t>Ventaja opcional: Sacrificio</t>
  </si>
  <si>
    <t>Ventaja opcional: Daño límite</t>
  </si>
  <si>
    <t>Aumento de daño real</t>
  </si>
  <si>
    <t>Multiplicador al daño</t>
  </si>
  <si>
    <t>Multiplicador al daño real</t>
  </si>
  <si>
    <t>Sustitución de daño</t>
  </si>
  <si>
    <t>Sustitución de daño real</t>
  </si>
  <si>
    <t>Vital</t>
  </si>
  <si>
    <t>Vital doble</t>
  </si>
  <si>
    <t>Salud</t>
  </si>
  <si>
    <t>Fuego, Tierra</t>
  </si>
  <si>
    <t>x3</t>
  </si>
  <si>
    <t>x4</t>
  </si>
  <si>
    <t>Efectos de Acción</t>
  </si>
  <si>
    <t>Ataque adicional</t>
  </si>
  <si>
    <t>Ataque continuo</t>
  </si>
  <si>
    <t>Ventaja opcional: Ataque continuo</t>
  </si>
  <si>
    <t>Ventaja opcional: Bono de cansancio añadido</t>
  </si>
  <si>
    <t>Desventaja opcional: Combo</t>
  </si>
  <si>
    <t>Ataque adicional limitado</t>
  </si>
  <si>
    <t>Defensa adicional</t>
  </si>
  <si>
    <t>Accion Adicional</t>
  </si>
  <si>
    <t>Agua, Aire</t>
  </si>
  <si>
    <t>+4</t>
  </si>
  <si>
    <t>Bono de cansancio añadido</t>
  </si>
  <si>
    <t>Hasta 2 adicionales</t>
  </si>
  <si>
    <t>3 o más ataques adicionales</t>
  </si>
  <si>
    <t>+6</t>
  </si>
  <si>
    <t>+8</t>
  </si>
  <si>
    <t>Ilimitadas</t>
  </si>
  <si>
    <t>Variable</t>
  </si>
  <si>
    <t>Efectos de Reacción</t>
  </si>
  <si>
    <t>Incrementar turno</t>
  </si>
  <si>
    <t>Recuperar acción</t>
  </si>
  <si>
    <t>Previsión</t>
  </si>
  <si>
    <t>Aire, Luz, Agua</t>
  </si>
  <si>
    <t>Aire, Fuego, Luz</t>
  </si>
  <si>
    <t>A mitad</t>
  </si>
  <si>
    <t>Completo</t>
  </si>
  <si>
    <t>Sostenimiento menor</t>
  </si>
  <si>
    <t>Sostenimiento mayor</t>
  </si>
  <si>
    <t>Daño límite</t>
  </si>
  <si>
    <t>Concatenado</t>
  </si>
  <si>
    <t>Efectos combinables</t>
  </si>
  <si>
    <t>concatenado</t>
  </si>
  <si>
    <t>Efectos de Espaciales</t>
  </si>
  <si>
    <t>Ataque a distancia</t>
  </si>
  <si>
    <t>Ventaja opcional: Proyección</t>
  </si>
  <si>
    <t>Ventaja opcional: Estela de destrucción</t>
  </si>
  <si>
    <t>Ataque a distancia real</t>
  </si>
  <si>
    <t>Ataque con área</t>
  </si>
  <si>
    <t>Ventaja opcional: Elección de blanco</t>
  </si>
  <si>
    <t>Ataque con área real</t>
  </si>
  <si>
    <t>Parada en área</t>
  </si>
  <si>
    <t>Transporte automático</t>
  </si>
  <si>
    <t>Agua, Aire, Fuego</t>
  </si>
  <si>
    <t>Fuego, Luz, Oscuridad</t>
  </si>
  <si>
    <t>Luz, Tierra, Agua</t>
  </si>
  <si>
    <t>5 metros</t>
  </si>
  <si>
    <t>Proyección</t>
  </si>
  <si>
    <t>Estela de destrucción</t>
  </si>
  <si>
    <t>Elección de blanco</t>
  </si>
  <si>
    <t>10 metros</t>
  </si>
  <si>
    <t>20 metros</t>
  </si>
  <si>
    <t>50 metros</t>
  </si>
  <si>
    <t>100 metros</t>
  </si>
  <si>
    <t>250 metros</t>
  </si>
  <si>
    <t>500 metros</t>
  </si>
  <si>
    <t>1 kilómetro</t>
  </si>
  <si>
    <t>5 kilómetros</t>
  </si>
  <si>
    <t>10 kilómetros</t>
  </si>
  <si>
    <t>100 kilómetros</t>
  </si>
  <si>
    <t>1 metro</t>
  </si>
  <si>
    <t>25 metros</t>
  </si>
  <si>
    <t>Efectos Espaciales</t>
  </si>
  <si>
    <t>Efectos de Entereza</t>
  </si>
  <si>
    <t>Aumentar rotura</t>
  </si>
  <si>
    <t>Aumentar entereza</t>
  </si>
  <si>
    <t>Destruir armadura</t>
  </si>
  <si>
    <t>Ventaja opcional: Inmodificable</t>
  </si>
  <si>
    <t>Desventaja opcional: Armadura física</t>
  </si>
  <si>
    <t>Desventaja opcional: Lentitud</t>
  </si>
  <si>
    <t>Fuego, Luz, Tierra</t>
  </si>
  <si>
    <t>Fuego, Oscuridad</t>
  </si>
  <si>
    <t>+15</t>
  </si>
  <si>
    <t>+20</t>
  </si>
  <si>
    <t>+30</t>
  </si>
  <si>
    <t>+35</t>
  </si>
  <si>
    <t>-1 TA</t>
  </si>
  <si>
    <t>-2 TA</t>
  </si>
  <si>
    <t>-3 TA</t>
  </si>
  <si>
    <t>-4 TA</t>
  </si>
  <si>
    <t>-5 TA</t>
  </si>
  <si>
    <t>-6 TA</t>
  </si>
  <si>
    <t>-7 TA</t>
  </si>
  <si>
    <t>-8 TA</t>
  </si>
  <si>
    <t>Sin armadura</t>
  </si>
  <si>
    <t>Inmmodificable</t>
  </si>
  <si>
    <t>Armadura física</t>
  </si>
  <si>
    <t>Efectos de Incremento</t>
  </si>
  <si>
    <t>Incremento de movimiento</t>
  </si>
  <si>
    <t>Incremento de habilidad</t>
  </si>
  <si>
    <t>Capacidad incrementada</t>
  </si>
  <si>
    <t>Incremento de resistencia física</t>
  </si>
  <si>
    <t>Ventaja opcional: Otros incrementos</t>
  </si>
  <si>
    <t>Incremento de resistencia mágica</t>
  </si>
  <si>
    <t>Incremento de resistencia psíquica</t>
  </si>
  <si>
    <t>Habilidades perceptivas</t>
  </si>
  <si>
    <t>Agua, Fuego, Oscuridad</t>
  </si>
  <si>
    <t>Aire, Agua, Luz</t>
  </si>
  <si>
    <t>+7</t>
  </si>
  <si>
    <t>+60</t>
  </si>
  <si>
    <t>+80</t>
  </si>
  <si>
    <t>Visión Nocturna</t>
  </si>
  <si>
    <t>Visión Radial</t>
  </si>
  <si>
    <t>Visión de magia</t>
  </si>
  <si>
    <t>Visión de matrices</t>
  </si>
  <si>
    <t>Ver lo sobrenatural</t>
  </si>
  <si>
    <t>Visión Espiritual</t>
  </si>
  <si>
    <t>Efectos Variados</t>
  </si>
  <si>
    <t>Ataque capaz de dañar energía</t>
  </si>
  <si>
    <t>Armas físicas de Ki</t>
  </si>
  <si>
    <t>Ventaja opcional: Proyectiles</t>
  </si>
  <si>
    <t>Ventaja opcional: Armas adicionales</t>
  </si>
  <si>
    <t>Ataque sobrenatural</t>
  </si>
  <si>
    <t>Absorción de Ki</t>
  </si>
  <si>
    <t>Apresamiento</t>
  </si>
  <si>
    <t>Ventaja opcional: Presa existencial</t>
  </si>
  <si>
    <t>Choque físico</t>
  </si>
  <si>
    <t>Ventaja opcional: Regeneración</t>
  </si>
  <si>
    <t>Espejismo</t>
  </si>
  <si>
    <t>Ventaja opcional: Indetección</t>
  </si>
  <si>
    <t>Ventaja opcional: Modificación de aspecto</t>
  </si>
  <si>
    <t>Ventaja opcional: Ilusiones fantasmales</t>
  </si>
  <si>
    <t>Estados sobrenaturales</t>
  </si>
  <si>
    <t>Ventaja opcional: Estado añadido</t>
  </si>
  <si>
    <t>Ventaja opcional: Condición predeterminada</t>
  </si>
  <si>
    <t>Ventaja opcional: Distancia del efecto</t>
  </si>
  <si>
    <t>Impacto</t>
  </si>
  <si>
    <t>Interrupción</t>
  </si>
  <si>
    <t>Ventaja opcional: Tipo de interrupción</t>
  </si>
  <si>
    <t>Ventaja opcional: Atraer</t>
  </si>
  <si>
    <t>Intangibilidad</t>
  </si>
  <si>
    <t>Ventaja opcional: Afectar a otros</t>
  </si>
  <si>
    <t>Ventaja opcional: Fusión</t>
  </si>
  <si>
    <t>Marca</t>
  </si>
  <si>
    <t>Ventaja opcional: Permanencia</t>
  </si>
  <si>
    <t>Potenciar crítico</t>
  </si>
  <si>
    <t>Ventaja opcional: Crítico automático</t>
  </si>
  <si>
    <t>Potenciar crítico real</t>
  </si>
  <si>
    <t>Reflectar el ataque</t>
  </si>
  <si>
    <t>Ventaja opcional: Reflectar habilidades esotéricas</t>
  </si>
  <si>
    <t>Choque</t>
  </si>
  <si>
    <t>Reflectar</t>
  </si>
  <si>
    <t>Luz, Oscuridad</t>
  </si>
  <si>
    <t>Agua, Oscuridad</t>
  </si>
  <si>
    <t>Agua, Luz</t>
  </si>
  <si>
    <t>Agua, Luz, Oscuridad</t>
  </si>
  <si>
    <t>Dañar energía</t>
  </si>
  <si>
    <t>Presa existencial</t>
  </si>
  <si>
    <t>Modificación de aspecto</t>
  </si>
  <si>
    <t>Atraer</t>
  </si>
  <si>
    <t>Crítico automático</t>
  </si>
  <si>
    <t>Reflectar habilidades esotéricas</t>
  </si>
  <si>
    <t>Elemental</t>
  </si>
  <si>
    <t>+0</t>
  </si>
  <si>
    <t>Arma de proyectil</t>
  </si>
  <si>
    <t>1 arma adicional</t>
  </si>
  <si>
    <t>De 2 a 3 armas adicionales</t>
  </si>
  <si>
    <t>De 4 a 10 armas adicionales</t>
  </si>
  <si>
    <t>Hasta 5</t>
  </si>
  <si>
    <t>Hasta 10</t>
  </si>
  <si>
    <t>Hasta 15</t>
  </si>
  <si>
    <t>Hasta 20</t>
  </si>
  <si>
    <t>Hasta 25</t>
  </si>
  <si>
    <t>Regeneración 100</t>
  </si>
  <si>
    <t>Regeneración 250</t>
  </si>
  <si>
    <t>Regeneración 500</t>
  </si>
  <si>
    <t>RP 140</t>
  </si>
  <si>
    <t>RP 180</t>
  </si>
  <si>
    <t>RP 240</t>
  </si>
  <si>
    <t>RF 40</t>
  </si>
  <si>
    <t>RF 60</t>
  </si>
  <si>
    <t>RF 80</t>
  </si>
  <si>
    <t>RF 100</t>
  </si>
  <si>
    <t>RF 120</t>
  </si>
  <si>
    <t>RF 140</t>
  </si>
  <si>
    <t>RF 160</t>
  </si>
  <si>
    <t>RF 180</t>
  </si>
  <si>
    <t>RF 200</t>
  </si>
  <si>
    <t>Coma</t>
  </si>
  <si>
    <t>Control</t>
  </si>
  <si>
    <t>Doble daño</t>
  </si>
  <si>
    <t>Dolor</t>
  </si>
  <si>
    <t>Dolor extremo</t>
  </si>
  <si>
    <t>Drenaje de vida</t>
  </si>
  <si>
    <t>Drenaje de Ki</t>
  </si>
  <si>
    <t>Fascinación</t>
  </si>
  <si>
    <t>Ilusión fantasmal</t>
  </si>
  <si>
    <t>Ilusión mayor</t>
  </si>
  <si>
    <t>Inconsciencia</t>
  </si>
  <si>
    <t>Miedo</t>
  </si>
  <si>
    <t>Paralización parcial</t>
  </si>
  <si>
    <t>Paralización total</t>
  </si>
  <si>
    <t>Penalizador a la acción mayor</t>
  </si>
  <si>
    <t>Penalizador a la acción menor</t>
  </si>
  <si>
    <t>Reducción de Características</t>
  </si>
  <si>
    <t>Reducción de una Característica</t>
  </si>
  <si>
    <t>Reducción de RF</t>
  </si>
  <si>
    <t>Reducción de RP</t>
  </si>
  <si>
    <t>Beso</t>
  </si>
  <si>
    <t>Contacto físico</t>
  </si>
  <si>
    <t>Contacto visual mutuo</t>
  </si>
  <si>
    <t>Cpmtacto visual (un blanco)</t>
  </si>
  <si>
    <t>Contacto visual (Varios blancos)</t>
  </si>
  <si>
    <t>Por el aire</t>
  </si>
  <si>
    <t>Por sonido (un blanco)</t>
  </si>
  <si>
    <t>Por sonido (varios blancos)</t>
  </si>
  <si>
    <t>Por superficie</t>
  </si>
  <si>
    <t>Por toda superficie</t>
  </si>
  <si>
    <t>150 metros</t>
  </si>
  <si>
    <t>Daño +10</t>
  </si>
  <si>
    <t>Daño +40</t>
  </si>
  <si>
    <t>Daño +60</t>
  </si>
  <si>
    <t>Daño +80</t>
  </si>
  <si>
    <t>Daño +100</t>
  </si>
  <si>
    <t>Daño +120</t>
  </si>
  <si>
    <t>Habilidades psíquicas</t>
  </si>
  <si>
    <t>Presencia simple</t>
  </si>
  <si>
    <t>Presencia extendida</t>
  </si>
  <si>
    <t>Marca menor</t>
  </si>
  <si>
    <t>Marca mayor</t>
  </si>
  <si>
    <t>Prolongada</t>
  </si>
  <si>
    <t>Eterna</t>
  </si>
  <si>
    <t>Elección del blanco</t>
  </si>
  <si>
    <t>DESVENTAJAS</t>
  </si>
  <si>
    <t>Agotamiento</t>
  </si>
  <si>
    <t>Atadura elemental</t>
  </si>
  <si>
    <t>Ataque especializado</t>
  </si>
  <si>
    <t>Atada a un arma</t>
  </si>
  <si>
    <t>Circunstancia límite</t>
  </si>
  <si>
    <t>Circunstancia de combate</t>
  </si>
  <si>
    <t>Condiciones</t>
  </si>
  <si>
    <t>Daño reducido</t>
  </si>
  <si>
    <t>Defensa especializada</t>
  </si>
  <si>
    <t>Exterminador</t>
  </si>
  <si>
    <t>Exceso de energía</t>
  </si>
  <si>
    <t>Pérdida del arma</t>
  </si>
  <si>
    <t>Penalizador a toda acción</t>
  </si>
  <si>
    <t>Predeterminación</t>
  </si>
  <si>
    <t>Preparación previa</t>
  </si>
  <si>
    <t>Requerimientos elementales</t>
  </si>
  <si>
    <t>Sacrificio</t>
  </si>
  <si>
    <t>Sin defensa</t>
  </si>
  <si>
    <t>Sobrecarga</t>
  </si>
  <si>
    <t>Técnica final</t>
  </si>
  <si>
    <t>Técnica mantenida</t>
  </si>
  <si>
    <t>Usos limitados</t>
  </si>
  <si>
    <t>Sacrificio de características</t>
  </si>
  <si>
    <t>Opción</t>
  </si>
  <si>
    <t>Reducción CM</t>
  </si>
  <si>
    <t>-6</t>
  </si>
  <si>
    <t>Cualquiera</t>
  </si>
  <si>
    <t>Hacia un elemento</t>
  </si>
  <si>
    <t>Hacia dos afines</t>
  </si>
  <si>
    <t>Solo contra parada</t>
  </si>
  <si>
    <t>Solo contra esquiva</t>
  </si>
  <si>
    <t>Solo contra acumulación</t>
  </si>
  <si>
    <t>Atada a un arma genérica</t>
  </si>
  <si>
    <t>Atada a un arma única</t>
  </si>
  <si>
    <t>Mitad de PV</t>
  </si>
  <si>
    <t>Una cuarta parte de PV</t>
  </si>
  <si>
    <t>PV negativos</t>
  </si>
  <si>
    <t>Recibir daño</t>
  </si>
  <si>
    <t>Circunstancia</t>
  </si>
  <si>
    <t>Desenvainar</t>
  </si>
  <si>
    <t>En vuelo</t>
  </si>
  <si>
    <t>En carga</t>
  </si>
  <si>
    <t>Montado</t>
  </si>
  <si>
    <t>Diurno</t>
  </si>
  <si>
    <t>Nocturno</t>
  </si>
  <si>
    <t>Terreno determinado</t>
  </si>
  <si>
    <t>En un momento concreto</t>
  </si>
  <si>
    <t>Ningun daño</t>
  </si>
  <si>
    <t>Mitad de daño</t>
  </si>
  <si>
    <t>Solo contra ataques físicos</t>
  </si>
  <si>
    <t>Solo contra proyectiles</t>
  </si>
  <si>
    <t>Solo contra Técnicas del Ki</t>
  </si>
  <si>
    <t>Solo contra conjuros</t>
  </si>
  <si>
    <t>Solo contra poderes psíquicos</t>
  </si>
  <si>
    <t>Contra seres humaniodes</t>
  </si>
  <si>
    <t>Contra una clase determinada de ser</t>
  </si>
  <si>
    <t>Contra un ser determinado</t>
  </si>
  <si>
    <t>-125</t>
  </si>
  <si>
    <t>-150</t>
  </si>
  <si>
    <t>1 minuto</t>
  </si>
  <si>
    <t>Intensidad mayor</t>
  </si>
  <si>
    <t>Intensidad simple</t>
  </si>
  <si>
    <t>-50 PV</t>
  </si>
  <si>
    <t>-25 PV</t>
  </si>
  <si>
    <t>-75 PV</t>
  </si>
  <si>
    <t>-100 PV</t>
  </si>
  <si>
    <t>Sacrificio de característica</t>
  </si>
  <si>
    <t>Espera de 5 asaltos</t>
  </si>
  <si>
    <t>Espera de 20 asaltos</t>
  </si>
  <si>
    <t>Técnica de 1º nivel</t>
  </si>
  <si>
    <t>Técnica de 2º nivel</t>
  </si>
  <si>
    <t>Técnica de 3º nivel</t>
  </si>
  <si>
    <t>20 Usos</t>
  </si>
  <si>
    <t>10 Usos</t>
  </si>
  <si>
    <t>5 Usos</t>
  </si>
  <si>
    <t>3 Usos</t>
  </si>
  <si>
    <t>1 Uso</t>
  </si>
  <si>
    <t>Reparto en otras características</t>
  </si>
  <si>
    <t>Car. Opcionales</t>
  </si>
  <si>
    <t>Coste de Ki</t>
  </si>
  <si>
    <t>Busqueda del ki</t>
  </si>
  <si>
    <t>Cambio de ki</t>
  </si>
  <si>
    <t>Combinable Ki</t>
  </si>
  <si>
    <t>Combinable CM</t>
  </si>
  <si>
    <t>CM máximo de la técnica</t>
  </si>
  <si>
    <t>CM mínimo de la técnica</t>
  </si>
  <si>
    <t>Desventajas máximas</t>
  </si>
  <si>
    <t>concatenaciones</t>
  </si>
  <si>
    <t>comas,</t>
  </si>
  <si>
    <t>SI(BX81&gt;0;SI(BY81;", ";"")&amp;BV81</t>
  </si>
  <si>
    <t>Concatenado de otros elementos</t>
  </si>
  <si>
    <t>Técnica 4</t>
  </si>
  <si>
    <t>Técnica 3</t>
  </si>
  <si>
    <t>Técnica 2</t>
  </si>
  <si>
    <t>v1.1.0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</si>
</sst>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6"/>
      <name val="Arial"/>
      <family val="2"/>
    </font>
    <font>
      <b/>
      <sz val="6"/>
      <color indexed="81"/>
      <name val="Tahoma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4.5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0"/>
      <color theme="0"/>
      <name val="Arial"/>
      <family val="2"/>
    </font>
    <font>
      <sz val="11"/>
      <color indexed="9"/>
      <name val="Arial Black"/>
      <family val="2"/>
    </font>
    <font>
      <b/>
      <sz val="10"/>
      <color theme="0" tint="-0.249977111117893"/>
      <name val="Arial"/>
      <family val="2"/>
    </font>
    <font>
      <sz val="10"/>
      <color indexed="9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1" tint="0.499984740745262"/>
        <bgColor indexed="58"/>
      </patternFill>
    </fill>
  </fills>
  <borders count="1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 diagonalDown="1">
      <left/>
      <right/>
      <top/>
      <bottom/>
      <diagonal style="thick">
        <color auto="1"/>
      </diagonal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 diagonalUp="1">
      <left/>
      <right/>
      <top/>
      <bottom/>
      <diagonal style="thick">
        <color auto="1"/>
      </diagonal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1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2" borderId="1">
      <alignment horizontal="center" vertical="center"/>
    </xf>
    <xf numFmtId="0" fontId="11" fillId="0" borderId="0" applyBorder="0">
      <alignment horizontal="center" vertical="center"/>
    </xf>
    <xf numFmtId="0" fontId="17" fillId="2" borderId="0" applyBorder="0">
      <alignment horizontal="center" vertical="center"/>
    </xf>
  </cellStyleXfs>
  <cellXfs count="62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quotePrefix="1"/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0" fillId="0" borderId="0" xfId="0" applyNumberFormat="1" applyFont="1" applyAlignment="1">
      <alignment horizont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2" applyBorder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51" xfId="3" applyBorder="1">
      <alignment horizontal="center" vertical="center"/>
    </xf>
    <xf numFmtId="0" fontId="2" fillId="0" borderId="11" xfId="3" applyBorder="1">
      <alignment horizontal="center" vertical="center"/>
    </xf>
    <xf numFmtId="0" fontId="11" fillId="0" borderId="37" xfId="3" applyFont="1" applyBorder="1" applyAlignment="1">
      <alignment horizontal="right" vertical="center"/>
    </xf>
    <xf numFmtId="0" fontId="11" fillId="0" borderId="0" xfId="3" applyFont="1" applyBorder="1" applyAlignment="1">
      <alignment horizontal="right" vertical="center"/>
    </xf>
    <xf numFmtId="0" fontId="11" fillId="0" borderId="24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1" xfId="0" applyFont="1" applyFill="1" applyBorder="1" applyAlignment="1">
      <alignment horizontal="center" vertical="center" shrinkToFit="1"/>
    </xf>
    <xf numFmtId="0" fontId="2" fillId="0" borderId="24" xfId="3" applyBorder="1" applyAlignment="1">
      <alignment horizontal="left" vertical="center"/>
    </xf>
    <xf numFmtId="0" fontId="11" fillId="0" borderId="11" xfId="3" applyFont="1" applyBorder="1" applyAlignment="1">
      <alignment horizontal="right" vertical="center"/>
    </xf>
    <xf numFmtId="0" fontId="15" fillId="0" borderId="13" xfId="3" applyFont="1" applyBorder="1">
      <alignment horizontal="center" vertical="center"/>
    </xf>
    <xf numFmtId="0" fontId="15" fillId="0" borderId="11" xfId="3" applyFont="1" applyBorder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40" xfId="0" applyFont="1" applyBorder="1" applyAlignment="1">
      <alignment horizontal="center" vertical="center" shrinkToFit="1"/>
    </xf>
    <xf numFmtId="0" fontId="1" fillId="2" borderId="40" xfId="2" applyBorder="1" applyAlignment="1">
      <alignment horizontal="center" vertical="center" shrinkToFit="1"/>
    </xf>
    <xf numFmtId="0" fontId="1" fillId="2" borderId="33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49" fontId="0" fillId="0" borderId="0" xfId="0" quotePrefix="1" applyNumberFormat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  <xf numFmtId="0" fontId="1" fillId="2" borderId="5" xfId="2" applyBorder="1">
      <alignment horizontal="center" vertical="center"/>
    </xf>
    <xf numFmtId="0" fontId="0" fillId="0" borderId="0" xfId="3" applyFont="1" applyBorder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17" fillId="2" borderId="0" xfId="2" applyFont="1">
      <alignment horizontal="center" vertical="center"/>
    </xf>
    <xf numFmtId="0" fontId="11" fillId="0" borderId="0" xfId="0" applyFont="1" applyAlignment="1">
      <alignment horizontal="center"/>
    </xf>
    <xf numFmtId="0" fontId="2" fillId="0" borderId="26" xfId="3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1" xfId="2" applyBorder="1">
      <alignment horizontal="center" vertical="center"/>
    </xf>
    <xf numFmtId="0" fontId="0" fillId="0" borderId="0" xfId="0" applyAlignment="1"/>
    <xf numFmtId="0" fontId="2" fillId="0" borderId="46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2" borderId="11" xfId="2" applyBorder="1" applyAlignment="1">
      <alignment horizontal="right" vertical="center"/>
    </xf>
    <xf numFmtId="0" fontId="1" fillId="2" borderId="11" xfId="2" applyBorder="1" applyAlignment="1">
      <alignment horizontal="left" vertical="center"/>
    </xf>
    <xf numFmtId="16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" xfId="3" applyBorder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2" borderId="46" xfId="2" applyBorder="1" applyAlignment="1">
      <alignment horizontal="center" vertical="center" shrinkToFit="1"/>
    </xf>
    <xf numFmtId="49" fontId="0" fillId="0" borderId="0" xfId="0" applyNumberFormat="1" applyFont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1" fillId="2" borderId="4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2" borderId="31" xfId="0" applyFont="1" applyFill="1" applyBorder="1" applyAlignment="1">
      <alignment horizontal="center" vertical="center" shrinkToFit="1"/>
    </xf>
    <xf numFmtId="0" fontId="1" fillId="2" borderId="32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3" applyBorder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0" fillId="0" borderId="0" xfId="0" quotePrefix="1" applyAlignment="1"/>
    <xf numFmtId="0" fontId="4" fillId="2" borderId="0" xfId="0" applyFont="1" applyFill="1" applyBorder="1" applyAlignment="1">
      <alignment horizontal="center" vertical="center" shrinkToFit="1"/>
    </xf>
    <xf numFmtId="0" fontId="4" fillId="2" borderId="48" xfId="0" applyFont="1" applyFill="1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1" fillId="2" borderId="46" xfId="2" applyBorder="1" applyAlignment="1">
      <alignment horizontal="center" vertical="center" shrinkToFit="1"/>
    </xf>
    <xf numFmtId="0" fontId="2" fillId="0" borderId="0" xfId="3" applyBorder="1" applyAlignment="1">
      <alignment vertical="center" shrinkToFit="1"/>
    </xf>
    <xf numFmtId="0" fontId="2" fillId="0" borderId="0" xfId="0" applyFont="1" applyBorder="1" applyAlignment="1">
      <alignment horizontal="center" vertical="center" shrinkToFit="1"/>
    </xf>
    <xf numFmtId="0" fontId="0" fillId="0" borderId="0" xfId="0" applyFill="1" applyAlignment="1">
      <alignment horizontal="center"/>
    </xf>
    <xf numFmtId="0" fontId="0" fillId="0" borderId="37" xfId="0" applyBorder="1" applyAlignment="1">
      <alignment horizontal="left"/>
    </xf>
    <xf numFmtId="0" fontId="2" fillId="0" borderId="42" xfId="0" applyFont="1" applyBorder="1" applyAlignment="1" applyProtection="1">
      <alignment horizontal="center" vertical="center"/>
    </xf>
    <xf numFmtId="0" fontId="4" fillId="2" borderId="48" xfId="0" applyFont="1" applyFill="1" applyBorder="1" applyAlignment="1" applyProtection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3" xfId="3" applyBorder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2" fillId="0" borderId="65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70" xfId="0" applyFont="1" applyBorder="1" applyAlignment="1">
      <alignment horizontal="center" vertical="center"/>
    </xf>
    <xf numFmtId="0" fontId="1" fillId="2" borderId="60" xfId="2" applyBorder="1">
      <alignment horizontal="center" vertical="center"/>
    </xf>
    <xf numFmtId="0" fontId="2" fillId="0" borderId="60" xfId="3" applyBorder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1" fillId="2" borderId="60" xfId="2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1" fillId="2" borderId="60" xfId="2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shrinkToFit="1"/>
    </xf>
    <xf numFmtId="0" fontId="12" fillId="4" borderId="60" xfId="0" applyFont="1" applyFill="1" applyBorder="1" applyAlignment="1">
      <alignment horizontal="center" vertical="center"/>
    </xf>
    <xf numFmtId="0" fontId="2" fillId="0" borderId="60" xfId="3" applyFont="1" applyBorder="1" applyAlignment="1">
      <alignment horizontal="center" vertical="center"/>
    </xf>
    <xf numFmtId="0" fontId="4" fillId="2" borderId="60" xfId="9" applyFont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1" fillId="2" borderId="60" xfId="0" applyFont="1" applyFill="1" applyBorder="1" applyAlignment="1" applyProtection="1">
      <alignment horizontal="center" vertical="center"/>
    </xf>
    <xf numFmtId="0" fontId="4" fillId="2" borderId="60" xfId="0" applyFont="1" applyFill="1" applyBorder="1" applyAlignment="1" applyProtection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1" fontId="2" fillId="0" borderId="71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3" applyBorder="1">
      <alignment horizontal="center" vertical="center"/>
    </xf>
    <xf numFmtId="0" fontId="1" fillId="2" borderId="11" xfId="2" applyBorder="1">
      <alignment horizontal="center" vertical="center"/>
    </xf>
    <xf numFmtId="0" fontId="0" fillId="0" borderId="0" xfId="0" applyBorder="1" applyAlignment="1">
      <alignment horizontal="center"/>
    </xf>
    <xf numFmtId="0" fontId="2" fillId="0" borderId="6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80" xfId="0" applyFont="1" applyFill="1" applyBorder="1" applyAlignment="1">
      <alignment horizontal="center" vertical="center" wrapText="1"/>
    </xf>
    <xf numFmtId="0" fontId="0" fillId="6" borderId="81" xfId="0" applyFont="1" applyFill="1" applyBorder="1" applyAlignment="1">
      <alignment horizontal="center" vertical="center" wrapText="1"/>
    </xf>
    <xf numFmtId="0" fontId="0" fillId="6" borderId="75" xfId="0" applyFont="1" applyFill="1" applyBorder="1" applyAlignment="1">
      <alignment horizontal="center" vertical="center" wrapText="1"/>
    </xf>
    <xf numFmtId="0" fontId="0" fillId="6" borderId="82" xfId="0" applyFont="1" applyFill="1" applyBorder="1" applyAlignment="1">
      <alignment horizontal="center" vertical="center" wrapText="1"/>
    </xf>
    <xf numFmtId="0" fontId="0" fillId="6" borderId="76" xfId="0" applyFont="1" applyFill="1" applyBorder="1" applyAlignment="1">
      <alignment horizontal="center" vertical="center" wrapText="1"/>
    </xf>
    <xf numFmtId="0" fontId="0" fillId="6" borderId="78" xfId="0" applyFont="1" applyFill="1" applyBorder="1" applyAlignment="1">
      <alignment horizontal="center" vertical="center" wrapText="1"/>
    </xf>
    <xf numFmtId="0" fontId="0" fillId="6" borderId="72" xfId="0" applyFont="1" applyFill="1" applyBorder="1" applyAlignment="1">
      <alignment horizontal="center" vertical="center" wrapText="1"/>
    </xf>
    <xf numFmtId="0" fontId="0" fillId="6" borderId="73" xfId="0" applyFont="1" applyFill="1" applyBorder="1" applyAlignment="1">
      <alignment horizontal="center" vertical="center" wrapText="1"/>
    </xf>
    <xf numFmtId="0" fontId="0" fillId="6" borderId="74" xfId="0" applyFont="1" applyFill="1" applyBorder="1" applyAlignment="1">
      <alignment horizontal="center" vertical="center" wrapText="1"/>
    </xf>
    <xf numFmtId="0" fontId="0" fillId="6" borderId="77" xfId="0" applyFont="1" applyFill="1" applyBorder="1" applyAlignment="1">
      <alignment horizontal="center" vertical="center" wrapText="1"/>
    </xf>
    <xf numFmtId="0" fontId="0" fillId="6" borderId="79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0" fillId="0" borderId="46" xfId="3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0" xfId="0" applyFont="1"/>
    <xf numFmtId="1" fontId="2" fillId="0" borderId="11" xfId="0" applyNumberFormat="1" applyFont="1" applyBorder="1" applyAlignment="1">
      <alignment horizontal="center" vertical="center"/>
    </xf>
    <xf numFmtId="0" fontId="0" fillId="0" borderId="60" xfId="0" applyFont="1" applyBorder="1" applyAlignment="1">
      <alignment vertical="center"/>
    </xf>
    <xf numFmtId="1" fontId="0" fillId="0" borderId="60" xfId="0" applyNumberFormat="1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center"/>
    </xf>
    <xf numFmtId="1" fontId="0" fillId="0" borderId="0" xfId="0" applyNumberFormat="1" applyBorder="1"/>
    <xf numFmtId="1" fontId="0" fillId="0" borderId="28" xfId="0" applyNumberFormat="1" applyBorder="1"/>
    <xf numFmtId="0" fontId="0" fillId="0" borderId="46" xfId="0" applyFill="1" applyBorder="1" applyAlignment="1"/>
    <xf numFmtId="0" fontId="0" fillId="0" borderId="46" xfId="0" applyBorder="1"/>
    <xf numFmtId="0" fontId="0" fillId="0" borderId="46" xfId="0" applyBorder="1" applyAlignment="1"/>
    <xf numFmtId="0" fontId="2" fillId="0" borderId="46" xfId="0" applyFont="1" applyBorder="1"/>
    <xf numFmtId="0" fontId="0" fillId="0" borderId="46" xfId="0" applyBorder="1" applyAlignment="1">
      <alignment horizontal="center"/>
    </xf>
    <xf numFmtId="0" fontId="0" fillId="0" borderId="91" xfId="0" applyBorder="1" applyAlignment="1">
      <alignment horizontal="center"/>
    </xf>
    <xf numFmtId="49" fontId="0" fillId="0" borderId="93" xfId="0" applyNumberFormat="1" applyFont="1" applyBorder="1" applyAlignment="1">
      <alignment horizontal="center"/>
    </xf>
    <xf numFmtId="49" fontId="0" fillId="0" borderId="94" xfId="0" applyNumberFormat="1" applyFont="1" applyBorder="1" applyAlignment="1">
      <alignment horizontal="center"/>
    </xf>
    <xf numFmtId="49" fontId="0" fillId="0" borderId="95" xfId="0" applyNumberFormat="1" applyFon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9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89" xfId="0" applyFont="1" applyBorder="1" applyAlignment="1">
      <alignment vertical="center"/>
    </xf>
    <xf numFmtId="0" fontId="0" fillId="0" borderId="90" xfId="0" applyFont="1" applyBorder="1" applyAlignment="1">
      <alignment vertical="center"/>
    </xf>
    <xf numFmtId="49" fontId="0" fillId="0" borderId="34" xfId="0" applyNumberFormat="1" applyFont="1" applyBorder="1" applyAlignment="1">
      <alignment horizontal="center"/>
    </xf>
    <xf numFmtId="49" fontId="0" fillId="0" borderId="35" xfId="0" applyNumberFormat="1" applyFont="1" applyBorder="1" applyAlignment="1">
      <alignment horizontal="center"/>
    </xf>
    <xf numFmtId="49" fontId="0" fillId="0" borderId="36" xfId="0" applyNumberFormat="1" applyFont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84" xfId="0" applyFont="1" applyBorder="1" applyAlignment="1">
      <alignment horizontal="center"/>
    </xf>
    <xf numFmtId="0" fontId="0" fillId="0" borderId="85" xfId="0" applyFont="1" applyBorder="1" applyAlignment="1">
      <alignment horizontal="center"/>
    </xf>
    <xf numFmtId="0" fontId="0" fillId="0" borderId="0" xfId="0" quotePrefix="1" applyFont="1"/>
    <xf numFmtId="0" fontId="17" fillId="2" borderId="46" xfId="0" applyFont="1" applyFill="1" applyBorder="1" applyAlignment="1">
      <alignment horizontal="center" vertical="center" shrinkToFi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6" xfId="0" applyFont="1" applyBorder="1" applyAlignment="1">
      <alignment horizontal="center" vertical="center" shrinkToFit="1"/>
    </xf>
    <xf numFmtId="0" fontId="0" fillId="0" borderId="0" xfId="0" applyFont="1" applyFill="1" applyBorder="1" applyAlignment="1"/>
    <xf numFmtId="0" fontId="0" fillId="0" borderId="0" xfId="3" applyFont="1" applyFill="1" applyBorder="1">
      <alignment horizontal="center" vertical="center"/>
    </xf>
    <xf numFmtId="0" fontId="0" fillId="0" borderId="0" xfId="0" applyFont="1" applyAlignment="1"/>
    <xf numFmtId="0" fontId="0" fillId="6" borderId="3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shrinkToFit="1"/>
    </xf>
    <xf numFmtId="0" fontId="2" fillId="0" borderId="46" xfId="0" applyFont="1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 shrinkToFit="1"/>
    </xf>
    <xf numFmtId="0" fontId="1" fillId="2" borderId="60" xfId="2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1" fillId="2" borderId="60" xfId="2" applyBorder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2" borderId="46" xfId="2" applyBorder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 shrinkToFit="1"/>
    </xf>
    <xf numFmtId="0" fontId="1" fillId="2" borderId="46" xfId="0" applyFont="1" applyFill="1" applyBorder="1" applyAlignment="1">
      <alignment horizontal="center" vertical="center" shrinkToFit="1"/>
    </xf>
    <xf numFmtId="0" fontId="0" fillId="0" borderId="46" xfId="0" quotePrefix="1" applyBorder="1" applyAlignment="1">
      <alignment horizontal="center"/>
    </xf>
    <xf numFmtId="1" fontId="2" fillId="0" borderId="60" xfId="0" applyNumberFormat="1" applyFont="1" applyBorder="1" applyAlignment="1">
      <alignment horizontal="center" vertical="center" shrinkToFit="1"/>
    </xf>
    <xf numFmtId="0" fontId="2" fillId="0" borderId="97" xfId="0" applyFont="1" applyBorder="1" applyAlignment="1">
      <alignment horizontal="center" vertical="center"/>
    </xf>
    <xf numFmtId="0" fontId="17" fillId="2" borderId="0" xfId="1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/>
    <xf numFmtId="0" fontId="17" fillId="2" borderId="0" xfId="11" applyNumberFormat="1" applyAlignment="1">
      <alignment horizontal="left" vertical="center"/>
    </xf>
    <xf numFmtId="0" fontId="17" fillId="2" borderId="0" xfId="11" applyNumberForma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17" fillId="2" borderId="100" xfId="11" applyBorder="1" applyAlignment="1">
      <alignment horizontal="center" vertical="center"/>
    </xf>
    <xf numFmtId="0" fontId="11" fillId="0" borderId="0" xfId="10" applyBorder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46" xfId="3" applyBorder="1">
      <alignment horizontal="center" vertical="center"/>
    </xf>
    <xf numFmtId="0" fontId="1" fillId="2" borderId="46" xfId="2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horizontal="center" vertical="center" shrinkToFit="1"/>
    </xf>
    <xf numFmtId="0" fontId="4" fillId="2" borderId="39" xfId="0" applyFont="1" applyFill="1" applyBorder="1" applyAlignment="1">
      <alignment horizontal="center" vertical="center" shrinkToFit="1"/>
    </xf>
    <xf numFmtId="0" fontId="2" fillId="0" borderId="66" xfId="0" applyFont="1" applyBorder="1" applyAlignment="1">
      <alignment horizontal="center" vertical="center" shrinkToFit="1"/>
    </xf>
    <xf numFmtId="0" fontId="2" fillId="0" borderId="64" xfId="0" applyFont="1" applyBorder="1" applyAlignment="1">
      <alignment horizontal="center" vertical="center" shrinkToFit="1"/>
    </xf>
    <xf numFmtId="0" fontId="2" fillId="0" borderId="67" xfId="3" applyBorder="1">
      <alignment horizontal="center" vertical="center"/>
    </xf>
    <xf numFmtId="0" fontId="2" fillId="0" borderId="68" xfId="3" applyBorder="1">
      <alignment horizontal="center" vertical="center"/>
    </xf>
    <xf numFmtId="0" fontId="2" fillId="0" borderId="69" xfId="3" applyBorder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9" applyBorder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" borderId="60" xfId="9" applyBorder="1">
      <alignment horizontal="center" vertical="center"/>
    </xf>
    <xf numFmtId="0" fontId="1" fillId="2" borderId="46" xfId="2" applyBorder="1">
      <alignment horizontal="center" vertical="center"/>
    </xf>
    <xf numFmtId="0" fontId="20" fillId="0" borderId="46" xfId="0" applyFont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60" xfId="2" applyBorder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" fillId="2" borderId="96" xfId="2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46" xfId="0" quotePrefix="1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wrapText="1"/>
    </xf>
    <xf numFmtId="0" fontId="2" fillId="0" borderId="16" xfId="3" applyBorder="1" applyAlignment="1">
      <alignment horizontal="left" vertical="center"/>
    </xf>
    <xf numFmtId="0" fontId="2" fillId="0" borderId="26" xfId="3" applyBorder="1" applyAlignment="1">
      <alignment horizontal="left" vertical="center"/>
    </xf>
    <xf numFmtId="0" fontId="10" fillId="2" borderId="1" xfId="9" applyFont="1">
      <alignment horizontal="center" vertical="center"/>
    </xf>
    <xf numFmtId="0" fontId="10" fillId="2" borderId="4" xfId="9" applyFont="1" applyBorder="1">
      <alignment horizontal="center" vertical="center"/>
    </xf>
    <xf numFmtId="0" fontId="2" fillId="0" borderId="11" xfId="3" applyBorder="1" applyAlignment="1">
      <alignment horizontal="left" vertical="center"/>
    </xf>
    <xf numFmtId="0" fontId="2" fillId="0" borderId="11" xfId="0" applyFont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0" xfId="3" applyBorder="1" applyAlignment="1">
      <alignment horizontal="center" vertical="center"/>
    </xf>
    <xf numFmtId="0" fontId="2" fillId="0" borderId="65" xfId="0" applyFont="1" applyBorder="1" applyAlignment="1">
      <alignment horizontal="center" vertical="center" shrinkToFit="1"/>
    </xf>
    <xf numFmtId="0" fontId="2" fillId="0" borderId="60" xfId="3" applyFont="1" applyBorder="1" applyAlignment="1">
      <alignment horizontal="center" vertical="center"/>
    </xf>
    <xf numFmtId="0" fontId="1" fillId="2" borderId="60" xfId="2" applyFont="1" applyBorder="1" applyAlignment="1">
      <alignment horizontal="center" vertical="center"/>
    </xf>
    <xf numFmtId="0" fontId="4" fillId="2" borderId="60" xfId="9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shrinkToFit="1"/>
    </xf>
    <xf numFmtId="0" fontId="2" fillId="0" borderId="60" xfId="0" applyFont="1" applyBorder="1" applyAlignment="1" applyProtection="1">
      <alignment horizontal="center" vertical="center"/>
    </xf>
    <xf numFmtId="0" fontId="4" fillId="2" borderId="60" xfId="0" applyFont="1" applyFill="1" applyBorder="1" applyAlignment="1" applyProtection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2" borderId="60" xfId="2" applyBorder="1" applyAlignment="1">
      <alignment horizontal="center" vertical="center" shrinkToFit="1"/>
    </xf>
    <xf numFmtId="0" fontId="7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4" fillId="2" borderId="11" xfId="9" applyFont="1" applyBorder="1" applyAlignment="1">
      <alignment horizontal="center" vertical="center"/>
    </xf>
    <xf numFmtId="0" fontId="1" fillId="2" borderId="11" xfId="2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1" fillId="2" borderId="11" xfId="2" applyBorder="1">
      <alignment horizontal="center" vertical="center"/>
    </xf>
    <xf numFmtId="0" fontId="4" fillId="2" borderId="46" xfId="0" applyFont="1" applyFill="1" applyBorder="1" applyAlignment="1">
      <alignment horizontal="center" vertical="center" shrinkToFit="1"/>
    </xf>
    <xf numFmtId="0" fontId="10" fillId="2" borderId="11" xfId="9" applyFont="1" applyBorder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shrinkToFit="1"/>
    </xf>
    <xf numFmtId="0" fontId="1" fillId="2" borderId="40" xfId="0" applyFont="1" applyFill="1" applyBorder="1" applyAlignment="1">
      <alignment horizontal="center" vertical="center"/>
    </xf>
    <xf numFmtId="0" fontId="15" fillId="0" borderId="16" xfId="3" applyFont="1" applyBorder="1">
      <alignment horizontal="center" vertical="center"/>
    </xf>
    <xf numFmtId="0" fontId="15" fillId="0" borderId="26" xfId="3" applyFont="1" applyBorder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3" applyBorder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11" xfId="2" applyBorder="1" applyAlignment="1">
      <alignment horizontal="center" vertical="center"/>
    </xf>
    <xf numFmtId="0" fontId="1" fillId="2" borderId="6" xfId="2" applyBorder="1">
      <alignment horizontal="center" vertical="center"/>
    </xf>
    <xf numFmtId="0" fontId="2" fillId="0" borderId="71" xfId="3" applyBorder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2" borderId="41" xfId="2" applyBorder="1">
      <alignment horizontal="center" vertical="center"/>
    </xf>
    <xf numFmtId="0" fontId="1" fillId="2" borderId="49" xfId="2" applyBorder="1">
      <alignment horizontal="center" vertical="center"/>
    </xf>
    <xf numFmtId="0" fontId="1" fillId="2" borderId="42" xfId="2" applyBorder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2" fillId="0" borderId="43" xfId="3" applyBorder="1" applyAlignment="1">
      <alignment horizontal="left" vertical="center"/>
    </xf>
    <xf numFmtId="0" fontId="2" fillId="0" borderId="45" xfId="3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7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shrinkToFit="1"/>
    </xf>
    <xf numFmtId="0" fontId="2" fillId="0" borderId="60" xfId="3" applyBorder="1">
      <alignment horizontal="center" vertical="center"/>
    </xf>
    <xf numFmtId="0" fontId="7" fillId="2" borderId="40" xfId="2" applyFont="1" applyBorder="1" applyAlignment="1">
      <alignment horizontal="center" vertical="center" shrinkToFit="1"/>
    </xf>
    <xf numFmtId="0" fontId="1" fillId="2" borderId="40" xfId="2" applyBorder="1" applyAlignment="1">
      <alignment horizontal="center" vertical="center" shrinkToFit="1"/>
    </xf>
    <xf numFmtId="0" fontId="2" fillId="0" borderId="40" xfId="0" applyFont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1" fillId="2" borderId="60" xfId="2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1" fillId="2" borderId="1" xfId="2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85" xfId="0" applyFont="1" applyFill="1" applyBorder="1" applyAlignment="1">
      <alignment horizontal="center" vertical="center" wrapText="1" shrinkToFit="1"/>
    </xf>
    <xf numFmtId="0" fontId="2" fillId="0" borderId="86" xfId="0" applyFont="1" applyFill="1" applyBorder="1" applyAlignment="1">
      <alignment horizontal="center" vertical="center" wrapText="1" shrinkToFit="1"/>
    </xf>
    <xf numFmtId="0" fontId="2" fillId="0" borderId="87" xfId="0" applyFont="1" applyFill="1" applyBorder="1" applyAlignment="1">
      <alignment horizontal="center" vertical="center" wrapText="1" shrinkToFit="1"/>
    </xf>
    <xf numFmtId="0" fontId="2" fillId="0" borderId="88" xfId="0" applyFont="1" applyFill="1" applyBorder="1" applyAlignment="1">
      <alignment horizontal="center" vertical="center" wrapText="1" shrinkToFit="1"/>
    </xf>
    <xf numFmtId="0" fontId="1" fillId="2" borderId="93" xfId="0" applyFont="1" applyFill="1" applyBorder="1" applyAlignment="1">
      <alignment horizontal="center" vertical="center" shrinkToFit="1"/>
    </xf>
    <xf numFmtId="0" fontId="1" fillId="2" borderId="94" xfId="0" applyFont="1" applyFill="1" applyBorder="1" applyAlignment="1">
      <alignment horizontal="center" vertical="center" shrinkToFit="1"/>
    </xf>
    <xf numFmtId="0" fontId="1" fillId="2" borderId="95" xfId="0" applyFont="1" applyFill="1" applyBorder="1" applyAlignment="1">
      <alignment horizontal="center" vertical="center" shrinkToFit="1"/>
    </xf>
    <xf numFmtId="0" fontId="4" fillId="2" borderId="92" xfId="9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7" fillId="2" borderId="97" xfId="2" applyFont="1" applyBorder="1" applyAlignment="1">
      <alignment horizontal="center" vertical="center" wrapText="1"/>
    </xf>
    <xf numFmtId="0" fontId="4" fillId="2" borderId="1" xfId="9" applyFo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shrinkToFit="1"/>
    </xf>
    <xf numFmtId="0" fontId="4" fillId="2" borderId="46" xfId="9" applyBorder="1" applyAlignment="1">
      <alignment horizontal="center" vertical="center"/>
    </xf>
    <xf numFmtId="0" fontId="1" fillId="2" borderId="46" xfId="2" applyBorder="1" applyAlignment="1">
      <alignment horizontal="center" vertical="center"/>
    </xf>
    <xf numFmtId="0" fontId="2" fillId="0" borderId="97" xfId="3" applyBorder="1">
      <alignment horizontal="center" vertical="center"/>
    </xf>
    <xf numFmtId="0" fontId="1" fillId="2" borderId="97" xfId="0" applyFont="1" applyFill="1" applyBorder="1" applyAlignment="1">
      <alignment horizontal="center" vertical="center"/>
    </xf>
    <xf numFmtId="0" fontId="2" fillId="4" borderId="71" xfId="0" applyFont="1" applyFill="1" applyBorder="1" applyAlignment="1">
      <alignment horizontal="center" vertical="center"/>
    </xf>
    <xf numFmtId="0" fontId="2" fillId="0" borderId="60" xfId="0" quotePrefix="1" applyFont="1" applyBorder="1" applyAlignment="1">
      <alignment horizontal="center" vertical="center"/>
    </xf>
    <xf numFmtId="0" fontId="4" fillId="2" borderId="41" xfId="9" applyBorder="1" applyAlignment="1">
      <alignment horizontal="center" vertical="center"/>
    </xf>
    <xf numFmtId="0" fontId="4" fillId="2" borderId="9" xfId="9" applyBorder="1" applyAlignment="1">
      <alignment horizontal="center" vertical="center"/>
    </xf>
    <xf numFmtId="0" fontId="4" fillId="2" borderId="42" xfId="9" applyBorder="1" applyAlignment="1">
      <alignment horizontal="center" vertical="center"/>
    </xf>
    <xf numFmtId="12" fontId="7" fillId="2" borderId="41" xfId="0" applyNumberFormat="1" applyFont="1" applyFill="1" applyBorder="1" applyAlignment="1">
      <alignment horizontal="center" vertical="center"/>
    </xf>
    <xf numFmtId="12" fontId="7" fillId="2" borderId="9" xfId="0" applyNumberFormat="1" applyFont="1" applyFill="1" applyBorder="1" applyAlignment="1">
      <alignment horizontal="center" vertical="center"/>
    </xf>
    <xf numFmtId="12" fontId="7" fillId="2" borderId="42" xfId="0" applyNumberFormat="1" applyFont="1" applyFill="1" applyBorder="1" applyAlignment="1">
      <alignment horizontal="center" vertical="center"/>
    </xf>
    <xf numFmtId="0" fontId="7" fillId="2" borderId="43" xfId="2" applyFont="1" applyBorder="1" applyAlignment="1">
      <alignment horizontal="center" vertical="center"/>
    </xf>
    <xf numFmtId="0" fontId="7" fillId="2" borderId="45" xfId="2" applyFont="1" applyBorder="1" applyAlignment="1">
      <alignment horizontal="center" vertical="center"/>
    </xf>
    <xf numFmtId="0" fontId="7" fillId="2" borderId="44" xfId="2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6" xfId="3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2" fillId="0" borderId="13" xfId="3" applyBorder="1" applyAlignment="1">
      <alignment horizontal="center" vertical="center"/>
    </xf>
    <xf numFmtId="0" fontId="1" fillId="2" borderId="16" xfId="2" applyBorder="1" applyAlignment="1">
      <alignment horizontal="center" vertical="center"/>
    </xf>
    <xf numFmtId="0" fontId="1" fillId="2" borderId="26" xfId="2" applyBorder="1" applyAlignment="1">
      <alignment horizontal="center" vertical="center"/>
    </xf>
    <xf numFmtId="0" fontId="1" fillId="2" borderId="13" xfId="2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 shrinkToFit="1"/>
    </xf>
    <xf numFmtId="0" fontId="2" fillId="0" borderId="98" xfId="0" applyFont="1" applyBorder="1" applyAlignment="1">
      <alignment horizontal="center" vertical="center"/>
    </xf>
    <xf numFmtId="0" fontId="1" fillId="2" borderId="97" xfId="2" applyBorder="1">
      <alignment horizontal="center" vertical="center"/>
    </xf>
    <xf numFmtId="0" fontId="25" fillId="9" borderId="46" xfId="2" applyFont="1" applyFill="1" applyBorder="1" applyAlignment="1">
      <alignment horizontal="center" vertical="center" wrapText="1"/>
    </xf>
    <xf numFmtId="0" fontId="23" fillId="7" borderId="46" xfId="2" applyFont="1" applyFill="1" applyBorder="1" applyAlignment="1">
      <alignment horizontal="center" vertical="center" wrapText="1"/>
    </xf>
    <xf numFmtId="0" fontId="22" fillId="8" borderId="83" xfId="11" applyFont="1" applyFill="1" applyBorder="1" applyAlignment="1">
      <alignment horizontal="center" vertical="center" wrapText="1"/>
    </xf>
    <xf numFmtId="1" fontId="21" fillId="0" borderId="83" xfId="0" applyNumberFormat="1" applyFont="1" applyFill="1" applyBorder="1" applyAlignment="1">
      <alignment horizontal="center" vertical="center" wrapText="1"/>
    </xf>
    <xf numFmtId="0" fontId="21" fillId="0" borderId="8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4" fillId="2" borderId="92" xfId="9" applyFont="1" applyBorder="1">
      <alignment horizontal="center" vertical="center"/>
    </xf>
    <xf numFmtId="0" fontId="17" fillId="2" borderId="46" xfId="0" applyFont="1" applyFill="1" applyBorder="1" applyAlignment="1">
      <alignment horizontal="center" vertical="center" shrinkToFit="1"/>
    </xf>
    <xf numFmtId="0" fontId="17" fillId="2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 shrinkToFit="1"/>
    </xf>
    <xf numFmtId="0" fontId="0" fillId="0" borderId="46" xfId="0" applyFont="1" applyBorder="1" applyAlignment="1">
      <alignment horizontal="center" vertical="center" wrapText="1" shrinkToFit="1"/>
    </xf>
    <xf numFmtId="0" fontId="0" fillId="0" borderId="46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0" xfId="0" applyBorder="1" applyAlignment="1">
      <alignment horizontal="center" vertical="center"/>
    </xf>
    <xf numFmtId="0" fontId="0" fillId="0" borderId="0" xfId="0" applyNumberFormat="1" applyFill="1" applyBorder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86" xfId="0" applyNumberFormat="1" applyBorder="1"/>
    <xf numFmtId="0" fontId="0" fillId="0" borderId="87" xfId="0" applyNumberFormat="1" applyBorder="1"/>
    <xf numFmtId="0" fontId="0" fillId="0" borderId="88" xfId="0" applyNumberFormat="1" applyBorder="1"/>
    <xf numFmtId="0" fontId="17" fillId="2" borderId="102" xfId="11" applyBorder="1">
      <alignment horizontal="center" vertical="center"/>
    </xf>
    <xf numFmtId="0" fontId="17" fillId="2" borderId="103" xfId="11" applyBorder="1">
      <alignment horizontal="center" vertical="center"/>
    </xf>
    <xf numFmtId="0" fontId="0" fillId="0" borderId="84" xfId="0" applyNumberFormat="1" applyBorder="1"/>
    <xf numFmtId="0" fontId="0" fillId="0" borderId="0" xfId="0" applyNumberFormat="1" applyBorder="1"/>
    <xf numFmtId="0" fontId="0" fillId="0" borderId="85" xfId="0" applyNumberFormat="1" applyBorder="1"/>
    <xf numFmtId="0" fontId="1" fillId="2" borderId="99" xfId="0" applyFont="1" applyFill="1" applyBorder="1" applyAlignment="1">
      <alignment horizontal="center" vertical="center"/>
    </xf>
    <xf numFmtId="0" fontId="0" fillId="0" borderId="94" xfId="0" applyNumberFormat="1" applyBorder="1"/>
    <xf numFmtId="0" fontId="0" fillId="0" borderId="95" xfId="0" applyNumberFormat="1" applyBorder="1"/>
    <xf numFmtId="0" fontId="17" fillId="2" borderId="104" xfId="11" applyBorder="1">
      <alignment horizontal="center" vertical="center"/>
    </xf>
    <xf numFmtId="0" fontId="1" fillId="2" borderId="105" xfId="0" applyFont="1" applyFill="1" applyBorder="1" applyAlignment="1">
      <alignment horizontal="center" vertical="center"/>
    </xf>
    <xf numFmtId="0" fontId="4" fillId="2" borderId="106" xfId="9" applyBorder="1">
      <alignment horizontal="center" vertical="center"/>
    </xf>
    <xf numFmtId="0" fontId="4" fillId="2" borderId="0" xfId="9" applyBorder="1">
      <alignment horizontal="center" vertical="center"/>
    </xf>
    <xf numFmtId="0" fontId="17" fillId="2" borderId="104" xfId="11" applyBorder="1" applyAlignment="1">
      <alignment horizontal="center" vertical="center"/>
    </xf>
    <xf numFmtId="0" fontId="17" fillId="2" borderId="31" xfId="11" applyBorder="1" applyAlignment="1">
      <alignment horizontal="center" vertical="center"/>
    </xf>
    <xf numFmtId="0" fontId="17" fillId="2" borderId="32" xfId="11" applyBorder="1" applyAlignment="1">
      <alignment horizontal="center" vertical="center"/>
    </xf>
    <xf numFmtId="0" fontId="17" fillId="2" borderId="107" xfId="11" applyBorder="1" applyAlignment="1">
      <alignment horizontal="center" vertical="center"/>
    </xf>
    <xf numFmtId="0" fontId="17" fillId="2" borderId="33" xfId="1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2" borderId="100" xfId="11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7" fillId="2" borderId="31" xfId="11" applyBorder="1" applyAlignment="1">
      <alignment horizontal="left" vertical="center"/>
    </xf>
    <xf numFmtId="0" fontId="17" fillId="2" borderId="32" xfId="11" applyBorder="1" applyAlignment="1">
      <alignment horizontal="left" vertical="center"/>
    </xf>
    <xf numFmtId="0" fontId="26" fillId="2" borderId="108" xfId="9" applyFont="1" applyBorder="1" applyAlignment="1">
      <alignment vertical="center"/>
    </xf>
    <xf numFmtId="0" fontId="17" fillId="2" borderId="109" xfId="1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0" xfId="0" applyFill="1"/>
    <xf numFmtId="0" fontId="0" fillId="0" borderId="104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17" fillId="2" borderId="101" xfId="11" applyBorder="1" applyAlignment="1">
      <alignment horizontal="center" vertical="center"/>
    </xf>
    <xf numFmtId="0" fontId="26" fillId="2" borderId="104" xfId="9" applyFont="1" applyBorder="1" applyAlignment="1">
      <alignment horizontal="center" vertical="center"/>
    </xf>
    <xf numFmtId="0" fontId="17" fillId="2" borderId="104" xfId="11" applyBorder="1" applyAlignment="1">
      <alignment horizontal="center" vertical="center"/>
    </xf>
    <xf numFmtId="0" fontId="11" fillId="0" borderId="0" xfId="10" applyBorder="1" applyAlignment="1">
      <alignment vertical="center"/>
    </xf>
    <xf numFmtId="0" fontId="0" fillId="0" borderId="0" xfId="10" applyFont="1" applyBorder="1">
      <alignment horizontal="center" vertical="center"/>
    </xf>
    <xf numFmtId="0" fontId="0" fillId="0" borderId="28" xfId="0" applyNumberFormat="1" applyBorder="1"/>
    <xf numFmtId="0" fontId="0" fillId="0" borderId="29" xfId="0" applyNumberFormat="1" applyBorder="1"/>
    <xf numFmtId="0" fontId="0" fillId="0" borderId="15" xfId="0" applyNumberFormat="1" applyBorder="1"/>
    <xf numFmtId="0" fontId="0" fillId="0" borderId="91" xfId="0" applyNumberFormat="1" applyBorder="1"/>
    <xf numFmtId="0" fontId="26" fillId="2" borderId="11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shrinkToFit="1"/>
    </xf>
    <xf numFmtId="0" fontId="0" fillId="0" borderId="26" xfId="0" applyFont="1" applyBorder="1" applyAlignment="1">
      <alignment horizontal="center" vertical="center" shrinkToFit="1"/>
    </xf>
    <xf numFmtId="0" fontId="0" fillId="0" borderId="13" xfId="0" applyFont="1" applyBorder="1" applyAlignment="1">
      <alignment horizontal="center" vertical="center" shrinkToFit="1"/>
    </xf>
    <xf numFmtId="0" fontId="17" fillId="2" borderId="10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04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0" fillId="0" borderId="11" xfId="3" applyFont="1" applyBorder="1">
      <alignment horizontal="center" vertical="center"/>
    </xf>
    <xf numFmtId="0" fontId="0" fillId="0" borderId="100" xfId="0" applyFont="1" applyBorder="1" applyAlignment="1">
      <alignment horizontal="center" vertical="center"/>
    </xf>
    <xf numFmtId="0" fontId="4" fillId="2" borderId="106" xfId="9" applyNumberFormat="1" applyBorder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17" fillId="2" borderId="102" xfId="1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0" borderId="100" xfId="3" applyFont="1" applyBorder="1">
      <alignment horizontal="center" vertical="center"/>
    </xf>
    <xf numFmtId="0" fontId="0" fillId="0" borderId="18" xfId="0" applyBorder="1" applyAlignment="1">
      <alignment horizontal="center" vertical="center"/>
    </xf>
    <xf numFmtId="0" fontId="17" fillId="2" borderId="21" xfId="11" applyBorder="1" applyAlignment="1">
      <alignment horizontal="center" vertical="center"/>
    </xf>
    <xf numFmtId="0" fontId="17" fillId="2" borderId="18" xfId="1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00" xfId="0" quotePrefix="1" applyBorder="1" applyAlignment="1">
      <alignment horizontal="left" vertical="center"/>
    </xf>
    <xf numFmtId="0" fontId="0" fillId="0" borderId="113" xfId="0" applyBorder="1" applyAlignment="1">
      <alignment horizontal="center" vertical="center"/>
    </xf>
    <xf numFmtId="0" fontId="0" fillId="0" borderId="21" xfId="0" applyFill="1" applyBorder="1" applyAlignment="1">
      <alignment horizontal="left" vertical="center"/>
    </xf>
    <xf numFmtId="0" fontId="17" fillId="2" borderId="21" xfId="11" applyBorder="1" applyAlignment="1">
      <alignment horizontal="left" vertical="center"/>
    </xf>
    <xf numFmtId="0" fontId="17" fillId="2" borderId="113" xfId="1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4" fillId="2" borderId="41" xfId="9" applyBorder="1">
      <alignment horizontal="center" vertical="center"/>
    </xf>
    <xf numFmtId="0" fontId="4" fillId="2" borderId="42" xfId="9" applyBorder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7" fillId="2" borderId="93" xfId="11" applyBorder="1">
      <alignment horizontal="center" vertical="center"/>
    </xf>
    <xf numFmtId="0" fontId="17" fillId="2" borderId="94" xfId="11" applyBorder="1">
      <alignment horizontal="center" vertical="center"/>
    </xf>
    <xf numFmtId="0" fontId="17" fillId="2" borderId="95" xfId="11" applyBorder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4" fillId="2" borderId="84" xfId="9" applyBorder="1">
      <alignment horizontal="center" vertical="center"/>
    </xf>
    <xf numFmtId="0" fontId="4" fillId="2" borderId="85" xfId="9" applyBorder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</cellXfs>
  <cellStyles count="12">
    <cellStyle name="Categoría del Piloto de Datos" xfId="1"/>
    <cellStyle name="Detalles" xfId="2"/>
    <cellStyle name="Detalles Grande" xfId="11"/>
    <cellStyle name="Normal" xfId="0" builtinId="0"/>
    <cellStyle name="Normal Alf" xfId="3"/>
    <cellStyle name="Normal Alf Grande" xfId="10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277"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Tabla16" displayName="Tabla16" ref="A7:J541" totalsRowShown="0" headerRowDxfId="276" dataDxfId="275">
  <autoFilter ref="A7:J541"/>
  <sortState ref="A8:K219">
    <sortCondition ref="K7:K219"/>
  </sortState>
  <tableColumns count="10">
    <tableColumn id="1" name="Nombre" dataDxfId="274"/>
    <tableColumn id="2" name="Efecto" dataDxfId="273"/>
    <tableColumn id="10" name="Concatenado" dataDxfId="272">
      <calculatedColumnFormula>A8&amp;B8</calculatedColumnFormula>
    </tableColumn>
    <tableColumn id="3" name="Coste" dataDxfId="271"/>
    <tableColumn id="4" name="coste 2" dataDxfId="270"/>
    <tableColumn id="5" name="CM" dataDxfId="269"/>
    <tableColumn id="6" name="Mant" dataDxfId="268"/>
    <tableColumn id="7" name="Sme" dataDxfId="267"/>
    <tableColumn id="8" name="Sma" dataDxfId="266"/>
    <tableColumn id="9" name="Nivel" dataDxfId="26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0" name="Tabla17" displayName="Tabla17" ref="AC7:AH72" totalsRowShown="0" headerRowCellStyle="Detalles Grande">
  <autoFilter ref="AC7:AH72"/>
  <tableColumns count="6">
    <tableColumn id="1" name="DESVENTAJAS"/>
    <tableColumn id="2" name="Opción" dataDxfId="151"/>
    <tableColumn id="3" name="concatenado">
      <calculatedColumnFormula>AC8&amp;AD8</calculatedColumnFormula>
    </tableColumn>
    <tableColumn id="4" name="Reducción CM" dataDxfId="150"/>
    <tableColumn id="5" name="Nivel" dataDxfId="149"/>
    <tableColumn id="6" name="Clase" dataDxfId="148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11" name="Tabla18" displayName="Tabla18" ref="N6:S115" totalsRowShown="0" headerRowDxfId="143">
  <autoFilter ref="N6:S115"/>
  <tableColumns count="6">
    <tableColumn id="1" name="Nombre"/>
    <tableColumn id="2" name="Tipo" dataDxfId="147"/>
    <tableColumn id="3" name="Clase" dataDxfId="146"/>
    <tableColumn id="4" name="Car. Primaria" dataDxfId="145"/>
    <tableColumn id="5" name="Elementos" dataDxfId="144"/>
    <tableColumn id="6" name="Concatenado de otros elementos" dataDxfId="142">
      <calculatedColumnFormula>IF(O119&lt;&gt;0," "&amp;O$119&amp;" +"&amp;O119,"")&amp;IF(P119&lt;&gt;0," "&amp;P$119&amp;" +"&amp;P119,"")&amp;IF(Q119&lt;&gt;0," "&amp;Q$119&amp;" +"&amp;Q119,"")&amp;IF(R119&lt;&gt;0," "&amp;R$119&amp;" +"&amp;R119,"")&amp;IF(S119&lt;&gt;0," "&amp;S$119&amp;" +"&amp;S119,"")&amp;IF(T119&lt;&gt;0," "&amp;T$119&amp;" +"&amp;T119,"")</calculatedColumnFormula>
    </tableColumn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id="3" name="Tabla11" displayName="Tabla11" ref="AX3:BI181" totalsRowShown="0" headerRowDxfId="264" dataDxfId="263">
  <autoFilter ref="AX3:BI181"/>
  <sortState ref="AX4:BI181">
    <sortCondition ref="AX3:AX181"/>
  </sortState>
  <tableColumns count="12">
    <tableColumn id="1" name="Nombre" dataDxfId="262"/>
    <tableColumn id="2" name="Daño" dataDxfId="261"/>
    <tableColumn id="3" name="Turno" dataDxfId="260"/>
    <tableColumn id="4" name="Fuerza requerida" dataDxfId="259"/>
    <tableColumn id="5" name="Crítico 1" dataDxfId="258"/>
    <tableColumn id="6" name="Ctrítico 2" dataDxfId="257"/>
    <tableColumn id="7" name="Tipo de arma" dataDxfId="256"/>
    <tableColumn id="8" name="Especial" dataDxfId="255"/>
    <tableColumn id="9" name="Entereza" dataDxfId="254"/>
    <tableColumn id="10" name="Rotura" dataDxfId="253"/>
    <tableColumn id="11" name="Presencia" dataDxfId="252"/>
    <tableColumn id="12" name="Otros" dataDxfId="25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a12" displayName="Tabla12" ref="BY4:CM30" totalsRowShown="0" headerRowDxfId="250" dataDxfId="249">
  <autoFilter ref="BY4:CM30"/>
  <sortState ref="BY5:CM30">
    <sortCondition ref="BY4:BY30"/>
  </sortState>
  <tableColumns count="15">
    <tableColumn id="1" name="Nombre" dataDxfId="248"/>
    <tableColumn id="2" name="Requerimiento de armadura" dataDxfId="247"/>
    <tableColumn id="3" name="Penalizador natural" dataDxfId="246"/>
    <tableColumn id="4" name="Restricción del movimiento" dataDxfId="245"/>
    <tableColumn id="5" name="Entereza" dataDxfId="244"/>
    <tableColumn id="6" name="Presencia" dataDxfId="243"/>
    <tableColumn id="7" name="Localizacion" dataDxfId="242"/>
    <tableColumn id="8" name="Clase" dataDxfId="241"/>
    <tableColumn id="9" name="Fil" dataDxfId="240"/>
    <tableColumn id="10" name="Con" dataDxfId="239"/>
    <tableColumn id="11" name="Pen" dataDxfId="238"/>
    <tableColumn id="12" name="Cal" dataDxfId="237"/>
    <tableColumn id="13" name="Ele" dataDxfId="236"/>
    <tableColumn id="14" name="Fri" dataDxfId="235"/>
    <tableColumn id="15" name="Ener" dataDxfId="23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a13" displayName="Tabla13" ref="CQ4:DF12" totalsRowShown="0" headerRowDxfId="233" dataDxfId="232">
  <autoFilter ref="CQ4:DF12"/>
  <sortState ref="CQ5:DF12">
    <sortCondition ref="CQ4:CQ12"/>
  </sortState>
  <tableColumns count="16">
    <tableColumn id="1" name="Nombre" dataDxfId="231"/>
    <tableColumn id="2" name="Requerimiento de armadura" dataDxfId="230"/>
    <tableColumn id="3" name="Penalizador natural" dataDxfId="229"/>
    <tableColumn id="4" name="Penalizador percepcion" dataDxfId="228"/>
    <tableColumn id="5" name="Entereza" dataDxfId="227"/>
    <tableColumn id="6" name="Presencia" dataDxfId="226"/>
    <tableColumn id="7" name="Localizacion" dataDxfId="225"/>
    <tableColumn id="8" name="Clase" dataDxfId="224"/>
    <tableColumn id="9" name="Fil" dataDxfId="223"/>
    <tableColumn id="10" name="Con" dataDxfId="222"/>
    <tableColumn id="11" name="Pen" dataDxfId="221"/>
    <tableColumn id="12" name="Cal" dataDxfId="220"/>
    <tableColumn id="13" name="Ele" dataDxfId="219"/>
    <tableColumn id="14" name="Fri" dataDxfId="218"/>
    <tableColumn id="15" name="Ener" dataDxfId="217"/>
    <tableColumn id="16" name="19" dataDxfId="21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6" name="Tabla14" displayName="Tabla14" ref="AC189:BD213" totalsRowShown="0" headerRowDxfId="215" dataDxfId="214">
  <autoFilter ref="AC189:BD213"/>
  <sortState ref="AC190:BD213">
    <sortCondition ref="AC189:AC213"/>
  </sortState>
  <tableColumns count="28">
    <tableColumn id="1" name="RAZAS" dataDxfId="213"/>
    <tableColumn id="2" name="AGI" dataDxfId="212"/>
    <tableColumn id="3" name="CON" dataDxfId="211"/>
    <tableColumn id="4" name="DES" dataDxfId="210"/>
    <tableColumn id="5" name="FUE" dataDxfId="209"/>
    <tableColumn id="6" name="INT" dataDxfId="208"/>
    <tableColumn id="7" name="PER" dataDxfId="207"/>
    <tableColumn id="8" name="POD" dataDxfId="206"/>
    <tableColumn id="9" name="VOL" dataDxfId="205"/>
    <tableColumn id="10" name="RF" dataDxfId="204"/>
    <tableColumn id="11" name="RE" dataDxfId="203"/>
    <tableColumn id="12" name="RV" dataDxfId="202"/>
    <tableColumn id="13" name="RM" dataDxfId="201"/>
    <tableColumn id="14" name="RP" dataDxfId="200"/>
    <tableColumn id="15" name="Tamaño" dataDxfId="199"/>
    <tableColumn id="16" name="Cansancio" dataDxfId="198"/>
    <tableColumn id="17" name="Regeneración" dataDxfId="197"/>
    <tableColumn id="18" name="Armas naturales" dataDxfId="196"/>
    <tableColumn id="19" name="Convocar" dataDxfId="195"/>
    <tableColumn id="20" name="Controla" dataDxfId="194"/>
    <tableColumn id="21" name="Atar" dataDxfId="193"/>
    <tableColumn id="22" name="Desconvocar" dataDxfId="192"/>
    <tableColumn id="23" name="Ocultación de ki" dataDxfId="191"/>
    <tableColumn id="24" name="TA FIL" dataDxfId="190"/>
    <tableColumn id="25" name="TA CON" dataDxfId="189"/>
    <tableColumn id="26" name="TA PEN" dataDxfId="188"/>
    <tableColumn id="27" name="TA CAL" dataDxfId="187"/>
    <tableColumn id="28" name="Necesidades limitadas" dataDxfId="186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7" name="Tabla15" displayName="Tabla15" ref="AS223:AW393" totalsRowShown="0" headerRowDxfId="185" dataDxfId="184">
  <autoFilter ref="AS223:AW393"/>
  <sortState ref="AS224:AW393">
    <sortCondition ref="AT223:AT393"/>
  </sortState>
  <tableColumns count="5">
    <tableColumn id="1" name="Nombre" dataDxfId="183"/>
    <tableColumn id="2" name="Poder" dataDxfId="182"/>
    <tableColumn id="3" name="Coste" dataDxfId="181"/>
    <tableColumn id="4" name="Requisito" dataDxfId="180"/>
    <tableColumn id="5" name="Descripcion" dataDxfId="179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id="2" name="Tabla9" displayName="Tabla9" ref="T14:AR655" totalsRowShown="0" headerRowDxfId="178" dataDxfId="177">
  <autoFilter ref="T14:AR655"/>
  <sortState ref="T15:AR655">
    <sortCondition ref="V14:V655"/>
  </sortState>
  <tableColumns count="25">
    <tableColumn id="1" name="Via" dataDxfId="176"/>
    <tableColumn id="2" name="Número" dataDxfId="175"/>
    <tableColumn id="3" name="Nombre" dataDxfId="174"/>
    <tableColumn id="4" name="Efecto" dataDxfId="173"/>
    <tableColumn id="5" name="Nivel" dataDxfId="172"/>
    <tableColumn id="6" name="Tipo" dataDxfId="171"/>
    <tableColumn id="7" name="Acción" dataDxfId="170"/>
    <tableColumn id="8" name="EfGB" dataDxfId="169"/>
    <tableColumn id="9" name="CostGB" dataDxfId="168"/>
    <tableColumn id="10" name="MantGB" dataDxfId="167"/>
    <tableColumn id="11" name="IreqGB" dataDxfId="166"/>
    <tableColumn id="12" name="EfGI" dataDxfId="165"/>
    <tableColumn id="13" name="CostGI" dataDxfId="164"/>
    <tableColumn id="14" name="MantGI" dataDxfId="163"/>
    <tableColumn id="15" name="IreqGI" dataDxfId="162"/>
    <tableColumn id="16" name="EfGAv" dataDxfId="161"/>
    <tableColumn id="17" name="CostGAv" dataDxfId="160"/>
    <tableColumn id="18" name="MantGAv" dataDxfId="159"/>
    <tableColumn id="19" name="IreqGAv" dataDxfId="158"/>
    <tableColumn id="20" name="EfGAr" dataDxfId="157"/>
    <tableColumn id="21" name="CostGAr" dataDxfId="156"/>
    <tableColumn id="22" name="MantGAr" dataDxfId="155"/>
    <tableColumn id="23" name="IreqGAr" dataDxfId="154"/>
    <tableColumn id="24" name="Vias cerradas" dataDxfId="153"/>
    <tableColumn id="25" name="Diario" dataDxfId="152">
      <calculatedColumnFormula>FIND("Mantenimiento Diario",Tabla9[[#This Row],[Efecto]],1)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98"/>
  <sheetViews>
    <sheetView showGridLines="0" tabSelected="1" topLeftCell="B1" zoomScale="190" zoomScaleNormal="190" zoomScaleSheetLayoutView="115" zoomScalePageLayoutView="175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4" style="1" customWidth="1"/>
    <col min="11" max="11" width="0.42578125" style="1" customWidth="1"/>
    <col min="12" max="12" width="3.85546875" style="1" customWidth="1"/>
    <col min="13" max="13" width="2.42578125" style="1" customWidth="1"/>
    <col min="14" max="14" width="1" style="1" customWidth="1"/>
    <col min="15" max="15" width="4.140625" style="1" customWidth="1"/>
    <col min="16" max="16" width="4.28515625" style="1" customWidth="1"/>
    <col min="17" max="17" width="4.140625" style="1" customWidth="1"/>
    <col min="18" max="19" width="3.85546875" style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1.140625" style="1" customWidth="1"/>
    <col min="54" max="54" width="11.8554687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1.140625" style="1" customWidth="1"/>
    <col min="82" max="82" width="1.28515625" style="1" customWidth="1"/>
    <col min="83" max="83" width="0.85546875" style="1" customWidth="1"/>
    <col min="84" max="94" width="8" style="15" customWidth="1"/>
    <col min="95" max="95" width="1.140625" style="1" customWidth="1"/>
    <col min="96" max="106" width="7.42578125" style="112" customWidth="1"/>
    <col min="107" max="107" width="2" style="112" customWidth="1"/>
    <col min="108" max="108" width="5.140625" style="1" bestFit="1" customWidth="1"/>
    <col min="109" max="109" width="4.7109375" style="1" customWidth="1"/>
    <col min="110" max="110" width="5.7109375" style="1" customWidth="1"/>
    <col min="111" max="111" width="5.42578125" style="1" customWidth="1"/>
    <col min="112" max="112" width="5" style="1" customWidth="1"/>
    <col min="113" max="113" width="3.140625" style="1" customWidth="1"/>
    <col min="114" max="114" width="4.85546875" style="1" customWidth="1"/>
    <col min="115" max="115" width="4.42578125" style="1" customWidth="1"/>
    <col min="116" max="116" width="3.7109375" style="1" customWidth="1"/>
    <col min="117" max="118" width="2.42578125" style="1" customWidth="1"/>
    <col min="119" max="119" width="2.85546875" style="1" customWidth="1"/>
    <col min="120" max="120" width="0.85546875" style="1" customWidth="1"/>
    <col min="121" max="121" width="1.5703125" style="1" customWidth="1"/>
    <col min="122" max="122" width="3.42578125" style="1" customWidth="1"/>
    <col min="123" max="123" width="6.28515625" style="1" customWidth="1"/>
    <col min="124" max="124" width="4.28515625" style="1" customWidth="1"/>
    <col min="125" max="125" width="4.42578125" style="1" customWidth="1"/>
    <col min="126" max="126" width="3.85546875" style="1" customWidth="1"/>
    <col min="127" max="127" width="9.7109375" style="1" customWidth="1"/>
    <col min="128" max="128" width="5" style="1" customWidth="1"/>
    <col min="129" max="16384" width="11.5703125" style="1"/>
  </cols>
  <sheetData>
    <row r="1" spans="1:128" ht="7.35" customHeight="1" x14ac:dyDescent="0.2">
      <c r="A1" s="1" t="s">
        <v>7178</v>
      </c>
      <c r="B1" s="200" t="s">
        <v>0</v>
      </c>
      <c r="C1" s="350"/>
      <c r="D1" s="350"/>
      <c r="E1" s="350"/>
      <c r="F1" s="350"/>
      <c r="G1" s="350"/>
      <c r="H1" s="350"/>
      <c r="I1" s="350"/>
      <c r="L1" s="394" t="s">
        <v>1</v>
      </c>
      <c r="M1" s="394"/>
      <c r="N1" s="397" t="s">
        <v>2</v>
      </c>
      <c r="O1" s="397"/>
      <c r="P1" s="201" t="s">
        <v>5720</v>
      </c>
      <c r="Q1" s="201" t="s">
        <v>5721</v>
      </c>
      <c r="R1" s="201" t="s">
        <v>5722</v>
      </c>
      <c r="S1" s="201" t="s">
        <v>5723</v>
      </c>
      <c r="T1" s="55"/>
      <c r="U1" s="394" t="s">
        <v>3</v>
      </c>
      <c r="V1" s="394"/>
      <c r="W1" s="394"/>
      <c r="X1" s="5"/>
      <c r="Y1" s="399" t="s">
        <v>268</v>
      </c>
      <c r="Z1" s="399"/>
      <c r="AA1" s="399"/>
      <c r="AB1" s="399"/>
      <c r="AC1" s="196"/>
      <c r="AD1" s="197"/>
      <c r="AE1" s="349" t="s">
        <v>0</v>
      </c>
      <c r="AF1" s="349"/>
      <c r="AG1" s="349"/>
      <c r="AH1" s="197" t="s">
        <v>27</v>
      </c>
      <c r="AI1" s="81"/>
      <c r="AJ1" s="398" t="s">
        <v>4165</v>
      </c>
      <c r="AK1" s="398"/>
      <c r="AL1" s="398"/>
      <c r="AM1" s="398"/>
      <c r="AN1" s="398"/>
      <c r="AO1" s="396"/>
      <c r="AP1" s="101" t="s">
        <v>5</v>
      </c>
      <c r="AQ1" s="119"/>
      <c r="AR1" s="338" t="s">
        <v>8</v>
      </c>
      <c r="AS1" s="338"/>
      <c r="AT1" s="338"/>
      <c r="AU1" s="5"/>
      <c r="AV1" s="340" t="s">
        <v>5533</v>
      </c>
      <c r="AW1" s="340"/>
      <c r="AX1" s="340"/>
      <c r="AY1" s="340"/>
      <c r="BA1" s="396" t="str">
        <f>"Niveles de magia - PD: "&amp;Sheet3!DA63</f>
        <v>Niveles de magia - PD: 0</v>
      </c>
      <c r="BB1" s="396"/>
      <c r="BC1" s="396"/>
      <c r="BD1" s="396"/>
      <c r="BF1" s="395" t="s">
        <v>6714</v>
      </c>
      <c r="BG1" s="395"/>
      <c r="BH1" s="395"/>
      <c r="BI1" s="6"/>
      <c r="BJ1" s="416" t="s">
        <v>10</v>
      </c>
      <c r="BK1" s="416"/>
      <c r="BL1" s="416"/>
      <c r="BN1" s="404" t="s">
        <v>11</v>
      </c>
      <c r="BO1" s="404"/>
      <c r="BP1" s="404"/>
      <c r="BR1" s="417" t="s">
        <v>12</v>
      </c>
      <c r="BS1" s="417"/>
      <c r="BT1" s="417"/>
      <c r="BU1" s="51" t="s">
        <v>13</v>
      </c>
      <c r="BV1" s="6"/>
      <c r="BW1" s="51" t="s">
        <v>14</v>
      </c>
      <c r="BX1" s="51" t="s">
        <v>0</v>
      </c>
      <c r="BY1" s="395" t="s">
        <v>15</v>
      </c>
      <c r="BZ1" s="395"/>
      <c r="CA1" s="51" t="s">
        <v>16</v>
      </c>
      <c r="CB1" s="51" t="s">
        <v>17</v>
      </c>
      <c r="CC1" s="51" t="s">
        <v>18</v>
      </c>
      <c r="CF1" s="507" t="s">
        <v>0</v>
      </c>
      <c r="CG1" s="314"/>
      <c r="CH1" s="314"/>
      <c r="CI1" s="180" t="s">
        <v>6421</v>
      </c>
      <c r="CJ1" s="181" t="s">
        <v>19</v>
      </c>
      <c r="CL1" s="507" t="s">
        <v>0</v>
      </c>
      <c r="CM1" s="314"/>
      <c r="CN1" s="314"/>
      <c r="CO1" s="180" t="s">
        <v>6421</v>
      </c>
      <c r="CP1" s="181" t="s">
        <v>19</v>
      </c>
      <c r="CQ1" s="177"/>
      <c r="CR1" s="177"/>
      <c r="CS1" s="177"/>
      <c r="CT1" s="177"/>
      <c r="CU1" s="97"/>
      <c r="CV1" s="1"/>
      <c r="CW1" s="339" t="s">
        <v>21</v>
      </c>
      <c r="CX1" s="339"/>
      <c r="CY1" s="339"/>
      <c r="CZ1" s="1"/>
      <c r="DA1" s="340" t="s">
        <v>5333</v>
      </c>
      <c r="DB1" s="340"/>
      <c r="DC1" s="97"/>
      <c r="DD1" s="79" t="s">
        <v>0</v>
      </c>
      <c r="DE1" s="456"/>
      <c r="DF1" s="456"/>
      <c r="DG1" s="456"/>
      <c r="DH1" s="61" t="s">
        <v>152</v>
      </c>
      <c r="DI1" s="321"/>
      <c r="DJ1" s="321"/>
      <c r="DK1" s="457" t="s">
        <v>14</v>
      </c>
      <c r="DL1" s="457"/>
      <c r="DM1" s="456">
        <v>1</v>
      </c>
      <c r="DN1" s="456"/>
      <c r="DO1" s="23" t="s">
        <v>275</v>
      </c>
      <c r="DP1" s="456"/>
      <c r="DQ1" s="456"/>
      <c r="DR1" s="456"/>
      <c r="DS1" s="11"/>
      <c r="DT1" s="339" t="s">
        <v>3</v>
      </c>
      <c r="DU1" s="339"/>
      <c r="DV1" s="339"/>
      <c r="DW1" s="458" t="s">
        <v>276</v>
      </c>
      <c r="DX1" s="11"/>
    </row>
    <row r="2" spans="1:128" ht="7.35" customHeight="1" x14ac:dyDescent="0.2">
      <c r="B2" s="200" t="s">
        <v>22</v>
      </c>
      <c r="C2" s="350" t="s">
        <v>23</v>
      </c>
      <c r="D2" s="350"/>
      <c r="E2" s="350"/>
      <c r="F2" s="200" t="s">
        <v>5045</v>
      </c>
      <c r="G2" s="350"/>
      <c r="H2" s="350"/>
      <c r="I2" s="350"/>
      <c r="L2" s="349" t="s">
        <v>24</v>
      </c>
      <c r="M2" s="349"/>
      <c r="N2" s="353">
        <v>20</v>
      </c>
      <c r="O2" s="353"/>
      <c r="P2" s="283">
        <f>$N$2</f>
        <v>20</v>
      </c>
      <c r="Q2" s="283">
        <f>$N$2</f>
        <v>20</v>
      </c>
      <c r="R2" s="283">
        <f>$N$2</f>
        <v>20</v>
      </c>
      <c r="S2" s="283">
        <f>$N$2</f>
        <v>20</v>
      </c>
      <c r="T2" s="55"/>
      <c r="U2" s="350" t="s">
        <v>25</v>
      </c>
      <c r="V2" s="350"/>
      <c r="W2" s="199">
        <f>LOOKUP($C$2,Sheet3!$C$100:$V$100,Sheet3!$C$170:$V$170)</f>
        <v>20</v>
      </c>
      <c r="Y2" s="321" t="s">
        <v>269</v>
      </c>
      <c r="Z2" s="321"/>
      <c r="AA2" s="321"/>
      <c r="AB2" s="52">
        <f>LOOKUP($C$2,Sheet3!$C$100:$V$100,Sheet3!$C$157:$V$157)</f>
        <v>20</v>
      </c>
      <c r="AC2" s="196"/>
      <c r="AD2" s="389" t="s">
        <v>6008</v>
      </c>
      <c r="AE2" s="386"/>
      <c r="AF2" s="386"/>
      <c r="AG2" s="386"/>
      <c r="AH2" s="198">
        <f>LOOKUP(AE2,Sheet3!FM6:FN13)</f>
        <v>0</v>
      </c>
      <c r="AJ2" s="414" t="s">
        <v>1298</v>
      </c>
      <c r="AK2" s="415"/>
      <c r="AL2" s="415"/>
      <c r="AM2" s="415"/>
      <c r="AN2" s="415"/>
      <c r="AO2" s="123">
        <f>IF(AP2=0,KI!I1,"-")</f>
        <v>40</v>
      </c>
      <c r="AP2" s="124"/>
      <c r="AR2" s="150">
        <f>LOOKUP($C$2,Sheet3!$C$100:$V$100,Sheet3!$C$158:$V$158)</f>
        <v>60</v>
      </c>
      <c r="AS2" s="151" t="s">
        <v>6021</v>
      </c>
      <c r="AT2" s="104" t="s">
        <v>28</v>
      </c>
      <c r="AU2" s="107"/>
      <c r="AV2" s="322" t="s">
        <v>5529</v>
      </c>
      <c r="AW2" s="322"/>
      <c r="AX2" s="322"/>
      <c r="AY2" s="322"/>
      <c r="BA2" s="406" t="s">
        <v>5194</v>
      </c>
      <c r="BB2" s="406"/>
      <c r="BC2" s="101" t="s">
        <v>5535</v>
      </c>
      <c r="BD2" s="101" t="s">
        <v>14</v>
      </c>
      <c r="BF2" s="321">
        <f>MAX((LOOKUP(E14,HM!A2:B21)+(Sheet3!O402*'Hoja básica'!C3))-BC16,0)</f>
        <v>0</v>
      </c>
      <c r="BG2" s="321"/>
      <c r="BH2" s="321"/>
      <c r="BJ2" s="416"/>
      <c r="BK2" s="416"/>
      <c r="BL2" s="416"/>
      <c r="BN2" s="321"/>
      <c r="BO2" s="321"/>
      <c r="BP2" s="321"/>
      <c r="BR2" s="343"/>
      <c r="BS2" s="343"/>
      <c r="BT2" s="343"/>
      <c r="BU2" s="54"/>
      <c r="BW2" s="52"/>
      <c r="BX2" s="52"/>
      <c r="BY2" s="321"/>
      <c r="BZ2" s="321"/>
      <c r="CA2" s="52"/>
      <c r="CB2" s="52"/>
      <c r="CC2" s="52"/>
      <c r="CF2" s="311"/>
      <c r="CG2" s="508"/>
      <c r="CH2" s="312"/>
      <c r="CI2" s="167">
        <f>CJ2-CJ6-CJ11-CJ16-CJ21-CJ26-CJ31-CJ36-CJ41-CJ46-CJ51</f>
        <v>0</v>
      </c>
      <c r="CJ2" s="161"/>
      <c r="CL2" s="311"/>
      <c r="CM2" s="508"/>
      <c r="CN2" s="312"/>
      <c r="CO2" s="167">
        <f>CP2-CP6-CP11-CP16-CP21-CP26-CP31-CP36-CP41-CP46-CP51</f>
        <v>0</v>
      </c>
      <c r="CP2" s="167">
        <v>0</v>
      </c>
      <c r="CQ2" s="177"/>
      <c r="CR2" s="177"/>
      <c r="CS2" s="177"/>
      <c r="CT2" s="177"/>
      <c r="CU2" s="97"/>
      <c r="CV2" s="1"/>
      <c r="CW2" s="160" t="s">
        <v>30</v>
      </c>
      <c r="CX2" s="321"/>
      <c r="CY2" s="321"/>
      <c r="CZ2" s="1"/>
      <c r="DA2" s="322"/>
      <c r="DB2" s="322"/>
      <c r="DC2" s="97"/>
      <c r="DD2" s="79" t="s">
        <v>277</v>
      </c>
      <c r="DE2" s="456"/>
      <c r="DF2" s="456"/>
      <c r="DG2" s="456"/>
      <c r="DH2" s="61" t="s">
        <v>278</v>
      </c>
      <c r="DI2" s="321"/>
      <c r="DJ2" s="321"/>
      <c r="DK2" s="457" t="s">
        <v>22</v>
      </c>
      <c r="DL2" s="457"/>
      <c r="DM2" s="459" t="s">
        <v>23</v>
      </c>
      <c r="DN2" s="459"/>
      <c r="DO2" s="459"/>
      <c r="DP2" s="459"/>
      <c r="DQ2" s="459"/>
      <c r="DR2" s="459"/>
      <c r="DS2" s="11"/>
      <c r="DT2" s="321" t="s">
        <v>25</v>
      </c>
      <c r="DU2" s="321"/>
      <c r="DV2" s="52">
        <f>LOOKUP(DM2,Sheet3!$C$100:$V$100,Sheet3!$C$170:$V$170)</f>
        <v>20</v>
      </c>
      <c r="DW2" s="458"/>
      <c r="DX2" s="11"/>
    </row>
    <row r="3" spans="1:128" ht="7.35" customHeight="1" x14ac:dyDescent="0.2">
      <c r="B3" s="200" t="s">
        <v>14</v>
      </c>
      <c r="C3" s="199">
        <v>1</v>
      </c>
      <c r="D3" s="200" t="s">
        <v>31</v>
      </c>
      <c r="E3" s="199"/>
      <c r="F3" s="200" t="s">
        <v>32</v>
      </c>
      <c r="G3" s="350">
        <f>(LOOKUP($C$3,Sheet3!$E$234:$T$235))-$J$20</f>
        <v>600</v>
      </c>
      <c r="H3" s="350"/>
      <c r="I3" s="350"/>
      <c r="L3" s="349" t="s">
        <v>33</v>
      </c>
      <c r="M3" s="349"/>
      <c r="N3" s="400">
        <f>-IF(((SUM(G24:G26))-SUM($F$24:$F$26)-$L$40)&gt;0,((SUM(G24:G26))-SUM($F$24:$F$26)-$L$40),0)+LOOKUP(COUNTBLANK(B24:B26),Sheet3!H285:I288)</f>
        <v>0</v>
      </c>
      <c r="O3" s="400"/>
      <c r="P3" s="295">
        <f>$N$3</f>
        <v>0</v>
      </c>
      <c r="Q3" s="295">
        <f>$N$3</f>
        <v>0</v>
      </c>
      <c r="R3" s="295">
        <f>$N$3</f>
        <v>0</v>
      </c>
      <c r="S3" s="295">
        <f>$N$3</f>
        <v>0</v>
      </c>
      <c r="T3" s="55"/>
      <c r="U3" s="350" t="s">
        <v>34</v>
      </c>
      <c r="V3" s="350"/>
      <c r="W3" s="199">
        <v>0</v>
      </c>
      <c r="Y3" s="482" t="s">
        <v>271</v>
      </c>
      <c r="Z3" s="482"/>
      <c r="AA3" s="482"/>
      <c r="AB3" s="60">
        <f>SUM($AP$2:$AP$55)+(SUM(AM86:AM90)*30)+(SUM(AN86:AN90)*60)+AG71+AH29+AH41+AH51+AH61+SUM(AP58:AP78)+AH2+AH3</f>
        <v>0</v>
      </c>
      <c r="AC3" s="196"/>
      <c r="AD3" s="389"/>
      <c r="AE3" s="386"/>
      <c r="AF3" s="386"/>
      <c r="AG3" s="386"/>
      <c r="AH3" s="199">
        <f>LOOKUP(AE3,Sheet3!FM6:FN13)</f>
        <v>0</v>
      </c>
      <c r="AJ3" s="366" t="s">
        <v>5537</v>
      </c>
      <c r="AK3" s="367"/>
      <c r="AL3" s="367"/>
      <c r="AM3" s="367"/>
      <c r="AN3" s="367"/>
      <c r="AO3" s="105">
        <f>IF(AP3=0,KI!I2,"-")</f>
        <v>30</v>
      </c>
      <c r="AP3" s="102"/>
      <c r="AR3" s="322" t="s">
        <v>37</v>
      </c>
      <c r="AS3" s="322"/>
      <c r="AT3" s="100">
        <f>LOOKUP($E$16,Sheet3!$D$21:$E$40)</f>
        <v>5</v>
      </c>
      <c r="AU3" s="2"/>
      <c r="BA3" s="322" t="s">
        <v>29</v>
      </c>
      <c r="BB3" s="322"/>
      <c r="BC3" s="100"/>
      <c r="BD3" s="237">
        <v>0</v>
      </c>
      <c r="BH3" s="7"/>
      <c r="BJ3" s="321" t="s">
        <v>2</v>
      </c>
      <c r="BK3" s="321"/>
      <c r="BL3" s="52">
        <f>LOOKUP($E$17,Sheet3!$G$1:$H$20)</f>
        <v>10</v>
      </c>
      <c r="BN3" s="321"/>
      <c r="BO3" s="321"/>
      <c r="BP3" s="321"/>
      <c r="BR3" s="343"/>
      <c r="BS3" s="343"/>
      <c r="BT3" s="343"/>
      <c r="BU3" s="88"/>
      <c r="BW3" s="395" t="s">
        <v>20</v>
      </c>
      <c r="BX3" s="395"/>
      <c r="BY3" s="395"/>
      <c r="BZ3" s="395"/>
      <c r="CA3" s="395"/>
      <c r="CB3" s="395"/>
      <c r="CC3" s="395"/>
      <c r="CQ3" s="177"/>
      <c r="CR3" s="177"/>
      <c r="CS3" s="177"/>
      <c r="CT3" s="177"/>
      <c r="CU3" s="97"/>
      <c r="CV3" s="1"/>
      <c r="CW3" s="160" t="s">
        <v>40</v>
      </c>
      <c r="CX3" s="321"/>
      <c r="CY3" s="321"/>
      <c r="CZ3" s="1"/>
      <c r="DA3" s="322"/>
      <c r="DB3" s="322"/>
      <c r="DC3" s="97"/>
      <c r="DD3" s="352" t="s">
        <v>279</v>
      </c>
      <c r="DE3" s="457"/>
      <c r="DF3" s="457"/>
      <c r="DG3" s="457"/>
      <c r="DH3" s="457"/>
      <c r="DI3" s="457"/>
      <c r="DJ3" s="457"/>
      <c r="DK3" s="457"/>
      <c r="DL3" s="457"/>
      <c r="DM3" s="457"/>
      <c r="DN3" s="457"/>
      <c r="DO3" s="457"/>
      <c r="DP3" s="457"/>
      <c r="DQ3" s="457"/>
      <c r="DR3" s="457"/>
      <c r="DS3" s="11"/>
      <c r="DT3" s="321" t="s">
        <v>34</v>
      </c>
      <c r="DU3" s="321"/>
      <c r="DV3" s="52">
        <v>0</v>
      </c>
      <c r="DW3" s="458"/>
      <c r="DX3" s="11"/>
    </row>
    <row r="4" spans="1:128" ht="7.35" customHeight="1" x14ac:dyDescent="0.2">
      <c r="B4" s="200" t="s">
        <v>41</v>
      </c>
      <c r="C4" s="350"/>
      <c r="D4" s="350"/>
      <c r="E4" s="350"/>
      <c r="F4" s="200" t="s">
        <v>42</v>
      </c>
      <c r="G4" s="199" t="str">
        <f>LOOKUP(I5,Sheet3!A224:B247)</f>
        <v>1,4-1,7</v>
      </c>
      <c r="H4" s="200" t="s">
        <v>43</v>
      </c>
      <c r="I4" s="199" t="str">
        <f>LOOKUP(I5,Sheet3!A224:A247,Sheet3!C224:C247)</f>
        <v>40-90</v>
      </c>
      <c r="L4" s="349" t="s">
        <v>44</v>
      </c>
      <c r="M4" s="349"/>
      <c r="N4" s="353">
        <f>F10</f>
        <v>0</v>
      </c>
      <c r="O4" s="353"/>
      <c r="P4" s="283">
        <f>$N$4</f>
        <v>0</v>
      </c>
      <c r="Q4" s="283">
        <f>$N$4</f>
        <v>0</v>
      </c>
      <c r="R4" s="283">
        <f>$N$4</f>
        <v>0</v>
      </c>
      <c r="S4" s="283">
        <f>$N$4</f>
        <v>0</v>
      </c>
      <c r="T4" s="55"/>
      <c r="U4" s="350" t="s">
        <v>2</v>
      </c>
      <c r="V4" s="350"/>
      <c r="W4" s="199">
        <f>LOOKUP(E11,Sheet3!D1:E20)</f>
        <v>70</v>
      </c>
      <c r="Y4" s="401" t="s">
        <v>127</v>
      </c>
      <c r="Z4" s="401"/>
      <c r="AA4" s="401"/>
      <c r="AB4" s="59">
        <f>Sheet3!O358+(AB2*$C$3)-AB3+AB5+$AB$19+$AB$29+$AB$39+$AB$49+$AB$59</f>
        <v>20</v>
      </c>
      <c r="AJ4" s="114" t="s">
        <v>5590</v>
      </c>
      <c r="AK4" s="435" t="s">
        <v>5538</v>
      </c>
      <c r="AL4" s="436"/>
      <c r="AM4" s="436"/>
      <c r="AN4" s="144" t="str">
        <f>IF(AP4&gt;0,(((AB3+AB4)+W25)/2)+(Sheet3!O408*'Hoja básica'!C3),"")</f>
        <v/>
      </c>
      <c r="AO4" s="105">
        <f>IF(AP4=0,KI!I3,"-")</f>
        <v>20</v>
      </c>
      <c r="AP4" s="102"/>
      <c r="AR4" s="322" t="s">
        <v>47</v>
      </c>
      <c r="AS4" s="322"/>
      <c r="AT4" s="100">
        <v>0</v>
      </c>
      <c r="AU4" s="2"/>
      <c r="AV4" s="338" t="s">
        <v>9</v>
      </c>
      <c r="AW4" s="338"/>
      <c r="AX4" s="338"/>
      <c r="AY4" s="338"/>
      <c r="BA4" s="322" t="s">
        <v>39</v>
      </c>
      <c r="BB4" s="322"/>
      <c r="BC4" s="100"/>
      <c r="BD4" s="237">
        <v>0</v>
      </c>
      <c r="BF4" s="310" t="s">
        <v>6705</v>
      </c>
      <c r="BG4" s="310"/>
      <c r="BH4" s="310"/>
      <c r="BI4" s="6"/>
      <c r="BJ4" s="321" t="s">
        <v>51</v>
      </c>
      <c r="BK4" s="321"/>
      <c r="BL4" s="52">
        <f>LOOKUP(BL12,HP!D1:E67)</f>
        <v>0</v>
      </c>
      <c r="BN4" s="321"/>
      <c r="BO4" s="321"/>
      <c r="BP4" s="321"/>
      <c r="BR4" s="343"/>
      <c r="BS4" s="343"/>
      <c r="BT4" s="343"/>
      <c r="BU4" s="88"/>
      <c r="BW4" s="321"/>
      <c r="BX4" s="321"/>
      <c r="BY4" s="321"/>
      <c r="BZ4" s="321"/>
      <c r="CA4" s="321"/>
      <c r="CB4" s="321"/>
      <c r="CC4" s="321"/>
      <c r="CF4" s="313" t="s">
        <v>20</v>
      </c>
      <c r="CG4" s="314"/>
      <c r="CH4" s="314"/>
      <c r="CI4" s="314"/>
      <c r="CJ4" s="314"/>
      <c r="CL4" s="313" t="s">
        <v>20</v>
      </c>
      <c r="CM4" s="314"/>
      <c r="CN4" s="314"/>
      <c r="CO4" s="314"/>
      <c r="CP4" s="314"/>
      <c r="CQ4" s="177"/>
      <c r="CR4" s="97"/>
      <c r="CS4" s="177"/>
      <c r="CT4" s="177"/>
      <c r="CU4" s="97"/>
      <c r="CV4" s="1"/>
      <c r="CW4" s="160" t="s">
        <v>52</v>
      </c>
      <c r="CX4" s="321"/>
      <c r="CY4" s="321"/>
      <c r="CZ4" s="1"/>
      <c r="DA4" s="322"/>
      <c r="DB4" s="322"/>
      <c r="DC4" s="97"/>
      <c r="DD4" s="460"/>
      <c r="DE4" s="461"/>
      <c r="DF4" s="461"/>
      <c r="DG4" s="461"/>
      <c r="DH4" s="461"/>
      <c r="DI4" s="461"/>
      <c r="DJ4" s="461"/>
      <c r="DK4" s="461"/>
      <c r="DL4" s="461"/>
      <c r="DM4" s="461"/>
      <c r="DN4" s="461"/>
      <c r="DO4" s="461"/>
      <c r="DP4" s="461"/>
      <c r="DQ4" s="461"/>
      <c r="DR4" s="461"/>
      <c r="DS4" s="11"/>
      <c r="DT4" s="321" t="s">
        <v>2</v>
      </c>
      <c r="DU4" s="321"/>
      <c r="DV4" s="52">
        <f>LOOKUP(DE14,Sheet3!D1:E20)</f>
        <v>70</v>
      </c>
      <c r="DW4" s="442" t="s">
        <v>280</v>
      </c>
      <c r="DX4" s="11"/>
    </row>
    <row r="5" spans="1:128" ht="7.35" customHeight="1" x14ac:dyDescent="0.2">
      <c r="B5" s="200" t="s">
        <v>53</v>
      </c>
      <c r="C5" s="350"/>
      <c r="D5" s="350"/>
      <c r="E5" s="350"/>
      <c r="F5" s="200" t="s">
        <v>54</v>
      </c>
      <c r="G5" s="199"/>
      <c r="H5" s="200" t="s">
        <v>55</v>
      </c>
      <c r="I5" s="199">
        <f>(C13+C11)+LOOKUP($C$5,Tabla14[RAZAS],Tabla14[Tamaño])</f>
        <v>10</v>
      </c>
      <c r="J5" s="15" t="str">
        <f>IF(IFERROR(VLOOKUP("Tamaño no natural – 1",S66:W73,1,FALSE),0)&lt;&gt;0,"Revisar","")</f>
        <v/>
      </c>
      <c r="L5" s="349" t="s">
        <v>56</v>
      </c>
      <c r="M5" s="349"/>
      <c r="N5" s="353">
        <f>F12</f>
        <v>0</v>
      </c>
      <c r="O5" s="353"/>
      <c r="P5" s="283">
        <f>$N$5</f>
        <v>0</v>
      </c>
      <c r="Q5" s="283">
        <f>$N$5</f>
        <v>0</v>
      </c>
      <c r="R5" s="283">
        <f>$N$5</f>
        <v>0</v>
      </c>
      <c r="S5" s="283">
        <f>$N$5</f>
        <v>0</v>
      </c>
      <c r="T5" s="55"/>
      <c r="U5" s="350" t="s">
        <v>22</v>
      </c>
      <c r="V5" s="350"/>
      <c r="W5" s="199">
        <f>(LOOKUP(C2,Sheet3!C100:V100,Sheet3!C155:V155)+Sheet3!O414)*C3</f>
        <v>5</v>
      </c>
      <c r="Y5" s="401" t="s">
        <v>76</v>
      </c>
      <c r="Z5" s="401"/>
      <c r="AA5" s="401"/>
      <c r="AB5" s="59">
        <v>0</v>
      </c>
      <c r="AE5" s="481" t="str">
        <f>"Coste "&amp;LOOKUP($C$2,Sheet3!$C$100:$V$100,Sheet3!$C$168:$V$168)&amp;" por acumulación"</f>
        <v>Coste 20 por acumulación</v>
      </c>
      <c r="AF5" s="481"/>
      <c r="AG5" s="481"/>
      <c r="AH5" s="481"/>
      <c r="AJ5" s="114" t="s">
        <v>5588</v>
      </c>
      <c r="AK5" s="115" t="s">
        <v>5589</v>
      </c>
      <c r="AL5" s="366" t="s">
        <v>5539</v>
      </c>
      <c r="AM5" s="367"/>
      <c r="AN5" s="367"/>
      <c r="AO5" s="105">
        <f>IF(AP5=0,KI!I4,"-")</f>
        <v>10</v>
      </c>
      <c r="AP5" s="102"/>
      <c r="AR5" s="322" t="s">
        <v>38</v>
      </c>
      <c r="AS5" s="322"/>
      <c r="AT5" s="100">
        <v>0</v>
      </c>
      <c r="AU5" s="2"/>
      <c r="AV5" s="92" t="s">
        <v>2</v>
      </c>
      <c r="AW5" s="322">
        <f>LOOKUP(AT6,HM!D14:E54)</f>
        <v>0</v>
      </c>
      <c r="AX5" s="322"/>
      <c r="AY5" s="322"/>
      <c r="BA5" s="322" t="s">
        <v>49</v>
      </c>
      <c r="BB5" s="322"/>
      <c r="BC5" s="100"/>
      <c r="BD5" s="237">
        <v>0</v>
      </c>
      <c r="BF5" s="342"/>
      <c r="BG5" s="342"/>
      <c r="BH5" s="342"/>
      <c r="BJ5" s="321" t="s">
        <v>38</v>
      </c>
      <c r="BK5" s="321"/>
      <c r="BL5" s="52"/>
      <c r="BN5" s="321"/>
      <c r="BO5" s="321"/>
      <c r="BP5" s="321"/>
      <c r="BR5" s="343"/>
      <c r="BS5" s="343"/>
      <c r="BT5" s="343"/>
      <c r="BU5" s="88"/>
      <c r="BW5" s="321"/>
      <c r="BX5" s="321"/>
      <c r="BY5" s="321"/>
      <c r="BZ5" s="321"/>
      <c r="CA5" s="321"/>
      <c r="CB5" s="321"/>
      <c r="CC5" s="321"/>
      <c r="CF5" s="310" t="s">
        <v>0</v>
      </c>
      <c r="CG5" s="310"/>
      <c r="CH5" s="310" t="s">
        <v>228</v>
      </c>
      <c r="CI5" s="310"/>
      <c r="CJ5" s="157" t="s">
        <v>27</v>
      </c>
      <c r="CL5" s="310" t="s">
        <v>0</v>
      </c>
      <c r="CM5" s="310"/>
      <c r="CN5" s="310" t="s">
        <v>228</v>
      </c>
      <c r="CO5" s="310"/>
      <c r="CP5" s="183" t="s">
        <v>27</v>
      </c>
      <c r="CQ5" s="177"/>
      <c r="CR5" s="97"/>
      <c r="CS5" s="177"/>
      <c r="CT5" s="177"/>
      <c r="CU5" s="177"/>
      <c r="CV5" s="1"/>
      <c r="CW5" s="1"/>
      <c r="CX5" s="1"/>
      <c r="CY5" s="1"/>
      <c r="CZ5" s="1"/>
      <c r="DA5" s="322"/>
      <c r="DB5" s="322"/>
      <c r="DC5" s="97"/>
      <c r="DD5" s="460"/>
      <c r="DE5" s="461"/>
      <c r="DF5" s="461"/>
      <c r="DG5" s="461"/>
      <c r="DH5" s="461"/>
      <c r="DI5" s="461"/>
      <c r="DJ5" s="461"/>
      <c r="DK5" s="461"/>
      <c r="DL5" s="461"/>
      <c r="DM5" s="461"/>
      <c r="DN5" s="461"/>
      <c r="DO5" s="461"/>
      <c r="DP5" s="461"/>
      <c r="DQ5" s="461"/>
      <c r="DR5" s="461"/>
      <c r="DS5" s="11"/>
      <c r="DT5" s="321" t="s">
        <v>22</v>
      </c>
      <c r="DU5" s="321"/>
      <c r="DV5" s="52">
        <f>(LOOKUP(DM2,Sheet3!C100:V100,Sheet3!C155:V155))*C3</f>
        <v>5</v>
      </c>
      <c r="DW5" s="442"/>
      <c r="DX5" s="11"/>
    </row>
    <row r="6" spans="1:128" ht="7.35" customHeight="1" x14ac:dyDescent="0.2">
      <c r="B6" s="393" t="s">
        <v>63</v>
      </c>
      <c r="C6" s="393"/>
      <c r="D6" s="393"/>
      <c r="E6" s="393"/>
      <c r="F6" s="393"/>
      <c r="G6" s="393"/>
      <c r="H6" s="393"/>
      <c r="I6" s="393"/>
      <c r="L6" s="349" t="s">
        <v>64</v>
      </c>
      <c r="M6" s="349"/>
      <c r="N6" s="353">
        <v>20</v>
      </c>
      <c r="O6" s="353"/>
      <c r="P6" s="283">
        <f>B49</f>
        <v>20</v>
      </c>
      <c r="Q6" s="283">
        <f>B55</f>
        <v>20</v>
      </c>
      <c r="R6" s="283">
        <f>B61</f>
        <v>20</v>
      </c>
      <c r="S6" s="283">
        <f>B67</f>
        <v>20</v>
      </c>
      <c r="T6" s="55"/>
      <c r="U6" s="350" t="s">
        <v>47</v>
      </c>
      <c r="V6" s="350"/>
      <c r="W6" s="199">
        <f>MAX(W3*F11,0)</f>
        <v>0</v>
      </c>
      <c r="Y6" s="322" t="s">
        <v>5046</v>
      </c>
      <c r="Z6" s="322"/>
      <c r="AA6" s="322"/>
      <c r="AB6" s="50">
        <f>0.1*(LOOKUP($C$3,Sheet3!$E$234:$T$235))</f>
        <v>60</v>
      </c>
      <c r="AE6" s="95" t="s">
        <v>5414</v>
      </c>
      <c r="AF6" s="95" t="s">
        <v>5415</v>
      </c>
      <c r="AG6" s="95" t="s">
        <v>5416</v>
      </c>
      <c r="AH6" s="95" t="s">
        <v>86</v>
      </c>
      <c r="AJ6" s="114" t="s">
        <v>5589</v>
      </c>
      <c r="AK6" s="366" t="s">
        <v>5540</v>
      </c>
      <c r="AL6" s="367"/>
      <c r="AM6" s="367"/>
      <c r="AN6" s="367"/>
      <c r="AO6" s="105">
        <f>IF(AP6=0,KI!I5,"-")</f>
        <v>10</v>
      </c>
      <c r="AP6" s="102"/>
      <c r="AR6" s="358" t="s">
        <v>67</v>
      </c>
      <c r="AS6" s="358"/>
      <c r="AT6" s="100">
        <f>(AT3)+(AT3*AT4)+AT5</f>
        <v>5</v>
      </c>
      <c r="AU6" s="2"/>
      <c r="AV6" s="92" t="s">
        <v>38</v>
      </c>
      <c r="AW6" s="322">
        <f>Sheet3!O373</f>
        <v>0</v>
      </c>
      <c r="AX6" s="322"/>
      <c r="AY6" s="322"/>
      <c r="BA6" s="322" t="s">
        <v>61</v>
      </c>
      <c r="BB6" s="322"/>
      <c r="BC6" s="100"/>
      <c r="BD6" s="237">
        <v>0</v>
      </c>
      <c r="BF6" s="342"/>
      <c r="BG6" s="342"/>
      <c r="BH6" s="342"/>
      <c r="BJ6" s="405" t="s">
        <v>71</v>
      </c>
      <c r="BK6" s="405"/>
      <c r="BL6" s="52">
        <f>SUM(BL3:BL5)</f>
        <v>10</v>
      </c>
      <c r="BN6" s="2"/>
      <c r="BO6" s="2"/>
      <c r="BP6" s="2"/>
      <c r="BR6" s="343"/>
      <c r="BS6" s="343"/>
      <c r="BT6" s="343"/>
      <c r="BU6" s="88"/>
      <c r="BW6" s="321"/>
      <c r="BX6" s="321"/>
      <c r="BY6" s="321"/>
      <c r="BZ6" s="321"/>
      <c r="CA6" s="321"/>
      <c r="CB6" s="321"/>
      <c r="CC6" s="321"/>
      <c r="CF6" s="311"/>
      <c r="CG6" s="312"/>
      <c r="CH6" s="311" t="str">
        <f>LOOKUP(CF6,Tabla15[Poder],Tabla15[Requisito])</f>
        <v/>
      </c>
      <c r="CI6" s="312"/>
      <c r="CJ6" s="161">
        <f>LOOKUP(CF6,Tabla15[Poder],Tabla15[Coste])</f>
        <v>0</v>
      </c>
      <c r="CL6" s="311"/>
      <c r="CM6" s="312"/>
      <c r="CN6" s="311" t="str">
        <f>LOOKUP(CL6,Tabla15[Poder],Tabla15[Requisito])</f>
        <v/>
      </c>
      <c r="CO6" s="312"/>
      <c r="CP6" s="167">
        <f>LOOKUP(CL6,Tabla15[Poder],Tabla15[Coste])</f>
        <v>0</v>
      </c>
      <c r="CQ6" s="177"/>
      <c r="CR6" s="97"/>
      <c r="CS6" s="177"/>
      <c r="CT6" s="177"/>
      <c r="CU6" s="177"/>
      <c r="CV6" s="1"/>
      <c r="CW6" s="339" t="s">
        <v>72</v>
      </c>
      <c r="CX6" s="339"/>
      <c r="CY6" s="339"/>
      <c r="CZ6" s="1"/>
      <c r="DA6" s="322"/>
      <c r="DB6" s="322"/>
      <c r="DC6" s="97"/>
      <c r="DD6" s="460"/>
      <c r="DE6" s="461"/>
      <c r="DF6" s="461"/>
      <c r="DG6" s="461"/>
      <c r="DH6" s="461"/>
      <c r="DI6" s="461"/>
      <c r="DJ6" s="461"/>
      <c r="DK6" s="461"/>
      <c r="DL6" s="461"/>
      <c r="DM6" s="461"/>
      <c r="DN6" s="461"/>
      <c r="DO6" s="461"/>
      <c r="DP6" s="461"/>
      <c r="DQ6" s="461"/>
      <c r="DR6" s="461"/>
      <c r="DS6" s="11"/>
      <c r="DT6" s="321" t="s">
        <v>47</v>
      </c>
      <c r="DU6" s="321"/>
      <c r="DV6" s="52">
        <f>DV3*DF14</f>
        <v>0</v>
      </c>
      <c r="DW6" s="442"/>
      <c r="DX6" s="11"/>
    </row>
    <row r="7" spans="1:128" ht="7.35" customHeight="1" x14ac:dyDescent="0.2">
      <c r="B7" s="392" t="s">
        <v>73</v>
      </c>
      <c r="C7" s="392"/>
      <c r="D7" s="350">
        <f>Sheet3!O363+0</f>
        <v>0</v>
      </c>
      <c r="E7" s="350"/>
      <c r="F7" s="392" t="s">
        <v>74</v>
      </c>
      <c r="G7" s="392"/>
      <c r="H7" s="350">
        <f>LOOKUP(C3,Sheet3!E234:T234,Sheet3!E236:T236)</f>
        <v>100</v>
      </c>
      <c r="I7" s="350"/>
      <c r="L7" s="349" t="s">
        <v>22</v>
      </c>
      <c r="M7" s="349"/>
      <c r="N7" s="353">
        <f>(LOOKUP(C2,Sheet3!$C$100:$V$100,Sheet3!$C$156:$V$156))*C3</f>
        <v>5</v>
      </c>
      <c r="O7" s="353"/>
      <c r="P7" s="283">
        <f>$N$7</f>
        <v>5</v>
      </c>
      <c r="Q7" s="283">
        <f>$N$7</f>
        <v>5</v>
      </c>
      <c r="R7" s="283">
        <f>$N$7</f>
        <v>5</v>
      </c>
      <c r="S7" s="283">
        <f>$N$7</f>
        <v>5</v>
      </c>
      <c r="T7" s="55"/>
      <c r="U7" s="350" t="s">
        <v>6022</v>
      </c>
      <c r="V7" s="350"/>
      <c r="W7" s="199">
        <f>SUM(W4:W6)</f>
        <v>75</v>
      </c>
      <c r="AE7" s="90" t="s">
        <v>36</v>
      </c>
      <c r="AF7" s="89">
        <f>LOOKUP(E13,Sheet3!$G$21:$H$40)</f>
        <v>1</v>
      </c>
      <c r="AG7" s="89">
        <v>0</v>
      </c>
      <c r="AH7" s="89">
        <f t="shared" ref="AH7:AH12" si="0">AF7+AG7</f>
        <v>1</v>
      </c>
      <c r="AJ7" s="114"/>
      <c r="AK7" s="115" t="s">
        <v>5589</v>
      </c>
      <c r="AL7" s="366" t="s">
        <v>2935</v>
      </c>
      <c r="AM7" s="367"/>
      <c r="AN7" s="367"/>
      <c r="AO7" s="105">
        <f>IF(AP7=0,KI!I6,"-")</f>
        <v>20</v>
      </c>
      <c r="AP7" s="102"/>
      <c r="AU7" s="6"/>
      <c r="AV7" s="92" t="s">
        <v>48</v>
      </c>
      <c r="AW7" s="322">
        <f>SUM(AW5:AW6)</f>
        <v>0</v>
      </c>
      <c r="AX7" s="322"/>
      <c r="AY7" s="322"/>
      <c r="BA7" s="322" t="s">
        <v>70</v>
      </c>
      <c r="BB7" s="322"/>
      <c r="BC7" s="100"/>
      <c r="BD7" s="237">
        <v>0</v>
      </c>
      <c r="BN7" s="407" t="s">
        <v>77</v>
      </c>
      <c r="BO7" s="407"/>
      <c r="BP7" s="407"/>
      <c r="BR7" s="343"/>
      <c r="BS7" s="343"/>
      <c r="BT7" s="343"/>
      <c r="BU7" s="88"/>
      <c r="BW7" s="321"/>
      <c r="BX7" s="321"/>
      <c r="BY7" s="321"/>
      <c r="BZ7" s="321"/>
      <c r="CA7" s="321"/>
      <c r="CB7" s="321"/>
      <c r="CC7" s="321"/>
      <c r="CF7" s="309" t="s">
        <v>138</v>
      </c>
      <c r="CG7" s="309"/>
      <c r="CH7" s="309"/>
      <c r="CI7" s="309"/>
      <c r="CJ7" s="309"/>
      <c r="CK7" s="97"/>
      <c r="CL7" s="309" t="s">
        <v>138</v>
      </c>
      <c r="CM7" s="309"/>
      <c r="CN7" s="309"/>
      <c r="CO7" s="309"/>
      <c r="CP7" s="309"/>
      <c r="CQ7" s="177"/>
      <c r="CR7" s="97"/>
      <c r="CS7" s="177"/>
      <c r="CT7" s="177"/>
      <c r="CU7" s="97"/>
      <c r="CV7" s="1"/>
      <c r="CW7" s="160" t="s">
        <v>78</v>
      </c>
      <c r="CX7" s="160" t="s">
        <v>79</v>
      </c>
      <c r="CY7" s="160" t="s">
        <v>80</v>
      </c>
      <c r="CZ7" s="1"/>
      <c r="DA7" s="322"/>
      <c r="DB7" s="322"/>
      <c r="DC7" s="97"/>
      <c r="DD7" s="460"/>
      <c r="DE7" s="461"/>
      <c r="DF7" s="461"/>
      <c r="DG7" s="461"/>
      <c r="DH7" s="461"/>
      <c r="DI7" s="461"/>
      <c r="DJ7" s="461"/>
      <c r="DK7" s="461"/>
      <c r="DL7" s="461"/>
      <c r="DM7" s="461"/>
      <c r="DN7" s="461"/>
      <c r="DO7" s="461"/>
      <c r="DP7" s="461"/>
      <c r="DQ7" s="461"/>
      <c r="DR7" s="461"/>
      <c r="DS7" s="11"/>
      <c r="DT7" s="321" t="s">
        <v>75</v>
      </c>
      <c r="DU7" s="321"/>
      <c r="DV7" s="52">
        <f>SUM(DV3:DV6)</f>
        <v>75</v>
      </c>
      <c r="DW7" s="52">
        <v>0</v>
      </c>
      <c r="DX7" s="11"/>
    </row>
    <row r="8" spans="1:128" ht="7.35" customHeight="1" x14ac:dyDescent="0.2">
      <c r="L8" s="349" t="s">
        <v>38</v>
      </c>
      <c r="M8" s="349"/>
      <c r="N8" s="353">
        <f>Sheet3!$O$336-Sheet3!$O$341+IF(AP19&lt;&gt;0,10,0)</f>
        <v>0</v>
      </c>
      <c r="O8" s="353"/>
      <c r="P8" s="283">
        <f>$N$8</f>
        <v>0</v>
      </c>
      <c r="Q8" s="283">
        <f>$N$8</f>
        <v>0</v>
      </c>
      <c r="R8" s="283">
        <f>$N$8</f>
        <v>0</v>
      </c>
      <c r="S8" s="283">
        <f>$N$8</f>
        <v>0</v>
      </c>
      <c r="T8" s="55"/>
      <c r="U8" s="350" t="s">
        <v>73</v>
      </c>
      <c r="V8" s="350"/>
      <c r="W8" s="350"/>
      <c r="Y8" s="402" t="s">
        <v>230</v>
      </c>
      <c r="Z8" s="402"/>
      <c r="AA8" s="402"/>
      <c r="AB8" s="402"/>
      <c r="AE8" s="90" t="s">
        <v>46</v>
      </c>
      <c r="AF8" s="89">
        <f>LOOKUP(E10,Sheet3!$G$21:$H$40)</f>
        <v>1</v>
      </c>
      <c r="AG8" s="89">
        <v>0</v>
      </c>
      <c r="AH8" s="89">
        <f t="shared" si="0"/>
        <v>1</v>
      </c>
      <c r="AJ8" s="114"/>
      <c r="AK8" s="115"/>
      <c r="AL8" s="115" t="s">
        <v>5590</v>
      </c>
      <c r="AM8" s="366" t="s">
        <v>5541</v>
      </c>
      <c r="AN8" s="367"/>
      <c r="AO8" s="105">
        <f>IF(AP8=0,KI!I7,"-")</f>
        <v>10</v>
      </c>
      <c r="AP8" s="102"/>
      <c r="AR8" s="497" t="str">
        <f>"Proyección mágica | Coste "&amp;LOOKUP($C$2,Sheet3!$C$100:$V$100,Sheet3!$C$160:$V$160)&amp;" | "&amp;(LOOKUP($C$3,Sheet3!$E$234:$T$235))/8&amp;" Máxima"</f>
        <v>Proyección mágica | Coste 2 | 75 Máxima</v>
      </c>
      <c r="AS8" s="498"/>
      <c r="AT8" s="499"/>
      <c r="AU8" s="2"/>
      <c r="BA8" s="322" t="s">
        <v>65</v>
      </c>
      <c r="BB8" s="322"/>
      <c r="BC8" s="100"/>
      <c r="BD8" s="237">
        <v>0</v>
      </c>
      <c r="BF8" s="491" t="str">
        <f>LOOKUP($C$2,Sheet3!$C$100:$V$100,Sheet3!$C$159:$V$159)&amp;" ZEON"</f>
        <v>2x5 ZEON</v>
      </c>
      <c r="BG8" s="492"/>
      <c r="BH8" s="493"/>
      <c r="BJ8" s="494" t="s">
        <v>6027</v>
      </c>
      <c r="BK8" s="495"/>
      <c r="BL8" s="496"/>
      <c r="BN8" s="163" t="s">
        <v>26</v>
      </c>
      <c r="BO8" s="163" t="s">
        <v>27</v>
      </c>
      <c r="BP8" s="163" t="s">
        <v>82</v>
      </c>
      <c r="BR8" s="343"/>
      <c r="BS8" s="343"/>
      <c r="BT8" s="343"/>
      <c r="BU8" s="88"/>
      <c r="CF8" s="308" t="str">
        <f>LOOKUP(CF6,Tabla15[Poder],Tabla15[Descripcion])</f>
        <v/>
      </c>
      <c r="CG8" s="308"/>
      <c r="CH8" s="308"/>
      <c r="CI8" s="308"/>
      <c r="CJ8" s="308"/>
      <c r="CK8" s="182"/>
      <c r="CL8" s="308" t="str">
        <f>LOOKUP(CL6,Tabla15[Poder],Tabla15[Descripcion])</f>
        <v/>
      </c>
      <c r="CM8" s="308"/>
      <c r="CN8" s="308"/>
      <c r="CO8" s="308"/>
      <c r="CP8" s="308"/>
      <c r="CQ8" s="177"/>
      <c r="CR8" s="97"/>
      <c r="CS8" s="177"/>
      <c r="CT8" s="177"/>
      <c r="CU8" s="177"/>
      <c r="CV8" s="1"/>
      <c r="CW8" s="9"/>
      <c r="CX8" s="160" t="s">
        <v>83</v>
      </c>
      <c r="CY8" s="160" t="s">
        <v>84</v>
      </c>
      <c r="CZ8" s="1"/>
      <c r="DA8" s="322"/>
      <c r="DB8" s="322"/>
      <c r="DC8" s="97"/>
      <c r="DD8" s="460"/>
      <c r="DE8" s="461"/>
      <c r="DF8" s="461"/>
      <c r="DG8" s="461"/>
      <c r="DH8" s="461"/>
      <c r="DI8" s="461"/>
      <c r="DJ8" s="461"/>
      <c r="DK8" s="461"/>
      <c r="DL8" s="461"/>
      <c r="DM8" s="461"/>
      <c r="DN8" s="461"/>
      <c r="DO8" s="461"/>
      <c r="DP8" s="461"/>
      <c r="DQ8" s="461"/>
      <c r="DR8" s="461"/>
      <c r="DS8" s="11"/>
      <c r="DT8" s="321" t="s">
        <v>73</v>
      </c>
      <c r="DU8" s="321"/>
      <c r="DV8" s="321"/>
      <c r="DW8" s="58" t="s">
        <v>28</v>
      </c>
      <c r="DX8" s="11"/>
    </row>
    <row r="9" spans="1:128" ht="7.35" customHeight="1" x14ac:dyDescent="0.2">
      <c r="B9" s="209"/>
      <c r="C9" s="210" t="s">
        <v>2</v>
      </c>
      <c r="D9" s="201" t="s">
        <v>6028</v>
      </c>
      <c r="E9" s="210" t="s">
        <v>85</v>
      </c>
      <c r="F9" s="210" t="s">
        <v>13</v>
      </c>
      <c r="L9" s="349" t="s">
        <v>86</v>
      </c>
      <c r="M9" s="349"/>
      <c r="N9" s="397">
        <f>SUM(N2:N8)</f>
        <v>45</v>
      </c>
      <c r="O9" s="397"/>
      <c r="P9" s="282">
        <f>IF(P6="No usable","No usable",SUM(P2:P8))</f>
        <v>45</v>
      </c>
      <c r="Q9" s="282">
        <f>IF(Q6="No usable","No usable",SUM(Q2:Q8))</f>
        <v>45</v>
      </c>
      <c r="R9" s="282">
        <f>IF(R6="No usable","No usable",SUM(R2:R8))</f>
        <v>45</v>
      </c>
      <c r="S9" s="282">
        <f>IF(S6="No usable","No usable",SUM(S2:S8))</f>
        <v>45</v>
      </c>
      <c r="T9" s="55"/>
      <c r="U9" s="467">
        <f>W7</f>
        <v>75</v>
      </c>
      <c r="V9" s="467"/>
      <c r="W9" s="467"/>
      <c r="Y9" s="403"/>
      <c r="Z9" s="403"/>
      <c r="AA9" s="403"/>
      <c r="AB9" s="403"/>
      <c r="AE9" s="90" t="s">
        <v>57</v>
      </c>
      <c r="AF9" s="89">
        <f>LOOKUP(E12,Sheet3!$G$21:$H$40)</f>
        <v>1</v>
      </c>
      <c r="AG9" s="89">
        <v>0</v>
      </c>
      <c r="AH9" s="89">
        <f t="shared" si="0"/>
        <v>1</v>
      </c>
      <c r="AJ9" s="114"/>
      <c r="AK9" s="115"/>
      <c r="AL9" s="115" t="s">
        <v>5590</v>
      </c>
      <c r="AM9" s="366" t="s">
        <v>5542</v>
      </c>
      <c r="AN9" s="367"/>
      <c r="AO9" s="105">
        <f>IF(AP9=0,KI!I8,"-")</f>
        <v>20</v>
      </c>
      <c r="AP9" s="102"/>
      <c r="AR9" s="322" t="s">
        <v>2</v>
      </c>
      <c r="AS9" s="322"/>
      <c r="AT9" s="100">
        <v>0</v>
      </c>
      <c r="AU9" s="2"/>
      <c r="AV9" s="358" t="str">
        <f>(AR2/2)&amp;" Regeneración de Zeon"</f>
        <v>30 Regeneración de Zeon</v>
      </c>
      <c r="AW9" s="358"/>
      <c r="AX9" s="358"/>
      <c r="AY9" s="358"/>
      <c r="BA9" s="322" t="s">
        <v>35</v>
      </c>
      <c r="BB9" s="322"/>
      <c r="BC9" s="100"/>
      <c r="BD9" s="237">
        <v>0</v>
      </c>
      <c r="BF9" s="321" t="s">
        <v>62</v>
      </c>
      <c r="BG9" s="321"/>
      <c r="BH9" s="52">
        <f>LOOKUP($E$16,Sheet3!$A$21:$B$40)</f>
        <v>70</v>
      </c>
      <c r="BI9" s="6"/>
      <c r="BJ9" s="347" t="str">
        <f>"CV por nivel "&amp;LOOKUP(C2,Sheet3!C42:V42,Sheet3!C89:V89)&amp;IF(ROUNDDOWN(1+(LOOKUP(C2,Sheet3!C42:V42,Sheet3!C88:V88)*(C3-1)),0)-SUM(BL11:BL15)&gt;0," Disponibles: "&amp;ROUNDDOWN(1+(LOOKUP(C2,Sheet3!C42:V42,Sheet3!C88:V88)*(C3-1)),0),"")</f>
        <v>CV por nivel 1/2 Disponibles: 1</v>
      </c>
      <c r="BK9" s="348"/>
      <c r="BL9" s="139" t="str">
        <f>"Coste "&amp;LOOKUP($C$2,Sheet3!$C$100:$V$100,Sheet3!$C$166:$V$166)</f>
        <v>Coste 20</v>
      </c>
      <c r="BN9" s="161"/>
      <c r="BO9" s="161">
        <f>LOOKUP(BN9,patrones1,HP!$B$72:$B$86)</f>
        <v>0</v>
      </c>
      <c r="BP9" s="161" t="str">
        <f>LOOKUP(BN9,patrones1,HP!$D$72:$D$86)</f>
        <v/>
      </c>
      <c r="BR9" s="343"/>
      <c r="BS9" s="343"/>
      <c r="BT9" s="343"/>
      <c r="BU9" s="88"/>
      <c r="BW9" s="51" t="s">
        <v>14</v>
      </c>
      <c r="BX9" s="51" t="s">
        <v>0</v>
      </c>
      <c r="BY9" s="395" t="s">
        <v>15</v>
      </c>
      <c r="BZ9" s="395"/>
      <c r="CA9" s="51" t="s">
        <v>16</v>
      </c>
      <c r="CB9" s="51" t="s">
        <v>17</v>
      </c>
      <c r="CC9" s="51" t="s">
        <v>18</v>
      </c>
      <c r="CF9" s="182"/>
      <c r="CG9" s="184"/>
      <c r="CH9" s="184"/>
      <c r="CI9" s="184"/>
      <c r="CK9" s="182"/>
      <c r="CL9" s="182"/>
      <c r="CM9" s="184"/>
      <c r="CN9" s="184"/>
      <c r="CO9" s="184"/>
      <c r="CQ9" s="177"/>
      <c r="CR9" s="97"/>
      <c r="CS9" s="177"/>
      <c r="CT9" s="177"/>
      <c r="CU9" s="177"/>
      <c r="CV9" s="1"/>
      <c r="CW9" s="9"/>
      <c r="CX9" s="9"/>
      <c r="CY9" s="160" t="s">
        <v>88</v>
      </c>
      <c r="CZ9" s="1"/>
      <c r="DA9" s="322"/>
      <c r="DB9" s="322"/>
      <c r="DC9" s="97"/>
      <c r="DD9" s="460"/>
      <c r="DE9" s="461"/>
      <c r="DF9" s="461"/>
      <c r="DG9" s="461"/>
      <c r="DH9" s="461"/>
      <c r="DI9" s="461"/>
      <c r="DJ9" s="461"/>
      <c r="DK9" s="461"/>
      <c r="DL9" s="461"/>
      <c r="DM9" s="461"/>
      <c r="DN9" s="461"/>
      <c r="DO9" s="461"/>
      <c r="DP9" s="461"/>
      <c r="DQ9" s="461"/>
      <c r="DR9" s="461"/>
      <c r="DS9" s="11"/>
      <c r="DT9" s="321"/>
      <c r="DU9" s="321"/>
      <c r="DV9" s="321"/>
      <c r="DW9" s="456">
        <f>((DV4+DV5)*DN31)+(DW7*DN31)</f>
        <v>375</v>
      </c>
      <c r="DX9" s="11"/>
    </row>
    <row r="10" spans="1:128" ht="7.35" customHeight="1" x14ac:dyDescent="0.2">
      <c r="B10" s="211" t="s">
        <v>46</v>
      </c>
      <c r="C10" s="199">
        <v>5</v>
      </c>
      <c r="D10" s="199">
        <f>LOOKUP($C$5,Tabla14[RAZAS],Tabla14[AGI])</f>
        <v>0</v>
      </c>
      <c r="E10" s="199">
        <f>C10+D10</f>
        <v>5</v>
      </c>
      <c r="F10" s="200">
        <f>LOOKUP(E10,Sheet3!$A$1:$B$20)</f>
        <v>0</v>
      </c>
      <c r="H10" s="390" t="s">
        <v>270</v>
      </c>
      <c r="I10" s="390"/>
      <c r="J10" s="390"/>
      <c r="T10" s="55"/>
      <c r="U10" s="467"/>
      <c r="V10" s="467"/>
      <c r="W10" s="467"/>
      <c r="Y10" s="322" t="str">
        <f>LOOKUP(Y9,Sheet2!$AP$7:$AP$116,Sheet2!$AX$7:$AX$116)</f>
        <v/>
      </c>
      <c r="Z10" s="322"/>
      <c r="AA10" s="322"/>
      <c r="AB10" s="322"/>
      <c r="AE10" s="90" t="s">
        <v>66</v>
      </c>
      <c r="AF10" s="89">
        <f>LOOKUP(E11,Sheet3!$G$21:$H$40)</f>
        <v>1</v>
      </c>
      <c r="AG10" s="89">
        <v>0</v>
      </c>
      <c r="AH10" s="89">
        <f t="shared" si="0"/>
        <v>1</v>
      </c>
      <c r="AJ10" s="114"/>
      <c r="AK10" s="115"/>
      <c r="AL10" s="140" t="s">
        <v>5589</v>
      </c>
      <c r="AM10" s="366" t="s">
        <v>2006</v>
      </c>
      <c r="AN10" s="367"/>
      <c r="AO10" s="105">
        <f>IF(AP10=0,KI!I9,"-")</f>
        <v>20</v>
      </c>
      <c r="AP10" s="102"/>
      <c r="AR10" s="322" t="s">
        <v>89</v>
      </c>
      <c r="AS10" s="322"/>
      <c r="AT10" s="100">
        <f>$F$12</f>
        <v>0</v>
      </c>
      <c r="AU10" s="2"/>
      <c r="AV10" s="409" t="s">
        <v>2</v>
      </c>
      <c r="AW10" s="409"/>
      <c r="AX10" s="409">
        <f>AT6</f>
        <v>5</v>
      </c>
      <c r="AY10" s="409"/>
      <c r="BA10" s="322" t="s">
        <v>60</v>
      </c>
      <c r="BB10" s="322"/>
      <c r="BC10" s="100"/>
      <c r="BD10" s="237">
        <v>0</v>
      </c>
      <c r="BF10" s="321" t="s">
        <v>22</v>
      </c>
      <c r="BG10" s="321"/>
      <c r="BH10" s="52">
        <f>(LOOKUP($C$2,Sheet3!$C$100:$V$100,Sheet3!$C$154:$V$154)+Sheet3!O436)*$C$3</f>
        <v>10</v>
      </c>
      <c r="BI10" s="6"/>
      <c r="BJ10" s="395" t="s">
        <v>91</v>
      </c>
      <c r="BK10" s="395"/>
      <c r="BL10" s="146">
        <f>MAX(SUM(BL11:BL15)+BL13-ROUNDDOWN(1+(LOOKUP(C2,Sheet3!C42:V42,Sheet3!C88:V88)*(C3-1)),0),0)</f>
        <v>0</v>
      </c>
      <c r="BN10" s="345" t="s">
        <v>13</v>
      </c>
      <c r="BO10" s="346" t="str">
        <f>LOOKUP(BN9,HP!$A$72:$A$86,HP!$E$72:$E$86)</f>
        <v/>
      </c>
      <c r="BP10" s="346"/>
      <c r="BR10" s="343"/>
      <c r="BS10" s="343"/>
      <c r="BT10" s="343"/>
      <c r="BU10" s="88"/>
      <c r="BW10" s="52"/>
      <c r="BX10" s="52"/>
      <c r="BY10" s="321"/>
      <c r="BZ10" s="321"/>
      <c r="CA10" s="52"/>
      <c r="CB10" s="52"/>
      <c r="CC10" s="52"/>
      <c r="CF10" s="310" t="s">
        <v>0</v>
      </c>
      <c r="CG10" s="310"/>
      <c r="CH10" s="310" t="s">
        <v>228</v>
      </c>
      <c r="CI10" s="310"/>
      <c r="CJ10" s="183" t="s">
        <v>27</v>
      </c>
      <c r="CK10" s="182"/>
      <c r="CL10" s="310" t="s">
        <v>0</v>
      </c>
      <c r="CM10" s="310"/>
      <c r="CN10" s="310" t="s">
        <v>228</v>
      </c>
      <c r="CO10" s="310"/>
      <c r="CP10" s="183" t="s">
        <v>27</v>
      </c>
      <c r="CQ10" s="177"/>
      <c r="CR10" s="97"/>
      <c r="CS10" s="177"/>
      <c r="CT10" s="177"/>
      <c r="CU10" s="97"/>
      <c r="CV10" s="1"/>
      <c r="CW10" s="1"/>
      <c r="CX10" s="1"/>
      <c r="CY10" s="1"/>
      <c r="CZ10" s="1"/>
      <c r="DA10" s="322"/>
      <c r="DB10" s="322"/>
      <c r="DC10" s="97"/>
      <c r="DD10" s="460"/>
      <c r="DE10" s="461"/>
      <c r="DF10" s="461"/>
      <c r="DG10" s="461"/>
      <c r="DH10" s="461"/>
      <c r="DI10" s="461"/>
      <c r="DJ10" s="461"/>
      <c r="DK10" s="461"/>
      <c r="DL10" s="461"/>
      <c r="DM10" s="461"/>
      <c r="DN10" s="461"/>
      <c r="DO10" s="461"/>
      <c r="DP10" s="461"/>
      <c r="DQ10" s="461"/>
      <c r="DR10" s="461"/>
      <c r="DS10" s="11"/>
      <c r="DT10" s="321"/>
      <c r="DU10" s="321"/>
      <c r="DV10" s="321"/>
      <c r="DW10" s="456"/>
      <c r="DX10" s="11"/>
    </row>
    <row r="11" spans="1:128" ht="7.35" customHeight="1" x14ac:dyDescent="0.2">
      <c r="B11" s="211" t="s">
        <v>66</v>
      </c>
      <c r="C11" s="199">
        <v>5</v>
      </c>
      <c r="D11" s="199">
        <f>LOOKUP($C$5,Tabla14[RAZAS],Tabla14[CON])</f>
        <v>0</v>
      </c>
      <c r="E11" s="199">
        <f t="shared" ref="E11:E17" si="1">C11+D11</f>
        <v>5</v>
      </c>
      <c r="F11" s="200">
        <f>LOOKUP(E11,Sheet3!$A$1:$B$20)</f>
        <v>0</v>
      </c>
      <c r="H11" s="389" t="s">
        <v>272</v>
      </c>
      <c r="I11" s="389"/>
      <c r="J11" s="199">
        <f>SUMPRODUCT($O$13:$O$63,$R$13:$R$63)</f>
        <v>0</v>
      </c>
      <c r="K11" s="453" t="s">
        <v>5534</v>
      </c>
      <c r="L11" s="453"/>
      <c r="M11" s="453"/>
      <c r="X11" s="6"/>
      <c r="AE11" s="90" t="s">
        <v>59</v>
      </c>
      <c r="AF11" s="89">
        <f>LOOKUP(E17,Sheet3!$G$21:$H$40)</f>
        <v>1</v>
      </c>
      <c r="AG11" s="89">
        <v>0</v>
      </c>
      <c r="AH11" s="89">
        <f t="shared" si="0"/>
        <v>1</v>
      </c>
      <c r="AI11" s="75"/>
      <c r="AJ11" s="366" t="s">
        <v>5544</v>
      </c>
      <c r="AK11" s="367"/>
      <c r="AL11" s="367"/>
      <c r="AM11" s="367"/>
      <c r="AN11" s="367"/>
      <c r="AO11" s="105">
        <f>IF(AP11=0,KI!I10,"-")</f>
        <v>10</v>
      </c>
      <c r="AP11" s="102"/>
      <c r="AR11" s="322" t="s">
        <v>93</v>
      </c>
      <c r="AS11" s="322"/>
      <c r="AT11" s="100">
        <v>0</v>
      </c>
      <c r="AU11" s="2"/>
      <c r="AV11" s="412" t="s">
        <v>152</v>
      </c>
      <c r="AW11" s="412"/>
      <c r="AX11" s="410">
        <v>0</v>
      </c>
      <c r="AY11" s="410"/>
      <c r="BA11" s="322" t="s">
        <v>90</v>
      </c>
      <c r="BB11" s="322"/>
      <c r="BC11" s="100"/>
      <c r="BD11" s="237">
        <v>0</v>
      </c>
      <c r="BF11" s="321" t="s">
        <v>76</v>
      </c>
      <c r="BG11" s="321"/>
      <c r="BH11" s="52">
        <v>0</v>
      </c>
      <c r="BI11" s="6"/>
      <c r="BJ11" s="321" t="s">
        <v>102</v>
      </c>
      <c r="BK11" s="321"/>
      <c r="BL11" s="52">
        <v>0</v>
      </c>
      <c r="BN11" s="345"/>
      <c r="BO11" s="346"/>
      <c r="BP11" s="346"/>
      <c r="BR11" s="343"/>
      <c r="BS11" s="343"/>
      <c r="BT11" s="343"/>
      <c r="BU11" s="88"/>
      <c r="BW11" s="395" t="s">
        <v>20</v>
      </c>
      <c r="BX11" s="395"/>
      <c r="BY11" s="395"/>
      <c r="BZ11" s="395"/>
      <c r="CA11" s="395"/>
      <c r="CB11" s="395"/>
      <c r="CC11" s="395"/>
      <c r="CF11" s="311"/>
      <c r="CG11" s="312"/>
      <c r="CH11" s="311" t="str">
        <f>LOOKUP(CF11,Tabla15[Poder],Tabla15[Requisito])</f>
        <v/>
      </c>
      <c r="CI11" s="312"/>
      <c r="CJ11" s="167">
        <f>LOOKUP(CF11,Tabla15[Poder],Tabla15[Coste])</f>
        <v>0</v>
      </c>
      <c r="CK11" s="184"/>
      <c r="CL11" s="311"/>
      <c r="CM11" s="312"/>
      <c r="CN11" s="311" t="str">
        <f>LOOKUP(CL11,Tabla15[Poder],Tabla15[Requisito])</f>
        <v/>
      </c>
      <c r="CO11" s="312"/>
      <c r="CP11" s="167">
        <f>LOOKUP(CL11,Tabla15[Poder],Tabla15[Coste])</f>
        <v>0</v>
      </c>
      <c r="CQ11" s="177"/>
      <c r="CR11" s="97"/>
      <c r="CS11" s="177"/>
      <c r="CT11" s="177"/>
      <c r="CU11" s="177"/>
      <c r="CV11" s="1"/>
      <c r="CW11" s="339" t="s">
        <v>95</v>
      </c>
      <c r="CX11" s="339"/>
      <c r="CY11" s="339"/>
      <c r="CZ11" s="1"/>
      <c r="DA11" s="322"/>
      <c r="DB11" s="322"/>
      <c r="DC11" s="97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</row>
    <row r="12" spans="1:128" ht="7.35" customHeight="1" x14ac:dyDescent="0.2">
      <c r="B12" s="211" t="s">
        <v>57</v>
      </c>
      <c r="C12" s="199">
        <v>5</v>
      </c>
      <c r="D12" s="199">
        <f>LOOKUP($C$5,Tabla14[RAZAS],Tabla14[DES])</f>
        <v>0</v>
      </c>
      <c r="E12" s="199">
        <f t="shared" si="1"/>
        <v>5</v>
      </c>
      <c r="F12" s="200">
        <f>LOOKUP(E12,Sheet3!$A$1:$B$20)</f>
        <v>0</v>
      </c>
      <c r="H12" s="389" t="s">
        <v>273</v>
      </c>
      <c r="I12" s="389"/>
      <c r="J12" s="199">
        <f>J13+J14+J15+(W3*W2)+(LOOKUP(C2,Sheet3!C100:V100,Sheet3!C99:V99)*L37)</f>
        <v>0</v>
      </c>
      <c r="K12" s="490">
        <f>(LOOKUP($C$3,Sheet3!$E$234:$T$235))*(LOOKUP($C$2,Sheet3!$G$237:$Z$237,Sheet3!$G$238:$Z$238))</f>
        <v>360.00000000000006</v>
      </c>
      <c r="L12" s="490"/>
      <c r="M12" s="490"/>
      <c r="O12" s="394" t="s">
        <v>98</v>
      </c>
      <c r="P12" s="394" t="s">
        <v>99</v>
      </c>
      <c r="Q12" s="394"/>
      <c r="R12" s="394"/>
      <c r="S12" s="394"/>
      <c r="T12" s="394"/>
      <c r="U12" s="394"/>
      <c r="V12" s="394"/>
      <c r="W12" s="394"/>
      <c r="Y12" s="73" t="s">
        <v>222</v>
      </c>
      <c r="Z12" s="352" t="s">
        <v>223</v>
      </c>
      <c r="AA12" s="352"/>
      <c r="AB12" s="352"/>
      <c r="AC12" s="352"/>
      <c r="AE12" s="90" t="s">
        <v>58</v>
      </c>
      <c r="AF12" s="89">
        <f>LOOKUP(E16,Sheet3!$G$21:$H$40)</f>
        <v>1</v>
      </c>
      <c r="AG12" s="89">
        <v>0</v>
      </c>
      <c r="AH12" s="89">
        <f t="shared" si="0"/>
        <v>1</v>
      </c>
      <c r="AI12" s="75"/>
      <c r="AJ12" s="114" t="s">
        <v>5590</v>
      </c>
      <c r="AK12" s="366" t="s">
        <v>5545</v>
      </c>
      <c r="AL12" s="367"/>
      <c r="AM12" s="367"/>
      <c r="AN12" s="367"/>
      <c r="AO12" s="105">
        <f>IF(AP12=0,KI!I11,"-")</f>
        <v>10</v>
      </c>
      <c r="AP12" s="102"/>
      <c r="AR12" s="358" t="s">
        <v>71</v>
      </c>
      <c r="AS12" s="358"/>
      <c r="AT12" s="100">
        <f>SUM(AT9:AT11)</f>
        <v>0</v>
      </c>
      <c r="AU12" s="107"/>
      <c r="AV12" s="410" t="s">
        <v>38</v>
      </c>
      <c r="AW12" s="410"/>
      <c r="AX12" s="500">
        <f>Sheet3!O368</f>
        <v>0</v>
      </c>
      <c r="AY12" s="500"/>
      <c r="BA12" s="322" t="s">
        <v>94</v>
      </c>
      <c r="BB12" s="322"/>
      <c r="BC12" s="100"/>
      <c r="BD12" s="237">
        <v>0</v>
      </c>
      <c r="BF12" s="321" t="s">
        <v>38</v>
      </c>
      <c r="BG12" s="321"/>
      <c r="BH12" s="52">
        <v>0</v>
      </c>
      <c r="BI12" s="6"/>
      <c r="BJ12" s="321" t="s">
        <v>110</v>
      </c>
      <c r="BK12" s="321"/>
      <c r="BL12" s="52">
        <v>0</v>
      </c>
      <c r="BN12" s="345" t="s">
        <v>6059</v>
      </c>
      <c r="BO12" s="346" t="str">
        <f>LOOKUP(BN9,HP!$A$72:$A$86,HP!$F$72:$F$86)</f>
        <v/>
      </c>
      <c r="BP12" s="346"/>
      <c r="BR12" s="343"/>
      <c r="BS12" s="343"/>
      <c r="BT12" s="343"/>
      <c r="BU12" s="88"/>
      <c r="BW12" s="321"/>
      <c r="BX12" s="321"/>
      <c r="BY12" s="321"/>
      <c r="BZ12" s="321"/>
      <c r="CA12" s="321"/>
      <c r="CB12" s="321"/>
      <c r="CC12" s="321"/>
      <c r="CF12" s="309" t="s">
        <v>138</v>
      </c>
      <c r="CG12" s="309"/>
      <c r="CH12" s="309"/>
      <c r="CI12" s="309"/>
      <c r="CJ12" s="309"/>
      <c r="CK12" s="97"/>
      <c r="CL12" s="309" t="s">
        <v>138</v>
      </c>
      <c r="CM12" s="309"/>
      <c r="CN12" s="309"/>
      <c r="CO12" s="309"/>
      <c r="CP12" s="309"/>
      <c r="CQ12" s="177"/>
      <c r="CR12" s="97"/>
      <c r="CS12" s="177"/>
      <c r="CT12" s="177"/>
      <c r="CU12" s="177"/>
      <c r="CV12" s="1"/>
      <c r="CW12" s="321" t="s">
        <v>103</v>
      </c>
      <c r="CX12" s="321"/>
      <c r="CY12" s="160" t="s">
        <v>104</v>
      </c>
      <c r="CZ12" s="1"/>
      <c r="DA12" s="322"/>
      <c r="DB12" s="322"/>
      <c r="DC12" s="97"/>
      <c r="DD12" s="82"/>
      <c r="DE12" s="10" t="s">
        <v>2</v>
      </c>
      <c r="DF12" s="10" t="s">
        <v>13</v>
      </c>
      <c r="DG12" s="10" t="s">
        <v>27</v>
      </c>
      <c r="DI12" s="395" t="s">
        <v>235</v>
      </c>
      <c r="DJ12" s="395"/>
      <c r="DK12" s="51" t="s">
        <v>2</v>
      </c>
      <c r="DL12" s="51" t="s">
        <v>236</v>
      </c>
      <c r="DM12" s="395" t="s">
        <v>5323</v>
      </c>
      <c r="DN12" s="395"/>
      <c r="DO12" s="51" t="s">
        <v>93</v>
      </c>
      <c r="DP12" s="395" t="s">
        <v>71</v>
      </c>
      <c r="DQ12" s="395"/>
      <c r="DR12" s="395"/>
      <c r="DS12" s="11"/>
      <c r="DT12" s="339" t="s">
        <v>1</v>
      </c>
      <c r="DU12" s="339"/>
      <c r="DV12" s="52" t="s">
        <v>2</v>
      </c>
      <c r="DW12" s="52">
        <v>1</v>
      </c>
      <c r="DX12" s="11"/>
    </row>
    <row r="13" spans="1:128" ht="7.35" customHeight="1" x14ac:dyDescent="0.2">
      <c r="B13" s="211" t="s">
        <v>36</v>
      </c>
      <c r="C13" s="199">
        <v>5</v>
      </c>
      <c r="D13" s="199">
        <f>LOOKUP($C$5,Tabla14[RAZAS],Tabla14[FUE])</f>
        <v>0</v>
      </c>
      <c r="E13" s="199">
        <f>C13+D13</f>
        <v>5</v>
      </c>
      <c r="F13" s="200">
        <f>LOOKUP(E13,Sheet3!$A$1:$B$20)</f>
        <v>0</v>
      </c>
      <c r="H13" s="388" t="s">
        <v>5198</v>
      </c>
      <c r="I13" s="388"/>
      <c r="J13" s="207">
        <f>C38*C37+E38*E37+G38*G37</f>
        <v>0</v>
      </c>
      <c r="K13" s="77"/>
      <c r="O13" s="202" t="s">
        <v>27</v>
      </c>
      <c r="P13" s="351" t="s">
        <v>105</v>
      </c>
      <c r="Q13" s="351"/>
      <c r="R13" s="202" t="s">
        <v>2</v>
      </c>
      <c r="S13" s="202" t="s">
        <v>13</v>
      </c>
      <c r="T13" s="202" t="s">
        <v>5332</v>
      </c>
      <c r="U13" s="202" t="s">
        <v>106</v>
      </c>
      <c r="V13" s="202" t="s">
        <v>107</v>
      </c>
      <c r="W13" s="202" t="s">
        <v>108</v>
      </c>
      <c r="Y13" s="52" t="s">
        <v>244</v>
      </c>
      <c r="Z13" s="74" t="s">
        <v>225</v>
      </c>
      <c r="AA13" s="52">
        <f>ROUNDDOWN((($C$42+$E$42)/40),0)</f>
        <v>0</v>
      </c>
      <c r="AB13" s="73" t="s">
        <v>180</v>
      </c>
      <c r="AC13" s="56">
        <f>ROUNDDOWN((($C$42+$G$42)/40),0)</f>
        <v>0</v>
      </c>
      <c r="AI13" s="75"/>
      <c r="AJ13" s="114" t="s">
        <v>5588</v>
      </c>
      <c r="AK13" s="115" t="s">
        <v>5589</v>
      </c>
      <c r="AL13" s="366" t="s">
        <v>5546</v>
      </c>
      <c r="AM13" s="367"/>
      <c r="AN13" s="367"/>
      <c r="AO13" s="105">
        <f>IF(AP13=0,KI!I12,"-")</f>
        <v>10</v>
      </c>
      <c r="AP13" s="102"/>
      <c r="AR13" s="408" t="s">
        <v>109</v>
      </c>
      <c r="AS13" s="408"/>
      <c r="AT13" s="408"/>
      <c r="AU13" s="107"/>
      <c r="AV13" s="413" t="s">
        <v>71</v>
      </c>
      <c r="AW13" s="413"/>
      <c r="AX13" s="410">
        <f>(ROUNDDOWN((AX10+(AX10*(AX11+AX12)))/Sheet3!$O$387,0))*Sheet3!O390</f>
        <v>5</v>
      </c>
      <c r="AY13" s="410"/>
      <c r="BA13" s="322" t="s">
        <v>101</v>
      </c>
      <c r="BB13" s="322"/>
      <c r="BC13" s="100"/>
      <c r="BD13" s="237">
        <v>0</v>
      </c>
      <c r="BF13" s="395" t="s">
        <v>71</v>
      </c>
      <c r="BG13" s="395"/>
      <c r="BH13" s="52">
        <f>SUM(BH9:BH12)</f>
        <v>80</v>
      </c>
      <c r="BI13" s="6"/>
      <c r="BJ13" s="321" t="s">
        <v>118</v>
      </c>
      <c r="BK13" s="321"/>
      <c r="BL13" s="52">
        <v>0</v>
      </c>
      <c r="BN13" s="345"/>
      <c r="BO13" s="346"/>
      <c r="BP13" s="346"/>
      <c r="BR13" s="343"/>
      <c r="BS13" s="343"/>
      <c r="BT13" s="343"/>
      <c r="BU13" s="88"/>
      <c r="BW13" s="321"/>
      <c r="BX13" s="321"/>
      <c r="BY13" s="321"/>
      <c r="BZ13" s="321"/>
      <c r="CA13" s="321"/>
      <c r="CB13" s="321"/>
      <c r="CC13" s="321"/>
      <c r="CF13" s="308" t="str">
        <f>LOOKUP(CF11,Tabla15[Poder],Tabla15[Descripcion])</f>
        <v/>
      </c>
      <c r="CG13" s="308"/>
      <c r="CH13" s="308"/>
      <c r="CI13" s="308"/>
      <c r="CJ13" s="308"/>
      <c r="CK13" s="184"/>
      <c r="CL13" s="308" t="str">
        <f>LOOKUP(CL11,Tabla15[Poder],Tabla15[Descripcion])</f>
        <v/>
      </c>
      <c r="CM13" s="308"/>
      <c r="CN13" s="308"/>
      <c r="CO13" s="308"/>
      <c r="CP13" s="308"/>
      <c r="CQ13" s="177"/>
      <c r="CR13" s="97"/>
      <c r="CS13" s="177"/>
      <c r="CT13" s="177"/>
      <c r="CU13" s="97"/>
      <c r="CV13" s="1"/>
      <c r="CW13" s="321" t="s">
        <v>111</v>
      </c>
      <c r="CX13" s="321"/>
      <c r="CY13" s="160" t="s">
        <v>112</v>
      </c>
      <c r="CZ13" s="1"/>
      <c r="DA13" s="322"/>
      <c r="DB13" s="322"/>
      <c r="DC13" s="97"/>
      <c r="DD13" s="83" t="s">
        <v>46</v>
      </c>
      <c r="DE13" s="52">
        <v>5</v>
      </c>
      <c r="DF13" s="53">
        <f>LOOKUP(DE13,Sheet3!$A$1:$B$20)</f>
        <v>0</v>
      </c>
      <c r="DG13" s="52">
        <f>LOOKUP(DE13,Sheet2!$T$7:$T$21,Sheet2!$U$7:$U$21)</f>
        <v>5</v>
      </c>
      <c r="DI13" s="395" t="s">
        <v>17</v>
      </c>
      <c r="DJ13" s="395"/>
      <c r="DK13" s="52">
        <f>25+(DM1*5)</f>
        <v>30</v>
      </c>
      <c r="DL13" s="51"/>
      <c r="DM13" s="395"/>
      <c r="DN13" s="395"/>
      <c r="DO13" s="52"/>
      <c r="DP13" s="321">
        <f t="shared" ref="DP13:DP18" si="2">SUM(DK13:DO13)</f>
        <v>30</v>
      </c>
      <c r="DQ13" s="321"/>
      <c r="DR13" s="321"/>
      <c r="DS13" s="11"/>
      <c r="DT13" s="321" t="s">
        <v>24</v>
      </c>
      <c r="DU13" s="321"/>
      <c r="DV13" s="52">
        <f>DI31</f>
        <v>20</v>
      </c>
      <c r="DW13" s="52">
        <f>DV13</f>
        <v>20</v>
      </c>
      <c r="DX13" s="11"/>
    </row>
    <row r="14" spans="1:128" ht="7.35" customHeight="1" x14ac:dyDescent="0.2">
      <c r="B14" s="211" t="s">
        <v>113</v>
      </c>
      <c r="C14" s="199">
        <v>5</v>
      </c>
      <c r="D14" s="199">
        <f>LOOKUP($C$5,Tabla14[RAZAS],Tabla14[INT])</f>
        <v>0</v>
      </c>
      <c r="E14" s="219">
        <f t="shared" si="1"/>
        <v>5</v>
      </c>
      <c r="F14" s="200">
        <f>LOOKUP(E14,Sheet3!$A$1:$B$20)</f>
        <v>0</v>
      </c>
      <c r="H14" s="388" t="s">
        <v>5195</v>
      </c>
      <c r="I14" s="388"/>
      <c r="J14" s="207">
        <f>D82+D83+D84+D85+D87+D88+D90+D92+D93+D94+AC15+AC25+AC35+AC45+AC55+AF29+AF41+AF51+AF61+AA67+AA69</f>
        <v>0</v>
      </c>
      <c r="K14" s="77"/>
      <c r="O14" s="203">
        <f>MAX(1,LOOKUP($C$2,Sheet3!$C$42:$V$42,Sheet3!C44:V44)-Sheet3!AF305)</f>
        <v>2</v>
      </c>
      <c r="P14" s="350" t="s">
        <v>115</v>
      </c>
      <c r="Q14" s="350"/>
      <c r="R14" s="199">
        <v>0</v>
      </c>
      <c r="S14" s="199">
        <f>F10+(F10*T14)</f>
        <v>0</v>
      </c>
      <c r="T14" s="199">
        <v>0</v>
      </c>
      <c r="U14" s="199">
        <v>0</v>
      </c>
      <c r="V14" s="203">
        <f>(LOOKUP($C$2,Sheet3!$C$100:$V$100,Sheet3!C102:V102)+Sheet3!AP305)*$C$3</f>
        <v>0</v>
      </c>
      <c r="W14" s="199">
        <f>((SUM(R14:V14)-T14+Sheet3!$O$396)*IF(R14=0,0,1))-IF(AND(R14=0,Sheet3!$O$396=0),30,0)</f>
        <v>-30</v>
      </c>
      <c r="AE14" s="483" t="str">
        <f>"Coste "&amp;LOOKUP($C$2,Sheet3!$C$100:$V$100,Sheet3!$C$169:$V$169)&amp;" por punto de Ki"</f>
        <v>Coste 2 por punto de Ki</v>
      </c>
      <c r="AF14" s="483"/>
      <c r="AG14" s="483"/>
      <c r="AH14" s="483"/>
      <c r="AI14" s="75"/>
      <c r="AJ14" s="114" t="s">
        <v>5588</v>
      </c>
      <c r="AK14" s="115"/>
      <c r="AL14" s="115" t="s">
        <v>5589</v>
      </c>
      <c r="AM14" s="366" t="s">
        <v>5547</v>
      </c>
      <c r="AN14" s="367"/>
      <c r="AO14" s="105">
        <f>IF(AP14=0,KI!I13,"-")</f>
        <v>10</v>
      </c>
      <c r="AP14" s="102"/>
      <c r="AR14" s="406" t="s">
        <v>116</v>
      </c>
      <c r="AS14" s="406"/>
      <c r="AT14" s="101" t="s">
        <v>117</v>
      </c>
      <c r="AU14" s="107"/>
      <c r="AV14" s="406" t="s">
        <v>5532</v>
      </c>
      <c r="AW14" s="406"/>
      <c r="AX14" s="322">
        <f>AX13*2</f>
        <v>10</v>
      </c>
      <c r="AY14" s="322"/>
      <c r="BA14" s="406" t="s">
        <v>136</v>
      </c>
      <c r="BB14" s="406"/>
      <c r="BC14" s="108"/>
      <c r="BD14" s="217">
        <f>'Arcana Sepirah'!K5</f>
        <v>0</v>
      </c>
      <c r="BF14" s="411" t="s">
        <v>85</v>
      </c>
      <c r="BG14" s="411"/>
      <c r="BH14" s="411"/>
      <c r="BI14" s="6"/>
      <c r="BJ14" s="321" t="s">
        <v>124</v>
      </c>
      <c r="BK14" s="321"/>
      <c r="BL14" s="52">
        <v>0</v>
      </c>
      <c r="BQ14" s="2"/>
      <c r="BR14" s="343"/>
      <c r="BS14" s="343"/>
      <c r="BT14" s="343"/>
      <c r="BU14" s="88"/>
      <c r="BW14" s="321"/>
      <c r="BX14" s="321"/>
      <c r="BY14" s="321"/>
      <c r="BZ14" s="321"/>
      <c r="CA14" s="321"/>
      <c r="CB14" s="321"/>
      <c r="CC14" s="321"/>
      <c r="CF14" s="182"/>
      <c r="CG14" s="184"/>
      <c r="CH14" s="184"/>
      <c r="CI14" s="182"/>
      <c r="CK14" s="184"/>
      <c r="CL14" s="182"/>
      <c r="CM14" s="184"/>
      <c r="CN14" s="184"/>
      <c r="CO14" s="182"/>
      <c r="CQ14" s="177"/>
      <c r="CR14" s="97"/>
      <c r="CS14" s="177"/>
      <c r="CT14" s="177"/>
      <c r="CU14" s="177"/>
      <c r="CV14" s="1"/>
      <c r="CW14" s="321" t="s">
        <v>119</v>
      </c>
      <c r="CX14" s="321"/>
      <c r="CY14" s="160" t="s">
        <v>120</v>
      </c>
      <c r="CZ14" s="1"/>
      <c r="DA14" s="322"/>
      <c r="DB14" s="322"/>
      <c r="DC14" s="97"/>
      <c r="DD14" s="83" t="s">
        <v>66</v>
      </c>
      <c r="DE14" s="52">
        <v>5</v>
      </c>
      <c r="DF14" s="53">
        <f>LOOKUP(DE14,Sheet3!$A$1:$B$20)</f>
        <v>0</v>
      </c>
      <c r="DG14" s="52">
        <f>LOOKUP(DE14,Sheet2!$T$7:$T$21,Sheet2!$U$7:$U$21)</f>
        <v>5</v>
      </c>
      <c r="DI14" s="395" t="s">
        <v>238</v>
      </c>
      <c r="DJ14" s="395"/>
      <c r="DK14" s="52">
        <f>DK13</f>
        <v>30</v>
      </c>
      <c r="DL14" s="52" t="s">
        <v>66</v>
      </c>
      <c r="DM14" s="321">
        <f>F79</f>
        <v>0</v>
      </c>
      <c r="DN14" s="321"/>
      <c r="DO14" s="52"/>
      <c r="DP14" s="321">
        <f t="shared" si="2"/>
        <v>30</v>
      </c>
      <c r="DQ14" s="321"/>
      <c r="DR14" s="321"/>
      <c r="DS14" s="11"/>
      <c r="DT14" s="321" t="s">
        <v>44</v>
      </c>
      <c r="DU14" s="321"/>
      <c r="DV14" s="52">
        <f>DF13</f>
        <v>0</v>
      </c>
      <c r="DW14" s="52">
        <f>DV14</f>
        <v>0</v>
      </c>
      <c r="DX14" s="11"/>
    </row>
    <row r="15" spans="1:128" ht="7.35" customHeight="1" x14ac:dyDescent="0.2">
      <c r="B15" s="211" t="s">
        <v>121</v>
      </c>
      <c r="C15" s="199">
        <v>5</v>
      </c>
      <c r="D15" s="199">
        <f>LOOKUP($C$5,Tabla14[RAZAS],Tabla14[PER])</f>
        <v>0</v>
      </c>
      <c r="E15" s="199">
        <f t="shared" si="1"/>
        <v>5</v>
      </c>
      <c r="F15" s="200">
        <f>LOOKUP(E15,Sheet3!$A$1:$B$20)</f>
        <v>0</v>
      </c>
      <c r="H15" s="388" t="s">
        <v>5199</v>
      </c>
      <c r="I15" s="388"/>
      <c r="J15" s="207">
        <f>AB5+((SUM(AG7:AG12))*LOOKUP($C$2,Sheet3!$C$100:$V$100,Sheet3!$C$168:$V$168))+(AG16*LOOKUP($C$2,Sheet3!$C$100:$V$100,Sheet3!$C$169:$V$169))</f>
        <v>0</v>
      </c>
      <c r="K15" s="453" t="s">
        <v>5534</v>
      </c>
      <c r="L15" s="453"/>
      <c r="M15" s="453"/>
      <c r="O15" s="203">
        <f>MAX(1,LOOKUP($C$2,Sheet3!$C$42:$V$42,Sheet3!C45:V45)-Sheet3!AF306)</f>
        <v>2</v>
      </c>
      <c r="P15" s="350" t="s">
        <v>123</v>
      </c>
      <c r="Q15" s="350"/>
      <c r="R15" s="199">
        <v>0</v>
      </c>
      <c r="S15" s="199">
        <f>F10+(F10*T15)</f>
        <v>0</v>
      </c>
      <c r="T15" s="199">
        <v>0</v>
      </c>
      <c r="U15" s="199">
        <v>0</v>
      </c>
      <c r="V15" s="203">
        <f>(LOOKUP($C$2,Sheet3!$C$100:$V$100,Sheet3!C103:V103)+Sheet3!AP306)*$C$3</f>
        <v>0</v>
      </c>
      <c r="W15" s="199">
        <f>((SUM(R15:V15)-T15+Sheet3!$O$396)*IF(R15=0,0,1))-IF(AND(R15=0,Sheet3!$O$396=0),30,0)</f>
        <v>-30</v>
      </c>
      <c r="Y15" s="358" t="s">
        <v>221</v>
      </c>
      <c r="Z15" s="358"/>
      <c r="AA15" s="358"/>
      <c r="AB15" s="63" t="s">
        <v>152</v>
      </c>
      <c r="AC15" s="62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425" t="s">
        <v>5418</v>
      </c>
      <c r="AF15" s="425"/>
      <c r="AG15" s="322">
        <f>IF(IFERROR(VLOOKUP("Poder Innato - 1",'Hoja básica'!S66:W73,1,FALSE),0)=0,LOOKUP(E13,Sheet3!$J$21:$K$40)+LOOKUP(E10,Sheet3!$J$21:$K$40)+LOOKUP(E12,Sheet3!$J$21:$K$40)+LOOKUP(E11,Sheet3!$J$21:$K$40)+LOOKUP(E17,Sheet3!$J$21:$K$40)+LOOKUP(E16,Sheet3!$J$21:$K$40),Sheet3!O411)</f>
        <v>30</v>
      </c>
      <c r="AH15" s="322"/>
      <c r="AI15" s="75"/>
      <c r="AJ15" s="114" t="s">
        <v>5590</v>
      </c>
      <c r="AK15" s="366" t="s">
        <v>5548</v>
      </c>
      <c r="AL15" s="367"/>
      <c r="AM15" s="367"/>
      <c r="AN15" s="367"/>
      <c r="AO15" s="105">
        <f>IF(AP15=0,KI!I14,"-")</f>
        <v>10</v>
      </c>
      <c r="AP15" s="102"/>
      <c r="AR15" s="322">
        <v>0</v>
      </c>
      <c r="AS15" s="322"/>
      <c r="AT15" s="100">
        <f>0-AR15</f>
        <v>0</v>
      </c>
      <c r="AU15" s="107"/>
      <c r="BA15" s="426" t="s">
        <v>1727</v>
      </c>
      <c r="BB15" s="426"/>
      <c r="BC15" s="427">
        <f>Sheet3!DE115+Sheet3!DR85</f>
        <v>0</v>
      </c>
      <c r="BD15" s="427"/>
      <c r="BF15" s="428">
        <f>BH13</f>
        <v>80</v>
      </c>
      <c r="BG15" s="428"/>
      <c r="BH15" s="428"/>
      <c r="BI15" s="6"/>
      <c r="BJ15" s="423" t="s">
        <v>128</v>
      </c>
      <c r="BK15" s="423"/>
      <c r="BL15" s="155">
        <v>0</v>
      </c>
      <c r="BN15" s="163" t="s">
        <v>26</v>
      </c>
      <c r="BO15" s="163" t="s">
        <v>27</v>
      </c>
      <c r="BP15" s="163" t="s">
        <v>82</v>
      </c>
      <c r="BQ15" s="2"/>
      <c r="BR15" s="343"/>
      <c r="BS15" s="343"/>
      <c r="BT15" s="343"/>
      <c r="BU15" s="165"/>
      <c r="BW15" s="321"/>
      <c r="BX15" s="321"/>
      <c r="BY15" s="321"/>
      <c r="BZ15" s="321"/>
      <c r="CA15" s="321"/>
      <c r="CB15" s="321"/>
      <c r="CC15" s="321"/>
      <c r="CF15" s="310" t="s">
        <v>0</v>
      </c>
      <c r="CG15" s="310"/>
      <c r="CH15" s="310" t="s">
        <v>228</v>
      </c>
      <c r="CI15" s="310"/>
      <c r="CJ15" s="183" t="s">
        <v>27</v>
      </c>
      <c r="CK15" s="184"/>
      <c r="CL15" s="310" t="s">
        <v>0</v>
      </c>
      <c r="CM15" s="310"/>
      <c r="CN15" s="310" t="s">
        <v>228</v>
      </c>
      <c r="CO15" s="310"/>
      <c r="CP15" s="183" t="s">
        <v>27</v>
      </c>
      <c r="CQ15" s="177"/>
      <c r="CR15" s="97"/>
      <c r="CS15" s="177"/>
      <c r="CT15" s="177"/>
      <c r="CU15" s="177"/>
      <c r="CV15" s="1"/>
      <c r="CW15" s="321" t="s">
        <v>125</v>
      </c>
      <c r="CX15" s="321"/>
      <c r="CY15" s="160" t="s">
        <v>78</v>
      </c>
      <c r="CZ15" s="1"/>
      <c r="DA15" s="322"/>
      <c r="DB15" s="322"/>
      <c r="DC15" s="97"/>
      <c r="DD15" s="83" t="s">
        <v>57</v>
      </c>
      <c r="DE15" s="52">
        <v>5</v>
      </c>
      <c r="DF15" s="53">
        <f>LOOKUP(DE15,Sheet3!$A$1:$B$20)</f>
        <v>0</v>
      </c>
      <c r="DG15" s="52">
        <f>LOOKUP(DE15,Sheet2!$T$7:$T$21,Sheet2!$U$7:$U$21)</f>
        <v>5</v>
      </c>
      <c r="DI15" s="395" t="s">
        <v>239</v>
      </c>
      <c r="DJ15" s="395"/>
      <c r="DK15" s="52">
        <f>DK13</f>
        <v>30</v>
      </c>
      <c r="DL15" s="52" t="s">
        <v>66</v>
      </c>
      <c r="DM15" s="321">
        <f>F79</f>
        <v>0</v>
      </c>
      <c r="DN15" s="321"/>
      <c r="DO15" s="52"/>
      <c r="DP15" s="321">
        <f t="shared" si="2"/>
        <v>30</v>
      </c>
      <c r="DQ15" s="321"/>
      <c r="DR15" s="321"/>
      <c r="DS15" s="11"/>
      <c r="DT15" s="321" t="s">
        <v>56</v>
      </c>
      <c r="DU15" s="321"/>
      <c r="DV15" s="52">
        <f>DF15</f>
        <v>0</v>
      </c>
      <c r="DW15" s="52">
        <f>DV15</f>
        <v>0</v>
      </c>
      <c r="DX15" s="11"/>
    </row>
    <row r="16" spans="1:128" ht="7.35" customHeight="1" x14ac:dyDescent="0.2">
      <c r="B16" s="211" t="s">
        <v>58</v>
      </c>
      <c r="C16" s="199">
        <v>5</v>
      </c>
      <c r="D16" s="199">
        <f>LOOKUP($C$5,Tabla14[RAZAS],Tabla14[POD])</f>
        <v>0</v>
      </c>
      <c r="E16" s="199">
        <f t="shared" si="1"/>
        <v>5</v>
      </c>
      <c r="F16" s="200">
        <f>LOOKUP(E16,Sheet3!$A$1:$B$20)</f>
        <v>0</v>
      </c>
      <c r="H16" s="389" t="s">
        <v>8</v>
      </c>
      <c r="I16" s="389"/>
      <c r="J16" s="207">
        <f>J17+J18</f>
        <v>0</v>
      </c>
      <c r="K16" s="490">
        <f>(LOOKUP($C$3,Sheet3!$E$234:$T$235))*(LOOKUP($C$2,Sheet3!$G$237:$Z$237,Sheet3!$G$239:$Z$239))</f>
        <v>360.00000000000006</v>
      </c>
      <c r="L16" s="490"/>
      <c r="M16" s="490"/>
      <c r="O16" s="203">
        <f>MAX(1,LOOKUP($C$2,Sheet3!$C$42:$V$42,Sheet3!C46:V46)-Sheet3!AF307)</f>
        <v>2</v>
      </c>
      <c r="P16" s="350" t="s">
        <v>126</v>
      </c>
      <c r="Q16" s="350"/>
      <c r="R16" s="199">
        <v>0</v>
      </c>
      <c r="S16" s="199">
        <f>F10+(F10*T16)</f>
        <v>0</v>
      </c>
      <c r="T16" s="199">
        <v>0</v>
      </c>
      <c r="U16" s="199">
        <v>0</v>
      </c>
      <c r="V16" s="203">
        <f>(LOOKUP($C$2,Sheet3!$C$100:$V$100,Sheet3!C104:V104)+Sheet3!AP307)*$C$3</f>
        <v>0</v>
      </c>
      <c r="W16" s="199">
        <f>((SUM(R16:V16)-T16+Sheet3!$O$396)*IF(R16=0,0,1))-IF(AND(R16=0,Sheet3!$O$396=0),30,0)</f>
        <v>-30</v>
      </c>
      <c r="Y16" s="358" t="s">
        <v>0</v>
      </c>
      <c r="Z16" s="358"/>
      <c r="AA16" s="358" t="s">
        <v>13</v>
      </c>
      <c r="AB16" s="358"/>
      <c r="AC16" s="358"/>
      <c r="AE16" s="425" t="s">
        <v>5419</v>
      </c>
      <c r="AF16" s="425"/>
      <c r="AG16" s="322">
        <v>0</v>
      </c>
      <c r="AH16" s="322"/>
      <c r="AI16" s="75"/>
      <c r="AJ16" s="114" t="s">
        <v>5588</v>
      </c>
      <c r="AK16" s="115" t="s">
        <v>5590</v>
      </c>
      <c r="AL16" s="435" t="s">
        <v>5549</v>
      </c>
      <c r="AM16" s="436"/>
      <c r="AN16" s="144" t="str">
        <f>IF(AP16&lt;&gt;0,"Elegir","")</f>
        <v/>
      </c>
      <c r="AO16" s="105">
        <f>IF(AP16=0,KI!I15,"-")</f>
        <v>10</v>
      </c>
      <c r="AP16" s="102"/>
      <c r="AR16" s="406" t="s">
        <v>5530</v>
      </c>
      <c r="AS16" s="406"/>
      <c r="AT16" s="101" t="s">
        <v>5531</v>
      </c>
      <c r="BA16" s="345" t="s">
        <v>6707</v>
      </c>
      <c r="BB16" s="345"/>
      <c r="BC16" s="309">
        <f>Sheet3!CZ63</f>
        <v>0</v>
      </c>
      <c r="BD16" s="309"/>
      <c r="BF16" s="428"/>
      <c r="BG16" s="428"/>
      <c r="BH16" s="428"/>
      <c r="BJ16" s="154"/>
      <c r="BK16" s="154"/>
      <c r="BL16" s="77"/>
      <c r="BN16" s="161"/>
      <c r="BO16" s="161">
        <f>LOOKUP(BN16,patrones1,HP!$C$72:$C$86)</f>
        <v>0</v>
      </c>
      <c r="BP16" s="161" t="str">
        <f>LOOKUP(BN16,patrones1,HP!$D$72:$D$86)</f>
        <v/>
      </c>
      <c r="BQ16" s="2"/>
      <c r="BR16" s="343"/>
      <c r="BS16" s="343"/>
      <c r="BT16" s="343"/>
      <c r="BU16" s="165"/>
      <c r="CF16" s="311"/>
      <c r="CG16" s="312"/>
      <c r="CH16" s="311" t="str">
        <f>LOOKUP(CF16,Tabla15[Poder],Tabla15[Requisito])</f>
        <v/>
      </c>
      <c r="CI16" s="312"/>
      <c r="CJ16" s="167">
        <f>LOOKUP(CF16,Tabla15[Poder],Tabla15[Coste])</f>
        <v>0</v>
      </c>
      <c r="CK16" s="184"/>
      <c r="CL16" s="311"/>
      <c r="CM16" s="312"/>
      <c r="CN16" s="311" t="str">
        <f>LOOKUP(CL16,Tabla15[Poder],Tabla15[Requisito])</f>
        <v/>
      </c>
      <c r="CO16" s="312"/>
      <c r="CP16" s="167">
        <f>LOOKUP(CL16,Tabla15[Poder],Tabla15[Coste])</f>
        <v>0</v>
      </c>
      <c r="CQ16" s="177"/>
      <c r="CR16" s="97"/>
      <c r="CS16" s="97"/>
      <c r="CT16" s="97"/>
      <c r="CU16" s="97"/>
      <c r="CV16" s="1"/>
      <c r="CW16" s="321" t="s">
        <v>129</v>
      </c>
      <c r="CX16" s="321"/>
      <c r="CY16" s="160" t="s">
        <v>130</v>
      </c>
      <c r="CZ16" s="1"/>
      <c r="DA16" s="322"/>
      <c r="DB16" s="322"/>
      <c r="DC16" s="97"/>
      <c r="DD16" s="83" t="s">
        <v>36</v>
      </c>
      <c r="DE16" s="52">
        <v>5</v>
      </c>
      <c r="DF16" s="53">
        <f>LOOKUP(DE16,Sheet3!$A$1:$B$20)</f>
        <v>0</v>
      </c>
      <c r="DG16" s="52">
        <f>LOOKUP(DE16,Sheet2!$T$7:$T$21,Sheet2!$U$7:$U$21)</f>
        <v>5</v>
      </c>
      <c r="DI16" s="395" t="s">
        <v>240</v>
      </c>
      <c r="DJ16" s="395"/>
      <c r="DK16" s="52">
        <f>DK13</f>
        <v>30</v>
      </c>
      <c r="DL16" s="52" t="s">
        <v>66</v>
      </c>
      <c r="DM16" s="321">
        <f>F79</f>
        <v>0</v>
      </c>
      <c r="DN16" s="321"/>
      <c r="DO16" s="52"/>
      <c r="DP16" s="321">
        <f t="shared" si="2"/>
        <v>30</v>
      </c>
      <c r="DQ16" s="321"/>
      <c r="DR16" s="321"/>
      <c r="DS16" s="11"/>
      <c r="DT16" s="321" t="s">
        <v>64</v>
      </c>
      <c r="DU16" s="321"/>
      <c r="DV16" s="52">
        <v>20</v>
      </c>
      <c r="DW16" s="52">
        <v>20</v>
      </c>
      <c r="DX16" s="11"/>
    </row>
    <row r="17" spans="1:128" ht="7.35" customHeight="1" x14ac:dyDescent="0.2">
      <c r="B17" s="211" t="s">
        <v>59</v>
      </c>
      <c r="C17" s="199">
        <v>5</v>
      </c>
      <c r="D17" s="199">
        <f>LOOKUP($C$5,Tabla14[RAZAS],Tabla14[VOL])</f>
        <v>0</v>
      </c>
      <c r="E17" s="199">
        <f t="shared" si="1"/>
        <v>5</v>
      </c>
      <c r="F17" s="200">
        <f>LOOKUP(E17,Sheet3!$A$1:$B$20)</f>
        <v>0</v>
      </c>
      <c r="H17" s="388" t="s">
        <v>5196</v>
      </c>
      <c r="I17" s="388"/>
      <c r="J17" s="207">
        <f>($AT$4*$AR$2)+($AT$9*LOOKUP($C$2,Sheet3!$C$100:$V$100,Sheet3!$C$160:$V$160))+($AX$11*$AR$2/2)+(($BH$11/Sheet3!$E$252)*Sheet3!$D$252)+Sheet3!DA63</f>
        <v>0</v>
      </c>
      <c r="O17" s="203">
        <f>MAX(1,LOOKUP($C$2,Sheet3!$C$42:$V$42,Sheet3!C47:V47)-Sheet3!AF308)</f>
        <v>2</v>
      </c>
      <c r="P17" s="350" t="s">
        <v>131</v>
      </c>
      <c r="Q17" s="350"/>
      <c r="R17" s="199">
        <v>0</v>
      </c>
      <c r="S17" s="199">
        <f>F10+(F10*T17)</f>
        <v>0</v>
      </c>
      <c r="T17" s="199">
        <v>0</v>
      </c>
      <c r="U17" s="199">
        <v>0</v>
      </c>
      <c r="V17" s="203">
        <f>(LOOKUP($C$2,Sheet3!$C$100:$V$100,Sheet3!C105:V105)+Sheet3!AP308)*$C$3</f>
        <v>0</v>
      </c>
      <c r="W17" s="199">
        <f>((SUM(R17:V17)-T17+Sheet3!$O$396)*IF(R17=0,0,1))-IF(AND(R17=0,Sheet3!$O$396=0),30,0)</f>
        <v>-30</v>
      </c>
      <c r="Y17" s="322"/>
      <c r="Z17" s="322"/>
      <c r="AA17" s="322" t="str">
        <f>LOOKUP(Y17,Sheet2!$AP$7:$AP$116,Sheet2!$AR$7:$AR$116)</f>
        <v/>
      </c>
      <c r="AB17" s="322"/>
      <c r="AC17" s="322"/>
      <c r="AE17" s="425" t="s">
        <v>5420</v>
      </c>
      <c r="AF17" s="425"/>
      <c r="AG17" s="322">
        <f>AG15+AG16</f>
        <v>30</v>
      </c>
      <c r="AH17" s="322"/>
      <c r="AI17" s="75"/>
      <c r="AJ17" s="114" t="s">
        <v>5588</v>
      </c>
      <c r="AK17" s="115" t="s">
        <v>5590</v>
      </c>
      <c r="AL17" s="435" t="s">
        <v>5551</v>
      </c>
      <c r="AM17" s="436"/>
      <c r="AN17" s="436"/>
      <c r="AO17" s="105">
        <f>IF(AP17=0,KI!I16,"-")</f>
        <v>10</v>
      </c>
      <c r="AP17" s="102"/>
      <c r="AR17" s="409">
        <f>AT12+AR15</f>
        <v>0</v>
      </c>
      <c r="AS17" s="409"/>
      <c r="AT17" s="100">
        <f>AT12+AT15</f>
        <v>0</v>
      </c>
      <c r="BA17" s="345" t="s">
        <v>6706</v>
      </c>
      <c r="BB17" s="345"/>
      <c r="BC17" s="309">
        <f>LOOKUP(E14,HM!A2:B21)+(Sheet3!O402*'Hoja básica'!C3)+(LOOKUP('Hoja básica'!$C$3,Sheet3!$E$234:$T$235)/10)</f>
        <v>60</v>
      </c>
      <c r="BD17" s="309"/>
      <c r="BF17" s="428"/>
      <c r="BG17" s="428"/>
      <c r="BH17" s="428"/>
      <c r="BJ17" s="341" t="s">
        <v>137</v>
      </c>
      <c r="BK17" s="341"/>
      <c r="BL17" s="341"/>
      <c r="BN17" s="345" t="s">
        <v>13</v>
      </c>
      <c r="BO17" s="346" t="str">
        <f>LOOKUP(BN16,HP!$A$72:$A$86,HP!$E$72:$E$86)</f>
        <v/>
      </c>
      <c r="BP17" s="346"/>
      <c r="BR17" s="343"/>
      <c r="BS17" s="343"/>
      <c r="BT17" s="343"/>
      <c r="BU17" s="165"/>
      <c r="BV17" s="6"/>
      <c r="BW17" s="51" t="s">
        <v>14</v>
      </c>
      <c r="BX17" s="51" t="s">
        <v>0</v>
      </c>
      <c r="BY17" s="395" t="s">
        <v>15</v>
      </c>
      <c r="BZ17" s="395"/>
      <c r="CA17" s="51" t="s">
        <v>16</v>
      </c>
      <c r="CB17" s="51" t="s">
        <v>17</v>
      </c>
      <c r="CC17" s="51" t="s">
        <v>18</v>
      </c>
      <c r="CF17" s="309" t="s">
        <v>138</v>
      </c>
      <c r="CG17" s="309"/>
      <c r="CH17" s="309"/>
      <c r="CI17" s="309"/>
      <c r="CJ17" s="309"/>
      <c r="CK17" s="184"/>
      <c r="CL17" s="309" t="s">
        <v>138</v>
      </c>
      <c r="CM17" s="309"/>
      <c r="CN17" s="309"/>
      <c r="CO17" s="309"/>
      <c r="CP17" s="309"/>
      <c r="CQ17" s="177"/>
      <c r="CR17" s="97"/>
      <c r="CS17" s="177"/>
      <c r="CT17" s="177"/>
      <c r="CU17" s="97"/>
      <c r="CV17" s="1"/>
      <c r="CW17" s="321" t="s">
        <v>132</v>
      </c>
      <c r="CX17" s="321"/>
      <c r="CY17" s="160" t="s">
        <v>133</v>
      </c>
      <c r="CZ17" s="1"/>
      <c r="DA17" s="322"/>
      <c r="DB17" s="322"/>
      <c r="DC17" s="97"/>
      <c r="DD17" s="189" t="s">
        <v>113</v>
      </c>
      <c r="DE17" s="190">
        <v>5</v>
      </c>
      <c r="DF17" s="53">
        <f>LOOKUP(DE17,Sheet3!$A$1:$B$20)</f>
        <v>0</v>
      </c>
      <c r="DG17" s="52">
        <f>LOOKUP(DE17,Sheet2!$T$7:$T$21,Sheet2!$U$7:$U$21)</f>
        <v>5</v>
      </c>
      <c r="DI17" s="395" t="s">
        <v>241</v>
      </c>
      <c r="DJ17" s="395"/>
      <c r="DK17" s="52">
        <f>DK13</f>
        <v>30</v>
      </c>
      <c r="DL17" s="52" t="s">
        <v>58</v>
      </c>
      <c r="DM17" s="321">
        <f>F85</f>
        <v>0</v>
      </c>
      <c r="DN17" s="321"/>
      <c r="DO17" s="52"/>
      <c r="DP17" s="321">
        <f t="shared" si="2"/>
        <v>30</v>
      </c>
      <c r="DQ17" s="321"/>
      <c r="DR17" s="321"/>
      <c r="DS17" s="11"/>
      <c r="DT17" s="321" t="s">
        <v>22</v>
      </c>
      <c r="DU17" s="321"/>
      <c r="DV17" s="52">
        <f>(LOOKUP(DM2,Sheet3!$C$100:$V$100,Sheet3!$C$156:$V$156))*DM1</f>
        <v>5</v>
      </c>
      <c r="DW17" s="52">
        <f>DV17</f>
        <v>5</v>
      </c>
      <c r="DX17" s="11"/>
    </row>
    <row r="18" spans="1:128" ht="7.35" customHeight="1" x14ac:dyDescent="0.2">
      <c r="B18" s="208" t="s">
        <v>5324</v>
      </c>
      <c r="C18" s="199">
        <f>SUM(C10:C17)</f>
        <v>40</v>
      </c>
      <c r="D18" s="197"/>
      <c r="E18" s="199">
        <f>SUM(E10:E17)</f>
        <v>40</v>
      </c>
      <c r="F18" s="212"/>
      <c r="H18" s="388" t="s">
        <v>5197</v>
      </c>
      <c r="I18" s="388"/>
      <c r="J18" s="207">
        <f>$S$82*$O$82+$S$83*$O$83+$S$84*$O$84+$S$85*$O$85</f>
        <v>0</v>
      </c>
      <c r="K18" s="453" t="s">
        <v>5534</v>
      </c>
      <c r="L18" s="453"/>
      <c r="M18" s="453"/>
      <c r="O18" s="203">
        <f>MAX(1,LOOKUP($C$2,Sheet3!$C$42:$V$42,Sheet3!C48:V48)-Sheet3!AF309)</f>
        <v>2</v>
      </c>
      <c r="P18" s="350" t="s">
        <v>134</v>
      </c>
      <c r="Q18" s="350"/>
      <c r="R18" s="199">
        <v>0</v>
      </c>
      <c r="S18" s="199">
        <f>F10+(F10*T18)</f>
        <v>0</v>
      </c>
      <c r="T18" s="199">
        <v>0</v>
      </c>
      <c r="U18" s="199">
        <v>0</v>
      </c>
      <c r="V18" s="203">
        <f>(LOOKUP($C$2,Sheet3!$C$100:$V$100,Sheet3!C106:V106)+Sheet3!AP309)*$C$3</f>
        <v>0</v>
      </c>
      <c r="W18" s="199">
        <f>((SUM(R18:V18)-T18+Sheet3!$O$396)*IF(R18=0,0,1))-IF(AND(R18=0,Sheet3!$O$396=0),30,0)</f>
        <v>-30</v>
      </c>
      <c r="Y18" s="358" t="s">
        <v>228</v>
      </c>
      <c r="Z18" s="358"/>
      <c r="AA18" s="358"/>
      <c r="AB18" s="63" t="s">
        <v>5</v>
      </c>
      <c r="AC18" s="63" t="s">
        <v>229</v>
      </c>
      <c r="AE18" s="406" t="s">
        <v>5417</v>
      </c>
      <c r="AF18" s="406"/>
      <c r="AG18" s="429">
        <f>AG17</f>
        <v>30</v>
      </c>
      <c r="AH18" s="429"/>
      <c r="AI18" s="75"/>
      <c r="AJ18" s="114" t="s">
        <v>5588</v>
      </c>
      <c r="AK18" s="115" t="s">
        <v>5590</v>
      </c>
      <c r="AL18" s="366" t="s">
        <v>5550</v>
      </c>
      <c r="AM18" s="367"/>
      <c r="AN18" s="367"/>
      <c r="AO18" s="105">
        <f>IF(AP18=0,KI!I17,"-")</f>
        <v>10</v>
      </c>
      <c r="AP18" s="102"/>
      <c r="BI18" s="12"/>
      <c r="BJ18" s="424" t="s">
        <v>140</v>
      </c>
      <c r="BK18" s="424"/>
      <c r="BL18" s="162" t="s">
        <v>141</v>
      </c>
      <c r="BM18" s="97"/>
      <c r="BN18" s="345"/>
      <c r="BO18" s="346"/>
      <c r="BP18" s="346"/>
      <c r="BQ18" s="97"/>
      <c r="BR18" s="343"/>
      <c r="BS18" s="343"/>
      <c r="BT18" s="343"/>
      <c r="BU18" s="165"/>
      <c r="BW18" s="52"/>
      <c r="BX18" s="52"/>
      <c r="BY18" s="321"/>
      <c r="BZ18" s="321"/>
      <c r="CA18" s="52"/>
      <c r="CB18" s="52"/>
      <c r="CC18" s="52"/>
      <c r="CF18" s="308" t="str">
        <f>LOOKUP(CF16,Tabla15[Poder],Tabla15[Descripcion])</f>
        <v/>
      </c>
      <c r="CG18" s="308"/>
      <c r="CH18" s="308"/>
      <c r="CI18" s="308"/>
      <c r="CJ18" s="308"/>
      <c r="CK18" s="182"/>
      <c r="CL18" s="308" t="str">
        <f>LOOKUP(CL16,Tabla15[Poder],Tabla15[Descripcion])</f>
        <v/>
      </c>
      <c r="CM18" s="308"/>
      <c r="CN18" s="308"/>
      <c r="CO18" s="308"/>
      <c r="CP18" s="308"/>
      <c r="CQ18" s="97"/>
      <c r="CR18" s="97"/>
      <c r="CS18" s="177"/>
      <c r="CT18" s="177"/>
      <c r="CU18" s="177"/>
      <c r="CV18" s="1"/>
      <c r="CW18" s="1"/>
      <c r="CX18" s="1"/>
      <c r="CY18" s="1"/>
      <c r="CZ18" s="1"/>
      <c r="DA18" s="1"/>
      <c r="DB18" s="1"/>
      <c r="DC18" s="97"/>
      <c r="DD18" s="193" t="s">
        <v>121</v>
      </c>
      <c r="DE18" s="175">
        <v>5</v>
      </c>
      <c r="DF18" s="188">
        <f>LOOKUP(DE18,Sheet3!$A$1:$B$20)</f>
        <v>0</v>
      </c>
      <c r="DG18" s="52">
        <f>LOOKUP(DE18,Sheet2!$T$7:$T$21,Sheet2!$U$7:$U$21)</f>
        <v>5</v>
      </c>
      <c r="DI18" s="395" t="s">
        <v>243</v>
      </c>
      <c r="DJ18" s="395"/>
      <c r="DK18" s="52">
        <f>DK13</f>
        <v>30</v>
      </c>
      <c r="DL18" s="52" t="s">
        <v>59</v>
      </c>
      <c r="DM18" s="321">
        <f>F86</f>
        <v>0</v>
      </c>
      <c r="DN18" s="321"/>
      <c r="DO18" s="52"/>
      <c r="DP18" s="321">
        <f t="shared" si="2"/>
        <v>30</v>
      </c>
      <c r="DQ18" s="321"/>
      <c r="DR18" s="321"/>
      <c r="DS18" s="11"/>
      <c r="DT18" s="321" t="s">
        <v>38</v>
      </c>
      <c r="DU18" s="321"/>
      <c r="DV18" s="52">
        <v>0</v>
      </c>
      <c r="DW18" s="52">
        <f>DV18</f>
        <v>0</v>
      </c>
      <c r="DX18" s="11"/>
    </row>
    <row r="19" spans="1:128" ht="7.35" customHeight="1" x14ac:dyDescent="0.2">
      <c r="H19" s="389" t="s">
        <v>274</v>
      </c>
      <c r="I19" s="389"/>
      <c r="J19" s="207">
        <f>($BU$23*LOOKUP($C$2,Sheet3!$C$100:$V$100,Sheet3!$C$167:$V$167))+$BO$9+$BO$16+$BO$23+($BL$10*LOOKUP($C$2,Sheet3!$C$100:$V$100,Sheet3!$C$166:$V$166))</f>
        <v>0</v>
      </c>
      <c r="K19" s="490">
        <f>(LOOKUP($C$3,Sheet3!$E$234:$T$235))*(LOOKUP($C$2,Sheet3!$G$237:$Z$237,Sheet3!$G$240:$Z$240))</f>
        <v>360.00000000000006</v>
      </c>
      <c r="L19" s="490"/>
      <c r="M19" s="490"/>
      <c r="O19" s="203">
        <f>MAX(1,LOOKUP($C$2,Sheet3!$C$42:$V$42,Sheet3!C49:V49)-Sheet3!AF310)</f>
        <v>2</v>
      </c>
      <c r="P19" s="350" t="s">
        <v>139</v>
      </c>
      <c r="Q19" s="350"/>
      <c r="R19" s="199">
        <v>0</v>
      </c>
      <c r="S19" s="199">
        <f>F13+(F13*T19)</f>
        <v>0</v>
      </c>
      <c r="T19" s="199">
        <v>0</v>
      </c>
      <c r="U19" s="199">
        <v>0</v>
      </c>
      <c r="V19" s="203">
        <f>(LOOKUP($C$2,Sheet3!$C$100:$V$100,Sheet3!C107:V107)+Sheet3!AP310)*$C$3</f>
        <v>0</v>
      </c>
      <c r="W19" s="199">
        <f>((SUM(R19:V19)-T19+Sheet3!$O$396)*IF(R19=0,0,1))-IF(AND(R19=0,Sheet3!$O$396=0),30,0)</f>
        <v>-30</v>
      </c>
      <c r="Y19" s="371" t="str">
        <f>LOOKUP(Y17,Sheet2!$AP$7:$AP$116,Sheet2!$AQ$7:$AQ$116)</f>
        <v/>
      </c>
      <c r="Z19" s="371"/>
      <c r="AA19" s="371"/>
      <c r="AB19" s="50">
        <f>LOOKUP(Y17,Sheet2!$AP$7:$AP$116,Sheet2!$AS$7:$AS$116)</f>
        <v>0</v>
      </c>
      <c r="AC19" s="50" t="str">
        <f>LOOKUP(Y17,Sheet2!$AP$7:$AP$116,Sheet2!$AW$7:$AW$116)</f>
        <v/>
      </c>
      <c r="AE19" s="406"/>
      <c r="AF19" s="406"/>
      <c r="AG19" s="429"/>
      <c r="AH19" s="429"/>
      <c r="AI19" s="75"/>
      <c r="AJ19" s="114" t="s">
        <v>5588</v>
      </c>
      <c r="AK19" s="115" t="s">
        <v>5589</v>
      </c>
      <c r="AL19" s="435" t="s">
        <v>5552</v>
      </c>
      <c r="AM19" s="436"/>
      <c r="AN19" s="436"/>
      <c r="AO19" s="105">
        <f>IF(AP19=0,KI!I18,"-")</f>
        <v>10</v>
      </c>
      <c r="AP19" s="102"/>
      <c r="AS19" s="97"/>
      <c r="AT19" s="97"/>
      <c r="AU19" s="97"/>
      <c r="AZ19" s="97"/>
      <c r="BE19" s="97"/>
      <c r="BI19" s="13"/>
      <c r="BJ19" s="342"/>
      <c r="BK19" s="342"/>
      <c r="BL19" s="166"/>
      <c r="BM19" s="97"/>
      <c r="BN19" s="345" t="s">
        <v>6059</v>
      </c>
      <c r="BO19" s="346" t="str">
        <f>LOOKUP(BN16,HP!$A$72:$A$86,HP!$F$72:$F$86)</f>
        <v/>
      </c>
      <c r="BP19" s="346"/>
      <c r="BQ19" s="177"/>
      <c r="BR19" s="343"/>
      <c r="BS19" s="343"/>
      <c r="BT19" s="343"/>
      <c r="BU19" s="165"/>
      <c r="BW19" s="395" t="s">
        <v>20</v>
      </c>
      <c r="BX19" s="395"/>
      <c r="BY19" s="395"/>
      <c r="BZ19" s="395"/>
      <c r="CA19" s="395"/>
      <c r="CB19" s="395"/>
      <c r="CC19" s="395"/>
      <c r="CF19" s="182"/>
      <c r="CG19" s="184"/>
      <c r="CH19" s="184"/>
      <c r="CI19" s="184"/>
      <c r="CK19" s="184"/>
      <c r="CL19" s="182"/>
      <c r="CM19" s="184"/>
      <c r="CN19" s="184"/>
      <c r="CO19" s="184"/>
      <c r="CQ19" s="97"/>
      <c r="CR19" s="97"/>
      <c r="CS19" s="177"/>
      <c r="CT19" s="177"/>
      <c r="CU19" s="177"/>
      <c r="CV19" s="1"/>
      <c r="CW19" s="339" t="s">
        <v>142</v>
      </c>
      <c r="CX19" s="339"/>
      <c r="CY19" s="339"/>
      <c r="CZ19" s="1"/>
      <c r="DA19" s="1"/>
      <c r="DB19" s="1"/>
      <c r="DC19" s="97"/>
      <c r="DD19" s="193" t="s">
        <v>58</v>
      </c>
      <c r="DE19" s="175">
        <v>5</v>
      </c>
      <c r="DF19" s="188">
        <f>LOOKUP(DE19,Sheet3!$A$1:$B$20)</f>
        <v>0</v>
      </c>
      <c r="DG19" s="52">
        <f>LOOKUP(DE19,Sheet2!$T$7:$T$21,Sheet2!$U$7:$U$21)</f>
        <v>5</v>
      </c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321" t="s">
        <v>86</v>
      </c>
      <c r="DU19" s="321"/>
      <c r="DV19" s="52">
        <f>SUM(DV13:DV18)</f>
        <v>45</v>
      </c>
      <c r="DW19" s="52">
        <f>SUM(DW13:DW18)</f>
        <v>45</v>
      </c>
      <c r="DX19" s="11"/>
    </row>
    <row r="20" spans="1:128" ht="7.35" customHeight="1" x14ac:dyDescent="0.2">
      <c r="H20" s="390" t="s">
        <v>86</v>
      </c>
      <c r="I20" s="390"/>
      <c r="J20" s="208">
        <f>J11+J12+J16+J19</f>
        <v>0</v>
      </c>
      <c r="O20" s="202" t="s">
        <v>27</v>
      </c>
      <c r="P20" s="351" t="s">
        <v>146</v>
      </c>
      <c r="Q20" s="351"/>
      <c r="R20" s="202" t="s">
        <v>2</v>
      </c>
      <c r="S20" s="202" t="s">
        <v>13</v>
      </c>
      <c r="T20" s="202" t="s">
        <v>5332</v>
      </c>
      <c r="U20" s="202" t="s">
        <v>106</v>
      </c>
      <c r="V20" s="202" t="s">
        <v>107</v>
      </c>
      <c r="W20" s="202" t="s">
        <v>108</v>
      </c>
      <c r="Y20" s="358" t="s">
        <v>233</v>
      </c>
      <c r="Z20" s="358"/>
      <c r="AA20" s="358"/>
      <c r="AB20" s="358"/>
      <c r="AC20" s="358"/>
      <c r="AI20" s="75"/>
      <c r="AJ20" s="114" t="s">
        <v>5590</v>
      </c>
      <c r="AK20" s="366" t="s">
        <v>5553</v>
      </c>
      <c r="AL20" s="367"/>
      <c r="AM20" s="367"/>
      <c r="AN20" s="367"/>
      <c r="AO20" s="105">
        <f>IF(AP20=0,KI!I19,"-")</f>
        <v>20</v>
      </c>
      <c r="AP20" s="102"/>
      <c r="AS20" s="91" t="s">
        <v>68</v>
      </c>
      <c r="AT20" s="93" t="s">
        <v>69</v>
      </c>
      <c r="AU20" s="425" t="s">
        <v>5509</v>
      </c>
      <c r="AV20" s="425"/>
      <c r="AW20" s="425" t="s">
        <v>275</v>
      </c>
      <c r="AX20" s="425"/>
      <c r="BA20" s="338" t="s">
        <v>68</v>
      </c>
      <c r="BB20" s="338"/>
      <c r="BC20" s="93" t="s">
        <v>69</v>
      </c>
      <c r="BD20" s="504" t="s">
        <v>5509</v>
      </c>
      <c r="BE20" s="505"/>
      <c r="BF20" s="506"/>
      <c r="BG20" s="425" t="s">
        <v>275</v>
      </c>
      <c r="BH20" s="425"/>
      <c r="BI20" s="13"/>
      <c r="BJ20" s="342"/>
      <c r="BK20" s="342"/>
      <c r="BL20" s="166"/>
      <c r="BM20" s="97"/>
      <c r="BN20" s="345"/>
      <c r="BO20" s="346"/>
      <c r="BP20" s="346"/>
      <c r="BR20" s="430" t="s">
        <v>5337</v>
      </c>
      <c r="BS20" s="431"/>
      <c r="BT20" s="432"/>
      <c r="BU20" s="54">
        <f>((10*BL14)*Sheet3!O381)-SUM(BU2:BU19)</f>
        <v>0</v>
      </c>
      <c r="BW20" s="321"/>
      <c r="BX20" s="321"/>
      <c r="BY20" s="321"/>
      <c r="BZ20" s="321"/>
      <c r="CA20" s="321"/>
      <c r="CB20" s="321"/>
      <c r="CC20" s="321"/>
      <c r="CF20" s="310" t="s">
        <v>0</v>
      </c>
      <c r="CG20" s="310"/>
      <c r="CH20" s="310" t="s">
        <v>228</v>
      </c>
      <c r="CI20" s="310"/>
      <c r="CJ20" s="183" t="s">
        <v>27</v>
      </c>
      <c r="CK20" s="184"/>
      <c r="CL20" s="310" t="s">
        <v>0</v>
      </c>
      <c r="CM20" s="310"/>
      <c r="CN20" s="310" t="s">
        <v>228</v>
      </c>
      <c r="CO20" s="310"/>
      <c r="CP20" s="183" t="s">
        <v>27</v>
      </c>
      <c r="CQ20" s="97"/>
      <c r="CR20" s="97"/>
      <c r="CS20" s="97"/>
      <c r="CT20" s="97"/>
      <c r="CU20" s="97"/>
      <c r="CV20" s="1"/>
      <c r="CW20" s="321" t="s">
        <v>147</v>
      </c>
      <c r="CX20" s="321"/>
      <c r="CY20" s="160"/>
      <c r="CZ20" s="1"/>
      <c r="DA20" s="1"/>
      <c r="DB20" s="1"/>
      <c r="DC20" s="97"/>
      <c r="DD20" s="193" t="s">
        <v>59</v>
      </c>
      <c r="DE20" s="175">
        <v>5</v>
      </c>
      <c r="DF20" s="188">
        <f>LOOKUP(DE20,Sheet3!$A$1:$B$20)</f>
        <v>0</v>
      </c>
      <c r="DG20" s="52">
        <f>LOOKUP(DE20,Sheet2!$T$7:$T$21,Sheet2!$U$7:$U$21)</f>
        <v>5</v>
      </c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</row>
    <row r="21" spans="1:128" ht="7.35" customHeight="1" x14ac:dyDescent="0.2">
      <c r="A21" s="14"/>
      <c r="O21" s="203">
        <f>MAX(1,LOOKUP($C$2,Sheet3!$C$42:$V$42,Sheet3!C51:V51)-Sheet3!AF312)</f>
        <v>2</v>
      </c>
      <c r="P21" s="350" t="s">
        <v>149</v>
      </c>
      <c r="Q21" s="350"/>
      <c r="R21" s="199">
        <v>0</v>
      </c>
      <c r="S21" s="199">
        <f>F17+(F17*T21)</f>
        <v>0</v>
      </c>
      <c r="T21" s="199">
        <v>0</v>
      </c>
      <c r="U21" s="199">
        <v>0</v>
      </c>
      <c r="V21" s="203">
        <f>(LOOKUP($C$2,Sheet3!$C$100:$V$100,Sheet3!C109:V109)+Sheet3!AP312)*$C$3</f>
        <v>0</v>
      </c>
      <c r="W21" s="199">
        <f>((SUM(R21:V21)-T21+Sheet3!$O$396)*IF(R21=0,0,1))-IF(AND(R21=0,Sheet3!$O$396=0),30,0)</f>
        <v>-30</v>
      </c>
      <c r="Y21" s="365" t="str">
        <f>LOOKUP(Y17,Sheet2!$AP$7:$AP$116,Sheet2!$AT$7:$AT$116)</f>
        <v/>
      </c>
      <c r="Z21" s="365"/>
      <c r="AA21" s="365"/>
      <c r="AB21" s="365"/>
      <c r="AC21" s="365"/>
      <c r="AE21" s="420" t="s">
        <v>135</v>
      </c>
      <c r="AF21" s="421"/>
      <c r="AG21" s="421"/>
      <c r="AH21" s="422"/>
      <c r="AI21" s="75"/>
      <c r="AJ21" s="114" t="s">
        <v>5590</v>
      </c>
      <c r="AK21" s="366" t="s">
        <v>5554</v>
      </c>
      <c r="AL21" s="367"/>
      <c r="AM21" s="367"/>
      <c r="AN21" s="367"/>
      <c r="AO21" s="105">
        <f>IF(AP21=0,KI!I20,"-")</f>
        <v>30</v>
      </c>
      <c r="AP21" s="102"/>
      <c r="AS21" s="92"/>
      <c r="AT21" s="92">
        <f>IF(AW23="si",0.5,1)*LOOKUP(AS21,Sheet3!$EL$6:$EL$14,Sheet3!$EM$6:$EM$14)</f>
        <v>0</v>
      </c>
      <c r="AU21" s="434" t="str">
        <f>LOOKUP(AS21,Sheet3!$EL$6:$EL$14,Sheet3!$EN$6:$EN$14)</f>
        <v/>
      </c>
      <c r="AV21" s="434"/>
      <c r="AW21" s="434" t="str">
        <f>LOOKUP(AS21,Sheet3!$EL$6:$EL$14,Sheet3!$EO$6:$EO$14)</f>
        <v/>
      </c>
      <c r="AX21" s="434"/>
      <c r="BA21" s="322"/>
      <c r="BB21" s="322"/>
      <c r="BC21" s="92">
        <f>IF(BG23="si",0.5,1)*LOOKUP(BA21,Sheet3!$EL$6:$EL$14,Sheet3!$EM$6:$EM$14)</f>
        <v>0</v>
      </c>
      <c r="BD21" s="501" t="str">
        <f>LOOKUP(BA21,Sheet3!$EL$6:$EL$14,Sheet3!$EN$6:$EN$14)</f>
        <v/>
      </c>
      <c r="BE21" s="502"/>
      <c r="BF21" s="503"/>
      <c r="BG21" s="434" t="str">
        <f>LOOKUP(BA21,Sheet3!$EL$6:$EL$14,Sheet3!$EO$6:$EO$14)</f>
        <v/>
      </c>
      <c r="BH21" s="434"/>
      <c r="BI21" s="13"/>
      <c r="BJ21" s="342"/>
      <c r="BK21" s="342"/>
      <c r="BL21" s="166"/>
      <c r="BM21" s="97"/>
      <c r="BW21" s="321"/>
      <c r="BX21" s="321"/>
      <c r="BY21" s="321"/>
      <c r="BZ21" s="321"/>
      <c r="CA21" s="321"/>
      <c r="CB21" s="321"/>
      <c r="CC21" s="321"/>
      <c r="CF21" s="311"/>
      <c r="CG21" s="312"/>
      <c r="CH21" s="311" t="str">
        <f>LOOKUP(CF21,Tabla15[Poder],Tabla15[Requisito])</f>
        <v/>
      </c>
      <c r="CI21" s="312"/>
      <c r="CJ21" s="167">
        <f>LOOKUP(CF21,Tabla15[Poder],Tabla15[Coste])</f>
        <v>0</v>
      </c>
      <c r="CK21" s="184"/>
      <c r="CL21" s="311"/>
      <c r="CM21" s="312"/>
      <c r="CN21" s="311" t="str">
        <f>LOOKUP(CL21,Tabla15[Poder],Tabla15[Requisito])</f>
        <v/>
      </c>
      <c r="CO21" s="312"/>
      <c r="CP21" s="167">
        <f>LOOKUP(CL21,Tabla15[Poder],Tabla15[Coste])</f>
        <v>0</v>
      </c>
      <c r="CQ21" s="97"/>
      <c r="CR21" s="97"/>
      <c r="CS21" s="177"/>
      <c r="CT21" s="177"/>
      <c r="CU21" s="97"/>
      <c r="CV21" s="1"/>
      <c r="CW21" s="321" t="s">
        <v>150</v>
      </c>
      <c r="CX21" s="321"/>
      <c r="CY21" s="160"/>
      <c r="CZ21" s="1"/>
      <c r="DA21" s="1"/>
      <c r="DB21" s="1"/>
      <c r="DC21" s="97"/>
      <c r="DD21" s="2"/>
      <c r="DE21" s="2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</row>
    <row r="22" spans="1:128" ht="7.35" customHeight="1" x14ac:dyDescent="0.2">
      <c r="A22" s="14"/>
      <c r="B22" s="394" t="s">
        <v>33</v>
      </c>
      <c r="C22" s="394"/>
      <c r="D22" s="394"/>
      <c r="E22" s="394"/>
      <c r="F22" s="394"/>
      <c r="G22" s="394"/>
      <c r="H22" s="394"/>
      <c r="O22" s="203">
        <f>MAX(1,LOOKUP($C$2,Sheet3!$C$42:$V$42,Sheet3!C52:V52)-Sheet3!AF313)</f>
        <v>2</v>
      </c>
      <c r="P22" s="350" t="s">
        <v>151</v>
      </c>
      <c r="Q22" s="350"/>
      <c r="R22" s="199">
        <v>0</v>
      </c>
      <c r="S22" s="199">
        <f>F13+(F13*T22)</f>
        <v>0</v>
      </c>
      <c r="T22" s="199">
        <v>0</v>
      </c>
      <c r="U22" s="199">
        <v>0</v>
      </c>
      <c r="V22" s="203">
        <f>(LOOKUP($C$2,Sheet3!$C$100:$V$100,Sheet3!C110:V110)+Sheet3!AP313)*$C$3</f>
        <v>0</v>
      </c>
      <c r="W22" s="199">
        <f>((SUM(R22:V22)-T22+Sheet3!$O$396)*IF(R22=0,0,1))-IF(AND(R22=0,Sheet3!$O$396=0),30,0)</f>
        <v>-30</v>
      </c>
      <c r="Y22" s="365"/>
      <c r="Z22" s="365"/>
      <c r="AA22" s="365"/>
      <c r="AB22" s="365"/>
      <c r="AC22" s="365"/>
      <c r="AE22" s="322"/>
      <c r="AF22" s="322"/>
      <c r="AG22" s="322"/>
      <c r="AH22" s="322"/>
      <c r="AI22" s="75"/>
      <c r="AJ22" s="114" t="s">
        <v>5589</v>
      </c>
      <c r="AK22" s="435" t="s">
        <v>5555</v>
      </c>
      <c r="AL22" s="436"/>
      <c r="AM22" s="468" t="str">
        <f>IF(AP22&lt;&gt;0,"Barrera de daño "&amp;H71,"")</f>
        <v/>
      </c>
      <c r="AN22" s="468"/>
      <c r="AO22" s="105">
        <f>IF(AP22=0,KI!I21,"-")</f>
        <v>10</v>
      </c>
      <c r="AP22" s="102"/>
      <c r="AS22" s="425" t="s">
        <v>5522</v>
      </c>
      <c r="AT22" s="425"/>
      <c r="AU22" s="425"/>
      <c r="AV22" s="425"/>
      <c r="AW22" s="425" t="s">
        <v>5523</v>
      </c>
      <c r="AX22" s="425"/>
      <c r="BA22" s="425" t="s">
        <v>5522</v>
      </c>
      <c r="BB22" s="425"/>
      <c r="BC22" s="425"/>
      <c r="BD22" s="425"/>
      <c r="BE22" s="425"/>
      <c r="BF22" s="425"/>
      <c r="BG22" s="425" t="s">
        <v>5523</v>
      </c>
      <c r="BH22" s="425"/>
      <c r="BI22" s="13"/>
      <c r="BJ22" s="342"/>
      <c r="BK22" s="342"/>
      <c r="BL22" s="166"/>
      <c r="BM22" s="97"/>
      <c r="BN22" s="163" t="s">
        <v>26</v>
      </c>
      <c r="BO22" s="163" t="s">
        <v>27</v>
      </c>
      <c r="BP22" s="163" t="s">
        <v>82</v>
      </c>
      <c r="BQ22" s="177"/>
      <c r="BR22" s="341" t="str">
        <f>" Proyección Psíquica | Coste "&amp;LOOKUP($C$2,Sheet3!$C$100:$V$100,Sheet3!$C$167:$V$167)&amp;" | Máxima "&amp;(LOOKUP($C$3,Sheet3!$E$234:$T$235))/8</f>
        <v xml:space="preserve"> Proyección Psíquica | Coste 2 | Máxima 75</v>
      </c>
      <c r="BS22" s="341"/>
      <c r="BT22" s="341"/>
      <c r="BU22" s="341"/>
      <c r="BW22" s="321"/>
      <c r="BX22" s="321"/>
      <c r="BY22" s="321"/>
      <c r="BZ22" s="321"/>
      <c r="CA22" s="321"/>
      <c r="CB22" s="321"/>
      <c r="CC22" s="321"/>
      <c r="CF22" s="309" t="s">
        <v>138</v>
      </c>
      <c r="CG22" s="309"/>
      <c r="CH22" s="309"/>
      <c r="CI22" s="309"/>
      <c r="CJ22" s="309"/>
      <c r="CK22" s="97"/>
      <c r="CL22" s="309" t="s">
        <v>138</v>
      </c>
      <c r="CM22" s="309"/>
      <c r="CN22" s="309"/>
      <c r="CO22" s="309"/>
      <c r="CP22" s="309"/>
      <c r="CQ22" s="97"/>
      <c r="CR22" s="97"/>
      <c r="CS22" s="177"/>
      <c r="CT22" s="177"/>
      <c r="CU22" s="177"/>
      <c r="CV22" s="1"/>
      <c r="CW22" s="321" t="s">
        <v>153</v>
      </c>
      <c r="CX22" s="321"/>
      <c r="CY22" s="160"/>
      <c r="CZ22" s="1"/>
      <c r="DA22" s="1"/>
      <c r="DB22" s="1"/>
      <c r="DC22" s="97"/>
      <c r="DD22" s="463" t="s">
        <v>116</v>
      </c>
      <c r="DE22" s="463"/>
      <c r="DF22" s="464" t="s">
        <v>117</v>
      </c>
      <c r="DG22" s="465"/>
      <c r="DH22" s="465" t="s">
        <v>180</v>
      </c>
      <c r="DI22" s="465"/>
      <c r="DJ22" s="11"/>
      <c r="DK22" s="402" t="s">
        <v>281</v>
      </c>
      <c r="DL22" s="402"/>
      <c r="DM22" s="402"/>
      <c r="DN22" s="402"/>
      <c r="DO22" s="402"/>
      <c r="DP22" s="402"/>
      <c r="DQ22" s="402"/>
      <c r="DR22" s="402"/>
      <c r="DS22" s="402"/>
      <c r="DT22" s="402"/>
      <c r="DU22" s="402"/>
      <c r="DV22" s="402"/>
      <c r="DW22" s="402"/>
      <c r="DX22" s="402"/>
    </row>
    <row r="23" spans="1:128" ht="7.35" customHeight="1" x14ac:dyDescent="0.2">
      <c r="A23" s="14"/>
      <c r="B23" s="351" t="s">
        <v>33</v>
      </c>
      <c r="C23" s="351"/>
      <c r="D23" s="202" t="s">
        <v>143</v>
      </c>
      <c r="E23" s="202" t="s">
        <v>144</v>
      </c>
      <c r="F23" s="202" t="s">
        <v>5322</v>
      </c>
      <c r="G23" s="202" t="s">
        <v>145</v>
      </c>
      <c r="H23" s="202" t="s">
        <v>16</v>
      </c>
      <c r="I23" s="97"/>
      <c r="O23" s="203">
        <f>MAX(1,LOOKUP($C$2,Sheet3!$C$42:$V$42,Sheet3!C53:V53)-Sheet3!AF314)</f>
        <v>2</v>
      </c>
      <c r="P23" s="350" t="s">
        <v>154</v>
      </c>
      <c r="Q23" s="350"/>
      <c r="R23" s="199">
        <v>0</v>
      </c>
      <c r="S23" s="199">
        <f>F17+(F17*T23)</f>
        <v>0</v>
      </c>
      <c r="T23" s="199">
        <v>0</v>
      </c>
      <c r="U23" s="199">
        <v>0</v>
      </c>
      <c r="V23" s="203">
        <f>(LOOKUP($C$2,Sheet3!$C$100:$V$100,Sheet3!C111:V111)+Sheet3!AP314)*$C$3</f>
        <v>0</v>
      </c>
      <c r="W23" s="199">
        <f>((SUM(R23:V23)-T23+Sheet3!$O$396)*IF(R23=0,0,1))-IF(AND(R23=0,Sheet3!$O$396=0),30,0)</f>
        <v>-30</v>
      </c>
      <c r="Y23" s="365"/>
      <c r="Z23" s="365"/>
      <c r="AA23" s="365"/>
      <c r="AB23" s="365"/>
      <c r="AC23" s="365"/>
      <c r="AE23" s="322" t="s">
        <v>228</v>
      </c>
      <c r="AF23" s="322"/>
      <c r="AG23" s="322"/>
      <c r="AH23" s="322"/>
      <c r="AI23" s="75"/>
      <c r="AJ23" s="366" t="s">
        <v>5556</v>
      </c>
      <c r="AK23" s="367"/>
      <c r="AL23" s="367"/>
      <c r="AM23" s="367"/>
      <c r="AN23" s="367"/>
      <c r="AO23" s="105">
        <f>IF(AP23=0,KI!I22,"-")</f>
        <v>10</v>
      </c>
      <c r="AP23" s="102"/>
      <c r="AS23" s="365"/>
      <c r="AT23" s="365"/>
      <c r="AU23" s="365"/>
      <c r="AV23" s="365"/>
      <c r="AW23" s="365"/>
      <c r="AX23" s="365"/>
      <c r="BA23" s="322"/>
      <c r="BB23" s="322"/>
      <c r="BC23" s="322"/>
      <c r="BD23" s="322"/>
      <c r="BE23" s="322"/>
      <c r="BF23" s="322"/>
      <c r="BG23" s="365"/>
      <c r="BH23" s="365"/>
      <c r="BJ23" s="342"/>
      <c r="BK23" s="342"/>
      <c r="BL23" s="166"/>
      <c r="BM23" s="97"/>
      <c r="BN23" s="161"/>
      <c r="BO23" s="161">
        <f>LOOKUP(BN23,patrones1,HP!$C$72:$C$86)</f>
        <v>0</v>
      </c>
      <c r="BP23" s="161" t="str">
        <f>LOOKUP(BN23,patrones1,HP!$D$72:$D$86)</f>
        <v/>
      </c>
      <c r="BQ23" s="177"/>
      <c r="BR23" s="342" t="s">
        <v>2</v>
      </c>
      <c r="BS23" s="342"/>
      <c r="BT23" s="342"/>
      <c r="BU23" s="178">
        <v>0</v>
      </c>
      <c r="BW23" s="321"/>
      <c r="BX23" s="321"/>
      <c r="BY23" s="321"/>
      <c r="BZ23" s="321"/>
      <c r="CA23" s="321"/>
      <c r="CB23" s="321"/>
      <c r="CC23" s="321"/>
      <c r="CF23" s="308" t="str">
        <f>LOOKUP(CF21,Tabla15[Poder],Tabla15[Descripcion])</f>
        <v/>
      </c>
      <c r="CG23" s="308"/>
      <c r="CH23" s="308"/>
      <c r="CI23" s="308"/>
      <c r="CJ23" s="308"/>
      <c r="CK23" s="182"/>
      <c r="CL23" s="308" t="str">
        <f>LOOKUP(CL21,Tabla15[Poder],Tabla15[Descripcion])</f>
        <v/>
      </c>
      <c r="CM23" s="308"/>
      <c r="CN23" s="308"/>
      <c r="CO23" s="308"/>
      <c r="CP23" s="308"/>
      <c r="CQ23" s="97"/>
      <c r="CR23" s="97"/>
      <c r="CS23" s="177"/>
      <c r="CT23" s="177"/>
      <c r="CU23" s="177"/>
      <c r="CV23" s="1"/>
      <c r="CW23" s="1"/>
      <c r="CX23" s="1"/>
      <c r="CY23" s="1"/>
      <c r="CZ23" s="1"/>
      <c r="DA23" s="1"/>
      <c r="DB23" s="1"/>
      <c r="DC23" s="97"/>
      <c r="DD23" s="175" t="s">
        <v>2</v>
      </c>
      <c r="DE23" s="175">
        <v>0</v>
      </c>
      <c r="DF23" s="156" t="s">
        <v>2</v>
      </c>
      <c r="DG23" s="52">
        <v>0</v>
      </c>
      <c r="DH23" s="52" t="s">
        <v>2</v>
      </c>
      <c r="DI23" s="52">
        <v>0</v>
      </c>
      <c r="DJ23" s="11"/>
      <c r="DK23" s="409" t="s">
        <v>0</v>
      </c>
      <c r="DL23" s="409"/>
      <c r="DM23" s="409" t="s">
        <v>152</v>
      </c>
      <c r="DN23" s="409"/>
      <c r="DO23" s="409"/>
      <c r="DP23" s="409" t="s">
        <v>138</v>
      </c>
      <c r="DQ23" s="409"/>
      <c r="DR23" s="409"/>
      <c r="DS23" s="409"/>
      <c r="DT23" s="409" t="s">
        <v>0</v>
      </c>
      <c r="DU23" s="409"/>
      <c r="DV23" s="66" t="s">
        <v>152</v>
      </c>
      <c r="DW23" s="322" t="s">
        <v>5148</v>
      </c>
      <c r="DX23" s="322"/>
    </row>
    <row r="24" spans="1:128" ht="7.35" customHeight="1" x14ac:dyDescent="0.2">
      <c r="B24" s="353"/>
      <c r="C24" s="353"/>
      <c r="D24" s="195" t="str">
        <f>IF(B24&lt;&gt;0,LOOKUP(B24,Tabla12[Nombre],Tabla12[Entereza])+(5*LOOKUP(H24,Sheet3!$L$2:$M$6))+IF(B24&lt;&gt;0,IF(AP15&gt;5,10,0),0),"")</f>
        <v/>
      </c>
      <c r="E24" s="195" t="str">
        <f>IF(B24&lt;&gt;0,LOOKUP(B24,Tabla12[Nombre],Tabla12[Presencia])+(50*LOOKUP(H24,Sheet3!$L$2:$M$6)),"")</f>
        <v/>
      </c>
      <c r="F24" s="195" t="str">
        <f>IF(B24&lt;&gt;0,LOOKUP(B24,Tabla12[Nombre],Tabla12[Penalizador natural])+(5*LOOKUP(H24,Sheet3!$L$2:$M$6)),"")</f>
        <v/>
      </c>
      <c r="G24" s="195" t="str">
        <f>IF(B24&lt;&gt;0,LOOKUP(B24,Tabla12[Nombre],Tabla12[Requerimiento de armadura])-(5*LOOKUP(H24,Sheet3!$L$2:$M$6)),"")</f>
        <v/>
      </c>
      <c r="H24" s="199"/>
      <c r="O24" s="202" t="s">
        <v>27</v>
      </c>
      <c r="P24" s="351" t="s">
        <v>163</v>
      </c>
      <c r="Q24" s="351"/>
      <c r="R24" s="202" t="s">
        <v>2</v>
      </c>
      <c r="S24" s="202" t="s">
        <v>13</v>
      </c>
      <c r="T24" s="202" t="s">
        <v>5332</v>
      </c>
      <c r="U24" s="202" t="s">
        <v>106</v>
      </c>
      <c r="V24" s="202" t="s">
        <v>107</v>
      </c>
      <c r="W24" s="202" t="s">
        <v>108</v>
      </c>
      <c r="AE24" s="365" t="str">
        <f>LOOKUP(AE22,Sheet3!$DJ$14:$DJ$40,Sheet3!$DK$14:$DK$40)</f>
        <v/>
      </c>
      <c r="AF24" s="365"/>
      <c r="AG24" s="365"/>
      <c r="AH24" s="365"/>
      <c r="AI24" s="75"/>
      <c r="AJ24" s="114" t="s">
        <v>5590</v>
      </c>
      <c r="AK24" s="366" t="s">
        <v>5557</v>
      </c>
      <c r="AL24" s="367"/>
      <c r="AM24" s="367"/>
      <c r="AN24" s="367"/>
      <c r="AO24" s="105">
        <f>IF(AP24=0,KI!I23,"-")</f>
        <v>10</v>
      </c>
      <c r="AP24" s="102"/>
      <c r="AS24" s="365"/>
      <c r="AT24" s="365"/>
      <c r="AU24" s="365"/>
      <c r="AV24" s="365"/>
      <c r="AW24" s="365"/>
      <c r="AX24" s="365"/>
      <c r="BA24" s="322"/>
      <c r="BB24" s="322"/>
      <c r="BC24" s="322"/>
      <c r="BD24" s="322"/>
      <c r="BE24" s="322"/>
      <c r="BF24" s="322"/>
      <c r="BG24" s="365"/>
      <c r="BH24" s="365"/>
      <c r="BI24" s="12"/>
      <c r="BJ24" s="342"/>
      <c r="BK24" s="342"/>
      <c r="BL24" s="166"/>
      <c r="BN24" s="345" t="s">
        <v>13</v>
      </c>
      <c r="BO24" s="346" t="str">
        <f>LOOKUP(BN23,HP!$A$72:$A$86,HP!$E$72:$E$86)</f>
        <v/>
      </c>
      <c r="BP24" s="346"/>
      <c r="BQ24" s="177"/>
      <c r="BR24" s="342" t="s">
        <v>6060</v>
      </c>
      <c r="BS24" s="342"/>
      <c r="BT24" s="342"/>
      <c r="BU24" s="178">
        <f>$F$12</f>
        <v>0</v>
      </c>
      <c r="BV24" s="6"/>
      <c r="CF24" s="182"/>
      <c r="CG24" s="184"/>
      <c r="CH24" s="184"/>
      <c r="CI24" s="184"/>
      <c r="CK24" s="184"/>
      <c r="CL24" s="182"/>
      <c r="CM24" s="184"/>
      <c r="CN24" s="184"/>
      <c r="CO24" s="184"/>
      <c r="CQ24" s="177"/>
      <c r="CR24" s="97"/>
      <c r="CS24" s="97"/>
      <c r="CT24" s="97"/>
      <c r="CU24" s="97"/>
      <c r="CV24" s="1"/>
      <c r="CW24" s="338" t="s">
        <v>170</v>
      </c>
      <c r="CX24" s="338"/>
      <c r="CY24" s="338"/>
      <c r="CZ24" s="338" t="s">
        <v>171</v>
      </c>
      <c r="DA24" s="338"/>
      <c r="DB24" s="338"/>
      <c r="DC24" s="97"/>
      <c r="DD24" s="191" t="s">
        <v>57</v>
      </c>
      <c r="DE24" s="176">
        <f>DF15</f>
        <v>0</v>
      </c>
      <c r="DF24" s="52" t="s">
        <v>57</v>
      </c>
      <c r="DG24" s="52">
        <f>DF15</f>
        <v>0</v>
      </c>
      <c r="DH24" s="52" t="s">
        <v>46</v>
      </c>
      <c r="DI24" s="52">
        <f>DF13</f>
        <v>0</v>
      </c>
      <c r="DJ24" s="11"/>
      <c r="DK24" s="409"/>
      <c r="DL24" s="409"/>
      <c r="DM24" s="409"/>
      <c r="DN24" s="409"/>
      <c r="DO24" s="409"/>
      <c r="DP24" s="409"/>
      <c r="DQ24" s="409"/>
      <c r="DR24" s="409"/>
      <c r="DS24" s="409"/>
      <c r="DT24" s="409"/>
      <c r="DU24" s="409"/>
      <c r="DV24" s="68"/>
      <c r="DW24" s="322"/>
      <c r="DX24" s="322"/>
    </row>
    <row r="25" spans="1:128" ht="7.35" customHeight="1" x14ac:dyDescent="0.2">
      <c r="B25" s="353"/>
      <c r="C25" s="353"/>
      <c r="D25" s="195" t="str">
        <f>IF(B25&lt;&gt;0,LOOKUP(B25,Tabla12[Nombre],Tabla12[Entereza])+(5*LOOKUP(H25,Sheet3!$L$2:$M$6))+IF(B25&lt;&gt;0,IF(AP15&gt;5,10,0),0),"")</f>
        <v/>
      </c>
      <c r="E25" s="195" t="str">
        <f>IF(B25&lt;&gt;0,LOOKUP(B25,Tabla12[Nombre],Tabla12[Presencia])+(50*LOOKUP(H25,Sheet3!$L$2:$M$6)),"")</f>
        <v/>
      </c>
      <c r="F25" s="195" t="str">
        <f>IF(B25&lt;&gt;0,LOOKUP(B25,Tabla12[Nombre],Tabla12[Penalizador natural])+(5*LOOKUP(H25,Sheet3!$L$2:$M$6)),"")</f>
        <v/>
      </c>
      <c r="G25" s="195" t="str">
        <f>IF(B25&lt;&gt;0,LOOKUP(B25,Tabla12[Nombre],Tabla12[Requerimiento de armadura])-(5*LOOKUP(H25,Sheet3!$L$2:$M$6)),"")</f>
        <v/>
      </c>
      <c r="H25" s="290"/>
      <c r="O25" s="203">
        <f>MAX(1,LOOKUP($C$2,Sheet3!$C$42:$V$42,Sheet3!C55:V55)-Sheet3!AF316)</f>
        <v>2</v>
      </c>
      <c r="P25" s="350" t="s">
        <v>167</v>
      </c>
      <c r="Q25" s="350"/>
      <c r="R25" s="199">
        <v>0</v>
      </c>
      <c r="S25" s="199">
        <f>F15+(F15*T25)</f>
        <v>0</v>
      </c>
      <c r="T25" s="199">
        <v>0</v>
      </c>
      <c r="U25" s="199">
        <v>0</v>
      </c>
      <c r="V25" s="203">
        <f>((LOOKUP($C$2,Sheet3!$C$100:$V$100,Sheet3!C113:V113)+Sheet3!AP316)*$C$3)+Sheet3!O393</f>
        <v>0</v>
      </c>
      <c r="W25" s="199">
        <f>((SUM(R25:V25)-T25+Sheet3!$O$396)*IF(R25=0,0,1))-IF(AND(R25=0,Sheet3!$O$396=0),30,0)</f>
        <v>-30</v>
      </c>
      <c r="Y25" s="358" t="s">
        <v>221</v>
      </c>
      <c r="Z25" s="358"/>
      <c r="AA25" s="358"/>
      <c r="AB25" s="120" t="s">
        <v>152</v>
      </c>
      <c r="AC25" s="128">
        <f>IF($C$2="Tao",LOOKUP(Y27,Sheet2!$AP$7:$AP$116,Sheet2!$AV$7:$AV$116),LOOKUP(Y27,Sheet2!$AP$7:$AP$116,Sheet2!$AU$7:$AU$116))</f>
        <v>0</v>
      </c>
      <c r="AE25" s="365"/>
      <c r="AF25" s="365"/>
      <c r="AG25" s="365"/>
      <c r="AH25" s="365"/>
      <c r="AI25" s="75"/>
      <c r="AJ25" s="114" t="s">
        <v>5588</v>
      </c>
      <c r="AK25" s="115" t="s">
        <v>5590</v>
      </c>
      <c r="AL25" s="366" t="s">
        <v>5558</v>
      </c>
      <c r="AM25" s="367"/>
      <c r="AN25" s="367"/>
      <c r="AO25" s="105">
        <f>IF(AP25=0,KI!I24,"-")</f>
        <v>10</v>
      </c>
      <c r="AP25" s="102"/>
      <c r="AS25" s="365"/>
      <c r="AT25" s="365"/>
      <c r="AU25" s="365"/>
      <c r="AV25" s="365"/>
      <c r="AW25" s="365"/>
      <c r="AX25" s="365"/>
      <c r="BA25" s="322"/>
      <c r="BB25" s="322"/>
      <c r="BC25" s="322"/>
      <c r="BD25" s="322"/>
      <c r="BE25" s="322"/>
      <c r="BF25" s="322"/>
      <c r="BG25" s="365"/>
      <c r="BH25" s="365"/>
      <c r="BI25" s="13"/>
      <c r="BJ25" s="342"/>
      <c r="BK25" s="342"/>
      <c r="BL25" s="166"/>
      <c r="BN25" s="345"/>
      <c r="BO25" s="346"/>
      <c r="BP25" s="346"/>
      <c r="BQ25" s="177"/>
      <c r="BR25" s="342" t="s">
        <v>93</v>
      </c>
      <c r="BS25" s="342"/>
      <c r="BT25" s="342"/>
      <c r="BU25" s="178">
        <v>0</v>
      </c>
      <c r="BW25" s="51" t="s">
        <v>14</v>
      </c>
      <c r="BX25" s="51" t="s">
        <v>0</v>
      </c>
      <c r="BY25" s="395" t="s">
        <v>15</v>
      </c>
      <c r="BZ25" s="395"/>
      <c r="CA25" s="51" t="s">
        <v>16</v>
      </c>
      <c r="CB25" s="51" t="s">
        <v>17</v>
      </c>
      <c r="CC25" s="51" t="s">
        <v>18</v>
      </c>
      <c r="CF25" s="310" t="s">
        <v>0</v>
      </c>
      <c r="CG25" s="310"/>
      <c r="CH25" s="310" t="s">
        <v>228</v>
      </c>
      <c r="CI25" s="310"/>
      <c r="CJ25" s="183" t="s">
        <v>27</v>
      </c>
      <c r="CK25" s="184"/>
      <c r="CL25" s="310" t="s">
        <v>0</v>
      </c>
      <c r="CM25" s="310"/>
      <c r="CN25" s="310" t="s">
        <v>228</v>
      </c>
      <c r="CO25" s="310"/>
      <c r="CP25" s="183" t="s">
        <v>27</v>
      </c>
      <c r="CQ25" s="177"/>
      <c r="CR25" s="97"/>
      <c r="CS25" s="177"/>
      <c r="CT25" s="177"/>
      <c r="CU25" s="97"/>
      <c r="CV25" s="1"/>
      <c r="CW25" s="322"/>
      <c r="CX25" s="322"/>
      <c r="CY25" s="322"/>
      <c r="CZ25" s="322"/>
      <c r="DA25" s="322"/>
      <c r="DB25" s="322"/>
      <c r="DC25" s="97"/>
      <c r="DD25" s="78" t="s">
        <v>93</v>
      </c>
      <c r="DE25" s="52"/>
      <c r="DF25" s="52" t="s">
        <v>93</v>
      </c>
      <c r="DG25" s="52"/>
      <c r="DH25" s="52" t="s">
        <v>93</v>
      </c>
      <c r="DI25" s="52"/>
      <c r="DJ25" s="11"/>
      <c r="DK25" s="409"/>
      <c r="DL25" s="409"/>
      <c r="DM25" s="409"/>
      <c r="DN25" s="409"/>
      <c r="DO25" s="409"/>
      <c r="DP25" s="409"/>
      <c r="DQ25" s="409"/>
      <c r="DR25" s="409"/>
      <c r="DS25" s="409"/>
      <c r="DT25" s="409"/>
      <c r="DU25" s="409"/>
      <c r="DV25" s="68"/>
      <c r="DW25" s="322"/>
      <c r="DX25" s="322"/>
    </row>
    <row r="26" spans="1:128" ht="7.35" customHeight="1" thickBot="1" x14ac:dyDescent="0.25">
      <c r="B26" s="387"/>
      <c r="C26" s="387"/>
      <c r="D26" s="194" t="str">
        <f>IF(B26&lt;&gt;0,LOOKUP(B26,Tabla12[Nombre],Tabla12[Entereza])+(5*LOOKUP(H26,Sheet3!$L$2:$M$6))+IF(B26&lt;&gt;0,IF(AP15&gt;5,10,0),0),"")</f>
        <v/>
      </c>
      <c r="E26" s="194" t="str">
        <f>IF(B26&lt;&gt;0,LOOKUP(B26,Tabla12[Nombre],Tabla12[Presencia])+(50*LOOKUP(H26,Sheet3!$L$2:$M$6)),"")</f>
        <v/>
      </c>
      <c r="F26" s="194" t="str">
        <f>IF(B26&lt;&gt;0,LOOKUP(B26,Tabla12[Nombre],Tabla12[Penalizador natural])+(5*LOOKUP(H26,Sheet3!$L$2:$M$6)),"")</f>
        <v/>
      </c>
      <c r="G26" s="194" t="str">
        <f>IF(B26&lt;&gt;0,LOOKUP(B26,Tabla12[Nombre],Tabla12[Requerimiento de armadura])-(5*LOOKUP(H26,Sheet3!$L$2:$M$6)),"")</f>
        <v/>
      </c>
      <c r="H26" s="305"/>
      <c r="O26" s="203">
        <f>MAX(1,LOOKUP($C$2,Sheet3!$C$42:$V$42,Sheet3!C56:V56)-Sheet3!AF317)</f>
        <v>2</v>
      </c>
      <c r="P26" s="350" t="s">
        <v>172</v>
      </c>
      <c r="Q26" s="350"/>
      <c r="R26" s="199">
        <v>0</v>
      </c>
      <c r="S26" s="199">
        <f>F15+(F15*T26)</f>
        <v>0</v>
      </c>
      <c r="T26" s="199">
        <v>0</v>
      </c>
      <c r="U26" s="199">
        <v>0</v>
      </c>
      <c r="V26" s="203">
        <f>((LOOKUP($C$2,Sheet3!$C$100:$V$100,Sheet3!C114:V114)+Sheet3!AP317)*$C$3)+Sheet3!O393</f>
        <v>0</v>
      </c>
      <c r="W26" s="199">
        <f>((SUM(R26:V26)-T26+Sheet3!$O$396)*IF(R26=0,0,1))-IF(AND(R26=0,Sheet3!$O$396=0),30,0)</f>
        <v>-30</v>
      </c>
      <c r="X26" s="6"/>
      <c r="Y26" s="357" t="s">
        <v>0</v>
      </c>
      <c r="Z26" s="357"/>
      <c r="AA26" s="357" t="s">
        <v>13</v>
      </c>
      <c r="AB26" s="357"/>
      <c r="AC26" s="357"/>
      <c r="AE26" s="365"/>
      <c r="AF26" s="365"/>
      <c r="AG26" s="365"/>
      <c r="AH26" s="365"/>
      <c r="AI26" s="75"/>
      <c r="AJ26" s="114" t="s">
        <v>5588</v>
      </c>
      <c r="AK26" s="115" t="s">
        <v>5589</v>
      </c>
      <c r="AL26" s="366" t="s">
        <v>5559</v>
      </c>
      <c r="AM26" s="367"/>
      <c r="AN26" s="367"/>
      <c r="AO26" s="105">
        <f>IF(AP26=0,KI!I25,"-")</f>
        <v>10</v>
      </c>
      <c r="AP26" s="102"/>
      <c r="BI26" s="13"/>
      <c r="BJ26" s="342"/>
      <c r="BK26" s="342"/>
      <c r="BL26" s="166"/>
      <c r="BN26" s="345" t="s">
        <v>6059</v>
      </c>
      <c r="BO26" s="346" t="str">
        <f>LOOKUP(BN23,HP!$A$72:$A$86,HP!$F$72:$F$86)</f>
        <v/>
      </c>
      <c r="BP26" s="346"/>
      <c r="BR26" s="342" t="s">
        <v>71</v>
      </c>
      <c r="BS26" s="342"/>
      <c r="BT26" s="342"/>
      <c r="BU26" s="178">
        <f>SUM(BU23:BU25)</f>
        <v>0</v>
      </c>
      <c r="BV26" s="6"/>
      <c r="BW26" s="52"/>
      <c r="BX26" s="52"/>
      <c r="BY26" s="321"/>
      <c r="BZ26" s="321"/>
      <c r="CA26" s="52"/>
      <c r="CB26" s="52"/>
      <c r="CC26" s="52"/>
      <c r="CF26" s="311"/>
      <c r="CG26" s="312"/>
      <c r="CH26" s="311" t="str">
        <f>LOOKUP(CF26,Tabla15[Poder],Tabla15[Requisito])</f>
        <v/>
      </c>
      <c r="CI26" s="312"/>
      <c r="CJ26" s="167">
        <f>LOOKUP(CF26,Tabla15[Poder],Tabla15[Coste])</f>
        <v>0</v>
      </c>
      <c r="CK26" s="184"/>
      <c r="CL26" s="311"/>
      <c r="CM26" s="312"/>
      <c r="CN26" s="311" t="str">
        <f>LOOKUP(CL26,Tabla15[Poder],Tabla15[Requisito])</f>
        <v/>
      </c>
      <c r="CO26" s="312"/>
      <c r="CP26" s="167">
        <f>LOOKUP(CL26,Tabla15[Poder],Tabla15[Coste])</f>
        <v>0</v>
      </c>
      <c r="CQ26" s="177"/>
      <c r="CR26" s="97"/>
      <c r="CS26" s="177"/>
      <c r="CT26" s="177"/>
      <c r="CU26" s="177"/>
      <c r="CV26" s="1"/>
      <c r="CW26" s="322"/>
      <c r="CX26" s="322"/>
      <c r="CY26" s="322"/>
      <c r="CZ26" s="322"/>
      <c r="DA26" s="322"/>
      <c r="DB26" s="322"/>
      <c r="DC26" s="97"/>
      <c r="DD26" s="78" t="s">
        <v>189</v>
      </c>
      <c r="DE26" s="52">
        <f>SUM(DE23:DE25)</f>
        <v>0</v>
      </c>
      <c r="DF26" s="52" t="s">
        <v>189</v>
      </c>
      <c r="DG26" s="52">
        <f>SUM(DG23:DG25)</f>
        <v>0</v>
      </c>
      <c r="DH26" s="52" t="s">
        <v>189</v>
      </c>
      <c r="DI26" s="52">
        <f>SUM(DI23:DI25)</f>
        <v>0</v>
      </c>
      <c r="DJ26" s="11"/>
      <c r="DK26" s="409"/>
      <c r="DL26" s="409"/>
      <c r="DM26" s="409"/>
      <c r="DN26" s="409"/>
      <c r="DO26" s="409"/>
      <c r="DP26" s="409"/>
      <c r="DQ26" s="409"/>
      <c r="DR26" s="409"/>
      <c r="DS26" s="409"/>
      <c r="DT26" s="409"/>
      <c r="DU26" s="409"/>
      <c r="DV26" s="68"/>
      <c r="DW26" s="322"/>
      <c r="DX26" s="322"/>
    </row>
    <row r="27" spans="1:128" ht="7.35" customHeight="1" thickBot="1" x14ac:dyDescent="0.25">
      <c r="B27" s="484"/>
      <c r="C27" s="484"/>
      <c r="D27" s="168" t="str">
        <f>IF(B27&lt;&gt;0,LOOKUP(B27,Tabla13[Nombre],Tabla13[Entereza])+(5*LOOKUP(H27,Sheet3!$L$2:$M$6))+IF(B27&lt;&gt;0,IF(AP15&gt;5,10,0),0),"")</f>
        <v/>
      </c>
      <c r="E27" s="168" t="str">
        <f>IF(B27&lt;&gt;0,LOOKUP(B27,Tabla13[Nombre],Tabla13[Presencia])+(50*LOOKUP(H27,Sheet3!$L$2:$M$6)),"")</f>
        <v/>
      </c>
      <c r="F27" s="168" t="str">
        <f>IF(B27&lt;&gt;0,LOOKUP(B27,Tabla13[Nombre],Tabla13[Penalizador percepcion])+(5*LOOKUP(H27,Sheet3!$L$2:$M$6)),"")</f>
        <v/>
      </c>
      <c r="G27" s="168" t="str">
        <f>IF(B27&lt;&gt;0,LOOKUP(B27,Tabla13[Nombre],Tabla13[Requerimiento de armadura])-(5*LOOKUP(H27,Sheet3!$L$2:$M$6)),"")</f>
        <v/>
      </c>
      <c r="H27" s="215"/>
      <c r="O27" s="203">
        <f>MAX(1,LOOKUP($C$2,Sheet3!$C$42:$V$42,Sheet3!C57:V57)-Sheet3!AF318)</f>
        <v>2</v>
      </c>
      <c r="P27" s="350" t="s">
        <v>174</v>
      </c>
      <c r="Q27" s="350"/>
      <c r="R27" s="199">
        <v>0</v>
      </c>
      <c r="S27" s="199">
        <f>F15+(F15*T27)</f>
        <v>0</v>
      </c>
      <c r="T27" s="199">
        <v>0</v>
      </c>
      <c r="U27" s="199">
        <v>0</v>
      </c>
      <c r="V27" s="203">
        <f>(LOOKUP($C$2,Sheet3!$C$100:$V$100,Sheet3!C115:V115)+Sheet3!AP318)*$C$3</f>
        <v>0</v>
      </c>
      <c r="W27" s="199">
        <f>((SUM(R27:V27)-T27+Sheet3!$O$396)*IF(R27=0,0,1))-IF(AND(R27=0,Sheet3!$O$396=0),30,0)</f>
        <v>-30</v>
      </c>
      <c r="Y27" s="371"/>
      <c r="Z27" s="371"/>
      <c r="AA27" s="371" t="str">
        <f>LOOKUP(Y27,Sheet2!$AP$7:$AP$116,Sheet2!$AR$7:$AR$116)</f>
        <v/>
      </c>
      <c r="AB27" s="371"/>
      <c r="AC27" s="371"/>
      <c r="AE27" s="322" t="s">
        <v>5342</v>
      </c>
      <c r="AF27" s="322"/>
      <c r="AG27" s="322"/>
      <c r="AH27" s="322"/>
      <c r="AI27" s="75"/>
      <c r="AJ27" s="114" t="s">
        <v>5589</v>
      </c>
      <c r="AK27" s="366" t="s">
        <v>5560</v>
      </c>
      <c r="AL27" s="367"/>
      <c r="AM27" s="367"/>
      <c r="AN27" s="367"/>
      <c r="AO27" s="105">
        <f>IF(AP27=0,KI!I26,"-")</f>
        <v>10</v>
      </c>
      <c r="AP27" s="102"/>
      <c r="AR27" s="402" t="s">
        <v>136</v>
      </c>
      <c r="AS27" s="402"/>
      <c r="AT27" s="402"/>
      <c r="AU27" s="402"/>
      <c r="AV27" s="402"/>
      <c r="AW27" s="402"/>
      <c r="AX27" s="402"/>
      <c r="AY27" s="402"/>
      <c r="AZ27" s="402"/>
      <c r="BA27" s="402"/>
      <c r="BB27" s="402"/>
      <c r="BC27" s="402"/>
      <c r="BD27" s="402"/>
      <c r="BE27" s="402"/>
      <c r="BF27" s="402"/>
      <c r="BG27" s="402"/>
      <c r="BH27" s="402"/>
      <c r="BI27" s="13"/>
      <c r="BJ27" s="342" t="s">
        <v>5703</v>
      </c>
      <c r="BK27" s="342"/>
      <c r="BL27" s="166"/>
      <c r="BN27" s="345"/>
      <c r="BO27" s="346"/>
      <c r="BP27" s="346"/>
      <c r="BR27" s="177"/>
      <c r="BS27" s="177"/>
      <c r="BT27" s="177"/>
      <c r="BU27" s="97"/>
      <c r="BW27" s="395" t="s">
        <v>20</v>
      </c>
      <c r="BX27" s="395"/>
      <c r="BY27" s="395"/>
      <c r="BZ27" s="395"/>
      <c r="CA27" s="395"/>
      <c r="CB27" s="395"/>
      <c r="CC27" s="395"/>
      <c r="CF27" s="309" t="s">
        <v>138</v>
      </c>
      <c r="CG27" s="309"/>
      <c r="CH27" s="309"/>
      <c r="CI27" s="309"/>
      <c r="CJ27" s="309"/>
      <c r="CK27" s="97"/>
      <c r="CL27" s="309" t="s">
        <v>138</v>
      </c>
      <c r="CM27" s="309"/>
      <c r="CN27" s="309"/>
      <c r="CO27" s="309"/>
      <c r="CP27" s="309"/>
      <c r="CQ27" s="177"/>
      <c r="CR27" s="97"/>
      <c r="CS27" s="177"/>
      <c r="CT27" s="177"/>
      <c r="CU27" s="177"/>
      <c r="CV27" s="1"/>
      <c r="CW27" s="322"/>
      <c r="CX27" s="322"/>
      <c r="CY27" s="322"/>
      <c r="CZ27" s="322"/>
      <c r="DA27" s="322"/>
      <c r="DB27" s="322"/>
      <c r="DC27" s="97"/>
      <c r="DD27" s="1" t="s">
        <v>27</v>
      </c>
      <c r="DE27" s="1">
        <f>LOOKUP(DM2,Sheet3!$G$224:$Z$224,Sheet3!$G$225:$Z$225)</f>
        <v>2</v>
      </c>
      <c r="DG27" s="1">
        <f>LOOKUP(DM2,Sheet3!$G$224:$Z$224,Sheet3!$G$226:$Z$226)</f>
        <v>2</v>
      </c>
      <c r="DI27" s="1">
        <f>LOOKUP(DM2,Sheet3!$G$224:$Z$224,Sheet3!$G$227:$Z$227)</f>
        <v>2</v>
      </c>
      <c r="DJ27" s="11"/>
      <c r="DK27" s="409"/>
      <c r="DL27" s="409"/>
      <c r="DM27" s="409"/>
      <c r="DN27" s="409"/>
      <c r="DO27" s="409"/>
      <c r="DP27" s="409"/>
      <c r="DQ27" s="409"/>
      <c r="DR27" s="409"/>
      <c r="DS27" s="409"/>
      <c r="DT27" s="409"/>
      <c r="DU27" s="409"/>
      <c r="DV27" s="68"/>
      <c r="DW27" s="322"/>
      <c r="DX27" s="322"/>
    </row>
    <row r="28" spans="1:128" ht="7.35" customHeight="1" x14ac:dyDescent="0.2">
      <c r="A28" s="16"/>
      <c r="B28" s="213" t="s">
        <v>155</v>
      </c>
      <c r="C28" s="213" t="s">
        <v>156</v>
      </c>
      <c r="D28" s="213" t="s">
        <v>157</v>
      </c>
      <c r="E28" s="213" t="s">
        <v>158</v>
      </c>
      <c r="F28" s="213" t="s">
        <v>159</v>
      </c>
      <c r="G28" s="213" t="s">
        <v>160</v>
      </c>
      <c r="H28" s="213" t="s">
        <v>161</v>
      </c>
      <c r="I28" s="202" t="s">
        <v>162</v>
      </c>
      <c r="J28" s="351" t="s">
        <v>2804</v>
      </c>
      <c r="K28" s="351"/>
      <c r="L28" s="351"/>
      <c r="O28" s="202" t="s">
        <v>27</v>
      </c>
      <c r="P28" s="351" t="s">
        <v>178</v>
      </c>
      <c r="Q28" s="351"/>
      <c r="R28" s="202" t="s">
        <v>2</v>
      </c>
      <c r="S28" s="202" t="s">
        <v>13</v>
      </c>
      <c r="T28" s="202" t="s">
        <v>5332</v>
      </c>
      <c r="U28" s="202" t="s">
        <v>106</v>
      </c>
      <c r="V28" s="202" t="s">
        <v>107</v>
      </c>
      <c r="W28" s="202" t="s">
        <v>108</v>
      </c>
      <c r="Y28" s="357" t="s">
        <v>228</v>
      </c>
      <c r="Z28" s="357"/>
      <c r="AA28" s="357"/>
      <c r="AB28" s="120" t="s">
        <v>5</v>
      </c>
      <c r="AC28" s="120" t="s">
        <v>229</v>
      </c>
      <c r="AE28" s="322" t="str">
        <f>LOOKUP(AE22,Sheet3!$DJ$14:$DJ$40,Sheet3!$DL$14:$DL$40)</f>
        <v/>
      </c>
      <c r="AF28" s="322"/>
      <c r="AG28" s="322"/>
      <c r="AH28" s="322"/>
      <c r="AI28" s="75"/>
      <c r="AJ28" s="366" t="s">
        <v>5561</v>
      </c>
      <c r="AK28" s="367"/>
      <c r="AL28" s="367"/>
      <c r="AM28" s="367"/>
      <c r="AN28" s="367"/>
      <c r="AO28" s="105">
        <f>IF(AP28=0,KI!I27,"-")</f>
        <v>10</v>
      </c>
      <c r="AP28" s="102"/>
      <c r="AR28" s="419" t="str">
        <f>Sheet3!CA81</f>
        <v/>
      </c>
      <c r="AS28" s="419"/>
      <c r="AT28" s="419"/>
      <c r="AU28" s="419"/>
      <c r="AV28" s="419"/>
      <c r="AW28" s="419"/>
      <c r="AX28" s="419"/>
      <c r="AY28" s="419"/>
      <c r="AZ28" s="419"/>
      <c r="BA28" s="419"/>
      <c r="BB28" s="419"/>
      <c r="BC28" s="419"/>
      <c r="BD28" s="419"/>
      <c r="BE28" s="419"/>
      <c r="BF28" s="419"/>
      <c r="BG28" s="419"/>
      <c r="BH28" s="419"/>
      <c r="BI28" s="13"/>
      <c r="BV28" s="17"/>
      <c r="BW28" s="321"/>
      <c r="BX28" s="321"/>
      <c r="BY28" s="321"/>
      <c r="BZ28" s="321"/>
      <c r="CA28" s="321"/>
      <c r="CB28" s="321"/>
      <c r="CC28" s="321"/>
      <c r="CF28" s="308" t="str">
        <f>LOOKUP(CF26,Tabla15[Poder],Tabla15[Descripcion])</f>
        <v/>
      </c>
      <c r="CG28" s="308"/>
      <c r="CH28" s="308"/>
      <c r="CI28" s="308"/>
      <c r="CJ28" s="308"/>
      <c r="CK28" s="184"/>
      <c r="CL28" s="308" t="str">
        <f>LOOKUP(CL26,Tabla15[Poder],Tabla15[Descripcion])</f>
        <v/>
      </c>
      <c r="CM28" s="308"/>
      <c r="CN28" s="308"/>
      <c r="CO28" s="308"/>
      <c r="CP28" s="308"/>
      <c r="CQ28" s="177"/>
      <c r="CR28" s="97"/>
      <c r="CS28" s="97"/>
      <c r="CT28" s="97"/>
      <c r="CU28" s="97"/>
      <c r="CV28" s="1"/>
      <c r="CW28" s="322"/>
      <c r="CX28" s="322"/>
      <c r="CY28" s="322"/>
      <c r="CZ28" s="322"/>
      <c r="DA28" s="322"/>
      <c r="DB28" s="322"/>
      <c r="DC28" s="97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</row>
    <row r="29" spans="1:128" ht="7.35" customHeight="1" x14ac:dyDescent="0.2">
      <c r="B29" s="195" t="str">
        <f>LOOKUP(B24,Tabla12[Nombre],Tabla12[Clase])</f>
        <v/>
      </c>
      <c r="C29" s="195">
        <f>LOOKUP(B24,Tabla12[Nombre],Tabla12[Fil])+(1*LOOKUP(H24,Sheet3!$L$2:$M$6))</f>
        <v>0</v>
      </c>
      <c r="D29" s="195">
        <f>LOOKUP(B24,Tabla12[Nombre],Tabla12[Con])+(1*LOOKUP(H24,Sheet3!$L$2:$M$6))</f>
        <v>0</v>
      </c>
      <c r="E29" s="195">
        <f>LOOKUP(B24,Tabla12[Nombre],Tabla12[Pen])+(1*LOOKUP(H24,Sheet3!$L$2:$M$6))</f>
        <v>0</v>
      </c>
      <c r="F29" s="195">
        <f>LOOKUP(B24,Tabla12[Nombre],Tabla12[Cal])+(1*LOOKUP(H24,Sheet3!$L$2:$M$6))</f>
        <v>0</v>
      </c>
      <c r="G29" s="195">
        <f>LOOKUP(B24,Tabla12[Nombre],Tabla12[Ele])+(1*LOOKUP(H24,Sheet3!$L$2:$M$6))</f>
        <v>0</v>
      </c>
      <c r="H29" s="195">
        <f>LOOKUP(B24,Tabla12[Nombre],Tabla12[Fri])+(1*LOOKUP(H24,Sheet3!$L$2:$M$6))</f>
        <v>0</v>
      </c>
      <c r="I29" s="195">
        <f>LOOKUP(B24,Tabla12[Nombre],Tabla12[Ener])+(1*LOOKUP(H24,Sheet3!$L$2:$M$6))</f>
        <v>0</v>
      </c>
      <c r="J29" s="353" t="str">
        <f>LOOKUP(B24,Tabla12[Nombre],Tabla12[Localizacion])</f>
        <v/>
      </c>
      <c r="K29" s="353"/>
      <c r="L29" s="353"/>
      <c r="O29" s="203">
        <f>MAX(1,LOOKUP($C$2,Sheet3!$C$42:$V$42,Sheet3!C59:V59)-Sheet3!AF320)</f>
        <v>2</v>
      </c>
      <c r="P29" s="350" t="s">
        <v>181</v>
      </c>
      <c r="Q29" s="350"/>
      <c r="R29" s="199">
        <v>0</v>
      </c>
      <c r="S29" s="199">
        <f>F14+(F14*T29)</f>
        <v>0</v>
      </c>
      <c r="T29" s="199">
        <v>0</v>
      </c>
      <c r="U29" s="199">
        <v>0</v>
      </c>
      <c r="V29" s="203">
        <f>(LOOKUP($C$2,Sheet3!$C$100:$V$100,Sheet3!C117:V117)+Sheet3!AP320)*$C$3</f>
        <v>0</v>
      </c>
      <c r="W29" s="199">
        <f>((SUM(R29:V29)-T29+Sheet3!$O$396)*IF(R29=0,0,1))-IF(AND(R29=0,Sheet3!$O$396=0),30,0)</f>
        <v>-30</v>
      </c>
      <c r="Y29" s="371" t="str">
        <f>LOOKUP(Y27,Sheet2!$AP$7:$AP$116,Sheet2!$AQ$7:$AQ$116)</f>
        <v/>
      </c>
      <c r="Z29" s="371"/>
      <c r="AA29" s="371"/>
      <c r="AB29" s="127">
        <f>LOOKUP(Y27,Sheet2!$AP$7:$AP$116,Sheet2!$AS$7:$AS$116)</f>
        <v>0</v>
      </c>
      <c r="AC29" s="127" t="str">
        <f>LOOKUP(Y27,Sheet2!$AP$7:$AP$116,Sheet2!$AW$7:$AW$116)</f>
        <v/>
      </c>
      <c r="AE29" s="87" t="s">
        <v>152</v>
      </c>
      <c r="AF29" s="87">
        <f>LOOKUP(AE22,Sheet3!$DJ$14:$DJ$40,Sheet3!$DM$14:$DM$40)</f>
        <v>0</v>
      </c>
      <c r="AG29" s="87" t="s">
        <v>5</v>
      </c>
      <c r="AH29" s="87">
        <f>LOOKUP(AE22,Sheet3!$DJ$14:$DJ$40,Sheet3!$DN$14:$DN$40)</f>
        <v>0</v>
      </c>
      <c r="AI29" s="75"/>
      <c r="AJ29" s="114" t="s">
        <v>5590</v>
      </c>
      <c r="AK29" s="435" t="s">
        <v>5562</v>
      </c>
      <c r="AL29" s="436"/>
      <c r="AM29" s="436"/>
      <c r="AN29" s="144" t="str">
        <f>IF(AO29="-",(((AB3+AB4)+W47)/2)+(Sheet3!O405*'Hoja básica'!C3)+LOOKUP(C5,Tabla14[RAZAS],Tabla14[Ocultación de ki]),"")</f>
        <v/>
      </c>
      <c r="AO29" s="105">
        <f>IF(LOOKUP(C5,Tabla14[RAZAS],Tabla14[Ocultación de ki])&lt;&gt;0,"-",IF(AP29=0,KI!I28,"-"))</f>
        <v>10</v>
      </c>
      <c r="AP29" s="102"/>
      <c r="AR29" s="419"/>
      <c r="AS29" s="419"/>
      <c r="AT29" s="419"/>
      <c r="AU29" s="419"/>
      <c r="AV29" s="419"/>
      <c r="AW29" s="419"/>
      <c r="AX29" s="419"/>
      <c r="AY29" s="419"/>
      <c r="AZ29" s="419"/>
      <c r="BA29" s="419"/>
      <c r="BB29" s="419"/>
      <c r="BC29" s="419"/>
      <c r="BD29" s="419"/>
      <c r="BE29" s="419"/>
      <c r="BF29" s="419"/>
      <c r="BG29" s="419"/>
      <c r="BH29" s="419"/>
      <c r="BI29" s="17"/>
      <c r="BJ29" s="63" t="s">
        <v>4266</v>
      </c>
      <c r="BK29" s="358" t="s">
        <v>0</v>
      </c>
      <c r="BL29" s="358"/>
      <c r="BN29" s="63" t="s">
        <v>4266</v>
      </c>
      <c r="BO29" s="358" t="s">
        <v>0</v>
      </c>
      <c r="BP29" s="358"/>
      <c r="BQ29" s="358"/>
      <c r="BS29" s="63" t="s">
        <v>4266</v>
      </c>
      <c r="BT29" s="358" t="s">
        <v>0</v>
      </c>
      <c r="BU29" s="358"/>
      <c r="BV29" s="17"/>
      <c r="BW29" s="321"/>
      <c r="BX29" s="321"/>
      <c r="BY29" s="321"/>
      <c r="BZ29" s="321"/>
      <c r="CA29" s="321"/>
      <c r="CB29" s="321"/>
      <c r="CC29" s="321"/>
      <c r="CF29" s="182"/>
      <c r="CG29" s="184"/>
      <c r="CH29" s="184"/>
      <c r="CI29" s="184"/>
      <c r="CK29" s="184"/>
      <c r="CL29" s="182"/>
      <c r="CM29" s="184"/>
      <c r="CN29" s="184"/>
      <c r="CO29" s="184"/>
      <c r="CQ29" s="177"/>
      <c r="CR29" s="97"/>
      <c r="CS29" s="177"/>
      <c r="CT29" s="177"/>
      <c r="CU29" s="97"/>
      <c r="CV29" s="1"/>
      <c r="CW29" s="322"/>
      <c r="CX29" s="322"/>
      <c r="CY29" s="322"/>
      <c r="CZ29" s="322"/>
      <c r="DA29" s="322"/>
      <c r="DB29" s="322"/>
      <c r="DC29" s="97"/>
      <c r="DD29" s="352" t="s">
        <v>282</v>
      </c>
      <c r="DE29" s="457"/>
      <c r="DF29" s="457"/>
      <c r="DG29" s="457"/>
      <c r="DH29" s="457"/>
      <c r="DI29" s="457"/>
      <c r="DJ29" s="457"/>
      <c r="DK29" s="457"/>
      <c r="DL29" s="457"/>
      <c r="DM29" s="457"/>
      <c r="DN29" s="457"/>
      <c r="DO29" s="457"/>
      <c r="DP29" s="457"/>
      <c r="DQ29" s="457"/>
      <c r="DR29" s="457"/>
      <c r="DS29" s="457"/>
      <c r="DT29" s="457"/>
      <c r="DU29" s="11"/>
      <c r="DX29" s="11"/>
    </row>
    <row r="30" spans="1:128" ht="7.35" customHeight="1" x14ac:dyDescent="0.2">
      <c r="B30" s="195" t="str">
        <f>LOOKUP(B25,Tabla12[Nombre],Tabla12[Clase])</f>
        <v/>
      </c>
      <c r="C30" s="195">
        <f>LOOKUP(B25,Tabla12[Nombre],Tabla12[Fil])+(1*LOOKUP(H25,Sheet3!$L$2:$M$6))</f>
        <v>0</v>
      </c>
      <c r="D30" s="195">
        <f>LOOKUP(B25,Tabla12[Nombre],Tabla12[Con])+(1*LOOKUP(H25,Sheet3!$L$2:$M$6))</f>
        <v>0</v>
      </c>
      <c r="E30" s="195">
        <f>LOOKUP(B25,Tabla12[Nombre],Tabla12[Pen])+(1*LOOKUP(H25,Sheet3!$L$2:$M$6))</f>
        <v>0</v>
      </c>
      <c r="F30" s="195">
        <f>LOOKUP(B25,Tabla12[Nombre],Tabla12[Cal])+(1*LOOKUP(H25,Sheet3!$L$2:$M$6))</f>
        <v>0</v>
      </c>
      <c r="G30" s="195">
        <f>LOOKUP(B25,Tabla12[Nombre],Tabla12[Ele])+(1*LOOKUP(H25,Sheet3!$L$2:$M$6))</f>
        <v>0</v>
      </c>
      <c r="H30" s="195">
        <f>LOOKUP(B25,Tabla12[Nombre],Tabla12[Fri])+(1*LOOKUP(H25,Sheet3!$L$2:$M$6))</f>
        <v>0</v>
      </c>
      <c r="I30" s="195">
        <f>LOOKUP(B25,Tabla12[Nombre],Tabla12[Ener])+(1*LOOKUP(H25,Sheet3!$L$2:$M$6))</f>
        <v>0</v>
      </c>
      <c r="J30" s="353" t="str">
        <f>LOOKUP(B25,Tabla12[Nombre],Tabla12[Localizacion])</f>
        <v/>
      </c>
      <c r="K30" s="353"/>
      <c r="L30" s="353"/>
      <c r="O30" s="203">
        <f>MAX(1,LOOKUP($C$2,Sheet3!$C$42:$V$42,Sheet3!C60:V60)-Sheet3!AF321)</f>
        <v>2</v>
      </c>
      <c r="P30" s="350" t="s">
        <v>182</v>
      </c>
      <c r="Q30" s="350"/>
      <c r="R30" s="199">
        <v>0</v>
      </c>
      <c r="S30" s="199">
        <f>F14+(F14*T30)</f>
        <v>0</v>
      </c>
      <c r="T30" s="199">
        <v>0</v>
      </c>
      <c r="U30" s="199">
        <v>0</v>
      </c>
      <c r="V30" s="203">
        <f>(LOOKUP($C$2,Sheet3!$C$100:$V$100,Sheet3!C118:V118)+Sheet3!AP321)*$C$3</f>
        <v>0</v>
      </c>
      <c r="W30" s="199">
        <f>((SUM(R30:V30)-T30+Sheet3!$O$396)*IF(R30=0,0,1))-IF(AND(R30=0,Sheet3!$O$396=0),30,0)</f>
        <v>-30</v>
      </c>
      <c r="Y30" s="358" t="s">
        <v>233</v>
      </c>
      <c r="Z30" s="358"/>
      <c r="AA30" s="358"/>
      <c r="AB30" s="358"/>
      <c r="AC30" s="358"/>
      <c r="AE30" s="322" t="s">
        <v>5423</v>
      </c>
      <c r="AF30" s="322"/>
      <c r="AG30" s="322"/>
      <c r="AH30" s="322"/>
      <c r="AI30" s="75"/>
      <c r="AJ30" s="114" t="s">
        <v>5588</v>
      </c>
      <c r="AK30" s="115" t="s">
        <v>5590</v>
      </c>
      <c r="AL30" s="366" t="s">
        <v>5563</v>
      </c>
      <c r="AM30" s="367"/>
      <c r="AN30" s="367"/>
      <c r="AO30" s="105">
        <f>IF(AP30=0,KI!I29,"-")</f>
        <v>10</v>
      </c>
      <c r="AP30" s="102"/>
      <c r="AR30" s="419"/>
      <c r="AS30" s="419"/>
      <c r="AT30" s="419"/>
      <c r="AU30" s="419"/>
      <c r="AV30" s="419"/>
      <c r="AW30" s="419"/>
      <c r="AX30" s="419"/>
      <c r="AY30" s="419"/>
      <c r="AZ30" s="419"/>
      <c r="BA30" s="419"/>
      <c r="BB30" s="419"/>
      <c r="BC30" s="419"/>
      <c r="BD30" s="419"/>
      <c r="BE30" s="419"/>
      <c r="BF30" s="419"/>
      <c r="BG30" s="419"/>
      <c r="BH30" s="419"/>
      <c r="BI30" s="12"/>
      <c r="BJ30" s="50"/>
      <c r="BK30" s="322"/>
      <c r="BL30" s="322"/>
      <c r="BN30" s="50"/>
      <c r="BO30" s="322"/>
      <c r="BP30" s="322"/>
      <c r="BQ30" s="322"/>
      <c r="BS30" s="50"/>
      <c r="BT30" s="322"/>
      <c r="BU30" s="322"/>
      <c r="BW30" s="321"/>
      <c r="BX30" s="321"/>
      <c r="BY30" s="321"/>
      <c r="BZ30" s="321"/>
      <c r="CA30" s="321"/>
      <c r="CB30" s="321"/>
      <c r="CC30" s="321"/>
      <c r="CF30" s="310" t="s">
        <v>0</v>
      </c>
      <c r="CG30" s="310"/>
      <c r="CH30" s="310" t="s">
        <v>228</v>
      </c>
      <c r="CI30" s="310"/>
      <c r="CJ30" s="183" t="s">
        <v>27</v>
      </c>
      <c r="CK30" s="184"/>
      <c r="CL30" s="310" t="s">
        <v>0</v>
      </c>
      <c r="CM30" s="310"/>
      <c r="CN30" s="310" t="s">
        <v>228</v>
      </c>
      <c r="CO30" s="310"/>
      <c r="CP30" s="183" t="s">
        <v>27</v>
      </c>
      <c r="CQ30" s="177"/>
      <c r="CR30" s="97"/>
      <c r="CS30" s="177"/>
      <c r="CT30" s="177"/>
      <c r="CU30" s="177"/>
      <c r="CV30" s="1"/>
      <c r="CW30" s="322"/>
      <c r="CX30" s="322"/>
      <c r="CY30" s="322"/>
      <c r="CZ30" s="322"/>
      <c r="DA30" s="322"/>
      <c r="DB30" s="322"/>
      <c r="DC30" s="97"/>
      <c r="DD30" s="74" t="s">
        <v>55</v>
      </c>
      <c r="DE30" s="462" t="s">
        <v>283</v>
      </c>
      <c r="DF30" s="462"/>
      <c r="DG30" s="462" t="s">
        <v>282</v>
      </c>
      <c r="DH30" s="462"/>
      <c r="DI30" s="462" t="s">
        <v>284</v>
      </c>
      <c r="DJ30" s="462"/>
      <c r="DK30" s="73" t="s">
        <v>285</v>
      </c>
      <c r="DL30" s="462" t="s">
        <v>97</v>
      </c>
      <c r="DM30" s="462"/>
      <c r="DN30" s="462" t="s">
        <v>286</v>
      </c>
      <c r="DO30" s="462"/>
      <c r="DP30" s="462"/>
      <c r="DQ30" s="462"/>
      <c r="DR30" s="462"/>
      <c r="DS30" s="462" t="s">
        <v>33</v>
      </c>
      <c r="DT30" s="462"/>
      <c r="DU30" s="11"/>
      <c r="DX30" s="11"/>
    </row>
    <row r="31" spans="1:128" ht="7.35" customHeight="1" thickBot="1" x14ac:dyDescent="0.25">
      <c r="B31" s="194" t="str">
        <f>LOOKUP(B26,Tabla12[Nombre],Tabla12[Clase])</f>
        <v/>
      </c>
      <c r="C31" s="194">
        <f>LOOKUP(B26,Tabla12[Nombre],Tabla12[Fil])+(1*LOOKUP(H26,Sheet3!$L$2:$M$6))</f>
        <v>0</v>
      </c>
      <c r="D31" s="194">
        <f>LOOKUP(B26,Tabla12[Nombre],Tabla12[Con])+(1*LOOKUP(H26,Sheet3!$L$2:$M$6))</f>
        <v>0</v>
      </c>
      <c r="E31" s="194">
        <f>LOOKUP(B26,Tabla12[Nombre],Tabla12[Pen])+(1*LOOKUP(H26,Sheet3!$L$2:$M$6))</f>
        <v>0</v>
      </c>
      <c r="F31" s="194">
        <f>LOOKUP(B26,Tabla12[Nombre],Tabla12[Cal])+(1*LOOKUP(H26,Sheet3!$L$2:$M$6))</f>
        <v>0</v>
      </c>
      <c r="G31" s="194">
        <f>LOOKUP(B26,Tabla12[Nombre],Tabla12[Ele])+(1*LOOKUP(H26,Sheet3!$L$2:$M$6))</f>
        <v>0</v>
      </c>
      <c r="H31" s="194">
        <f>LOOKUP(B26,Tabla12[Nombre],Tabla12[Fri])+(1*LOOKUP(H26,Sheet3!$L$2:$M$6))</f>
        <v>0</v>
      </c>
      <c r="I31" s="194">
        <f>LOOKUP(B26,Tabla12[Nombre],Tabla12[Ener])+(1*LOOKUP(H26,Sheet3!$L$2:$M$6))</f>
        <v>0</v>
      </c>
      <c r="J31" s="387" t="str">
        <f>LOOKUP(B26,Tabla12[Nombre],Tabla12[Localizacion])</f>
        <v/>
      </c>
      <c r="K31" s="387"/>
      <c r="L31" s="387"/>
      <c r="O31" s="203">
        <f>MAX(1,LOOKUP($C$2,Sheet3!$C$42:$V$42,Sheet3!C61:V61)-Sheet3!AF322)</f>
        <v>2</v>
      </c>
      <c r="P31" s="350" t="s">
        <v>183</v>
      </c>
      <c r="Q31" s="350"/>
      <c r="R31" s="199">
        <v>0</v>
      </c>
      <c r="S31" s="199">
        <f>F14+(F14*T31)</f>
        <v>0</v>
      </c>
      <c r="T31" s="199">
        <v>0</v>
      </c>
      <c r="U31" s="199">
        <v>0</v>
      </c>
      <c r="V31" s="203">
        <f>(LOOKUP($C$2,Sheet3!$C$100:$V$100,Sheet3!C119:V119)+Sheet3!AP322)*$C$3</f>
        <v>0</v>
      </c>
      <c r="W31" s="199">
        <f>((SUM(R31:V31)-T31+Sheet3!$O$396)*IF(R31=0,0,1))-IF(AND(R31=0,Sheet3!$O$396=0),30,0)</f>
        <v>-30</v>
      </c>
      <c r="X31" s="6"/>
      <c r="Y31" s="365" t="str">
        <f>LOOKUP(Y27,Sheet2!$AP$7:$AP$116,Sheet2!$AT$7:$AT$116)</f>
        <v/>
      </c>
      <c r="Z31" s="365"/>
      <c r="AA31" s="365"/>
      <c r="AB31" s="365"/>
      <c r="AC31" s="365"/>
      <c r="AE31" s="433" t="str">
        <f>LOOKUP(AE22,Sheet3!$DJ$14:$DJ$40,Sheet3!$DO$14:$DO$40)</f>
        <v/>
      </c>
      <c r="AF31" s="433"/>
      <c r="AG31" s="433"/>
      <c r="AH31" s="433"/>
      <c r="AI31" s="75"/>
      <c r="AJ31" s="114" t="s">
        <v>5588</v>
      </c>
      <c r="AK31" s="115" t="s">
        <v>5589</v>
      </c>
      <c r="AL31" s="366" t="s">
        <v>5564</v>
      </c>
      <c r="AM31" s="367"/>
      <c r="AN31" s="367"/>
      <c r="AO31" s="105">
        <f>IF(AP31=0,KI!I30,"-")</f>
        <v>10</v>
      </c>
      <c r="AP31" s="102"/>
      <c r="AR31" s="419"/>
      <c r="AS31" s="419"/>
      <c r="AT31" s="419"/>
      <c r="AU31" s="419"/>
      <c r="AV31" s="419"/>
      <c r="AW31" s="419"/>
      <c r="AX31" s="419"/>
      <c r="AY31" s="419"/>
      <c r="AZ31" s="419"/>
      <c r="BA31" s="419"/>
      <c r="BB31" s="419"/>
      <c r="BC31" s="419"/>
      <c r="BD31" s="419"/>
      <c r="BE31" s="419"/>
      <c r="BF31" s="419"/>
      <c r="BG31" s="419"/>
      <c r="BH31" s="419"/>
      <c r="BI31" s="13"/>
      <c r="BJ31" s="63" t="s">
        <v>14</v>
      </c>
      <c r="BK31" s="63" t="s">
        <v>175</v>
      </c>
      <c r="BL31" s="63" t="s">
        <v>177</v>
      </c>
      <c r="BN31" s="63" t="s">
        <v>14</v>
      </c>
      <c r="BO31" s="63" t="s">
        <v>175</v>
      </c>
      <c r="BP31" s="358" t="s">
        <v>177</v>
      </c>
      <c r="BQ31" s="358"/>
      <c r="BS31" s="63" t="s">
        <v>14</v>
      </c>
      <c r="BT31" s="63" t="s">
        <v>175</v>
      </c>
      <c r="BU31" s="63" t="s">
        <v>177</v>
      </c>
      <c r="BW31" s="321"/>
      <c r="BX31" s="321"/>
      <c r="BY31" s="321"/>
      <c r="BZ31" s="321"/>
      <c r="CA31" s="321"/>
      <c r="CB31" s="321"/>
      <c r="CC31" s="321"/>
      <c r="CF31" s="311"/>
      <c r="CG31" s="312"/>
      <c r="CH31" s="311" t="str">
        <f>LOOKUP(CF31,Tabla15[Poder],Tabla15[Requisito])</f>
        <v/>
      </c>
      <c r="CI31" s="312"/>
      <c r="CJ31" s="167">
        <f>LOOKUP(CF31,Tabla15[Poder],Tabla15[Coste])</f>
        <v>0</v>
      </c>
      <c r="CK31" s="184"/>
      <c r="CL31" s="311"/>
      <c r="CM31" s="312"/>
      <c r="CN31" s="311" t="str">
        <f>LOOKUP(CL31,Tabla15[Poder],Tabla15[Requisito])</f>
        <v/>
      </c>
      <c r="CO31" s="312"/>
      <c r="CP31" s="167">
        <f>LOOKUP(CL31,Tabla15[Poder],Tabla15[Coste])</f>
        <v>0</v>
      </c>
      <c r="CQ31" s="177"/>
      <c r="CR31" s="97"/>
      <c r="CS31" s="177"/>
      <c r="CT31" s="177"/>
      <c r="CU31" s="177"/>
      <c r="CV31" s="1"/>
      <c r="CW31" s="322"/>
      <c r="CX31" s="322"/>
      <c r="CY31" s="322"/>
      <c r="CZ31" s="322"/>
      <c r="DA31" s="322"/>
      <c r="DB31" s="322"/>
      <c r="DC31" s="97"/>
      <c r="DD31" s="80">
        <f>DE14+DE16</f>
        <v>10</v>
      </c>
      <c r="DE31" s="456">
        <f>LOOKUP(DD31,Sheet2!$I$7:$J$46)</f>
        <v>10</v>
      </c>
      <c r="DF31" s="456"/>
      <c r="DG31" s="456">
        <f>LOOKUP(DD31,Sheet2!$I$7:$I$46,Sheet2!$K$7:$K$46)</f>
        <v>40</v>
      </c>
      <c r="DH31" s="456"/>
      <c r="DI31" s="456">
        <f>LOOKUP(DD31,Sheet2!$I$7:$I$46,Sheet2!$L$7:$L$46)</f>
        <v>20</v>
      </c>
      <c r="DJ31" s="456"/>
      <c r="DK31" s="54" t="str">
        <f>LOOKUP(DD31,Sheet2!$I$7:$I$46,Sheet2!$M$7:$M$46)</f>
        <v>NA</v>
      </c>
      <c r="DL31" s="456" t="str">
        <f>LOOKUP(DD31,Sheet2!$I$7:$I$46,Sheet2!$N$7:$N$46)</f>
        <v>NA</v>
      </c>
      <c r="DM31" s="456"/>
      <c r="DN31" s="456">
        <f>LOOKUP(DD31,Sheet2!$I$7:$I$46,Sheet2!$O$7:$O$46)</f>
        <v>5</v>
      </c>
      <c r="DO31" s="456"/>
      <c r="DP31" s="456"/>
      <c r="DQ31" s="456"/>
      <c r="DR31" s="456"/>
      <c r="DS31" s="456">
        <f>LOOKUP(DD31,Sheet2!$I$7:$I$46,Sheet2!$P$7:$P$46)</f>
        <v>3</v>
      </c>
      <c r="DT31" s="456"/>
      <c r="DU31" s="11"/>
      <c r="DX31" s="11"/>
    </row>
    <row r="32" spans="1:128" ht="7.35" customHeight="1" thickBot="1" x14ac:dyDescent="0.25">
      <c r="B32" s="168" t="str">
        <f>LOOKUP(B27,Tabla13[Nombre],Tabla13[Localizacion])</f>
        <v/>
      </c>
      <c r="C32" s="168">
        <f>LOOKUP(B27,Tabla13[Nombre],Tabla13[Fil])+(1*LOOKUP(H27,Sheet3!$L$2:$M$6))</f>
        <v>0</v>
      </c>
      <c r="D32" s="168">
        <f>LOOKUP(B27,Tabla13[Nombre],Tabla13[Con])+(1*LOOKUP(H27,Sheet3!$L$2:$M$6))</f>
        <v>0</v>
      </c>
      <c r="E32" s="168">
        <f>LOOKUP(B27,Tabla13[Nombre],Tabla13[Pen])+(1*LOOKUP(H27,Sheet3!$L$2:$M$6))</f>
        <v>0</v>
      </c>
      <c r="F32" s="168">
        <f>LOOKUP(B27,Tabla13[Nombre],Tabla13[Cal])+(1*LOOKUP(H27,Sheet3!$L$2:$M$6))</f>
        <v>0</v>
      </c>
      <c r="G32" s="168">
        <f>LOOKUP(B27,Tabla13[Nombre],Tabla13[Ele])+(1*LOOKUP(H27,Sheet3!$L$2:$M$6))</f>
        <v>0</v>
      </c>
      <c r="H32" s="168">
        <f>LOOKUP(B27,Tabla13[Nombre],Tabla13[Fri])+(1*LOOKUP(H27,Sheet3!$L$2:$M$6))</f>
        <v>0</v>
      </c>
      <c r="I32" s="168">
        <f>LOOKUP(B27,Tabla13[Nombre],Tabla13[Ener])+(1*LOOKUP(H27,Sheet3!$L$2:$M$6))</f>
        <v>0</v>
      </c>
      <c r="J32" s="484" t="str">
        <f>LOOKUP(B27,Tabla13[Nombre],Tabla13[Localizacion])</f>
        <v/>
      </c>
      <c r="K32" s="484"/>
      <c r="L32" s="484"/>
      <c r="O32" s="203">
        <f>MAX(1,LOOKUP($C$2,Sheet3!$C$42:$V$42,Sheet3!C62:V62)-Sheet3!AF323)</f>
        <v>2</v>
      </c>
      <c r="P32" s="350" t="s">
        <v>185</v>
      </c>
      <c r="Q32" s="350"/>
      <c r="R32" s="199">
        <v>0</v>
      </c>
      <c r="S32" s="199">
        <f>F14+(F14*T32)</f>
        <v>0</v>
      </c>
      <c r="T32" s="199">
        <v>0</v>
      </c>
      <c r="U32" s="199">
        <v>0</v>
      </c>
      <c r="V32" s="203">
        <f>(LOOKUP($C$2,Sheet3!$C$100:$V$100,Sheet3!C120:V120)+Sheet3!AP323)*$C$3</f>
        <v>0</v>
      </c>
      <c r="W32" s="199">
        <f>((SUM(R32:V32)-T32+Sheet3!$O$396)*IF(R32=0,0,1))-IF(AND(R32=0,Sheet3!$O$396=0),30,0)</f>
        <v>-30</v>
      </c>
      <c r="Y32" s="365"/>
      <c r="Z32" s="365"/>
      <c r="AA32" s="365"/>
      <c r="AB32" s="365"/>
      <c r="AC32" s="365"/>
      <c r="AI32" s="75"/>
      <c r="AJ32" s="114" t="s">
        <v>5590</v>
      </c>
      <c r="AK32" s="366" t="s">
        <v>5565</v>
      </c>
      <c r="AL32" s="367"/>
      <c r="AM32" s="367"/>
      <c r="AN32" s="367"/>
      <c r="AO32" s="105">
        <f>IF(AP32=0,KI!I31,"-")</f>
        <v>10</v>
      </c>
      <c r="AP32" s="102"/>
      <c r="AR32" s="15"/>
      <c r="AS32" s="15"/>
      <c r="AT32" s="15"/>
      <c r="AU32" s="15"/>
      <c r="AV32" s="15"/>
      <c r="AW32" s="15"/>
      <c r="AX32" s="15"/>
      <c r="AY32" s="15"/>
      <c r="AZ32" s="15"/>
      <c r="BB32" s="2"/>
      <c r="BC32" s="2"/>
      <c r="BD32" s="2"/>
      <c r="BE32" s="2"/>
      <c r="BF32" s="2"/>
      <c r="BG32" s="2"/>
      <c r="BH32" s="2"/>
      <c r="BI32" s="13"/>
      <c r="BJ32" s="50" t="str">
        <f>LOOKUP(BK30,HP!$I$17:$I$141,HP!$J$17:$J$141)</f>
        <v/>
      </c>
      <c r="BK32" s="50" t="str">
        <f>LOOKUP(BK30,HP!$I$17:$I$141,HP!$K$17:$K$141)</f>
        <v/>
      </c>
      <c r="BL32" s="50" t="str">
        <f>LOOKUP(BK30,HP!$I$17:$I$141,HP!$L$17:$L$141)</f>
        <v/>
      </c>
      <c r="BN32" s="50" t="str">
        <f>LOOKUP(BO30,HP!$I$17:$I$141,HP!$J$17:$J$141)</f>
        <v/>
      </c>
      <c r="BO32" s="50" t="str">
        <f>LOOKUP(BO30,HP!$I$17:$I$141,HP!$K$17:$K$141)</f>
        <v/>
      </c>
      <c r="BP32" s="322" t="str">
        <f>LOOKUP(BO30,HP!$I$17:$I$141,HP!$L$17:$L$141)</f>
        <v/>
      </c>
      <c r="BQ32" s="322"/>
      <c r="BS32" s="50" t="str">
        <f>LOOKUP(BT30,HP!$I$17:$I$141,HP!$J$17:$J$141)</f>
        <v/>
      </c>
      <c r="BT32" s="50" t="str">
        <f>LOOKUP(BT30,HP!$I$17:$I$141,HP!$K$17:$K$141)</f>
        <v/>
      </c>
      <c r="BU32" s="50" t="str">
        <f>LOOKUP(BT30,HP!$I$17:$I$141,HP!$L$17:$L$141)</f>
        <v/>
      </c>
      <c r="CF32" s="309" t="s">
        <v>138</v>
      </c>
      <c r="CG32" s="309"/>
      <c r="CH32" s="309"/>
      <c r="CI32" s="309"/>
      <c r="CJ32" s="309"/>
      <c r="CK32" s="97"/>
      <c r="CL32" s="309" t="s">
        <v>138</v>
      </c>
      <c r="CM32" s="309"/>
      <c r="CN32" s="309"/>
      <c r="CO32" s="309"/>
      <c r="CP32" s="309"/>
      <c r="CQ32" s="177"/>
      <c r="CR32" s="97"/>
      <c r="CS32" s="97"/>
      <c r="CT32" s="97"/>
      <c r="CU32" s="97"/>
      <c r="CV32" s="1"/>
      <c r="CW32" s="322"/>
      <c r="CX32" s="322"/>
      <c r="CY32" s="322"/>
      <c r="CZ32" s="322"/>
      <c r="DA32" s="322"/>
      <c r="DB32" s="322"/>
      <c r="DC32" s="97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X32" s="11"/>
    </row>
    <row r="33" spans="1:128" ht="7.35" customHeight="1" x14ac:dyDescent="0.2">
      <c r="B33" s="213" t="s">
        <v>71</v>
      </c>
      <c r="C33" s="214">
        <f>(MAX(C29:C31)+ROUNDDOWN(C29/2,0)+ROUNDDOWN(C30/2,0)+ROUNDDOWN(C31/2,0)-ROUNDDOWN(MAX(C29:C31)/2,0))+Sheet3!$O$330+LOOKUP($C$5,Tabla14[RAZAS],Tabla14[TA FIL])</f>
        <v>0</v>
      </c>
      <c r="D33" s="214">
        <f>(MAX(D29:D31)+ROUNDDOWN(D29/2,0)+ROUNDDOWN(D30/2,0)+ROUNDDOWN(D31/2,0)-ROUNDDOWN(MAX(D29:D31)/2,0))+Sheet3!$O$330+LOOKUP($C$5,Tabla14[RAZAS],Tabla14[TA CON])</f>
        <v>0</v>
      </c>
      <c r="E33" s="214">
        <f>(MAX(E29:E31)+ROUNDDOWN(E29/2,0)+ROUNDDOWN(E30/2,0)+ROUNDDOWN(E31/2,0)-ROUNDDOWN(MAX(E29:E31)/2,0))+Sheet3!$O$330+LOOKUP($C$5,Tabla14[RAZAS],Tabla14[TA PEN])</f>
        <v>0</v>
      </c>
      <c r="F33" s="214">
        <f>(MAX(F29:F31)+ROUNDDOWN(F29/2,0)+ROUNDDOWN(F30/2,0)+ROUNDDOWN(F31/2,0)-ROUNDDOWN(MAX(F29:F31)/2,0))+Sheet3!$O$330+LOOKUP($C$5,Tabla14[RAZAS],Tabla14[TA CAL])</f>
        <v>0</v>
      </c>
      <c r="G33" s="214">
        <f>(MAX(G29:G31)+ROUNDDOWN(G29/2,0)+ROUNDDOWN(G30/2,0)+ROUNDDOWN(G31/2,0)-ROUNDDOWN(MAX(G29:G31)/2,0))+Sheet3!$O$330</f>
        <v>0</v>
      </c>
      <c r="H33" s="214">
        <f>(MAX(H29:H31)+ROUNDDOWN(H29/2,0)+ROUNDDOWN(H30/2,0)+ROUNDDOWN(H31/2,0)-ROUNDDOWN(MAX(H29:H31)/2,0))+Sheet3!$O$330</f>
        <v>0</v>
      </c>
      <c r="I33" s="214">
        <f>(MAX(I29:I31)+ROUNDDOWN(I29/2,0)+ROUNDDOWN(I30/2,0)+ROUNDDOWN(I31/2,0)-ROUNDDOWN(MAX(I29:I31)/2,0))+Sheet3!$O$333+IF(AP12&gt;5,2,0)</f>
        <v>0</v>
      </c>
      <c r="J33" s="489"/>
      <c r="K33" s="489"/>
      <c r="L33" s="489"/>
      <c r="O33" s="203">
        <f>MAX(1,LOOKUP($C$2,Sheet3!$C$42:$V$42,Sheet3!C63:V63)-Sheet3!AF324)</f>
        <v>2</v>
      </c>
      <c r="P33" s="350" t="s">
        <v>188</v>
      </c>
      <c r="Q33" s="350"/>
      <c r="R33" s="199">
        <v>0</v>
      </c>
      <c r="S33" s="199">
        <f>F14+(F14*T33)</f>
        <v>0</v>
      </c>
      <c r="T33" s="199">
        <v>0</v>
      </c>
      <c r="U33" s="199">
        <v>0</v>
      </c>
      <c r="V33" s="203">
        <f>(LOOKUP($C$2,Sheet3!$C$100:$V$100,Sheet3!C121:V121)+Sheet3!AP324)*$C$3</f>
        <v>0</v>
      </c>
      <c r="W33" s="199">
        <f>((SUM(R33:V33)-T33+Sheet3!$O$396)*IF(R33=0,0,1))-IF(AND(R33=0,Sheet3!$O$396=0),30,0)</f>
        <v>-30</v>
      </c>
      <c r="Y33" s="365"/>
      <c r="Z33" s="365"/>
      <c r="AA33" s="365"/>
      <c r="AB33" s="365"/>
      <c r="AC33" s="365"/>
      <c r="AE33" s="420" t="s">
        <v>135</v>
      </c>
      <c r="AF33" s="421"/>
      <c r="AG33" s="421"/>
      <c r="AH33" s="422"/>
      <c r="AI33" s="75"/>
      <c r="AJ33" s="114" t="s">
        <v>5588</v>
      </c>
      <c r="AK33" s="115" t="s">
        <v>5590</v>
      </c>
      <c r="AL33" s="366" t="s">
        <v>5566</v>
      </c>
      <c r="AM33" s="367"/>
      <c r="AN33" s="367"/>
      <c r="AO33" s="105">
        <f>IF(AP33=0,KI!I32,"-")</f>
        <v>20</v>
      </c>
      <c r="AP33" s="102"/>
      <c r="AR33" s="120" t="s">
        <v>5194</v>
      </c>
      <c r="AS33" s="437" t="s">
        <v>0</v>
      </c>
      <c r="AT33" s="418"/>
      <c r="AU33" s="395" t="s">
        <v>164</v>
      </c>
      <c r="AV33" s="395"/>
      <c r="AW33" s="395"/>
      <c r="AX33" s="418" t="s">
        <v>165</v>
      </c>
      <c r="AY33" s="418"/>
      <c r="AZ33" s="418"/>
      <c r="BA33" s="418" t="s">
        <v>164</v>
      </c>
      <c r="BB33" s="418"/>
      <c r="BC33" s="418"/>
      <c r="BD33" s="418"/>
      <c r="BE33" s="418"/>
      <c r="BF33" s="57" t="s">
        <v>27</v>
      </c>
      <c r="BG33" s="57" t="s">
        <v>69</v>
      </c>
      <c r="BH33" s="57" t="s">
        <v>166</v>
      </c>
      <c r="BI33" s="13"/>
      <c r="BJ33" s="358" t="s">
        <v>138</v>
      </c>
      <c r="BK33" s="365" t="str">
        <f>LOOKUP(BK30,HP!$I$17:$I$141,HP!$M$17:$M$141)</f>
        <v/>
      </c>
      <c r="BL33" s="365"/>
      <c r="BN33" s="358" t="s">
        <v>138</v>
      </c>
      <c r="BO33" s="365" t="str">
        <f>LOOKUP(BO30,HP!$I$17:$I$141,HP!$M$17:$M$141)</f>
        <v/>
      </c>
      <c r="BP33" s="365"/>
      <c r="BQ33" s="365"/>
      <c r="BS33" s="358" t="s">
        <v>138</v>
      </c>
      <c r="BT33" s="365" t="str">
        <f>LOOKUP(BT30,HP!$I$17:$I$141,HP!$M$17:$M$141)</f>
        <v/>
      </c>
      <c r="BU33" s="365"/>
      <c r="CF33" s="308" t="str">
        <f>LOOKUP(CF31,Tabla15[Poder],Tabla15[Descripcion])</f>
        <v/>
      </c>
      <c r="CG33" s="308"/>
      <c r="CH33" s="308"/>
      <c r="CI33" s="308"/>
      <c r="CJ33" s="308"/>
      <c r="CK33" s="182"/>
      <c r="CL33" s="308" t="str">
        <f>LOOKUP(CL31,Tabla15[Poder],Tabla15[Descripcion])</f>
        <v/>
      </c>
      <c r="CM33" s="308"/>
      <c r="CN33" s="308"/>
      <c r="CO33" s="308"/>
      <c r="CP33" s="308"/>
      <c r="CQ33" s="97"/>
      <c r="CR33" s="97"/>
      <c r="CS33" s="177"/>
      <c r="CT33" s="177"/>
      <c r="CU33" s="97"/>
      <c r="CV33" s="1"/>
      <c r="CW33" s="1"/>
      <c r="CX33" s="1"/>
      <c r="CY33" s="1"/>
      <c r="CZ33" s="1"/>
      <c r="DA33" s="1"/>
      <c r="DB33" s="1"/>
      <c r="DC33" s="97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</row>
    <row r="34" spans="1:128" ht="7.35" customHeight="1" x14ac:dyDescent="0.2">
      <c r="O34" s="203">
        <f>MAX(1,LOOKUP($C$2,Sheet3!$C$42:$V$42,Sheet3!C64:V64)-Sheet3!AF325)</f>
        <v>2</v>
      </c>
      <c r="P34" s="350" t="s">
        <v>191</v>
      </c>
      <c r="Q34" s="350"/>
      <c r="R34" s="199">
        <v>0</v>
      </c>
      <c r="S34" s="199">
        <f>F14+(F14*T34)</f>
        <v>0</v>
      </c>
      <c r="T34" s="199">
        <v>0</v>
      </c>
      <c r="U34" s="199">
        <v>0</v>
      </c>
      <c r="V34" s="203">
        <f>(LOOKUP($C$2,Sheet3!$C$100:$V$100,Sheet3!C122:V122)+Sheet3!AP325)*$C$3</f>
        <v>0</v>
      </c>
      <c r="W34" s="199">
        <f>((SUM(R34:V34)-T34+Sheet3!$O$396)*IF(R34=0,0,1))-IF(AND(R34=0,Sheet3!$O$396=0),30,0)</f>
        <v>-30</v>
      </c>
      <c r="AE34" s="322"/>
      <c r="AF34" s="322"/>
      <c r="AG34" s="322"/>
      <c r="AH34" s="322"/>
      <c r="AI34" s="75"/>
      <c r="AJ34" s="114" t="s">
        <v>5588</v>
      </c>
      <c r="AK34" s="115" t="s">
        <v>5590</v>
      </c>
      <c r="AL34" s="366" t="s">
        <v>5567</v>
      </c>
      <c r="AM34" s="367"/>
      <c r="AN34" s="367"/>
      <c r="AO34" s="105">
        <f>IF(AP34=0,KI!I33,"-")</f>
        <v>20</v>
      </c>
      <c r="AP34" s="102"/>
      <c r="AR34" s="440"/>
      <c r="AS34" s="438"/>
      <c r="AT34" s="439"/>
      <c r="AU34" s="443" t="str">
        <f>LOOKUP(AS34,HM!$V$15:$V$655,HM!$W$15:$W$655)</f>
        <v/>
      </c>
      <c r="AV34" s="443"/>
      <c r="AW34" s="443"/>
      <c r="AX34" s="418" t="s">
        <v>2</v>
      </c>
      <c r="AY34" s="418"/>
      <c r="AZ34" s="418"/>
      <c r="BA34" s="439" t="str">
        <f>LOOKUP(AS34,HM!$V$15:$V$655,HM!$AA$15:$AA$655)</f>
        <v/>
      </c>
      <c r="BB34" s="439"/>
      <c r="BC34" s="439"/>
      <c r="BD34" s="439"/>
      <c r="BE34" s="439"/>
      <c r="BF34" s="56" t="str">
        <f>LOOKUP(AS34,HM!$V$15:$V$655,HM!$AB$15:$AB$655)</f>
        <v/>
      </c>
      <c r="BG34" s="56" t="str">
        <f>LOOKUP(AS34,HM!$V$15:$V$655,HM!$AC$15:$AC$655)&amp;" "&amp;LOOKUP(AS34,HM!$V$15:$V$655,Tabla9[Diario])</f>
        <v xml:space="preserve"> </v>
      </c>
      <c r="BH34" s="56" t="str">
        <f>LOOKUP(AS34,HM!$V$15:$V$655,HM!$AD$15:$AD$655)</f>
        <v/>
      </c>
      <c r="BI34" s="13"/>
      <c r="BJ34" s="358"/>
      <c r="BK34" s="365"/>
      <c r="BL34" s="365"/>
      <c r="BN34" s="358"/>
      <c r="BO34" s="365"/>
      <c r="BP34" s="365"/>
      <c r="BQ34" s="365"/>
      <c r="BS34" s="358"/>
      <c r="BT34" s="365"/>
      <c r="BU34" s="365"/>
      <c r="BW34" s="441" t="s">
        <v>192</v>
      </c>
      <c r="BX34" s="441"/>
      <c r="BY34" s="441" t="s">
        <v>192</v>
      </c>
      <c r="BZ34" s="441"/>
      <c r="CA34" s="441" t="s">
        <v>192</v>
      </c>
      <c r="CB34" s="441"/>
      <c r="CF34" s="182"/>
      <c r="CG34" s="184"/>
      <c r="CH34" s="184"/>
      <c r="CI34" s="182"/>
      <c r="CK34" s="182"/>
      <c r="CL34" s="182"/>
      <c r="CM34" s="184"/>
      <c r="CN34" s="184"/>
      <c r="CO34" s="182"/>
      <c r="CQ34" s="177"/>
      <c r="CR34" s="97"/>
      <c r="CS34" s="177"/>
      <c r="CT34" s="177"/>
      <c r="CU34" s="177"/>
      <c r="CV34" s="1"/>
      <c r="CW34" s="1"/>
      <c r="CX34" s="1"/>
      <c r="CY34" s="1"/>
      <c r="CZ34" s="338" t="s">
        <v>245</v>
      </c>
      <c r="DA34" s="338"/>
      <c r="DB34" s="338"/>
      <c r="DC34" s="97"/>
      <c r="DD34" s="457" t="s">
        <v>20</v>
      </c>
      <c r="DE34" s="457"/>
      <c r="DF34" s="457"/>
      <c r="DG34" s="23" t="s">
        <v>27</v>
      </c>
      <c r="DH34" s="457" t="s">
        <v>287</v>
      </c>
      <c r="DI34" s="457"/>
      <c r="DJ34" s="457"/>
      <c r="DK34" s="11"/>
      <c r="DM34" s="11"/>
      <c r="DN34" s="11"/>
      <c r="DO34" s="11"/>
      <c r="DP34" s="11"/>
      <c r="DQ34" s="402" t="s">
        <v>99</v>
      </c>
      <c r="DR34" s="402"/>
      <c r="DS34" s="402"/>
      <c r="DT34" s="402"/>
      <c r="DU34" s="402"/>
      <c r="DV34" s="402"/>
      <c r="DW34" s="402"/>
      <c r="DX34" s="402"/>
    </row>
    <row r="35" spans="1:128" ht="7.35" customHeight="1" x14ac:dyDescent="0.2">
      <c r="B35" s="344" t="s">
        <v>6058</v>
      </c>
      <c r="C35" s="344"/>
      <c r="D35" s="344"/>
      <c r="E35" s="344"/>
      <c r="F35" s="344"/>
      <c r="G35" s="344"/>
      <c r="I35" s="480" t="s">
        <v>663</v>
      </c>
      <c r="J35" s="480"/>
      <c r="K35" s="480"/>
      <c r="L35" s="480"/>
      <c r="O35" s="203">
        <f>MAX(1,LOOKUP($C$2,Sheet3!$C$42:$V$42,Sheet3!C65:V65)-Sheet3!AF326)</f>
        <v>2</v>
      </c>
      <c r="P35" s="350" t="s">
        <v>193</v>
      </c>
      <c r="Q35" s="350"/>
      <c r="R35" s="199">
        <v>0</v>
      </c>
      <c r="S35" s="199">
        <f>F14+(F14*T35)</f>
        <v>0</v>
      </c>
      <c r="T35" s="199">
        <v>0</v>
      </c>
      <c r="U35" s="199">
        <v>0</v>
      </c>
      <c r="V35" s="203">
        <f>(LOOKUP($C$2,Sheet3!$C$100:$V$100,Sheet3!C123:V123)+Sheet3!AP326)*$C$3</f>
        <v>0</v>
      </c>
      <c r="W35" s="199">
        <f>((SUM(R35:V35)-T35+Sheet3!$O$396)*IF(R35=0,0,1))-IF(AND(R35=0,Sheet3!$O$396=0),30,0)</f>
        <v>-30</v>
      </c>
      <c r="Y35" s="358" t="s">
        <v>221</v>
      </c>
      <c r="Z35" s="358"/>
      <c r="AA35" s="358"/>
      <c r="AB35" s="120" t="s">
        <v>152</v>
      </c>
      <c r="AC35" s="128">
        <f>IF($C$2="Tao",LOOKUP(Y37,Sheet2!$AP$7:$AP$116,Sheet2!$AV$7:$AV$116),LOOKUP(Y37,Sheet2!$AP$7:$AP$116,Sheet2!$AU$7:$AU$116))</f>
        <v>0</v>
      </c>
      <c r="AE35" s="322" t="s">
        <v>228</v>
      </c>
      <c r="AF35" s="322"/>
      <c r="AG35" s="322"/>
      <c r="AH35" s="322"/>
      <c r="AI35" s="75"/>
      <c r="AJ35" s="114" t="s">
        <v>5588</v>
      </c>
      <c r="AK35" s="115" t="s">
        <v>5589</v>
      </c>
      <c r="AL35" s="366" t="s">
        <v>5568</v>
      </c>
      <c r="AM35" s="367"/>
      <c r="AN35" s="367"/>
      <c r="AO35" s="105">
        <f>IF(AP35=0,KI!I34,"-")</f>
        <v>20</v>
      </c>
      <c r="AP35" s="102"/>
      <c r="AR35" s="440"/>
      <c r="AS35" s="438"/>
      <c r="AT35" s="439"/>
      <c r="AU35" s="443"/>
      <c r="AV35" s="443"/>
      <c r="AW35" s="443"/>
      <c r="AX35" s="418" t="s">
        <v>173</v>
      </c>
      <c r="AY35" s="418"/>
      <c r="AZ35" s="418"/>
      <c r="BA35" s="439" t="str">
        <f>LOOKUP(AS34,HM!$V$15:$V$655,HM!$AE$15:$AE$655)</f>
        <v/>
      </c>
      <c r="BB35" s="439"/>
      <c r="BC35" s="439"/>
      <c r="BD35" s="439"/>
      <c r="BE35" s="439"/>
      <c r="BF35" s="56" t="str">
        <f>LOOKUP(AS34,HM!$V$15:$V$655,HM!$AF$15:$AF$655)</f>
        <v/>
      </c>
      <c r="BG35" s="56" t="str">
        <f>LOOKUP(AS34,HM!$V$15:$V$655,HM!$AG$15:$AG$655)&amp;" "&amp;LOOKUP(AS34,HM!$V$15:$V$655,Tabla9[Diario])</f>
        <v xml:space="preserve"> </v>
      </c>
      <c r="BH35" s="56" t="str">
        <f>LOOKUP(AS34,HM!$V$15:$V$655,HM!$AH$15:$AH$655)</f>
        <v/>
      </c>
      <c r="BJ35" s="358"/>
      <c r="BK35" s="365"/>
      <c r="BL35" s="365"/>
      <c r="BN35" s="358"/>
      <c r="BO35" s="365"/>
      <c r="BP35" s="365"/>
      <c r="BQ35" s="365"/>
      <c r="BS35" s="358"/>
      <c r="BT35" s="365"/>
      <c r="BU35" s="365"/>
      <c r="BW35" s="441"/>
      <c r="BX35" s="441"/>
      <c r="BY35" s="441"/>
      <c r="BZ35" s="441"/>
      <c r="CA35" s="441"/>
      <c r="CB35" s="441"/>
      <c r="CF35" s="310" t="s">
        <v>0</v>
      </c>
      <c r="CG35" s="310"/>
      <c r="CH35" s="310" t="s">
        <v>228</v>
      </c>
      <c r="CI35" s="310"/>
      <c r="CJ35" s="183" t="s">
        <v>27</v>
      </c>
      <c r="CK35" s="184"/>
      <c r="CL35" s="310" t="s">
        <v>0</v>
      </c>
      <c r="CM35" s="310"/>
      <c r="CN35" s="310" t="s">
        <v>228</v>
      </c>
      <c r="CO35" s="310"/>
      <c r="CP35" s="183" t="s">
        <v>27</v>
      </c>
      <c r="CQ35" s="177"/>
      <c r="CR35" s="97"/>
      <c r="CS35" s="177"/>
      <c r="CT35" s="177"/>
      <c r="CU35" s="177"/>
      <c r="CV35" s="1"/>
      <c r="CW35" s="339" t="s">
        <v>256</v>
      </c>
      <c r="CX35" s="339"/>
      <c r="CY35" s="339"/>
      <c r="CZ35" s="322" t="s">
        <v>86</v>
      </c>
      <c r="DA35" s="322"/>
      <c r="DB35" s="322"/>
      <c r="DC35" s="97"/>
      <c r="DD35" s="456"/>
      <c r="DE35" s="456"/>
      <c r="DF35" s="456"/>
      <c r="DG35" s="54"/>
      <c r="DH35" s="456"/>
      <c r="DI35" s="456"/>
      <c r="DJ35" s="456"/>
      <c r="DK35" s="11"/>
      <c r="DL35" s="73" t="s">
        <v>288</v>
      </c>
      <c r="DM35" s="462" t="s">
        <v>289</v>
      </c>
      <c r="DN35" s="462"/>
      <c r="DO35" s="462"/>
      <c r="DP35" s="11"/>
      <c r="DQ35" s="67"/>
      <c r="DR35" s="358" t="s">
        <v>0</v>
      </c>
      <c r="DS35" s="358"/>
      <c r="DT35" s="67" t="s">
        <v>2</v>
      </c>
      <c r="DU35" s="67" t="s">
        <v>13</v>
      </c>
      <c r="DV35" s="67" t="s">
        <v>106</v>
      </c>
      <c r="DW35" s="67" t="s">
        <v>107</v>
      </c>
      <c r="DX35" s="67" t="s">
        <v>108</v>
      </c>
    </row>
    <row r="36" spans="1:128" ht="7.35" customHeight="1" x14ac:dyDescent="0.2">
      <c r="A36" s="14"/>
      <c r="B36" s="391" t="str">
        <f>"Ataque | MAX: "&amp;(LOOKUP(C3,Sheet3!E234:T235)/4)/C37</f>
        <v>Ataque | MAX: 75</v>
      </c>
      <c r="C36" s="391"/>
      <c r="D36" s="391" t="str">
        <f>"Parada | MAX: "&amp;(LOOKUP(C3,Sheet3!E234:T235)/4)/E37</f>
        <v>Parada | MAX: 75</v>
      </c>
      <c r="E36" s="391"/>
      <c r="F36" s="391" t="str">
        <f>"Esquiva | MAX: "&amp;(LOOKUP(C3,Sheet3!E234:T235)/4)/G37</f>
        <v>Esquiva | MAX: 75</v>
      </c>
      <c r="G36" s="391"/>
      <c r="I36" s="510" t="s">
        <v>27</v>
      </c>
      <c r="J36" s="510"/>
      <c r="K36" s="510"/>
      <c r="L36" s="296">
        <f>LOOKUP(C2,Sheet3!C100:V100,Sheet3!C99:V99)</f>
        <v>2</v>
      </c>
      <c r="O36" s="203">
        <f>MAX(1,LOOKUP($C$2,Sheet3!$C$42:$V$42,Sheet3!C66:V66)-Sheet3!AF327)</f>
        <v>2</v>
      </c>
      <c r="P36" s="350" t="s">
        <v>194</v>
      </c>
      <c r="Q36" s="350"/>
      <c r="R36" s="199">
        <v>0</v>
      </c>
      <c r="S36" s="199">
        <f>F14+(F14*T36)</f>
        <v>0</v>
      </c>
      <c r="T36" s="199">
        <v>0</v>
      </c>
      <c r="U36" s="199">
        <v>0</v>
      </c>
      <c r="V36" s="203">
        <f>(LOOKUP($C$2,Sheet3!$C$100:$V$100,Sheet3!C124:V124)+Sheet3!AP327)*$C$3</f>
        <v>0</v>
      </c>
      <c r="W36" s="199">
        <f>((SUM(R36:V36)-T36+Sheet3!$O$396)*IF(R36=0,0,1))-IF(AND(R36=0,Sheet3!$O$396=0),30,0)</f>
        <v>-30</v>
      </c>
      <c r="Y36" s="357" t="s">
        <v>0</v>
      </c>
      <c r="Z36" s="357"/>
      <c r="AA36" s="357" t="s">
        <v>13</v>
      </c>
      <c r="AB36" s="357"/>
      <c r="AC36" s="357"/>
      <c r="AE36" s="365" t="str">
        <f>LOOKUP(AE34,Sheet3!$DJ$14:$DJ$40,Sheet3!$DK$14:$DK$40)</f>
        <v/>
      </c>
      <c r="AF36" s="365"/>
      <c r="AG36" s="365"/>
      <c r="AH36" s="365"/>
      <c r="AI36" s="75"/>
      <c r="AJ36" s="114" t="s">
        <v>5590</v>
      </c>
      <c r="AK36" s="366" t="s">
        <v>5569</v>
      </c>
      <c r="AL36" s="367"/>
      <c r="AM36" s="367"/>
      <c r="AN36" s="367"/>
      <c r="AO36" s="105">
        <f>IF(AP36=0,KI!I35,"-")</f>
        <v>20</v>
      </c>
      <c r="AP36" s="102"/>
      <c r="AR36" s="120" t="s">
        <v>14</v>
      </c>
      <c r="AS36" s="117" t="s">
        <v>26</v>
      </c>
      <c r="AT36" s="57" t="s">
        <v>175</v>
      </c>
      <c r="AU36" s="443"/>
      <c r="AV36" s="443"/>
      <c r="AW36" s="443"/>
      <c r="AX36" s="418" t="s">
        <v>176</v>
      </c>
      <c r="AY36" s="418"/>
      <c r="AZ36" s="418"/>
      <c r="BA36" s="439" t="str">
        <f>LOOKUP(AS34,HM!$V$15:$V$655,HM!$AI$15:$AI$655)</f>
        <v/>
      </c>
      <c r="BB36" s="439"/>
      <c r="BC36" s="439"/>
      <c r="BD36" s="439"/>
      <c r="BE36" s="439"/>
      <c r="BF36" s="56" t="str">
        <f>LOOKUP(AS34,HM!$V$15:$V$655,HM!$AJ$15:$AJ$655)</f>
        <v/>
      </c>
      <c r="BG36" s="56" t="str">
        <f>LOOKUP(AS34,HM!$V$15:$V$655,HM!$AK$15:$AK$655)&amp;" "&amp;LOOKUP(AS34,HM!$V$15:$V$655,Tabla9[Diario])</f>
        <v xml:space="preserve"> </v>
      </c>
      <c r="BH36" s="56" t="str">
        <f>LOOKUP(AS34,HM!$V$15:$V$655,HM!$AL$15:$AL$655)</f>
        <v/>
      </c>
      <c r="BI36" s="12"/>
      <c r="BJ36" s="50">
        <v>20</v>
      </c>
      <c r="BK36" s="322" t="str">
        <f>LOOKUP(BK30,HP!$I$17:$I$141,HP!$N$17:$N$141)</f>
        <v/>
      </c>
      <c r="BL36" s="322"/>
      <c r="BN36" s="50">
        <v>20</v>
      </c>
      <c r="BO36" s="322" t="str">
        <f>LOOKUP(BO30,HP!$I$17:$I$141,HP!$N$17:$N$141)</f>
        <v/>
      </c>
      <c r="BP36" s="322"/>
      <c r="BQ36" s="322"/>
      <c r="BS36" s="50">
        <v>20</v>
      </c>
      <c r="BT36" s="322" t="str">
        <f>LOOKUP(BT30,HP!$I$17:$I$141,HP!$N$17:$N$141)</f>
        <v/>
      </c>
      <c r="BU36" s="322"/>
      <c r="BW36" s="442"/>
      <c r="BX36" s="442"/>
      <c r="BY36" s="442"/>
      <c r="BZ36" s="442"/>
      <c r="CA36" s="442"/>
      <c r="CB36" s="442"/>
      <c r="CF36" s="311"/>
      <c r="CG36" s="312"/>
      <c r="CH36" s="311" t="str">
        <f>LOOKUP(CF36,Tabla15[Poder],Tabla15[Requisito])</f>
        <v/>
      </c>
      <c r="CI36" s="312"/>
      <c r="CJ36" s="167">
        <f>LOOKUP(CF36,Tabla15[Poder],Tabla15[Coste])</f>
        <v>0</v>
      </c>
      <c r="CK36" s="184"/>
      <c r="CL36" s="311"/>
      <c r="CM36" s="312"/>
      <c r="CN36" s="311" t="str">
        <f>LOOKUP(CL36,Tabla15[Poder],Tabla15[Requisito])</f>
        <v/>
      </c>
      <c r="CO36" s="312"/>
      <c r="CP36" s="167">
        <f>LOOKUP(CL36,Tabla15[Poder],Tabla15[Coste])</f>
        <v>0</v>
      </c>
      <c r="CQ36" s="177"/>
      <c r="CR36" s="97"/>
      <c r="CS36" s="97"/>
      <c r="CT36" s="97"/>
      <c r="CU36" s="97"/>
      <c r="CV36" s="1"/>
      <c r="CW36" s="321" t="s">
        <v>257</v>
      </c>
      <c r="CX36" s="321"/>
      <c r="CY36" s="321"/>
      <c r="CZ36" s="322"/>
      <c r="DA36" s="322"/>
      <c r="DB36" s="322"/>
      <c r="DC36" s="97"/>
      <c r="DD36" s="456"/>
      <c r="DE36" s="456"/>
      <c r="DF36" s="456"/>
      <c r="DG36" s="54"/>
      <c r="DH36" s="456"/>
      <c r="DI36" s="456"/>
      <c r="DJ36" s="456"/>
      <c r="DK36" s="11"/>
      <c r="DL36" s="54">
        <f>LOOKUP(DD31,Sheet2!$I$7:$I$46,Sheet2!$Q$7:$Q$46)</f>
        <v>0</v>
      </c>
      <c r="DM36" s="456">
        <f>LOOKUP(DD31,Sheet2!$I$7:$I$46,Sheet2!$R$7:$R$46)</f>
        <v>12</v>
      </c>
      <c r="DN36" s="456"/>
      <c r="DO36" s="456"/>
      <c r="DP36" s="11"/>
      <c r="DQ36" s="68">
        <v>2</v>
      </c>
      <c r="DR36" s="322"/>
      <c r="DS36" s="322"/>
      <c r="DT36" s="66">
        <v>0</v>
      </c>
      <c r="DU36" s="66">
        <v>0</v>
      </c>
      <c r="DV36" s="66">
        <v>0</v>
      </c>
      <c r="DW36" s="66">
        <v>0</v>
      </c>
      <c r="DX36" s="66">
        <f>(SUM(DT36:DW36)*LOOKUP(DT36,Sheet3!$O$2:$O$40,Sheet3!$P$2:$P$40))-(30*LOOKUP(DT36,Sheet3!$O$2:$O$40,Sheet3!$Q$2:$Q$40))</f>
        <v>-30</v>
      </c>
    </row>
    <row r="37" spans="1:128" ht="7.35" customHeight="1" x14ac:dyDescent="0.2">
      <c r="B37" s="206" t="s">
        <v>27</v>
      </c>
      <c r="C37" s="199">
        <f>LOOKUP($C$2,Sheet3!$G$224:$Z$224,Sheet3!$G$225:$Z$225)</f>
        <v>2</v>
      </c>
      <c r="D37" s="206" t="s">
        <v>27</v>
      </c>
      <c r="E37" s="199">
        <f>LOOKUP($C$2,Sheet3!$G$224:$Z$224,Sheet3!$G$226:$Z$226)</f>
        <v>2</v>
      </c>
      <c r="F37" s="206" t="s">
        <v>27</v>
      </c>
      <c r="G37" s="199">
        <f>LOOKUP($C$2,Sheet3!$G$224:$Z$224,Sheet3!$G$227:$Z$227)</f>
        <v>2</v>
      </c>
      <c r="I37" s="487" t="s">
        <v>2</v>
      </c>
      <c r="J37" s="487"/>
      <c r="K37" s="487"/>
      <c r="L37" s="296">
        <v>0</v>
      </c>
      <c r="O37" s="203">
        <f>MAX(1,LOOKUP($C$2,Sheet3!$C$42:$V$42,Sheet3!C67:V67)-Sheet3!AF328)</f>
        <v>2</v>
      </c>
      <c r="P37" s="350" t="s">
        <v>198</v>
      </c>
      <c r="Q37" s="350"/>
      <c r="R37" s="199">
        <v>0</v>
      </c>
      <c r="S37" s="199">
        <f>F14+(F14*T37)</f>
        <v>0</v>
      </c>
      <c r="T37" s="199">
        <v>0</v>
      </c>
      <c r="U37" s="199">
        <v>0</v>
      </c>
      <c r="V37" s="203">
        <f>(LOOKUP($C$2,Sheet3!$C$100:$V$100,Sheet3!C125:V125)+Sheet3!AP328)*$C$3</f>
        <v>0</v>
      </c>
      <c r="W37" s="199">
        <f>((SUM(R37:V37)-T37+Sheet3!$O$396)*IF(R37=0,0,1))-IF(AND(R37=0,Sheet3!$O$396=0),30,0)</f>
        <v>-30</v>
      </c>
      <c r="Y37" s="371"/>
      <c r="Z37" s="371"/>
      <c r="AA37" s="371" t="str">
        <f>LOOKUP(Y37,Sheet2!$AP$7:$AP$116,Sheet2!$AR$7:$AR$116)</f>
        <v/>
      </c>
      <c r="AB37" s="371"/>
      <c r="AC37" s="371"/>
      <c r="AE37" s="365"/>
      <c r="AF37" s="365"/>
      <c r="AG37" s="365"/>
      <c r="AH37" s="365"/>
      <c r="AI37" s="75"/>
      <c r="AJ37" s="114" t="s">
        <v>5588</v>
      </c>
      <c r="AK37" s="115" t="s">
        <v>5590</v>
      </c>
      <c r="AL37" s="366" t="s">
        <v>5570</v>
      </c>
      <c r="AM37" s="367"/>
      <c r="AN37" s="367"/>
      <c r="AO37" s="105">
        <f>IF(AP37=0,KI!I36,"-")</f>
        <v>20</v>
      </c>
      <c r="AP37" s="102"/>
      <c r="AR37" s="106" t="str">
        <f>LOOKUP(AS34,HM!$V$15:$V$655,HM!$X$15:$X$655)</f>
        <v/>
      </c>
      <c r="AS37" s="118" t="str">
        <f>LOOKUP(AS34,HM!$V$15:$V$655,HM!$Y$15:$Y$655)</f>
        <v/>
      </c>
      <c r="AT37" s="56" t="str">
        <f>LOOKUP(AS34,HM!$V$15:$V$655,HM!$Z$15:$Z$655)</f>
        <v/>
      </c>
      <c r="AU37" s="443"/>
      <c r="AV37" s="443"/>
      <c r="AW37" s="443"/>
      <c r="AX37" s="418" t="s">
        <v>179</v>
      </c>
      <c r="AY37" s="418"/>
      <c r="AZ37" s="418"/>
      <c r="BA37" s="439" t="str">
        <f>LOOKUP(AS34,HM!$V$15:$V$655,HM!$AM$15:$AM$655)</f>
        <v/>
      </c>
      <c r="BB37" s="439"/>
      <c r="BC37" s="439"/>
      <c r="BD37" s="439"/>
      <c r="BE37" s="439"/>
      <c r="BF37" s="56" t="str">
        <f>LOOKUP(AS34,HM!$V$15:$V$655,HM!$AN$15:$AN$655)</f>
        <v/>
      </c>
      <c r="BG37" s="56" t="str">
        <f>LOOKUP(AS34,HM!$V$15:$V$655,HM!$AO$15:$AO$655)&amp;" "&amp;LOOKUP(AS34,HM!$V$15:$V$655,Tabla9[Diario])</f>
        <v xml:space="preserve"> </v>
      </c>
      <c r="BH37" s="56" t="str">
        <f>LOOKUP(AS34,HM!$V$15:$V$655,HM!$AP$15:$AP$655)</f>
        <v/>
      </c>
      <c r="BI37" s="13"/>
      <c r="BJ37" s="50">
        <v>40</v>
      </c>
      <c r="BK37" s="322" t="str">
        <f>LOOKUP(BK30,HP!$I$17:$I$141,HP!$O$17:$O$141)</f>
        <v/>
      </c>
      <c r="BL37" s="322"/>
      <c r="BN37" s="50">
        <v>40</v>
      </c>
      <c r="BO37" s="322" t="str">
        <f>LOOKUP(BO30,HP!$I$17:$I$141,HP!$O$17:$O$141)</f>
        <v/>
      </c>
      <c r="BP37" s="322"/>
      <c r="BQ37" s="322"/>
      <c r="BS37" s="50">
        <v>40</v>
      </c>
      <c r="BT37" s="322" t="str">
        <f>LOOKUP(BT30,HP!$I$17:$I$141,HP!$O$17:$O$141)</f>
        <v/>
      </c>
      <c r="BU37" s="322"/>
      <c r="BW37" s="442"/>
      <c r="BX37" s="442"/>
      <c r="BY37" s="442"/>
      <c r="BZ37" s="442"/>
      <c r="CA37" s="442"/>
      <c r="CB37" s="442"/>
      <c r="CF37" s="309" t="s">
        <v>138</v>
      </c>
      <c r="CG37" s="309"/>
      <c r="CH37" s="309"/>
      <c r="CI37" s="309"/>
      <c r="CJ37" s="309"/>
      <c r="CK37" s="97"/>
      <c r="CL37" s="309" t="s">
        <v>138</v>
      </c>
      <c r="CM37" s="309"/>
      <c r="CN37" s="309"/>
      <c r="CO37" s="309"/>
      <c r="CP37" s="309"/>
      <c r="CQ37" s="97"/>
      <c r="CR37" s="97"/>
      <c r="CS37" s="177"/>
      <c r="CT37" s="177"/>
      <c r="CU37" s="97"/>
      <c r="CV37" s="1"/>
      <c r="CW37" s="321">
        <f>LOOKUP((SUM($C$14+$C$16+$C$17)),Sheet3!$U$6:$U$15,Sheet3!$V$6:$V$15)</f>
        <v>30</v>
      </c>
      <c r="CX37" s="321"/>
      <c r="CY37" s="321"/>
      <c r="CZ37" s="322" t="s">
        <v>250</v>
      </c>
      <c r="DA37" s="322"/>
      <c r="DB37" s="159"/>
      <c r="DC37" s="97"/>
      <c r="DD37" s="456"/>
      <c r="DE37" s="456"/>
      <c r="DF37" s="456"/>
      <c r="DG37" s="54"/>
      <c r="DH37" s="456"/>
      <c r="DI37" s="456"/>
      <c r="DJ37" s="456"/>
      <c r="DK37" s="11"/>
      <c r="DL37" s="11"/>
      <c r="DM37" s="11"/>
      <c r="DN37" s="11"/>
      <c r="DO37" s="11"/>
      <c r="DP37" s="11"/>
      <c r="DQ37" s="68">
        <v>2</v>
      </c>
      <c r="DR37" s="322"/>
      <c r="DS37" s="322"/>
      <c r="DT37" s="66">
        <v>0</v>
      </c>
      <c r="DU37" s="66">
        <v>0</v>
      </c>
      <c r="DV37" s="66">
        <v>0</v>
      </c>
      <c r="DW37" s="66">
        <v>0</v>
      </c>
      <c r="DX37" s="66">
        <f>(SUM(DT37:DW37)*LOOKUP(DT37,Sheet3!$O$2:$O$40,Sheet3!$P$2:$P$40))-(30*LOOKUP(DT37,Sheet3!$O$2:$O$40,Sheet3!$Q$2:$Q$40))</f>
        <v>-30</v>
      </c>
    </row>
    <row r="38" spans="1:128" ht="7.35" customHeight="1" x14ac:dyDescent="0.2">
      <c r="B38" s="199" t="s">
        <v>2</v>
      </c>
      <c r="C38" s="199">
        <v>0</v>
      </c>
      <c r="D38" s="199" t="s">
        <v>2</v>
      </c>
      <c r="E38" s="199">
        <v>0</v>
      </c>
      <c r="F38" s="199" t="s">
        <v>2</v>
      </c>
      <c r="G38" s="199">
        <v>0</v>
      </c>
      <c r="I38" s="487" t="s">
        <v>13</v>
      </c>
      <c r="J38" s="487"/>
      <c r="K38" s="487"/>
      <c r="L38" s="296">
        <f>$F$13</f>
        <v>0</v>
      </c>
      <c r="O38" s="203">
        <f>MAX(1,LOOKUP($C$2,Sheet3!$C$42:$V$42,Sheet3!C68:V68)-Sheet3!AF329)</f>
        <v>2</v>
      </c>
      <c r="P38" s="350" t="s">
        <v>199</v>
      </c>
      <c r="Q38" s="350"/>
      <c r="R38" s="199">
        <v>0</v>
      </c>
      <c r="S38" s="199">
        <f>F16+(F16*T38)</f>
        <v>0</v>
      </c>
      <c r="T38" s="199">
        <v>0</v>
      </c>
      <c r="U38" s="199">
        <v>0</v>
      </c>
      <c r="V38" s="203">
        <f>(LOOKUP($C$2,Sheet3!$C$100:$V$100,Sheet3!C126:V126)+Sheet3!AP329)*$C$3</f>
        <v>0</v>
      </c>
      <c r="W38" s="199">
        <f>((SUM(R38:V38)-T38+Sheet3!$O$396)*IF(R38=0,0,1))-IF(AND(R38=0,Sheet3!$O$396=0),30,0)</f>
        <v>-30</v>
      </c>
      <c r="Y38" s="357" t="s">
        <v>228</v>
      </c>
      <c r="Z38" s="357"/>
      <c r="AA38" s="357"/>
      <c r="AB38" s="120" t="s">
        <v>5</v>
      </c>
      <c r="AC38" s="120" t="s">
        <v>229</v>
      </c>
      <c r="AE38" s="365"/>
      <c r="AF38" s="365"/>
      <c r="AG38" s="365"/>
      <c r="AH38" s="365"/>
      <c r="AI38" s="75"/>
      <c r="AJ38" s="114" t="s">
        <v>5588</v>
      </c>
      <c r="AK38" s="115" t="s">
        <v>5589</v>
      </c>
      <c r="AL38" s="366" t="s">
        <v>5571</v>
      </c>
      <c r="AM38" s="367"/>
      <c r="AN38" s="367"/>
      <c r="AO38" s="105">
        <f>IF(AP38=0,KI!I37,"-")</f>
        <v>10</v>
      </c>
      <c r="AP38" s="102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2"/>
      <c r="BG38" s="17"/>
      <c r="BH38" s="17"/>
      <c r="BI38" s="13"/>
      <c r="BJ38" s="50">
        <v>80</v>
      </c>
      <c r="BK38" s="322" t="str">
        <f>LOOKUP(BK30,HP!$I$17:$I$141,HP!$P$17:$P$141)</f>
        <v/>
      </c>
      <c r="BL38" s="322"/>
      <c r="BN38" s="50">
        <v>80</v>
      </c>
      <c r="BO38" s="322" t="str">
        <f>LOOKUP(BO30,HP!$I$17:$I$141,HP!$P$17:$P$141)</f>
        <v/>
      </c>
      <c r="BP38" s="322"/>
      <c r="BQ38" s="322"/>
      <c r="BS38" s="50">
        <v>80</v>
      </c>
      <c r="BT38" s="322" t="str">
        <f>LOOKUP(BT30,HP!$I$17:$I$141,HP!$P$17:$P$141)</f>
        <v/>
      </c>
      <c r="BU38" s="322"/>
      <c r="BW38" s="442"/>
      <c r="BX38" s="442"/>
      <c r="BY38" s="442"/>
      <c r="BZ38" s="442"/>
      <c r="CA38" s="442"/>
      <c r="CB38" s="442"/>
      <c r="CF38" s="308" t="str">
        <f>LOOKUP(CF36,Tabla15[Poder],Tabla15[Descripcion])</f>
        <v/>
      </c>
      <c r="CG38" s="308"/>
      <c r="CH38" s="308"/>
      <c r="CI38" s="308"/>
      <c r="CJ38" s="308"/>
      <c r="CK38" s="184"/>
      <c r="CL38" s="308" t="str">
        <f>LOOKUP(CL36,Tabla15[Poder],Tabla15[Descripcion])</f>
        <v/>
      </c>
      <c r="CM38" s="308"/>
      <c r="CN38" s="308"/>
      <c r="CO38" s="308"/>
      <c r="CP38" s="308"/>
      <c r="CQ38" s="97"/>
      <c r="CR38" s="97"/>
      <c r="CS38" s="177"/>
      <c r="CT38" s="177"/>
      <c r="CU38" s="177"/>
      <c r="CV38" s="1"/>
      <c r="CW38" s="321" t="s">
        <v>260</v>
      </c>
      <c r="CX38" s="321"/>
      <c r="CY38" s="321"/>
      <c r="CZ38" s="322" t="s">
        <v>251</v>
      </c>
      <c r="DA38" s="322"/>
      <c r="DB38" s="159"/>
      <c r="DC38" s="97"/>
      <c r="DD38" s="456"/>
      <c r="DE38" s="456"/>
      <c r="DF38" s="456"/>
      <c r="DG38" s="54"/>
      <c r="DH38" s="456"/>
      <c r="DI38" s="456"/>
      <c r="DJ38" s="456"/>
      <c r="DK38" s="11"/>
      <c r="DL38" s="457" t="s">
        <v>290</v>
      </c>
      <c r="DM38" s="457"/>
      <c r="DN38" s="457"/>
      <c r="DO38" s="457"/>
      <c r="DP38" s="11"/>
      <c r="DQ38" s="68">
        <v>2</v>
      </c>
      <c r="DR38" s="322"/>
      <c r="DS38" s="322"/>
      <c r="DT38" s="66">
        <v>0</v>
      </c>
      <c r="DU38" s="66">
        <v>0</v>
      </c>
      <c r="DV38" s="66">
        <v>0</v>
      </c>
      <c r="DW38" s="66">
        <v>0</v>
      </c>
      <c r="DX38" s="66">
        <f>(SUM(DT38:DW38)*LOOKUP(DT38,Sheet3!$O$2:$O$40,Sheet3!$P$2:$P$40))-(30*LOOKUP(DT38,Sheet3!$O$2:$O$40,Sheet3!$Q$2:$Q$40))</f>
        <v>-30</v>
      </c>
    </row>
    <row r="39" spans="1:128" ht="7.35" customHeight="1" x14ac:dyDescent="0.2">
      <c r="B39" s="199" t="s">
        <v>57</v>
      </c>
      <c r="C39" s="199">
        <f>F12</f>
        <v>0</v>
      </c>
      <c r="D39" s="199" t="s">
        <v>57</v>
      </c>
      <c r="E39" s="199">
        <f>F12</f>
        <v>0</v>
      </c>
      <c r="F39" s="199" t="s">
        <v>46</v>
      </c>
      <c r="G39" s="199">
        <f>F10</f>
        <v>0</v>
      </c>
      <c r="I39" s="487" t="s">
        <v>22</v>
      </c>
      <c r="J39" s="487"/>
      <c r="K39" s="487"/>
      <c r="L39" s="296">
        <f>(LOOKUP($C$2,Sheet3!$C$100:$V$100,Sheet3!$C$149:$V$149)+Sheet3!O428)*$C$3</f>
        <v>0</v>
      </c>
      <c r="O39" s="202" t="s">
        <v>27</v>
      </c>
      <c r="P39" s="351" t="s">
        <v>206</v>
      </c>
      <c r="Q39" s="351"/>
      <c r="R39" s="202" t="s">
        <v>2</v>
      </c>
      <c r="S39" s="202" t="s">
        <v>13</v>
      </c>
      <c r="T39" s="202" t="s">
        <v>5332</v>
      </c>
      <c r="U39" s="202" t="s">
        <v>106</v>
      </c>
      <c r="V39" s="202" t="s">
        <v>107</v>
      </c>
      <c r="W39" s="202" t="s">
        <v>108</v>
      </c>
      <c r="Y39" s="371" t="str">
        <f>LOOKUP(Y37,Sheet2!$AP$7:$AP$116,Sheet2!$AQ$7:$AQ$116)</f>
        <v/>
      </c>
      <c r="Z39" s="371"/>
      <c r="AA39" s="371"/>
      <c r="AB39" s="127">
        <f>LOOKUP(Y37,Sheet2!$AP$7:$AP$116,Sheet2!$AS$7:$AS$116)</f>
        <v>0</v>
      </c>
      <c r="AC39" s="127" t="str">
        <f>LOOKUP(Y37,Sheet2!$AP$7:$AP$116,Sheet2!$AW$7:$AW$116)</f>
        <v/>
      </c>
      <c r="AE39" s="322" t="s">
        <v>5342</v>
      </c>
      <c r="AF39" s="322"/>
      <c r="AG39" s="322"/>
      <c r="AH39" s="322"/>
      <c r="AI39" s="75"/>
      <c r="AJ39" s="114" t="s">
        <v>5589</v>
      </c>
      <c r="AK39" s="366" t="s">
        <v>5572</v>
      </c>
      <c r="AL39" s="367"/>
      <c r="AM39" s="367"/>
      <c r="AN39" s="367"/>
      <c r="AO39" s="105">
        <f>IF(AP39=0,KI!I38,"-")</f>
        <v>20</v>
      </c>
      <c r="AP39" s="102"/>
      <c r="AR39" s="120" t="s">
        <v>5194</v>
      </c>
      <c r="AS39" s="437" t="s">
        <v>0</v>
      </c>
      <c r="AT39" s="418"/>
      <c r="AU39" s="395" t="s">
        <v>164</v>
      </c>
      <c r="AV39" s="395"/>
      <c r="AW39" s="395"/>
      <c r="AX39" s="418" t="s">
        <v>165</v>
      </c>
      <c r="AY39" s="418"/>
      <c r="AZ39" s="418"/>
      <c r="BA39" s="418" t="s">
        <v>164</v>
      </c>
      <c r="BB39" s="418"/>
      <c r="BC39" s="418"/>
      <c r="BD39" s="418"/>
      <c r="BE39" s="418"/>
      <c r="BF39" s="57" t="s">
        <v>27</v>
      </c>
      <c r="BG39" s="57" t="s">
        <v>69</v>
      </c>
      <c r="BH39" s="57" t="s">
        <v>166</v>
      </c>
      <c r="BI39" s="13"/>
      <c r="BJ39" s="50">
        <v>120</v>
      </c>
      <c r="BK39" s="322" t="str">
        <f>LOOKUP(BK30,HP!$I$17:$I$141,HP!$Q$17:$Q$141)</f>
        <v/>
      </c>
      <c r="BL39" s="322"/>
      <c r="BN39" s="50">
        <v>120</v>
      </c>
      <c r="BO39" s="322" t="str">
        <f>LOOKUP(BO30,HP!$I$17:$I$141,HP!$Q$17:$Q$141)</f>
        <v/>
      </c>
      <c r="BP39" s="322"/>
      <c r="BQ39" s="322"/>
      <c r="BS39" s="50">
        <v>120</v>
      </c>
      <c r="BT39" s="322" t="str">
        <f>LOOKUP(BT30,HP!$I$17:$I$141,HP!$Q$17:$Q$141)</f>
        <v/>
      </c>
      <c r="BU39" s="322"/>
      <c r="BW39" s="442"/>
      <c r="BX39" s="442"/>
      <c r="BY39" s="442"/>
      <c r="BZ39" s="442"/>
      <c r="CA39" s="442"/>
      <c r="CB39" s="442"/>
      <c r="CF39" s="182"/>
      <c r="CG39" s="184"/>
      <c r="CH39" s="184"/>
      <c r="CI39" s="184"/>
      <c r="CK39" s="184"/>
      <c r="CL39" s="182"/>
      <c r="CM39" s="184"/>
      <c r="CN39" s="184"/>
      <c r="CO39" s="184"/>
      <c r="CQ39" s="97"/>
      <c r="CR39" s="97"/>
      <c r="CS39" s="177"/>
      <c r="CT39" s="177"/>
      <c r="CU39" s="177"/>
      <c r="CV39" s="1"/>
      <c r="CW39" s="321">
        <f>CW37</f>
        <v>30</v>
      </c>
      <c r="CX39" s="321"/>
      <c r="CY39" s="321"/>
      <c r="CZ39" s="322" t="s">
        <v>252</v>
      </c>
      <c r="DA39" s="322"/>
      <c r="DB39" s="159"/>
      <c r="DC39" s="97"/>
      <c r="DD39" s="456"/>
      <c r="DE39" s="456"/>
      <c r="DF39" s="456"/>
      <c r="DG39" s="54"/>
      <c r="DH39" s="456"/>
      <c r="DI39" s="456"/>
      <c r="DJ39" s="456"/>
      <c r="DK39" s="11"/>
      <c r="DL39" s="456" t="s">
        <v>291</v>
      </c>
      <c r="DM39" s="456"/>
      <c r="DN39" s="456"/>
      <c r="DO39" s="54">
        <f>SUM(DG13:DG20)</f>
        <v>40</v>
      </c>
      <c r="DP39" s="11"/>
      <c r="DQ39" s="68">
        <v>2</v>
      </c>
      <c r="DR39" s="322"/>
      <c r="DS39" s="322"/>
      <c r="DT39" s="66">
        <v>0</v>
      </c>
      <c r="DU39" s="66">
        <v>0</v>
      </c>
      <c r="DV39" s="66">
        <v>0</v>
      </c>
      <c r="DW39" s="66">
        <v>0</v>
      </c>
      <c r="DX39" s="66">
        <f>(SUM(DT39:DW39)*LOOKUP(DT39,Sheet3!$O$2:$O$40,Sheet3!$P$2:$P$40))-(30*LOOKUP(DT39,Sheet3!$O$2:$O$40,Sheet3!$Q$2:$Q$40))</f>
        <v>-30</v>
      </c>
    </row>
    <row r="40" spans="1:128" ht="7.35" customHeight="1" x14ac:dyDescent="0.2">
      <c r="B40" s="199" t="s">
        <v>93</v>
      </c>
      <c r="C40" s="199">
        <v>0</v>
      </c>
      <c r="D40" s="199" t="s">
        <v>93</v>
      </c>
      <c r="E40" s="199">
        <v>0</v>
      </c>
      <c r="F40" s="199" t="s">
        <v>93</v>
      </c>
      <c r="G40" s="199">
        <v>0</v>
      </c>
      <c r="I40" s="488" t="s">
        <v>71</v>
      </c>
      <c r="J40" s="488"/>
      <c r="K40" s="488"/>
      <c r="L40" s="296">
        <f>SUM($L$37:$L$39)</f>
        <v>0</v>
      </c>
      <c r="O40" s="203">
        <f>MAX(1,LOOKUP($C$2,Sheet3!$C$42:$V$42,Sheet3!C70:V70)-Sheet3!AF331)</f>
        <v>2</v>
      </c>
      <c r="P40" s="350" t="s">
        <v>207</v>
      </c>
      <c r="Q40" s="350"/>
      <c r="R40" s="199">
        <v>0</v>
      </c>
      <c r="S40" s="199">
        <f>F16+(F16*T40)</f>
        <v>0</v>
      </c>
      <c r="T40" s="199">
        <v>0</v>
      </c>
      <c r="U40" s="199">
        <v>0</v>
      </c>
      <c r="V40" s="203">
        <f>(LOOKUP($C$2,Sheet3!$C$100:$V$100,Sheet3!C128:V128)+Sheet3!AP331)*$C$3</f>
        <v>0</v>
      </c>
      <c r="W40" s="199">
        <f>((SUM(R40:V40)-T40+Sheet3!$O$396)*IF(R40=0,0,1))-IF(AND(R40=0,Sheet3!$O$396=0),30,0)</f>
        <v>-30</v>
      </c>
      <c r="Y40" s="357" t="s">
        <v>233</v>
      </c>
      <c r="Z40" s="357"/>
      <c r="AA40" s="357"/>
      <c r="AB40" s="357"/>
      <c r="AC40" s="357"/>
      <c r="AE40" s="322" t="str">
        <f>LOOKUP(AE34,Sheet3!$DJ$14:$DJ$40,Sheet3!$DL$14:$DL$40)</f>
        <v/>
      </c>
      <c r="AF40" s="322"/>
      <c r="AG40" s="322"/>
      <c r="AH40" s="322"/>
      <c r="AI40" s="75"/>
      <c r="AJ40" s="114"/>
      <c r="AK40" s="115" t="s">
        <v>5589</v>
      </c>
      <c r="AL40" s="366" t="s">
        <v>5573</v>
      </c>
      <c r="AM40" s="367"/>
      <c r="AN40" s="367"/>
      <c r="AO40" s="105">
        <f>IF(AP40=0,KI!I39,"-")</f>
        <v>20</v>
      </c>
      <c r="AP40" s="102"/>
      <c r="AR40" s="440"/>
      <c r="AS40" s="438"/>
      <c r="AT40" s="439"/>
      <c r="AU40" s="443" t="str">
        <f>LOOKUP(AS40,HM!$V$15:$V$655,HM!$W$15:$W$655)</f>
        <v/>
      </c>
      <c r="AV40" s="443"/>
      <c r="AW40" s="443"/>
      <c r="AX40" s="418" t="s">
        <v>2</v>
      </c>
      <c r="AY40" s="418"/>
      <c r="AZ40" s="418"/>
      <c r="BA40" s="439" t="str">
        <f>LOOKUP(AS40,HM!$V$15:$V$655,HM!$AA$15:$AA$655)</f>
        <v/>
      </c>
      <c r="BB40" s="439"/>
      <c r="BC40" s="439"/>
      <c r="BD40" s="439"/>
      <c r="BE40" s="439"/>
      <c r="BF40" s="56" t="str">
        <f>LOOKUP(AS40,HM!$V$15:$V$655,HM!$AB$15:$AB$655)</f>
        <v/>
      </c>
      <c r="BG40" s="171" t="str">
        <f>LOOKUP(AS40,HM!$V$15:$V$655,HM!$AC$15:$AC$655)&amp;" "&amp;LOOKUP(AS40,HM!$V$15:$V$655,Tabla9[Diario])</f>
        <v xml:space="preserve"> </v>
      </c>
      <c r="BH40" s="56" t="str">
        <f>LOOKUP(AS40,HM!$V$15:$V$655,HM!$AD$15:$AD$655)</f>
        <v/>
      </c>
      <c r="BI40" s="13"/>
      <c r="BJ40" s="50">
        <v>140</v>
      </c>
      <c r="BK40" s="322" t="str">
        <f>LOOKUP(BK30,HP!$I$17:$I$141,HP!$R$17:$R$141)</f>
        <v/>
      </c>
      <c r="BL40" s="322"/>
      <c r="BN40" s="50">
        <v>140</v>
      </c>
      <c r="BO40" s="322" t="str">
        <f>LOOKUP(BO30,HP!$I$17:$I$141,HP!$R$17:$R$141)</f>
        <v/>
      </c>
      <c r="BP40" s="322"/>
      <c r="BQ40" s="322"/>
      <c r="BS40" s="50">
        <v>140</v>
      </c>
      <c r="BT40" s="322" t="str">
        <f>LOOKUP(BT30,HP!$I$17:$I$141,HP!$R$17:$R$141)</f>
        <v/>
      </c>
      <c r="BU40" s="322"/>
      <c r="BW40" s="442"/>
      <c r="BX40" s="442"/>
      <c r="BY40" s="442"/>
      <c r="BZ40" s="442"/>
      <c r="CA40" s="442"/>
      <c r="CB40" s="442"/>
      <c r="CF40" s="310" t="s">
        <v>0</v>
      </c>
      <c r="CG40" s="310"/>
      <c r="CH40" s="310" t="s">
        <v>228</v>
      </c>
      <c r="CI40" s="310"/>
      <c r="CJ40" s="183" t="s">
        <v>27</v>
      </c>
      <c r="CK40" s="184"/>
      <c r="CL40" s="310" t="s">
        <v>0</v>
      </c>
      <c r="CM40" s="310"/>
      <c r="CN40" s="310" t="s">
        <v>228</v>
      </c>
      <c r="CO40" s="310"/>
      <c r="CP40" s="183" t="s">
        <v>27</v>
      </c>
      <c r="CQ40" s="97"/>
      <c r="CR40" s="97"/>
      <c r="CS40" s="97"/>
      <c r="CT40" s="97"/>
      <c r="CU40" s="97"/>
      <c r="CV40" s="1"/>
      <c r="CW40" s="321" t="s">
        <v>264</v>
      </c>
      <c r="CX40" s="321"/>
      <c r="CY40" s="321"/>
      <c r="CZ40" s="322" t="s">
        <v>253</v>
      </c>
      <c r="DA40" s="322"/>
      <c r="DB40" s="159"/>
      <c r="DC40" s="97"/>
      <c r="DD40" s="456"/>
      <c r="DE40" s="456"/>
      <c r="DF40" s="456"/>
      <c r="DG40" s="54"/>
      <c r="DH40" s="456"/>
      <c r="DI40" s="456"/>
      <c r="DJ40" s="456"/>
      <c r="DK40" s="11"/>
      <c r="DL40" s="456" t="s">
        <v>20</v>
      </c>
      <c r="DM40" s="456"/>
      <c r="DN40" s="456"/>
      <c r="DO40" s="54">
        <f>SUM(DG35:DG59)+SUM(DL24:DL27)+SUM(DP24:DQ27)+SUM(DT24:DT27)</f>
        <v>0</v>
      </c>
      <c r="DP40" s="11"/>
      <c r="DQ40" s="68">
        <v>2</v>
      </c>
      <c r="DR40" s="322"/>
      <c r="DS40" s="322"/>
      <c r="DT40" s="66">
        <v>0</v>
      </c>
      <c r="DU40" s="66">
        <v>0</v>
      </c>
      <c r="DV40" s="66">
        <v>0</v>
      </c>
      <c r="DW40" s="66">
        <v>0</v>
      </c>
      <c r="DX40" s="66">
        <f>(SUM(DT40:DW40)*LOOKUP(DT40,Sheet3!$O$2:$O$40,Sheet3!$P$2:$P$40))-(30*LOOKUP(DT40,Sheet3!$O$2:$O$40,Sheet3!$Q$2:$Q$40))</f>
        <v>-30</v>
      </c>
    </row>
    <row r="41" spans="1:128" ht="7.35" customHeight="1" x14ac:dyDescent="0.2">
      <c r="A41" s="14"/>
      <c r="B41" s="199" t="s">
        <v>186</v>
      </c>
      <c r="C41" s="199">
        <f>MIN((LOOKUP($C$2,Sheet3!$C$100:$V$100,Sheet3!$C$146:$V$146)+Sheet3!O419)*$C$3,50)</f>
        <v>0</v>
      </c>
      <c r="D41" s="199" t="s">
        <v>186</v>
      </c>
      <c r="E41" s="199">
        <f>MIN((LOOKUP($C$2,Sheet3!$C$100:$V$100,Sheet3!$C$147:$V$147)+Sheet3!O422)*$C$3,50)</f>
        <v>0</v>
      </c>
      <c r="F41" s="199" t="s">
        <v>186</v>
      </c>
      <c r="G41" s="199">
        <f>MIN((LOOKUP($C$2,Sheet3!$C$100:$V$100,Sheet3!$C$148:$V$148)+Sheet3!O425)*$C$3,50)</f>
        <v>0</v>
      </c>
      <c r="O41" s="203">
        <f>MAX(1,LOOKUP($C$2,Sheet3!$C$42:$V$42,Sheet3!C71:V71)-Sheet3!AF332)</f>
        <v>2</v>
      </c>
      <c r="P41" s="350" t="s">
        <v>208</v>
      </c>
      <c r="Q41" s="350"/>
      <c r="R41" s="199">
        <v>0</v>
      </c>
      <c r="S41" s="199">
        <f>F17+(F17*T41)</f>
        <v>0</v>
      </c>
      <c r="T41" s="199">
        <v>0</v>
      </c>
      <c r="U41" s="199">
        <v>0</v>
      </c>
      <c r="V41" s="203">
        <f>(LOOKUP($C$2,Sheet3!$C$100:$V$100,Sheet3!C129:V129)+Sheet3!AP332)*$C$3</f>
        <v>0</v>
      </c>
      <c r="W41" s="199">
        <f>((SUM(R41:V41)-T41+Sheet3!$O$396)*IF(R41=0,0,1))-IF(AND(R41=0,Sheet3!$O$396=0),30,0)</f>
        <v>-30</v>
      </c>
      <c r="Y41" s="365" t="str">
        <f>LOOKUP(Y37,Sheet2!$AP$7:$AP$116,Sheet2!$AT$7:$AT$116)</f>
        <v/>
      </c>
      <c r="Z41" s="365"/>
      <c r="AA41" s="365"/>
      <c r="AB41" s="365"/>
      <c r="AC41" s="365"/>
      <c r="AE41" s="87" t="s">
        <v>152</v>
      </c>
      <c r="AF41" s="87">
        <f>LOOKUP(AE34,Sheet3!$DJ$14:$DJ$40,Sheet3!$DM$14:$DM$40)</f>
        <v>0</v>
      </c>
      <c r="AG41" s="87" t="s">
        <v>5</v>
      </c>
      <c r="AH41" s="87">
        <f>LOOKUP(AE34,Sheet3!$DJ$14:$DJ$40,Sheet3!$DN$14:$DN$40)</f>
        <v>0</v>
      </c>
      <c r="AI41" s="75"/>
      <c r="AJ41" s="366" t="s">
        <v>5574</v>
      </c>
      <c r="AK41" s="367"/>
      <c r="AL41" s="367"/>
      <c r="AM41" s="367"/>
      <c r="AN41" s="367"/>
      <c r="AO41" s="105">
        <f>IF(AP41=0,KI!I40,"-")</f>
        <v>50</v>
      </c>
      <c r="AP41" s="102"/>
      <c r="AR41" s="440"/>
      <c r="AS41" s="438"/>
      <c r="AT41" s="439"/>
      <c r="AU41" s="443"/>
      <c r="AV41" s="443"/>
      <c r="AW41" s="443"/>
      <c r="AX41" s="418" t="s">
        <v>173</v>
      </c>
      <c r="AY41" s="418"/>
      <c r="AZ41" s="418"/>
      <c r="BA41" s="439" t="str">
        <f>LOOKUP(AS40,HM!$V$15:$V$655,HM!$AE$15:$AE$655)</f>
        <v/>
      </c>
      <c r="BB41" s="439"/>
      <c r="BC41" s="439"/>
      <c r="BD41" s="439"/>
      <c r="BE41" s="439"/>
      <c r="BF41" s="56" t="str">
        <f>LOOKUP(AS40,HM!$V$15:$V$655,HM!$AF$15:$AF$655)</f>
        <v/>
      </c>
      <c r="BG41" s="171" t="str">
        <f>LOOKUP(AS40,HM!$V$15:$V$655,HM!$AG$15:$AG$655)&amp;" "&amp;LOOKUP(AS40,HM!$V$15:$V$655,Tabla9[Diario])</f>
        <v xml:space="preserve"> </v>
      </c>
      <c r="BH41" s="56" t="str">
        <f>LOOKUP(AS40,HM!$V$15:$V$655,HM!$AH$15:$AH$655)</f>
        <v/>
      </c>
      <c r="BI41" s="17"/>
      <c r="BJ41" s="50">
        <v>180</v>
      </c>
      <c r="BK41" s="322" t="str">
        <f>LOOKUP(BK30,HP!$I$17:$I$141,HP!$S$17:$S$141)</f>
        <v/>
      </c>
      <c r="BL41" s="322"/>
      <c r="BN41" s="50">
        <v>180</v>
      </c>
      <c r="BO41" s="322" t="str">
        <f>LOOKUP(BO30,HP!$I$17:$I$141,HP!$S$17:$S$141)</f>
        <v/>
      </c>
      <c r="BP41" s="322"/>
      <c r="BQ41" s="322"/>
      <c r="BS41" s="50">
        <v>180</v>
      </c>
      <c r="BT41" s="322" t="str">
        <f>LOOKUP(BT30,HP!$I$17:$I$141,HP!$S$17:$S$141)</f>
        <v/>
      </c>
      <c r="BU41" s="322"/>
      <c r="BV41" s="6"/>
      <c r="BW41" s="442"/>
      <c r="BX41" s="442"/>
      <c r="BY41" s="442"/>
      <c r="BZ41" s="442"/>
      <c r="CA41" s="442"/>
      <c r="CB41" s="442"/>
      <c r="CF41" s="315"/>
      <c r="CG41" s="316"/>
      <c r="CH41" s="315" t="str">
        <f>LOOKUP(CF41,Tabla15[Poder],Tabla15[Requisito])</f>
        <v/>
      </c>
      <c r="CI41" s="316"/>
      <c r="CJ41" s="194">
        <f>LOOKUP(CF41,Tabla15[Poder],Tabla15[Coste])</f>
        <v>0</v>
      </c>
      <c r="CK41" s="184"/>
      <c r="CL41" s="315"/>
      <c r="CM41" s="316"/>
      <c r="CN41" s="315" t="str">
        <f>LOOKUP(CL41,Tabla15[Poder],Tabla15[Requisito])</f>
        <v/>
      </c>
      <c r="CO41" s="316"/>
      <c r="CP41" s="194">
        <f>LOOKUP(CL41,Tabla15[Poder],Tabla15[Coste])</f>
        <v>0</v>
      </c>
      <c r="CQ41" s="97"/>
      <c r="CR41" s="97"/>
      <c r="CS41" s="97"/>
      <c r="CT41" s="97"/>
      <c r="CU41" s="1"/>
      <c r="CV41" s="1"/>
      <c r="CW41" s="321">
        <f>LOOKUP((SUM($C$14+$C$16+$C$17)),Sheet3!$U$6:$U$15,Sheet3!$W$6:$W$15)</f>
        <v>10</v>
      </c>
      <c r="CX41" s="321"/>
      <c r="CY41" s="321"/>
      <c r="CZ41" s="322" t="s">
        <v>254</v>
      </c>
      <c r="DA41" s="322"/>
      <c r="DB41" s="159"/>
      <c r="DC41" s="97"/>
      <c r="DD41" s="456"/>
      <c r="DE41" s="456"/>
      <c r="DF41" s="456"/>
      <c r="DG41" s="54"/>
      <c r="DH41" s="456"/>
      <c r="DI41" s="456"/>
      <c r="DJ41" s="456"/>
      <c r="DK41" s="11"/>
      <c r="DL41" s="456" t="s">
        <v>292</v>
      </c>
      <c r="DM41" s="456"/>
      <c r="DN41" s="456"/>
      <c r="DO41" s="54">
        <f>(DE23*DE27)+(DG23*DG27)+(DI23*DI27)+(DV3*DV2)+DW7</f>
        <v>0</v>
      </c>
      <c r="DP41" s="11"/>
      <c r="DQ41" s="68">
        <v>2</v>
      </c>
      <c r="DR41" s="322"/>
      <c r="DS41" s="322"/>
      <c r="DT41" s="66">
        <v>0</v>
      </c>
      <c r="DU41" s="66">
        <v>0</v>
      </c>
      <c r="DV41" s="66">
        <v>0</v>
      </c>
      <c r="DW41" s="66">
        <v>0</v>
      </c>
      <c r="DX41" s="66">
        <f>(SUM(DT41:DW41)*LOOKUP(DT41,Sheet3!$O$2:$O$40,Sheet3!$P$2:$P$40))-(30*LOOKUP(DT41,Sheet3!$O$2:$O$40,Sheet3!$Q$2:$Q$40))</f>
        <v>-30</v>
      </c>
    </row>
    <row r="42" spans="1:128" ht="7.35" customHeight="1" x14ac:dyDescent="0.2">
      <c r="B42" s="284" t="s">
        <v>71</v>
      </c>
      <c r="C42" s="199">
        <f>SUM(C38:C41)</f>
        <v>0</v>
      </c>
      <c r="D42" s="284" t="s">
        <v>71</v>
      </c>
      <c r="E42" s="199">
        <f>SUM(E38:E41)</f>
        <v>0</v>
      </c>
      <c r="F42" s="197" t="s">
        <v>71</v>
      </c>
      <c r="G42" s="199">
        <f>SUM(G38:G41)</f>
        <v>0</v>
      </c>
      <c r="O42" s="203">
        <f>MAX(1,LOOKUP($C$2,Sheet3!$C$42:$V$42,Sheet3!C72:V72)-Sheet3!AF333)</f>
        <v>2</v>
      </c>
      <c r="P42" s="350" t="s">
        <v>209</v>
      </c>
      <c r="Q42" s="350"/>
      <c r="R42" s="199">
        <v>0</v>
      </c>
      <c r="S42" s="199">
        <f>F16+(F16*T42)</f>
        <v>0</v>
      </c>
      <c r="T42" s="199">
        <v>0</v>
      </c>
      <c r="U42" s="199">
        <v>0</v>
      </c>
      <c r="V42" s="203">
        <f>(LOOKUP($C$2,Sheet3!$C$100:$V$100,Sheet3!C130:V130)+Sheet3!AP333)*$C$3</f>
        <v>0</v>
      </c>
      <c r="W42" s="199">
        <f>((SUM(R42:V42)-T42+Sheet3!$O$396)*IF(R42=0,0,1))-IF(AND(R42=0,Sheet3!$O$396=0),30,0)</f>
        <v>-30</v>
      </c>
      <c r="Y42" s="365"/>
      <c r="Z42" s="365"/>
      <c r="AA42" s="365"/>
      <c r="AB42" s="365"/>
      <c r="AC42" s="365"/>
      <c r="AE42" s="322" t="s">
        <v>5423</v>
      </c>
      <c r="AF42" s="322"/>
      <c r="AG42" s="322"/>
      <c r="AH42" s="322"/>
      <c r="AI42" s="75"/>
      <c r="AJ42" s="366" t="s">
        <v>5575</v>
      </c>
      <c r="AK42" s="367"/>
      <c r="AL42" s="367"/>
      <c r="AM42" s="367"/>
      <c r="AN42" s="367"/>
      <c r="AO42" s="105">
        <f>IF(AP42=0,KI!I41,"-")</f>
        <v>20</v>
      </c>
      <c r="AP42" s="102"/>
      <c r="AR42" s="120" t="s">
        <v>14</v>
      </c>
      <c r="AS42" s="117" t="s">
        <v>26</v>
      </c>
      <c r="AT42" s="57" t="s">
        <v>175</v>
      </c>
      <c r="AU42" s="443"/>
      <c r="AV42" s="443"/>
      <c r="AW42" s="443"/>
      <c r="AX42" s="418" t="s">
        <v>176</v>
      </c>
      <c r="AY42" s="418"/>
      <c r="AZ42" s="418"/>
      <c r="BA42" s="439" t="str">
        <f>LOOKUP(AS40,HM!$V$15:$V$655,HM!$AI$15:$AI$655)</f>
        <v/>
      </c>
      <c r="BB42" s="439"/>
      <c r="BC42" s="439"/>
      <c r="BD42" s="439"/>
      <c r="BE42" s="439"/>
      <c r="BF42" s="56" t="str">
        <f>LOOKUP(AS40,HM!$V$15:$V$655,HM!$AJ$15:$AJ$655)</f>
        <v/>
      </c>
      <c r="BG42" s="171" t="str">
        <f>LOOKUP(AS40,HM!$V$15:$V$655,HM!$AK$15:$AK$655)&amp;" "&amp;LOOKUP(AS40,HM!$V$15:$V$655,Tabla9[Diario])</f>
        <v xml:space="preserve"> </v>
      </c>
      <c r="BH42" s="56" t="str">
        <f>LOOKUP(AS40,HM!$V$15:$V$655,HM!$AL$15:$AL$655)</f>
        <v/>
      </c>
      <c r="BI42" s="12"/>
      <c r="BJ42" s="50">
        <v>240</v>
      </c>
      <c r="BK42" s="322" t="str">
        <f>LOOKUP(BK30,HP!$I$17:$I$141,HP!$T$17:$T$141)</f>
        <v/>
      </c>
      <c r="BL42" s="322"/>
      <c r="BN42" s="50">
        <v>240</v>
      </c>
      <c r="BO42" s="322" t="str">
        <f>LOOKUP(BO30,HP!$I$17:$I$141,HP!$T$17:$T$141)</f>
        <v/>
      </c>
      <c r="BP42" s="322"/>
      <c r="BQ42" s="322"/>
      <c r="BS42" s="50">
        <v>240</v>
      </c>
      <c r="BT42" s="322" t="str">
        <f>LOOKUP(BT30,HP!$I$17:$I$141,HP!$T$17:$T$141)</f>
        <v/>
      </c>
      <c r="BU42" s="322"/>
      <c r="BW42" s="442"/>
      <c r="BX42" s="442"/>
      <c r="BY42" s="442"/>
      <c r="BZ42" s="442"/>
      <c r="CA42" s="442"/>
      <c r="CB42" s="442"/>
      <c r="CF42" s="317" t="s">
        <v>138</v>
      </c>
      <c r="CG42" s="318"/>
      <c r="CH42" s="318"/>
      <c r="CI42" s="318"/>
      <c r="CJ42" s="319"/>
      <c r="CK42" s="97"/>
      <c r="CL42" s="317" t="s">
        <v>138</v>
      </c>
      <c r="CM42" s="318"/>
      <c r="CN42" s="318"/>
      <c r="CO42" s="318"/>
      <c r="CP42" s="319"/>
      <c r="CR42" s="97"/>
      <c r="CS42" s="97"/>
      <c r="CT42" s="97"/>
      <c r="CU42" s="1"/>
      <c r="CV42" s="1"/>
      <c r="CW42" s="1"/>
      <c r="CX42" s="1"/>
      <c r="CY42" s="1"/>
      <c r="CZ42" s="1"/>
      <c r="DA42" s="1"/>
      <c r="DB42" s="1"/>
      <c r="DC42" s="97"/>
      <c r="DD42" s="466"/>
      <c r="DE42" s="456"/>
      <c r="DF42" s="456"/>
      <c r="DG42" s="54"/>
      <c r="DH42" s="456"/>
      <c r="DI42" s="456"/>
      <c r="DJ42" s="456"/>
      <c r="DK42" s="11"/>
      <c r="DL42" s="456" t="s">
        <v>272</v>
      </c>
      <c r="DM42" s="456"/>
      <c r="DN42" s="456"/>
      <c r="DO42" s="54">
        <f>SUMPRODUCT(DQ36:DQ59,DT36:DT59)</f>
        <v>0</v>
      </c>
      <c r="DP42" s="11"/>
      <c r="DQ42" s="68">
        <v>2</v>
      </c>
      <c r="DR42" s="322"/>
      <c r="DS42" s="322"/>
      <c r="DT42" s="66">
        <v>0</v>
      </c>
      <c r="DU42" s="66">
        <v>0</v>
      </c>
      <c r="DV42" s="66">
        <v>0</v>
      </c>
      <c r="DW42" s="66">
        <v>0</v>
      </c>
      <c r="DX42" s="66">
        <f>(SUM(DT42:DW42)*LOOKUP(DT42,Sheet3!$O$2:$O$40,Sheet3!$P$2:$P$40))-(30*LOOKUP(DT42,Sheet3!$O$2:$O$40,Sheet3!$Q$2:$Q$40))</f>
        <v>-30</v>
      </c>
    </row>
    <row r="43" spans="1:128" ht="7.35" customHeight="1" x14ac:dyDescent="0.2">
      <c r="B43" s="509" t="str">
        <f>IF(C38=0,"",IF(OR(E38&lt;&gt;0,G38&lt;&gt;0),IF(ABS(C38-MAX(E38,G38))&gt;50,IF(C38&gt;MAX(E38,G38),"Demasiado alto","Demasiado bajo"),""),""))</f>
        <v/>
      </c>
      <c r="C43" s="509"/>
      <c r="D43" s="509" t="str">
        <f>IF(E38=0,"",IF(C38&lt;&gt;0,IF(ABS(E38-C38)&gt;50,IF(E38&gt;C38,"Demasiado alto","Demasiado bajo"),""),""))</f>
        <v/>
      </c>
      <c r="E43" s="509"/>
      <c r="F43" s="509" t="str">
        <f>IF(G38=0,"",IF(C38&lt;&gt;0,IF(ABS(G38-C38)&gt;50,IF(G38&gt;C38,"Demasiado alto","Demasiado bajo"),""),""))</f>
        <v/>
      </c>
      <c r="G43" s="509"/>
      <c r="O43" s="203">
        <f>MAX(1,LOOKUP($C$2,Sheet3!$C$42:$V$42,Sheet3!C73:V73)-Sheet3!AF334)</f>
        <v>2</v>
      </c>
      <c r="P43" s="350" t="s">
        <v>210</v>
      </c>
      <c r="Q43" s="350"/>
      <c r="R43" s="199">
        <v>0</v>
      </c>
      <c r="S43" s="199">
        <f>F14+(F14*T43)</f>
        <v>0</v>
      </c>
      <c r="T43" s="199">
        <v>0</v>
      </c>
      <c r="U43" s="199">
        <v>0</v>
      </c>
      <c r="V43" s="203">
        <f>(LOOKUP($C$2,Sheet3!$C$100:$V$100,Sheet3!C131:V131)+Sheet3!AP334)*$C$3</f>
        <v>0</v>
      </c>
      <c r="W43" s="199">
        <f>((SUM(R43:V43)-T43+Sheet3!$O$396)*IF(R43=0,0,1))-IF(AND(R43=0,Sheet3!$O$396=0),30,0)</f>
        <v>-30</v>
      </c>
      <c r="Y43" s="365"/>
      <c r="Z43" s="365"/>
      <c r="AA43" s="365"/>
      <c r="AB43" s="365"/>
      <c r="AC43" s="365"/>
      <c r="AE43" s="433" t="str">
        <f>LOOKUP(AE34,Sheet3!$DJ$14:$DJ$40,Sheet3!$DO$14:$DO$40)</f>
        <v/>
      </c>
      <c r="AF43" s="433"/>
      <c r="AG43" s="433"/>
      <c r="AH43" s="433"/>
      <c r="AI43" s="75"/>
      <c r="AJ43" s="366" t="s">
        <v>5576</v>
      </c>
      <c r="AK43" s="367"/>
      <c r="AL43" s="367"/>
      <c r="AM43" s="367"/>
      <c r="AN43" s="367"/>
      <c r="AO43" s="105">
        <f>IF(AP43=0,KI!I42,"-")</f>
        <v>40</v>
      </c>
      <c r="AP43" s="102"/>
      <c r="AR43" s="106" t="str">
        <f>LOOKUP(AS40,HM!$V$15:$V$655,HM!$X$15:$X$655)</f>
        <v/>
      </c>
      <c r="AS43" s="118" t="str">
        <f>LOOKUP(AS40,HM!$V$15:$V$655,HM!$Y$15:$Y$655)</f>
        <v/>
      </c>
      <c r="AT43" s="56" t="str">
        <f>LOOKUP(AS40,HM!$V$15:$V$655,HM!$Z$15:$Z$655)</f>
        <v/>
      </c>
      <c r="AU43" s="443"/>
      <c r="AV43" s="443"/>
      <c r="AW43" s="443"/>
      <c r="AX43" s="418" t="s">
        <v>179</v>
      </c>
      <c r="AY43" s="418"/>
      <c r="AZ43" s="418"/>
      <c r="BA43" s="439" t="str">
        <f>LOOKUP(AS40,HM!$V$15:$V$655,HM!$AM$15:$AM$655)</f>
        <v/>
      </c>
      <c r="BB43" s="439"/>
      <c r="BC43" s="439"/>
      <c r="BD43" s="439"/>
      <c r="BE43" s="439"/>
      <c r="BF43" s="56" t="str">
        <f>LOOKUP(AS40,HM!$V$15:$V$655,HM!$AN$15:$AN$655)</f>
        <v/>
      </c>
      <c r="BG43" s="171" t="str">
        <f>LOOKUP(AS40,HM!$V$15:$V$655,HM!$AO$15:$AO$655)&amp;" "&amp;LOOKUP(AS40,HM!$V$15:$V$655,Tabla9[Diario])</f>
        <v xml:space="preserve"> </v>
      </c>
      <c r="BH43" s="56" t="str">
        <f>LOOKUP(AS40,HM!$V$15:$V$655,HM!$AP$15:$AP$655)</f>
        <v/>
      </c>
      <c r="BI43" s="13"/>
      <c r="BJ43" s="50">
        <v>280</v>
      </c>
      <c r="BK43" s="322" t="str">
        <f>LOOKUP(BK30,HP!$I$17:$I$141,HP!$U$17:$U$141)</f>
        <v/>
      </c>
      <c r="BL43" s="322"/>
      <c r="BN43" s="50">
        <v>280</v>
      </c>
      <c r="BO43" s="322" t="str">
        <f>LOOKUP(BO30,HP!$I$17:$I$141,HP!$U$17:$U$141)</f>
        <v/>
      </c>
      <c r="BP43" s="322"/>
      <c r="BQ43" s="322"/>
      <c r="BS43" s="50">
        <v>280</v>
      </c>
      <c r="BT43" s="322" t="str">
        <f>LOOKUP(BT30,HP!$I$17:$I$141,HP!$U$17:$U$141)</f>
        <v/>
      </c>
      <c r="BU43" s="322"/>
      <c r="BV43" s="6"/>
      <c r="BW43" s="442"/>
      <c r="BX43" s="442"/>
      <c r="BY43" s="442"/>
      <c r="BZ43" s="442"/>
      <c r="CA43" s="442"/>
      <c r="CB43" s="442"/>
      <c r="CF43" s="320" t="str">
        <f>LOOKUP(CF41,Tabla15[Poder],Tabla15[Descripcion])</f>
        <v/>
      </c>
      <c r="CG43" s="320"/>
      <c r="CH43" s="320"/>
      <c r="CI43" s="320"/>
      <c r="CJ43" s="320"/>
      <c r="CL43" s="320" t="str">
        <f>LOOKUP(CL41,Tabla15[Poder],Tabla15[Descripcion])</f>
        <v/>
      </c>
      <c r="CM43" s="320"/>
      <c r="CN43" s="320"/>
      <c r="CO43" s="320"/>
      <c r="CP43" s="320"/>
      <c r="CR43" s="97"/>
      <c r="CS43" s="97"/>
      <c r="CT43" s="97"/>
      <c r="CU43" s="1"/>
      <c r="CV43" s="1"/>
      <c r="CW43" s="1"/>
      <c r="CX43" s="1"/>
      <c r="CY43" s="1"/>
      <c r="CZ43" s="1"/>
      <c r="DA43" s="1"/>
      <c r="DB43" s="1"/>
      <c r="DC43" s="97"/>
      <c r="DD43" s="466"/>
      <c r="DE43" s="456"/>
      <c r="DF43" s="456"/>
      <c r="DG43" s="54"/>
      <c r="DH43" s="456"/>
      <c r="DI43" s="456"/>
      <c r="DJ43" s="456"/>
      <c r="DK43" s="11"/>
      <c r="DL43" s="456" t="s">
        <v>86</v>
      </c>
      <c r="DM43" s="456"/>
      <c r="DN43" s="456"/>
      <c r="DO43" s="54">
        <f>SUM(DO39:DO42)</f>
        <v>40</v>
      </c>
      <c r="DP43" s="11"/>
      <c r="DQ43" s="68">
        <v>2</v>
      </c>
      <c r="DR43" s="322"/>
      <c r="DS43" s="322"/>
      <c r="DT43" s="66">
        <v>0</v>
      </c>
      <c r="DU43" s="66">
        <v>0</v>
      </c>
      <c r="DV43" s="66">
        <v>0</v>
      </c>
      <c r="DW43" s="66">
        <v>0</v>
      </c>
      <c r="DX43" s="66">
        <f>(SUM(DT43:DW43)*LOOKUP(DT43,Sheet3!$O$2:$O$40,Sheet3!$P$2:$P$40))-(30*LOOKUP(DT43,Sheet3!$O$2:$O$40,Sheet3!$Q$2:$Q$40))</f>
        <v>-30</v>
      </c>
    </row>
    <row r="44" spans="1:128" ht="7.35" customHeight="1" x14ac:dyDescent="0.2">
      <c r="O44" s="202" t="s">
        <v>27</v>
      </c>
      <c r="P44" s="351" t="s">
        <v>211</v>
      </c>
      <c r="Q44" s="351"/>
      <c r="R44" s="202" t="s">
        <v>2</v>
      </c>
      <c r="S44" s="202" t="s">
        <v>13</v>
      </c>
      <c r="T44" s="202" t="s">
        <v>5332</v>
      </c>
      <c r="U44" s="202" t="s">
        <v>106</v>
      </c>
      <c r="V44" s="202" t="s">
        <v>107</v>
      </c>
      <c r="W44" s="202" t="s">
        <v>108</v>
      </c>
      <c r="Y44" s="17"/>
      <c r="Z44" s="17"/>
      <c r="AA44" s="17"/>
      <c r="AB44" s="17"/>
      <c r="AI44" s="75"/>
      <c r="AJ44" s="366" t="s">
        <v>5577</v>
      </c>
      <c r="AK44" s="367"/>
      <c r="AL44" s="367"/>
      <c r="AM44" s="367"/>
      <c r="AN44" s="367"/>
      <c r="AO44" s="105">
        <f>IF(AP44=0,KI!I43,"-")</f>
        <v>10</v>
      </c>
      <c r="AP44" s="102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2"/>
      <c r="BG44" s="2"/>
      <c r="BH44" s="2"/>
      <c r="BI44" s="13"/>
      <c r="BJ44" s="50">
        <v>320</v>
      </c>
      <c r="BK44" s="322" t="str">
        <f>LOOKUP(BK30,HP!$I$17:$I$141,HP!$V$17:$V$141)</f>
        <v/>
      </c>
      <c r="BL44" s="322"/>
      <c r="BN44" s="50">
        <v>320</v>
      </c>
      <c r="BO44" s="322" t="str">
        <f>LOOKUP(BO30,HP!$I$17:$I$141,HP!$V$17:$V$141)</f>
        <v/>
      </c>
      <c r="BP44" s="322"/>
      <c r="BQ44" s="322"/>
      <c r="BS44" s="50">
        <v>320</v>
      </c>
      <c r="BT44" s="322" t="str">
        <f>LOOKUP(BT30,HP!$I$17:$I$141,HP!$V$17:$V$141)</f>
        <v/>
      </c>
      <c r="BU44" s="322"/>
      <c r="BW44" s="442"/>
      <c r="BX44" s="442"/>
      <c r="BY44" s="442"/>
      <c r="BZ44" s="442"/>
      <c r="CA44" s="442"/>
      <c r="CB44" s="442"/>
      <c r="CF44" s="182"/>
      <c r="CG44" s="182"/>
      <c r="CH44" s="182"/>
      <c r="CL44" s="182"/>
      <c r="CM44" s="182"/>
      <c r="CN44" s="182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97"/>
      <c r="DD44" s="466"/>
      <c r="DE44" s="456"/>
      <c r="DF44" s="456"/>
      <c r="DG44" s="54"/>
      <c r="DH44" s="456"/>
      <c r="DI44" s="456"/>
      <c r="DJ44" s="456"/>
      <c r="DK44" s="11"/>
      <c r="DL44" s="11"/>
      <c r="DM44" s="11"/>
      <c r="DN44" s="11"/>
      <c r="DO44" s="11"/>
      <c r="DP44" s="11"/>
      <c r="DQ44" s="68">
        <v>2</v>
      </c>
      <c r="DR44" s="322"/>
      <c r="DS44" s="322"/>
      <c r="DT44" s="66">
        <v>0</v>
      </c>
      <c r="DU44" s="66">
        <v>0</v>
      </c>
      <c r="DV44" s="66">
        <v>0</v>
      </c>
      <c r="DW44" s="66">
        <v>0</v>
      </c>
      <c r="DX44" s="66">
        <f>(SUM(DT44:DW44)*LOOKUP(DT44,Sheet3!$O$2:$O$40,Sheet3!$P$2:$P$40))-(30*LOOKUP(DT44,Sheet3!$O$2:$O$40,Sheet3!$Q$2:$Q$40))</f>
        <v>-30</v>
      </c>
    </row>
    <row r="45" spans="1:128" ht="7.35" customHeight="1" x14ac:dyDescent="0.2">
      <c r="B45" s="205"/>
      <c r="C45" s="353"/>
      <c r="D45" s="353"/>
      <c r="E45" s="353"/>
      <c r="F45" s="353"/>
      <c r="G45" s="163" t="s">
        <v>153</v>
      </c>
      <c r="H45" s="308" t="str">
        <f>LOOKUP(C45,Sheet3!$AX$4:$AX$181,Sheet3!$BI$4:$BI$181)</f>
        <v/>
      </c>
      <c r="I45" s="308"/>
      <c r="J45" s="308"/>
      <c r="K45" s="308"/>
      <c r="L45" s="308"/>
      <c r="O45" s="203">
        <f>MAX(1,LOOKUP($C$2,Sheet3!$C$42:$V$42,Sheet3!C75:V75)-Sheet3!AF336)</f>
        <v>2</v>
      </c>
      <c r="P45" s="350" t="s">
        <v>212</v>
      </c>
      <c r="Q45" s="350"/>
      <c r="R45" s="199">
        <v>0</v>
      </c>
      <c r="S45" s="199">
        <f>F12+(F12*T45)</f>
        <v>0</v>
      </c>
      <c r="T45" s="199">
        <v>0</v>
      </c>
      <c r="U45" s="199">
        <v>0</v>
      </c>
      <c r="V45" s="203">
        <f>(LOOKUP($C$2,Sheet3!$C$100:$V$100,Sheet3!C133:V133)+Sheet3!AP336)*$C$3</f>
        <v>0</v>
      </c>
      <c r="W45" s="199">
        <f>((SUM(R45:V45)-T45+Sheet3!$O$396)*IF(R45=0,0,1))-IF(AND(R45=0,Sheet3!$O$396=0),30,0)</f>
        <v>-30</v>
      </c>
      <c r="X45" s="5"/>
      <c r="Y45" s="358" t="s">
        <v>221</v>
      </c>
      <c r="Z45" s="358"/>
      <c r="AA45" s="358"/>
      <c r="AB45" s="120" t="s">
        <v>152</v>
      </c>
      <c r="AC45" s="128">
        <f>IF($C$2="Tao",LOOKUP(Y47,Sheet2!$AP$7:$AP$116,Sheet2!$AV$7:$AV$116),LOOKUP(Y47,Sheet2!$AP$7:$AP$116,Sheet2!$AU$7:$AU$116))</f>
        <v>0</v>
      </c>
      <c r="AE45" s="358" t="s">
        <v>5421</v>
      </c>
      <c r="AF45" s="358"/>
      <c r="AG45" s="358"/>
      <c r="AH45" s="358"/>
      <c r="AI45" s="75"/>
      <c r="AJ45" s="114" t="s">
        <v>5590</v>
      </c>
      <c r="AK45" s="366" t="s">
        <v>5578</v>
      </c>
      <c r="AL45" s="367"/>
      <c r="AM45" s="367"/>
      <c r="AN45" s="367"/>
      <c r="AO45" s="105">
        <f>IF(AP45=0,KI!I44,"-")</f>
        <v>30</v>
      </c>
      <c r="AP45" s="102"/>
      <c r="AR45" s="120" t="s">
        <v>5194</v>
      </c>
      <c r="AS45" s="437" t="s">
        <v>0</v>
      </c>
      <c r="AT45" s="418"/>
      <c r="AU45" s="395" t="s">
        <v>164</v>
      </c>
      <c r="AV45" s="395"/>
      <c r="AW45" s="395"/>
      <c r="AX45" s="418" t="s">
        <v>165</v>
      </c>
      <c r="AY45" s="418"/>
      <c r="AZ45" s="418"/>
      <c r="BA45" s="418" t="s">
        <v>164</v>
      </c>
      <c r="BB45" s="418"/>
      <c r="BC45" s="418"/>
      <c r="BD45" s="418"/>
      <c r="BE45" s="418"/>
      <c r="BF45" s="57" t="s">
        <v>27</v>
      </c>
      <c r="BG45" s="57" t="s">
        <v>69</v>
      </c>
      <c r="BH45" s="57" t="s">
        <v>166</v>
      </c>
      <c r="BI45" s="13"/>
      <c r="BJ45" s="50">
        <v>440</v>
      </c>
      <c r="BK45" s="322" t="str">
        <f>LOOKUP(BK30,HP!$I$17:$I$141,HP!$W$17:$W$141)</f>
        <v/>
      </c>
      <c r="BL45" s="322"/>
      <c r="BN45" s="50">
        <v>440</v>
      </c>
      <c r="BO45" s="322" t="str">
        <f>LOOKUP(BO30,HP!$I$17:$I$141,HP!$W$17:$W$141)</f>
        <v/>
      </c>
      <c r="BP45" s="322"/>
      <c r="BQ45" s="322"/>
      <c r="BS45" s="50">
        <v>440</v>
      </c>
      <c r="BT45" s="322" t="str">
        <f>LOOKUP(BT30,HP!$I$17:$I$141,HP!$W$17:$W$141)</f>
        <v/>
      </c>
      <c r="BU45" s="322"/>
      <c r="BV45" s="17"/>
      <c r="BW45" s="442"/>
      <c r="BX45" s="442"/>
      <c r="BY45" s="442"/>
      <c r="BZ45" s="442"/>
      <c r="CA45" s="442"/>
      <c r="CB45" s="442"/>
      <c r="CF45" s="310" t="s">
        <v>0</v>
      </c>
      <c r="CG45" s="310"/>
      <c r="CH45" s="310" t="s">
        <v>228</v>
      </c>
      <c r="CI45" s="310"/>
      <c r="CJ45" s="183" t="s">
        <v>27</v>
      </c>
      <c r="CL45" s="310" t="s">
        <v>0</v>
      </c>
      <c r="CM45" s="310"/>
      <c r="CN45" s="310" t="s">
        <v>228</v>
      </c>
      <c r="CO45" s="310"/>
      <c r="CP45" s="183" t="s">
        <v>27</v>
      </c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97"/>
      <c r="DD45" s="466"/>
      <c r="DE45" s="456"/>
      <c r="DF45" s="456"/>
      <c r="DG45" s="54"/>
      <c r="DH45" s="456"/>
      <c r="DI45" s="456"/>
      <c r="DJ45" s="456"/>
      <c r="DK45" s="11"/>
      <c r="DL45" s="11"/>
      <c r="DM45" s="11"/>
      <c r="DN45" s="11"/>
      <c r="DO45" s="11"/>
      <c r="DP45" s="11"/>
      <c r="DQ45" s="68">
        <v>2</v>
      </c>
      <c r="DR45" s="322"/>
      <c r="DS45" s="322"/>
      <c r="DT45" s="66">
        <v>0</v>
      </c>
      <c r="DU45" s="66">
        <v>0</v>
      </c>
      <c r="DV45" s="66">
        <v>0</v>
      </c>
      <c r="DW45" s="66">
        <v>0</v>
      </c>
      <c r="DX45" s="66">
        <f>(SUM(DT45:DW45)*LOOKUP(DT45,Sheet3!$O$2:$O$40,Sheet3!$P$2:$P$40))-(30*LOOKUP(DT45,Sheet3!$O$2:$O$40,Sheet3!$Q$2:$Q$40))</f>
        <v>-30</v>
      </c>
    </row>
    <row r="46" spans="1:128" ht="7.35" customHeight="1" x14ac:dyDescent="0.2">
      <c r="A46" s="14"/>
      <c r="B46" s="205" t="s">
        <v>116</v>
      </c>
      <c r="C46" s="205" t="s">
        <v>117</v>
      </c>
      <c r="D46" s="205" t="s">
        <v>195</v>
      </c>
      <c r="E46" s="205" t="s">
        <v>196</v>
      </c>
      <c r="F46" s="205" t="s">
        <v>197</v>
      </c>
      <c r="G46" s="359" t="s">
        <v>38</v>
      </c>
      <c r="H46" s="359"/>
      <c r="I46" s="359"/>
      <c r="J46" s="359" t="s">
        <v>26</v>
      </c>
      <c r="K46" s="359"/>
      <c r="L46" s="359"/>
      <c r="O46" s="203">
        <f>MAX(1,LOOKUP($C$2,Sheet3!$C$42:$V$42,Sheet3!C76:V76)-Sheet3!AF337)</f>
        <v>2</v>
      </c>
      <c r="P46" s="350" t="s">
        <v>213</v>
      </c>
      <c r="Q46" s="350"/>
      <c r="R46" s="199">
        <v>0</v>
      </c>
      <c r="S46" s="199">
        <f>F12+(F12*T46)</f>
        <v>0</v>
      </c>
      <c r="T46" s="199">
        <v>0</v>
      </c>
      <c r="U46" s="199">
        <v>0</v>
      </c>
      <c r="V46" s="203">
        <f>(LOOKUP($C$2,Sheet3!$C$100:$V$100,Sheet3!C134:V134)+Sheet3!AP337)*$C$3</f>
        <v>0</v>
      </c>
      <c r="W46" s="199">
        <f>((SUM(R46:V46)-T46+Sheet3!$O$396)*IF(R46=0,0,1))-IF(AND(R46=0,Sheet3!$O$396=0),30,0)</f>
        <v>-30</v>
      </c>
      <c r="X46" s="6"/>
      <c r="Y46" s="357" t="s">
        <v>0</v>
      </c>
      <c r="Z46" s="357"/>
      <c r="AA46" s="357" t="s">
        <v>13</v>
      </c>
      <c r="AB46" s="357"/>
      <c r="AC46" s="357"/>
      <c r="AE46" s="354"/>
      <c r="AF46" s="355"/>
      <c r="AG46" s="355"/>
      <c r="AH46" s="356"/>
      <c r="AI46" s="75"/>
      <c r="AJ46" s="114" t="s">
        <v>5589</v>
      </c>
      <c r="AK46" s="366" t="s">
        <v>5579</v>
      </c>
      <c r="AL46" s="367"/>
      <c r="AM46" s="367"/>
      <c r="AN46" s="367"/>
      <c r="AO46" s="105">
        <f>IF(AP46=0,KI!I45,"-")</f>
        <v>20</v>
      </c>
      <c r="AP46" s="102"/>
      <c r="AR46" s="440"/>
      <c r="AS46" s="438"/>
      <c r="AT46" s="439"/>
      <c r="AU46" s="443" t="str">
        <f>LOOKUP(AS46,HM!$V$15:$V$655,HM!$W$15:$W$655)</f>
        <v/>
      </c>
      <c r="AV46" s="443"/>
      <c r="AW46" s="443"/>
      <c r="AX46" s="418" t="s">
        <v>2</v>
      </c>
      <c r="AY46" s="418"/>
      <c r="AZ46" s="418"/>
      <c r="BA46" s="439" t="str">
        <f>LOOKUP(AS46,HM!$V$15:$V$655,HM!$AA$15:$AA$655)</f>
        <v/>
      </c>
      <c r="BB46" s="439"/>
      <c r="BC46" s="439"/>
      <c r="BD46" s="439"/>
      <c r="BE46" s="439"/>
      <c r="BF46" s="56" t="str">
        <f>LOOKUP(AS46,HM!$V$15:$V$655,HM!$AB$15:$AB$655)</f>
        <v/>
      </c>
      <c r="BG46" s="171" t="str">
        <f>LOOKUP(AS46,HM!$V$15:$V$655,HM!$AC$15:$AC$655)&amp;" "&amp;LOOKUP(AS46,HM!$V$15:$V$655,Tabla9[Diario])</f>
        <v xml:space="preserve"> </v>
      </c>
      <c r="BH46" s="56" t="str">
        <f>LOOKUP(AS46,HM!$V$15:$V$655,HM!$AD$15:$AD$655)</f>
        <v/>
      </c>
      <c r="BI46" s="13"/>
      <c r="BU46" s="1"/>
      <c r="BV46" s="17"/>
      <c r="BW46" s="442"/>
      <c r="BX46" s="442"/>
      <c r="BY46" s="442"/>
      <c r="BZ46" s="442"/>
      <c r="CA46" s="442"/>
      <c r="CB46" s="442"/>
      <c r="CF46" s="311"/>
      <c r="CG46" s="312"/>
      <c r="CH46" s="311" t="str">
        <f>LOOKUP(CF46,Tabla15[Poder],Tabla15[Requisito])</f>
        <v/>
      </c>
      <c r="CI46" s="312"/>
      <c r="CJ46" s="167">
        <f>LOOKUP(CF46,Tabla15[Poder],Tabla15[Coste])</f>
        <v>0</v>
      </c>
      <c r="CL46" s="311"/>
      <c r="CM46" s="312"/>
      <c r="CN46" s="311" t="str">
        <f>LOOKUP(CL46,Tabla15[Poder],Tabla15[Requisito])</f>
        <v/>
      </c>
      <c r="CO46" s="312"/>
      <c r="CP46" s="167">
        <f>LOOKUP(CL46,Tabla15[Poder],Tabla15[Coste])</f>
        <v>0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97"/>
      <c r="DD46" s="466"/>
      <c r="DE46" s="456"/>
      <c r="DF46" s="456"/>
      <c r="DG46" s="54"/>
      <c r="DH46" s="456"/>
      <c r="DI46" s="456"/>
      <c r="DJ46" s="456"/>
      <c r="DK46" s="11"/>
      <c r="DL46" s="11"/>
      <c r="DM46" s="11"/>
      <c r="DN46" s="11"/>
      <c r="DO46" s="11"/>
      <c r="DP46" s="11"/>
      <c r="DQ46" s="68">
        <v>2</v>
      </c>
      <c r="DR46" s="322"/>
      <c r="DS46" s="322"/>
      <c r="DT46" s="66">
        <v>0</v>
      </c>
      <c r="DU46" s="66">
        <v>0</v>
      </c>
      <c r="DV46" s="66">
        <v>0</v>
      </c>
      <c r="DW46" s="66">
        <v>0</v>
      </c>
      <c r="DX46" s="66">
        <f>(SUM(DT46:DW46)*LOOKUP(DT46,Sheet3!$O$2:$O$40,Sheet3!$P$2:$P$40))-(30*LOOKUP(DT46,Sheet3!$O$2:$O$40,Sheet3!$Q$2:$Q$40))</f>
        <v>-30</v>
      </c>
    </row>
    <row r="47" spans="1:128" ht="7.35" customHeight="1" x14ac:dyDescent="0.2">
      <c r="B47" s="195">
        <f>5*(LOOKUP(J49,Sheet3!$L$2:$L$6,Sheet3!$M$2:$M$6))</f>
        <v>0</v>
      </c>
      <c r="C47" s="195">
        <f>5*(LOOKUP(J49,Sheet3!$L$2:$L$6,Sheet3!$M$2:$M$6))</f>
        <v>0</v>
      </c>
      <c r="D47" s="195">
        <f>(LOOKUP(C45,Tabla11[Nombre],Tabla11[Daño])+(10*(LOOKUP(J49,Sheet3!$L$2:$L$6,Sheet3!$M$2:$M$6))))*LOOKUP(K49,Sheet3!$K$186:$K$189,Sheet3!$N$186:$N$189)</f>
        <v>0</v>
      </c>
      <c r="E47" s="195">
        <f>$F$13</f>
        <v>0</v>
      </c>
      <c r="F47" s="195">
        <f>SUM(D47:E47)+IF(C45&lt;&gt;0,IF(AP15&gt;5,10,0),0)+IF(C45&lt;&gt;0,IF(AP17&gt;5,10,0),0)</f>
        <v>0</v>
      </c>
      <c r="G47" s="308" t="str">
        <f>LOOKUP(C45,Tabla11[Nombre],Tabla11[Especial])</f>
        <v/>
      </c>
      <c r="H47" s="308"/>
      <c r="I47" s="308"/>
      <c r="J47" s="308" t="str">
        <f>LOOKUP(C45,Tabla11[Nombre],Tabla11[Tipo de arma])</f>
        <v/>
      </c>
      <c r="K47" s="308"/>
      <c r="L47" s="308"/>
      <c r="O47" s="203">
        <f>MAX(1,LOOKUP($C$2,Sheet3!$C$42:$V$42,Sheet3!C77:V77)-Sheet3!AF338)</f>
        <v>2</v>
      </c>
      <c r="P47" s="350" t="s">
        <v>214</v>
      </c>
      <c r="Q47" s="350"/>
      <c r="R47" s="199">
        <v>0</v>
      </c>
      <c r="S47" s="199">
        <f>F15+(F15*T47)</f>
        <v>0</v>
      </c>
      <c r="T47" s="199">
        <v>0</v>
      </c>
      <c r="U47" s="199">
        <v>0</v>
      </c>
      <c r="V47" s="203">
        <f>(LOOKUP($C$2,Sheet3!$C$100:$V$100,Sheet3!C135:V135)+Sheet3!AP338)*$C$3</f>
        <v>0</v>
      </c>
      <c r="W47" s="199">
        <f>((SUM(R47:V47)-T47+Sheet3!$O$396)*IF(R47=0,0,1))-IF(AND(R47=0,Sheet3!$O$396=0),30,0)</f>
        <v>-30</v>
      </c>
      <c r="Y47" s="371"/>
      <c r="Z47" s="371"/>
      <c r="AA47" s="371" t="str">
        <f>LOOKUP(Y47,Sheet2!$AP$7:$AP$116,Sheet2!$AR$7:$AR$116)</f>
        <v/>
      </c>
      <c r="AB47" s="371"/>
      <c r="AC47" s="371"/>
      <c r="AE47" s="322" t="s">
        <v>5422</v>
      </c>
      <c r="AF47" s="322"/>
      <c r="AG47" s="322"/>
      <c r="AH47" s="322"/>
      <c r="AI47" s="75"/>
      <c r="AJ47" s="366" t="s">
        <v>5580</v>
      </c>
      <c r="AK47" s="367"/>
      <c r="AL47" s="367"/>
      <c r="AM47" s="367"/>
      <c r="AN47" s="367"/>
      <c r="AO47" s="105">
        <f>IF(AP47=0,KI!I46,"-")</f>
        <v>30</v>
      </c>
      <c r="AP47" s="102"/>
      <c r="AR47" s="440"/>
      <c r="AS47" s="438"/>
      <c r="AT47" s="439"/>
      <c r="AU47" s="443"/>
      <c r="AV47" s="443"/>
      <c r="AW47" s="443"/>
      <c r="AX47" s="418" t="s">
        <v>173</v>
      </c>
      <c r="AY47" s="418"/>
      <c r="AZ47" s="418"/>
      <c r="BA47" s="439" t="str">
        <f>LOOKUP(AS46,HM!$V$15:$V$655,HM!$AE$15:$AE$655)</f>
        <v/>
      </c>
      <c r="BB47" s="439"/>
      <c r="BC47" s="439"/>
      <c r="BD47" s="439"/>
      <c r="BE47" s="439"/>
      <c r="BF47" s="56" t="str">
        <f>LOOKUP(AS46,HM!$V$15:$V$655,HM!$AF$15:$AF$655)</f>
        <v/>
      </c>
      <c r="BG47" s="171" t="str">
        <f>LOOKUP(AS46,HM!$V$15:$V$655,HM!$AG$15:$AG$655)&amp;" "&amp;LOOKUP(AS46,HM!$V$15:$V$655,Tabla9[Diario])</f>
        <v xml:space="preserve"> </v>
      </c>
      <c r="BH47" s="56" t="str">
        <f>LOOKUP(AS46,HM!$V$15:$V$655,HM!$AH$15:$AH$655)</f>
        <v/>
      </c>
      <c r="BJ47" s="63" t="s">
        <v>4266</v>
      </c>
      <c r="BK47" s="358" t="s">
        <v>0</v>
      </c>
      <c r="BL47" s="358"/>
      <c r="BN47" s="63" t="s">
        <v>4266</v>
      </c>
      <c r="BO47" s="358" t="s">
        <v>0</v>
      </c>
      <c r="BP47" s="358"/>
      <c r="BQ47" s="358"/>
      <c r="BS47" s="63" t="s">
        <v>4266</v>
      </c>
      <c r="BT47" s="358" t="s">
        <v>0</v>
      </c>
      <c r="BU47" s="358"/>
      <c r="BW47" s="442"/>
      <c r="BX47" s="442"/>
      <c r="BY47" s="442"/>
      <c r="BZ47" s="442"/>
      <c r="CA47" s="442"/>
      <c r="CB47" s="442"/>
      <c r="CF47" s="309" t="s">
        <v>138</v>
      </c>
      <c r="CG47" s="309"/>
      <c r="CH47" s="309"/>
      <c r="CI47" s="309"/>
      <c r="CJ47" s="309"/>
      <c r="CK47" s="97"/>
      <c r="CL47" s="309" t="s">
        <v>138</v>
      </c>
      <c r="CM47" s="309"/>
      <c r="CN47" s="309"/>
      <c r="CO47" s="309"/>
      <c r="CP47" s="309"/>
      <c r="CQ47" s="177"/>
      <c r="CR47" s="323" t="s">
        <v>215</v>
      </c>
      <c r="CS47" s="324"/>
      <c r="CT47" s="324"/>
      <c r="CU47" s="324"/>
      <c r="CV47" s="324"/>
      <c r="CW47" s="324"/>
      <c r="CX47" s="324"/>
      <c r="CY47" s="324"/>
      <c r="CZ47" s="324"/>
      <c r="DA47" s="324"/>
      <c r="DB47" s="325"/>
      <c r="DC47" s="97"/>
      <c r="DD47" s="456"/>
      <c r="DE47" s="456"/>
      <c r="DF47" s="456"/>
      <c r="DG47" s="54"/>
      <c r="DH47" s="456"/>
      <c r="DI47" s="456"/>
      <c r="DJ47" s="456"/>
      <c r="DK47" s="11"/>
      <c r="DL47" s="11"/>
      <c r="DM47" s="11"/>
      <c r="DN47" s="11"/>
      <c r="DO47" s="11"/>
      <c r="DP47" s="11"/>
      <c r="DQ47" s="68">
        <v>2</v>
      </c>
      <c r="DR47" s="322"/>
      <c r="DS47" s="322"/>
      <c r="DT47" s="66">
        <v>0</v>
      </c>
      <c r="DU47" s="66">
        <v>0</v>
      </c>
      <c r="DV47" s="66">
        <v>0</v>
      </c>
      <c r="DW47" s="66">
        <v>0</v>
      </c>
      <c r="DX47" s="66">
        <f>(SUM(DT47:DW47)*LOOKUP(DT47,Sheet3!$O$2:$O$40,Sheet3!$P$2:$P$40))-(30*LOOKUP(DT47,Sheet3!$O$2:$O$40,Sheet3!$Q$2:$Q$40))</f>
        <v>-30</v>
      </c>
    </row>
    <row r="48" spans="1:128" ht="7.35" customHeight="1" x14ac:dyDescent="0.2">
      <c r="B48" s="205" t="s">
        <v>200</v>
      </c>
      <c r="C48" s="205" t="s">
        <v>143</v>
      </c>
      <c r="D48" s="205" t="s">
        <v>201</v>
      </c>
      <c r="E48" s="205" t="s">
        <v>144</v>
      </c>
      <c r="F48" s="205" t="s">
        <v>202</v>
      </c>
      <c r="G48" s="163" t="s">
        <v>203</v>
      </c>
      <c r="H48" s="163" t="s">
        <v>204</v>
      </c>
      <c r="I48" s="163" t="s">
        <v>205</v>
      </c>
      <c r="J48" s="163" t="s">
        <v>16</v>
      </c>
      <c r="K48" s="345" t="s">
        <v>55</v>
      </c>
      <c r="L48" s="345"/>
      <c r="O48" s="203">
        <f>MAX(1,LOOKUP($C$2,Sheet3!$C$42:$V$42,Sheet3!C78:V78)-Sheet3!AF339)</f>
        <v>2</v>
      </c>
      <c r="P48" s="350" t="s">
        <v>216</v>
      </c>
      <c r="Q48" s="350"/>
      <c r="R48" s="199">
        <v>0</v>
      </c>
      <c r="S48" s="199">
        <f>F12+(F12*T48)</f>
        <v>0</v>
      </c>
      <c r="T48" s="199">
        <v>0</v>
      </c>
      <c r="U48" s="199">
        <v>0</v>
      </c>
      <c r="V48" s="203">
        <f>(LOOKUP($C$2,Sheet3!$C$100:$V$100,Sheet3!C136:V136)+Sheet3!AP339)*$C$3</f>
        <v>0</v>
      </c>
      <c r="W48" s="199">
        <f>((SUM(R48:V48)-T48+Sheet3!$O$396)*IF(R48=0,0,1))-IF(AND(R48=0,Sheet3!$O$396=0),30,0)</f>
        <v>-30</v>
      </c>
      <c r="Y48" s="357" t="s">
        <v>228</v>
      </c>
      <c r="Z48" s="357"/>
      <c r="AA48" s="357"/>
      <c r="AB48" s="120" t="s">
        <v>5</v>
      </c>
      <c r="AC48" s="120" t="s">
        <v>229</v>
      </c>
      <c r="AE48" s="365" t="str">
        <f>LOOKUP(AE46,Sheet3!$DV$6:$DV$21,Sheet3!$DW$6:$DW$21)</f>
        <v/>
      </c>
      <c r="AF48" s="365"/>
      <c r="AG48" s="365"/>
      <c r="AH48" s="365"/>
      <c r="AI48" s="75"/>
      <c r="AJ48" s="114" t="s">
        <v>5590</v>
      </c>
      <c r="AK48" s="366" t="s">
        <v>5582</v>
      </c>
      <c r="AL48" s="367"/>
      <c r="AM48" s="367"/>
      <c r="AN48" s="367"/>
      <c r="AO48" s="105">
        <f>IF(AP48=0,KI!I47,"-")</f>
        <v>30</v>
      </c>
      <c r="AP48" s="102"/>
      <c r="AR48" s="120" t="s">
        <v>14</v>
      </c>
      <c r="AS48" s="117" t="s">
        <v>26</v>
      </c>
      <c r="AT48" s="57" t="s">
        <v>175</v>
      </c>
      <c r="AU48" s="443"/>
      <c r="AV48" s="443"/>
      <c r="AW48" s="443"/>
      <c r="AX48" s="418" t="s">
        <v>176</v>
      </c>
      <c r="AY48" s="418"/>
      <c r="AZ48" s="418"/>
      <c r="BA48" s="439" t="str">
        <f>LOOKUP(AS46,HM!$V$15:$V$655,HM!$AI$15:$AI$655)</f>
        <v/>
      </c>
      <c r="BB48" s="439"/>
      <c r="BC48" s="439"/>
      <c r="BD48" s="439"/>
      <c r="BE48" s="439"/>
      <c r="BF48" s="56" t="str">
        <f>LOOKUP(AS46,HM!$V$15:$V$655,HM!$AJ$15:$AJ$655)</f>
        <v/>
      </c>
      <c r="BG48" s="171" t="str">
        <f>LOOKUP(AS46,HM!$V$15:$V$655,HM!$AK$15:$AK$655)&amp;" "&amp;LOOKUP(AS46,HM!$V$15:$V$655,Tabla9[Diario])</f>
        <v xml:space="preserve"> </v>
      </c>
      <c r="BH48" s="56" t="str">
        <f>LOOKUP(AS46,HM!$V$15:$V$655,HM!$AL$15:$AL$655)</f>
        <v/>
      </c>
      <c r="BI48" s="12"/>
      <c r="BJ48" s="50"/>
      <c r="BK48" s="322"/>
      <c r="BL48" s="322"/>
      <c r="BN48" s="50"/>
      <c r="BO48" s="322"/>
      <c r="BP48" s="322"/>
      <c r="BQ48" s="322"/>
      <c r="BS48" s="50"/>
      <c r="BT48" s="322"/>
      <c r="BU48" s="322"/>
      <c r="BW48" s="442"/>
      <c r="BX48" s="442"/>
      <c r="BY48" s="442"/>
      <c r="BZ48" s="442"/>
      <c r="CA48" s="442"/>
      <c r="CB48" s="442"/>
      <c r="CF48" s="308" t="str">
        <f>LOOKUP(CF46,Tabla15[Poder],Tabla15[Descripcion])</f>
        <v/>
      </c>
      <c r="CG48" s="308"/>
      <c r="CH48" s="308"/>
      <c r="CI48" s="308"/>
      <c r="CJ48" s="308"/>
      <c r="CK48" s="184"/>
      <c r="CL48" s="308" t="str">
        <f>LOOKUP(CL46,Tabla15[Poder],Tabla15[Descripcion])</f>
        <v/>
      </c>
      <c r="CM48" s="308"/>
      <c r="CN48" s="308"/>
      <c r="CO48" s="308"/>
      <c r="CP48" s="308"/>
      <c r="CQ48" s="177"/>
      <c r="CR48" s="326"/>
      <c r="CS48" s="327"/>
      <c r="CT48" s="327"/>
      <c r="CU48" s="327"/>
      <c r="CV48" s="327"/>
      <c r="CW48" s="327"/>
      <c r="CX48" s="327"/>
      <c r="CY48" s="327"/>
      <c r="CZ48" s="327"/>
      <c r="DA48" s="327"/>
      <c r="DB48" s="328"/>
      <c r="DC48" s="97"/>
      <c r="DD48" s="456"/>
      <c r="DE48" s="456"/>
      <c r="DF48" s="456"/>
      <c r="DG48" s="54"/>
      <c r="DH48" s="456"/>
      <c r="DI48" s="456"/>
      <c r="DJ48" s="456"/>
      <c r="DK48" s="11"/>
      <c r="DL48" s="11"/>
      <c r="DM48" s="11"/>
      <c r="DN48" s="11"/>
      <c r="DO48" s="11"/>
      <c r="DP48" s="11"/>
      <c r="DQ48" s="68">
        <v>2</v>
      </c>
      <c r="DR48" s="322"/>
      <c r="DS48" s="322"/>
      <c r="DT48" s="66">
        <v>0</v>
      </c>
      <c r="DU48" s="66">
        <v>0</v>
      </c>
      <c r="DV48" s="66">
        <v>0</v>
      </c>
      <c r="DW48" s="66">
        <v>0</v>
      </c>
      <c r="DX48" s="66">
        <f>(SUM(DT48:DW48)*LOOKUP(DT48,Sheet3!$O$2:$O$40,Sheet3!$P$2:$P$40))-(30*LOOKUP(DT48,Sheet3!$O$2:$O$40,Sheet3!$Q$2:$Q$40))</f>
        <v>-30</v>
      </c>
    </row>
    <row r="49" spans="1:128" ht="7.35" customHeight="1" x14ac:dyDescent="0.2">
      <c r="B49" s="195">
        <f>IFERROR(LOOKUP(C45,Tabla11[Nombre],Tabla11[Turno])+(5*(LOOKUP($J$49,Sheet3!$L$2:$L$6,Sheet3!$M$2:$M$6)))+LOOKUP(K49,Sheet3!$K$186:$K$189,Sheet3!$O$186:$O$189),"No usable")</f>
        <v>20</v>
      </c>
      <c r="C49" s="195">
        <f>IFERROR(LOOKUP(C45,Tabla11[Nombre],Tabla11[Entereza])+(10*(LOOKUP($J$49,Sheet3!$L$2:$L$6,Sheet3!$M$2:$M$6)))+IF(C45&lt;&gt;0,IF($AP$15&gt;5,10,0)+LOOKUP(K49,Sheet3!$K$186:$K$189,Sheet3!$M$186:$M$189),0),"NA")</f>
        <v>0</v>
      </c>
      <c r="D49" s="195">
        <f>IFERROR(LOOKUP(C45,Tabla11[Nombre],Tabla11[Rotura])+(2*(LOOKUP($J$49,Sheet3!$L$2:$L$6,Sheet3!$M$2:$M$6)))+IF(C45&lt;&gt;0,IF($AP$15&gt;5,5,0)+Sheet3!$L$176+Sheet3!$N$174+LOOKUP(K49,Sheet3!$K$186:$K$189,Sheet3!$L$186:$L$189),0),"NA")</f>
        <v>0</v>
      </c>
      <c r="E49" s="195">
        <f>IFERROR(LOOKUP(C45,Tabla11[Nombre],Tabla11[Presencia])+(50*(LOOKUP($J$49,Sheet3!$L$2:$L$6,Sheet3!$M$2:$M$6))),"NA")</f>
        <v>0</v>
      </c>
      <c r="F49" s="195" t="str">
        <f>LOOKUP(C45,Tabla11[Nombre],Tabla11[Crítico 1])</f>
        <v/>
      </c>
      <c r="G49" s="279" t="str">
        <f>IF(C45&lt;&gt;0,IF($AP$16&lt;&gt;0,LOOKUP($AN$16,Sheet3!$L$286:$M$291),LOOKUP(C45,Tabla11[Nombre],Tabla11[Ctrítico 2])),"")</f>
        <v/>
      </c>
      <c r="H49" s="279" t="str">
        <f>LOOKUP(C45,Tabla11[Nombre],Tabla11[Fuerza requerida])&amp;IF(C45&lt;&gt;0,LOOKUP(K49,Sheet3!$K$186:$K$189,Sheet3!$P$186:$P$189),"")</f>
        <v/>
      </c>
      <c r="I49" s="279"/>
      <c r="J49" s="279"/>
      <c r="K49" s="360"/>
      <c r="L49" s="361"/>
      <c r="O49" s="203">
        <f>MAX(1,LOOKUP($C$2,Sheet3!$C$42:$V$42,Sheet3!C79:V79)-Sheet3!AF340)</f>
        <v>2</v>
      </c>
      <c r="P49" s="350" t="s">
        <v>218</v>
      </c>
      <c r="Q49" s="350"/>
      <c r="R49" s="199">
        <v>0</v>
      </c>
      <c r="S49" s="199">
        <f>F10+(F10*T49)</f>
        <v>0</v>
      </c>
      <c r="T49" s="199">
        <v>0</v>
      </c>
      <c r="U49" s="199">
        <v>0</v>
      </c>
      <c r="V49" s="203">
        <f>(LOOKUP($C$2,Sheet3!$C$100:$V$100,Sheet3!C137:V137)+Sheet3!AP340)*$C$3</f>
        <v>0</v>
      </c>
      <c r="W49" s="199">
        <f>((SUM(R49:V49)-T49+Sheet3!$O$396)*IF(R49=0,0,1))-IF(AND(R49=0,Sheet3!$O$396=0),30,0)</f>
        <v>-30</v>
      </c>
      <c r="Y49" s="371" t="str">
        <f>LOOKUP(Y47,Sheet2!$AP$7:$AP$116,Sheet2!$AQ$7:$AQ$116)</f>
        <v/>
      </c>
      <c r="Z49" s="371"/>
      <c r="AA49" s="371"/>
      <c r="AB49" s="127">
        <f>LOOKUP(Y47,Sheet2!$AP$7:$AP$116,Sheet2!$AS$7:$AS$116)</f>
        <v>0</v>
      </c>
      <c r="AC49" s="127" t="str">
        <f>LOOKUP(Y47,Sheet2!$AP$7:$AP$116,Sheet2!$AW$7:$AW$116)</f>
        <v/>
      </c>
      <c r="AE49" s="365"/>
      <c r="AF49" s="365"/>
      <c r="AG49" s="365"/>
      <c r="AH49" s="365"/>
      <c r="AJ49" s="114" t="s">
        <v>5588</v>
      </c>
      <c r="AK49" s="115" t="s">
        <v>5589</v>
      </c>
      <c r="AL49" s="366" t="s">
        <v>5581</v>
      </c>
      <c r="AM49" s="367"/>
      <c r="AN49" s="367"/>
      <c r="AO49" s="105">
        <f>IF(AP49=0,KI!I48,"-")</f>
        <v>40</v>
      </c>
      <c r="AP49" s="102"/>
      <c r="AR49" s="106" t="str">
        <f>LOOKUP(AS46,HM!$V$15:$V$655,HM!$X$15:$X$655)</f>
        <v/>
      </c>
      <c r="AS49" s="118" t="str">
        <f>LOOKUP(AS46,HM!$V$15:$V$655,HM!$Y$15:$Y$655)</f>
        <v/>
      </c>
      <c r="AT49" s="56" t="str">
        <f>LOOKUP(AS46,HM!$V$15:$V$655,HM!$Z$15:$Z$655)</f>
        <v/>
      </c>
      <c r="AU49" s="443"/>
      <c r="AV49" s="443"/>
      <c r="AW49" s="443"/>
      <c r="AX49" s="418" t="s">
        <v>179</v>
      </c>
      <c r="AY49" s="418"/>
      <c r="AZ49" s="418"/>
      <c r="BA49" s="439" t="str">
        <f>LOOKUP(AS46,HM!$V$15:$V$655,HM!$AM$15:$AM$655)</f>
        <v/>
      </c>
      <c r="BB49" s="439"/>
      <c r="BC49" s="439"/>
      <c r="BD49" s="439"/>
      <c r="BE49" s="439"/>
      <c r="BF49" s="56" t="str">
        <f>LOOKUP(AS46,HM!$V$15:$V$655,HM!$AN$15:$AN$655)</f>
        <v/>
      </c>
      <c r="BG49" s="171" t="str">
        <f>LOOKUP(AS46,HM!$V$15:$V$655,HM!$AO$15:$AO$655)&amp;" "&amp;LOOKUP(AS46,HM!$V$15:$V$655,Tabla9[Diario])</f>
        <v xml:space="preserve"> </v>
      </c>
      <c r="BH49" s="56" t="str">
        <f>LOOKUP(AS46,HM!$V$15:$V$655,HM!$AP$15:$AP$655)</f>
        <v/>
      </c>
      <c r="BI49" s="13"/>
      <c r="BJ49" s="63" t="s">
        <v>14</v>
      </c>
      <c r="BK49" s="63" t="s">
        <v>175</v>
      </c>
      <c r="BL49" s="63" t="s">
        <v>177</v>
      </c>
      <c r="BN49" s="63" t="s">
        <v>14</v>
      </c>
      <c r="BO49" s="63" t="s">
        <v>175</v>
      </c>
      <c r="BP49" s="358" t="s">
        <v>177</v>
      </c>
      <c r="BQ49" s="358"/>
      <c r="BS49" s="63" t="s">
        <v>14</v>
      </c>
      <c r="BT49" s="63" t="s">
        <v>175</v>
      </c>
      <c r="BU49" s="63" t="s">
        <v>177</v>
      </c>
      <c r="BW49" s="442"/>
      <c r="BX49" s="442"/>
      <c r="BY49" s="442"/>
      <c r="BZ49" s="442"/>
      <c r="CA49" s="442"/>
      <c r="CB49" s="442"/>
      <c r="CF49" s="182"/>
      <c r="CG49" s="184"/>
      <c r="CH49" s="184"/>
      <c r="CI49" s="184"/>
      <c r="CK49" s="184"/>
      <c r="CL49" s="182"/>
      <c r="CM49" s="184"/>
      <c r="CN49" s="184"/>
      <c r="CO49" s="184"/>
      <c r="CQ49" s="177"/>
      <c r="CR49" s="329"/>
      <c r="CS49" s="330"/>
      <c r="CT49" s="330"/>
      <c r="CU49" s="330"/>
      <c r="CV49" s="330"/>
      <c r="CW49" s="330"/>
      <c r="CX49" s="330"/>
      <c r="CY49" s="330"/>
      <c r="CZ49" s="330"/>
      <c r="DA49" s="330"/>
      <c r="DB49" s="331"/>
      <c r="DC49" s="97"/>
      <c r="DD49" s="456"/>
      <c r="DE49" s="456"/>
      <c r="DF49" s="456"/>
      <c r="DG49" s="54"/>
      <c r="DH49" s="456"/>
      <c r="DI49" s="456"/>
      <c r="DJ49" s="456"/>
      <c r="DK49" s="11"/>
      <c r="DL49" s="24"/>
      <c r="DM49" s="11"/>
      <c r="DN49" s="11"/>
      <c r="DO49" s="11"/>
      <c r="DP49" s="11"/>
      <c r="DQ49" s="68">
        <v>2</v>
      </c>
      <c r="DR49" s="322"/>
      <c r="DS49" s="322"/>
      <c r="DT49" s="66">
        <v>0</v>
      </c>
      <c r="DU49" s="66">
        <v>0</v>
      </c>
      <c r="DV49" s="66">
        <v>0</v>
      </c>
      <c r="DW49" s="66">
        <v>0</v>
      </c>
      <c r="DX49" s="66">
        <f>(SUM(DT49:DW49)*LOOKUP(DT49,Sheet3!$O$2:$O$40,Sheet3!$P$2:$P$40))-(30*LOOKUP(DT49,Sheet3!$O$2:$O$40,Sheet3!$Q$2:$Q$40))</f>
        <v>-30</v>
      </c>
    </row>
    <row r="50" spans="1:128" ht="7.35" customHeight="1" x14ac:dyDescent="0.2">
      <c r="B50" s="15"/>
      <c r="C50" s="15"/>
      <c r="D50" s="15"/>
      <c r="E50" s="15"/>
      <c r="F50" s="15"/>
      <c r="G50" s="15"/>
      <c r="H50" s="15"/>
      <c r="I50" s="15"/>
      <c r="J50" s="15"/>
      <c r="O50" s="203">
        <f>MAX(1,LOOKUP($C$2,Sheet3!$C$42:$V$42,Sheet3!C80:V80)-Sheet3!AF341)</f>
        <v>2</v>
      </c>
      <c r="P50" s="350" t="s">
        <v>220</v>
      </c>
      <c r="Q50" s="350"/>
      <c r="R50" s="199">
        <v>0</v>
      </c>
      <c r="S50" s="199">
        <f>F15+(F15*T50)</f>
        <v>0</v>
      </c>
      <c r="T50" s="199">
        <v>0</v>
      </c>
      <c r="U50" s="199">
        <v>0</v>
      </c>
      <c r="V50" s="203">
        <f>(LOOKUP($C$2,Sheet3!$C$100:$V$100,Sheet3!C138:V138)+Sheet3!AP341)*$C$3</f>
        <v>0</v>
      </c>
      <c r="W50" s="199">
        <f>((SUM(R50:V50)-T50+Sheet3!$O$396)*IF(R50=0,0,1))-IF(AND(R50=0,Sheet3!$O$396=0),30,0)</f>
        <v>-30</v>
      </c>
      <c r="Y50" s="357" t="s">
        <v>233</v>
      </c>
      <c r="Z50" s="357"/>
      <c r="AA50" s="357"/>
      <c r="AB50" s="357"/>
      <c r="AC50" s="357"/>
      <c r="AE50" s="365"/>
      <c r="AF50" s="365"/>
      <c r="AG50" s="365"/>
      <c r="AH50" s="365"/>
      <c r="AJ50" s="114" t="s">
        <v>5590</v>
      </c>
      <c r="AK50" s="366" t="s">
        <v>5583</v>
      </c>
      <c r="AL50" s="367"/>
      <c r="AM50" s="367"/>
      <c r="AN50" s="367"/>
      <c r="AO50" s="105">
        <f>IF(AP50=0,KI!I49,"-")</f>
        <v>30</v>
      </c>
      <c r="AP50" s="102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2"/>
      <c r="BG50" s="17"/>
      <c r="BH50" s="17"/>
      <c r="BI50" s="13"/>
      <c r="BJ50" s="50" t="str">
        <f>LOOKUP(BK48,HP!$I$17:$I$141,HP!$J$17:$J$141)</f>
        <v/>
      </c>
      <c r="BK50" s="50" t="str">
        <f>LOOKUP(BK48,HP!$I$17:$I$141,HP!$K$17:$K$141)</f>
        <v/>
      </c>
      <c r="BL50" s="50" t="str">
        <f>LOOKUP(BK48,HP!$I$17:$I$141,HP!$L$17:$L$141)</f>
        <v/>
      </c>
      <c r="BN50" s="50" t="str">
        <f>LOOKUP(BO48,HP!$I$17:$I$141,HP!$J$17:$J$141)</f>
        <v/>
      </c>
      <c r="BO50" s="50" t="str">
        <f>LOOKUP(BO48,HP!$I$17:$I$141,HP!$K$17:$K$141)</f>
        <v/>
      </c>
      <c r="BP50" s="322" t="str">
        <f>LOOKUP(BO48,HP!$I$17:$I$141,HP!$L$17:$L$141)</f>
        <v/>
      </c>
      <c r="BQ50" s="322"/>
      <c r="BS50" s="50" t="str">
        <f>LOOKUP(BT48,HP!$I$17:$I$141,HP!$J$17:$J$141)</f>
        <v/>
      </c>
      <c r="BT50" s="50" t="str">
        <f>LOOKUP(BT48,HP!$I$17:$I$141,HP!$K$17:$K$141)</f>
        <v/>
      </c>
      <c r="BU50" s="50" t="str">
        <f>LOOKUP(BT48,HP!$I$17:$I$141,HP!$L$17:$L$141)</f>
        <v/>
      </c>
      <c r="BW50" s="442"/>
      <c r="BX50" s="442"/>
      <c r="BY50" s="442"/>
      <c r="BZ50" s="442"/>
      <c r="CA50" s="442"/>
      <c r="CB50" s="442"/>
      <c r="CF50" s="310" t="s">
        <v>0</v>
      </c>
      <c r="CG50" s="310"/>
      <c r="CH50" s="310" t="s">
        <v>228</v>
      </c>
      <c r="CI50" s="310"/>
      <c r="CJ50" s="183" t="s">
        <v>27</v>
      </c>
      <c r="CK50" s="184"/>
      <c r="CL50" s="310" t="s">
        <v>0</v>
      </c>
      <c r="CM50" s="310"/>
      <c r="CN50" s="310" t="s">
        <v>228</v>
      </c>
      <c r="CO50" s="310"/>
      <c r="CP50" s="183" t="s">
        <v>27</v>
      </c>
      <c r="CQ50" s="177"/>
      <c r="CR50" s="332"/>
      <c r="CS50" s="333"/>
      <c r="CT50" s="333"/>
      <c r="CU50" s="333"/>
      <c r="CV50" s="333"/>
      <c r="CW50" s="333"/>
      <c r="CX50" s="333"/>
      <c r="CY50" s="333"/>
      <c r="CZ50" s="333"/>
      <c r="DA50" s="333"/>
      <c r="DB50" s="334"/>
      <c r="DC50" s="97"/>
      <c r="DD50" s="456"/>
      <c r="DE50" s="456"/>
      <c r="DF50" s="456"/>
      <c r="DG50" s="54"/>
      <c r="DH50" s="456"/>
      <c r="DI50" s="456"/>
      <c r="DJ50" s="456"/>
      <c r="DK50" s="11"/>
      <c r="DL50" s="11"/>
      <c r="DM50" s="11"/>
      <c r="DN50" s="11"/>
      <c r="DO50" s="11"/>
      <c r="DP50" s="11"/>
      <c r="DQ50" s="68">
        <v>2</v>
      </c>
      <c r="DR50" s="322"/>
      <c r="DS50" s="322"/>
      <c r="DT50" s="66">
        <v>0</v>
      </c>
      <c r="DU50" s="66">
        <v>0</v>
      </c>
      <c r="DV50" s="66">
        <v>0</v>
      </c>
      <c r="DW50" s="66">
        <v>0</v>
      </c>
      <c r="DX50" s="66">
        <f>(SUM(DT50:DW50)*LOOKUP(DT50,Sheet3!$O$2:$O$40,Sheet3!$P$2:$P$40))-(30*LOOKUP(DT50,Sheet3!$O$2:$O$40,Sheet3!$Q$2:$Q$40))</f>
        <v>-30</v>
      </c>
    </row>
    <row r="51" spans="1:128" ht="7.35" customHeight="1" x14ac:dyDescent="0.2">
      <c r="A51" s="14"/>
      <c r="B51" s="281"/>
      <c r="C51" s="353"/>
      <c r="D51" s="353"/>
      <c r="E51" s="353"/>
      <c r="F51" s="353"/>
      <c r="G51" s="287" t="s">
        <v>153</v>
      </c>
      <c r="H51" s="308" t="str">
        <f>LOOKUP(C51,Sheet3!$AX$4:$AX$181,Sheet3!$BI$4:$BI$181)</f>
        <v/>
      </c>
      <c r="I51" s="308"/>
      <c r="J51" s="308"/>
      <c r="K51" s="308"/>
      <c r="L51" s="308"/>
      <c r="O51" s="203">
        <f>MAX(1,LOOKUP($C$2,Sheet3!$C$42:$V$42,Sheet3!C81:V81)-Sheet3!AF342)</f>
        <v>2</v>
      </c>
      <c r="P51" s="350" t="s">
        <v>224</v>
      </c>
      <c r="Q51" s="350"/>
      <c r="R51" s="199">
        <v>0</v>
      </c>
      <c r="S51" s="199">
        <f>F14+(F14*T51)</f>
        <v>0</v>
      </c>
      <c r="T51" s="199">
        <v>0</v>
      </c>
      <c r="U51" s="199">
        <v>0</v>
      </c>
      <c r="V51" s="203">
        <f>(LOOKUP($C$2,Sheet3!$C$100:$V$100,Sheet3!C139:V139)+Sheet3!AP342)*$C$3</f>
        <v>0</v>
      </c>
      <c r="W51" s="199">
        <f>((SUM(R51:V51)-T51+Sheet3!$O$396)*IF(R51=0,0,1))-IF(AND(R51=0,Sheet3!$O$396=0),30,0)</f>
        <v>-30</v>
      </c>
      <c r="Y51" s="365" t="str">
        <f>LOOKUP(Y47,Sheet2!$AP$7:$AP$116,Sheet2!$AT$7:$AT$116)</f>
        <v/>
      </c>
      <c r="Z51" s="365"/>
      <c r="AA51" s="365"/>
      <c r="AB51" s="365"/>
      <c r="AC51" s="365"/>
      <c r="AE51" s="89" t="s">
        <v>152</v>
      </c>
      <c r="AF51" s="89">
        <f>LOOKUP(AE46,Sheet3!$DV$6:$DV$21,Sheet3!$DY$6:$DY$21)</f>
        <v>0</v>
      </c>
      <c r="AG51" s="89" t="s">
        <v>5</v>
      </c>
      <c r="AH51" s="89">
        <f>LOOKUP(AE46,Sheet3!$DV$6:$DV$21,Sheet3!$DZ$6:$DZ$21)</f>
        <v>0</v>
      </c>
      <c r="AJ51" s="114" t="s">
        <v>5588</v>
      </c>
      <c r="AK51" s="115" t="s">
        <v>5589</v>
      </c>
      <c r="AL51" s="366" t="s">
        <v>5584</v>
      </c>
      <c r="AM51" s="367"/>
      <c r="AN51" s="367"/>
      <c r="AO51" s="105">
        <f>IF(AP51=0,KI!I50,"-")</f>
        <v>40</v>
      </c>
      <c r="AP51" s="102"/>
      <c r="AR51" s="120" t="s">
        <v>5194</v>
      </c>
      <c r="AS51" s="437" t="s">
        <v>0</v>
      </c>
      <c r="AT51" s="418"/>
      <c r="AU51" s="395" t="s">
        <v>164</v>
      </c>
      <c r="AV51" s="395"/>
      <c r="AW51" s="395"/>
      <c r="AX51" s="418" t="s">
        <v>165</v>
      </c>
      <c r="AY51" s="418"/>
      <c r="AZ51" s="418"/>
      <c r="BA51" s="418" t="s">
        <v>164</v>
      </c>
      <c r="BB51" s="418"/>
      <c r="BC51" s="418"/>
      <c r="BD51" s="418"/>
      <c r="BE51" s="418"/>
      <c r="BF51" s="57" t="s">
        <v>27</v>
      </c>
      <c r="BG51" s="57" t="s">
        <v>69</v>
      </c>
      <c r="BH51" s="57" t="s">
        <v>166</v>
      </c>
      <c r="BI51" s="13"/>
      <c r="BJ51" s="358" t="s">
        <v>138</v>
      </c>
      <c r="BK51" s="365" t="str">
        <f>LOOKUP(BK48,HP!$I$17:$I$141,HP!$M$17:$M$141)</f>
        <v/>
      </c>
      <c r="BL51" s="365"/>
      <c r="BN51" s="358" t="s">
        <v>138</v>
      </c>
      <c r="BO51" s="365" t="str">
        <f>LOOKUP(BO48,HP!$I$17:$I$141,HP!$M$17:$M$141)</f>
        <v/>
      </c>
      <c r="BP51" s="365"/>
      <c r="BQ51" s="365"/>
      <c r="BS51" s="358" t="s">
        <v>138</v>
      </c>
      <c r="BT51" s="365" t="str">
        <f>LOOKUP(BT48,HP!$I$17:$I$141,HP!$M$17:$M$141)</f>
        <v/>
      </c>
      <c r="BU51" s="365"/>
      <c r="BW51" s="442"/>
      <c r="BX51" s="442"/>
      <c r="BY51" s="442"/>
      <c r="BZ51" s="442"/>
      <c r="CA51" s="442"/>
      <c r="CB51" s="442"/>
      <c r="CF51" s="311"/>
      <c r="CG51" s="312"/>
      <c r="CH51" s="311" t="str">
        <f>LOOKUP(CF51,Tabla15[Poder],Tabla15[Requisito])</f>
        <v/>
      </c>
      <c r="CI51" s="312"/>
      <c r="CJ51" s="167">
        <f>LOOKUP(CF51,Tabla15[Poder],Tabla15[Coste])</f>
        <v>0</v>
      </c>
      <c r="CK51" s="184"/>
      <c r="CL51" s="311"/>
      <c r="CM51" s="312"/>
      <c r="CN51" s="311" t="str">
        <f>LOOKUP(CL51,Tabla15[Poder],Tabla15[Requisito])</f>
        <v/>
      </c>
      <c r="CO51" s="312"/>
      <c r="CP51" s="167">
        <f>LOOKUP(CL51,Tabla15[Poder],Tabla15[Coste])</f>
        <v>0</v>
      </c>
      <c r="CQ51" s="177"/>
      <c r="CR51" s="332"/>
      <c r="CS51" s="333"/>
      <c r="CT51" s="333"/>
      <c r="CU51" s="333"/>
      <c r="CV51" s="333"/>
      <c r="CW51" s="333"/>
      <c r="CX51" s="333"/>
      <c r="CY51" s="333"/>
      <c r="CZ51" s="333"/>
      <c r="DA51" s="333"/>
      <c r="DB51" s="334"/>
      <c r="DC51" s="97"/>
      <c r="DD51" s="456"/>
      <c r="DE51" s="456"/>
      <c r="DF51" s="456"/>
      <c r="DG51" s="54"/>
      <c r="DH51" s="456"/>
      <c r="DI51" s="456"/>
      <c r="DJ51" s="456"/>
      <c r="DK51" s="11"/>
      <c r="DL51" s="11"/>
      <c r="DM51" s="11"/>
      <c r="DN51" s="11"/>
      <c r="DO51" s="11"/>
      <c r="DP51" s="11"/>
      <c r="DQ51" s="68">
        <v>2</v>
      </c>
      <c r="DR51" s="322"/>
      <c r="DS51" s="322"/>
      <c r="DT51" s="66">
        <v>0</v>
      </c>
      <c r="DU51" s="66">
        <v>0</v>
      </c>
      <c r="DV51" s="66">
        <v>0</v>
      </c>
      <c r="DW51" s="66">
        <v>0</v>
      </c>
      <c r="DX51" s="66">
        <f>(SUM(DT51:DW51)*LOOKUP(DT51,Sheet3!$O$2:$O$40,Sheet3!$P$2:$P$40))-(30*LOOKUP(DT51,Sheet3!$O$2:$O$40,Sheet3!$Q$2:$Q$40))</f>
        <v>-30</v>
      </c>
    </row>
    <row r="52" spans="1:128" ht="7.35" customHeight="1" x14ac:dyDescent="0.2">
      <c r="B52" s="292" t="s">
        <v>116</v>
      </c>
      <c r="C52" s="292" t="s">
        <v>117</v>
      </c>
      <c r="D52" s="292" t="s">
        <v>195</v>
      </c>
      <c r="E52" s="292" t="s">
        <v>196</v>
      </c>
      <c r="F52" s="292" t="s">
        <v>197</v>
      </c>
      <c r="G52" s="359" t="s">
        <v>38</v>
      </c>
      <c r="H52" s="359"/>
      <c r="I52" s="359"/>
      <c r="J52" s="359" t="s">
        <v>26</v>
      </c>
      <c r="K52" s="359"/>
      <c r="L52" s="359"/>
      <c r="O52" s="202" t="s">
        <v>27</v>
      </c>
      <c r="P52" s="351" t="s">
        <v>226</v>
      </c>
      <c r="Q52" s="351"/>
      <c r="R52" s="202" t="s">
        <v>2</v>
      </c>
      <c r="S52" s="202" t="s">
        <v>13</v>
      </c>
      <c r="T52" s="202" t="s">
        <v>5332</v>
      </c>
      <c r="U52" s="202" t="s">
        <v>106</v>
      </c>
      <c r="V52" s="202" t="s">
        <v>107</v>
      </c>
      <c r="W52" s="202" t="s">
        <v>108</v>
      </c>
      <c r="Y52" s="365"/>
      <c r="Z52" s="365"/>
      <c r="AA52" s="365"/>
      <c r="AB52" s="365"/>
      <c r="AC52" s="365"/>
      <c r="AE52" s="322" t="s">
        <v>5429</v>
      </c>
      <c r="AF52" s="322"/>
      <c r="AG52" s="322"/>
      <c r="AH52" s="322"/>
      <c r="AJ52" s="114" t="s">
        <v>5589</v>
      </c>
      <c r="AK52" s="366" t="s">
        <v>5585</v>
      </c>
      <c r="AL52" s="367"/>
      <c r="AM52" s="367"/>
      <c r="AN52" s="367"/>
      <c r="AO52" s="105">
        <f>IF(AP52=0,KI!I51,"-")</f>
        <v>20</v>
      </c>
      <c r="AP52" s="102"/>
      <c r="AR52" s="440"/>
      <c r="AS52" s="438"/>
      <c r="AT52" s="439"/>
      <c r="AU52" s="443" t="str">
        <f>LOOKUP(AS52,HM!$V$15:$V$655,HM!$W$15:$W$655)</f>
        <v/>
      </c>
      <c r="AV52" s="443"/>
      <c r="AW52" s="443"/>
      <c r="AX52" s="418" t="s">
        <v>2</v>
      </c>
      <c r="AY52" s="418"/>
      <c r="AZ52" s="418"/>
      <c r="BA52" s="439" t="str">
        <f>LOOKUP(AS52,HM!$V$15:$V$655,HM!$AA$15:$AA$655)</f>
        <v/>
      </c>
      <c r="BB52" s="439"/>
      <c r="BC52" s="439"/>
      <c r="BD52" s="439"/>
      <c r="BE52" s="439"/>
      <c r="BF52" s="56" t="str">
        <f>LOOKUP(AS52,HM!$V$15:$V$655,HM!$AB$15:$AB$655)</f>
        <v/>
      </c>
      <c r="BG52" s="171" t="str">
        <f>LOOKUP(AS52,HM!$V$15:$V$655,HM!$AC$15:$AC$655)&amp;" "&amp;LOOKUP(AS52,HM!$V$15:$V$655,Tabla9[Diario])</f>
        <v xml:space="preserve"> </v>
      </c>
      <c r="BH52" s="56" t="str">
        <f>LOOKUP(AS52,HM!$V$15:$V$655,HM!$AD$15:$AD$655)</f>
        <v/>
      </c>
      <c r="BI52" s="13"/>
      <c r="BJ52" s="358"/>
      <c r="BK52" s="365"/>
      <c r="BL52" s="365"/>
      <c r="BN52" s="358"/>
      <c r="BO52" s="365"/>
      <c r="BP52" s="365"/>
      <c r="BQ52" s="365"/>
      <c r="BS52" s="358"/>
      <c r="BT52" s="365"/>
      <c r="BU52" s="365"/>
      <c r="BW52" s="442"/>
      <c r="BX52" s="442"/>
      <c r="BY52" s="442"/>
      <c r="BZ52" s="442"/>
      <c r="CA52" s="442"/>
      <c r="CB52" s="442"/>
      <c r="CF52" s="309" t="s">
        <v>138</v>
      </c>
      <c r="CG52" s="309"/>
      <c r="CH52" s="309"/>
      <c r="CI52" s="309"/>
      <c r="CJ52" s="309"/>
      <c r="CK52" s="97"/>
      <c r="CL52" s="309" t="s">
        <v>138</v>
      </c>
      <c r="CM52" s="309"/>
      <c r="CN52" s="309"/>
      <c r="CO52" s="309"/>
      <c r="CP52" s="309"/>
      <c r="CQ52" s="177"/>
      <c r="CR52" s="332"/>
      <c r="CS52" s="333"/>
      <c r="CT52" s="333"/>
      <c r="CU52" s="333"/>
      <c r="CV52" s="333"/>
      <c r="CW52" s="333"/>
      <c r="CX52" s="333"/>
      <c r="CY52" s="333"/>
      <c r="CZ52" s="333"/>
      <c r="DA52" s="333"/>
      <c r="DB52" s="334"/>
      <c r="DC52" s="97"/>
      <c r="DD52" s="456"/>
      <c r="DE52" s="456"/>
      <c r="DF52" s="456"/>
      <c r="DG52" s="54"/>
      <c r="DH52" s="456"/>
      <c r="DI52" s="456"/>
      <c r="DJ52" s="456"/>
      <c r="DK52" s="11"/>
      <c r="DL52" s="11"/>
      <c r="DM52" s="11"/>
      <c r="DN52" s="11"/>
      <c r="DO52" s="11"/>
      <c r="DP52" s="11"/>
      <c r="DQ52" s="68">
        <v>2</v>
      </c>
      <c r="DR52" s="322"/>
      <c r="DS52" s="322"/>
      <c r="DT52" s="66">
        <v>0</v>
      </c>
      <c r="DU52" s="66">
        <v>0</v>
      </c>
      <c r="DV52" s="66">
        <v>0</v>
      </c>
      <c r="DW52" s="66">
        <v>0</v>
      </c>
      <c r="DX52" s="66">
        <f>(SUM(DT52:DW52)*LOOKUP(DT52,Sheet3!$O$2:$O$40,Sheet3!$P$2:$P$40))-(30*LOOKUP(DT52,Sheet3!$O$2:$O$40,Sheet3!$Q$2:$Q$40))</f>
        <v>-30</v>
      </c>
    </row>
    <row r="53" spans="1:128" ht="7.35" customHeight="1" x14ac:dyDescent="0.2">
      <c r="B53" s="291">
        <f>5*(LOOKUP(J55,Sheet3!$L$2:$L$6,Sheet3!$M$2:$M$6))</f>
        <v>0</v>
      </c>
      <c r="C53" s="291">
        <f>5*(LOOKUP(J55,Sheet3!$L$2:$L$6,Sheet3!$M$2:$M$6))</f>
        <v>0</v>
      </c>
      <c r="D53" s="291">
        <f>(LOOKUP(C51,Tabla11[Nombre],Tabla11[Daño])+(10*(LOOKUP(J55,Sheet3!$L$2:$L$6,Sheet3!$M$2:$M$6))))*LOOKUP(K55,Sheet3!$K$186:$K$189,Sheet3!$N$186:$N$189)</f>
        <v>0</v>
      </c>
      <c r="E53" s="291">
        <f>$F$13</f>
        <v>0</v>
      </c>
      <c r="F53" s="291">
        <f>SUM(D53:E53)+IF(C51&lt;&gt;0,IF(AP21&gt;5,10,0),0)+IF(C51&lt;&gt;0,IF(AP23&gt;5,10,0),0)</f>
        <v>0</v>
      </c>
      <c r="G53" s="308" t="str">
        <f>LOOKUP(C51,Tabla11[Nombre],Tabla11[Especial])</f>
        <v/>
      </c>
      <c r="H53" s="308"/>
      <c r="I53" s="308"/>
      <c r="J53" s="308" t="str">
        <f>LOOKUP(C51,Tabla11[Nombre],Tabla11[Tipo de arma])</f>
        <v/>
      </c>
      <c r="K53" s="308"/>
      <c r="L53" s="308"/>
      <c r="O53" s="203">
        <f>MAX(1,LOOKUP($C$2,Sheet3!$C$42:$V$42,Sheet3!C83:V83)-Sheet3!AF344)</f>
        <v>2</v>
      </c>
      <c r="P53" s="350" t="s">
        <v>227</v>
      </c>
      <c r="Q53" s="350"/>
      <c r="R53" s="199">
        <v>0</v>
      </c>
      <c r="S53" s="199">
        <f>F16+(F16*T53)</f>
        <v>0</v>
      </c>
      <c r="T53" s="199">
        <v>0</v>
      </c>
      <c r="U53" s="199">
        <v>0</v>
      </c>
      <c r="V53" s="203">
        <f>(LOOKUP($C$2,Sheet3!$C$100:$V$100,Sheet3!C141:V141)+Sheet3!AP344)*$C$3</f>
        <v>0</v>
      </c>
      <c r="W53" s="199">
        <f>((SUM(R53:V53)-T53+Sheet3!$O$396)*IF(R53=0,0,1))-IF(AND(R53=0,Sheet3!$O$396=0),30,0)</f>
        <v>-30</v>
      </c>
      <c r="X53" s="6"/>
      <c r="Y53" s="365"/>
      <c r="Z53" s="365"/>
      <c r="AA53" s="365"/>
      <c r="AB53" s="365"/>
      <c r="AC53" s="365"/>
      <c r="AE53" s="322" t="str">
        <f>LOOKUP(AE46,Sheet3!$DV$6:$DV$21,Sheet3!$DX$6:$DX$21)</f>
        <v>Ninguna</v>
      </c>
      <c r="AF53" s="322"/>
      <c r="AG53" s="322"/>
      <c r="AH53" s="322"/>
      <c r="AJ53" s="366" t="s">
        <v>5586</v>
      </c>
      <c r="AK53" s="367"/>
      <c r="AL53" s="367"/>
      <c r="AM53" s="367"/>
      <c r="AN53" s="367"/>
      <c r="AO53" s="105">
        <f>IF(AP53=0,KI!I52,"-")</f>
        <v>50</v>
      </c>
      <c r="AP53" s="102"/>
      <c r="AR53" s="440"/>
      <c r="AS53" s="438"/>
      <c r="AT53" s="439"/>
      <c r="AU53" s="443"/>
      <c r="AV53" s="443"/>
      <c r="AW53" s="443"/>
      <c r="AX53" s="418" t="s">
        <v>173</v>
      </c>
      <c r="AY53" s="418"/>
      <c r="AZ53" s="418"/>
      <c r="BA53" s="439" t="str">
        <f>LOOKUP(AS52,HM!$V$15:$V$655,HM!$AE$15:$AE$655)</f>
        <v/>
      </c>
      <c r="BB53" s="439"/>
      <c r="BC53" s="439"/>
      <c r="BD53" s="439"/>
      <c r="BE53" s="439"/>
      <c r="BF53" s="56" t="str">
        <f>LOOKUP(AS52,HM!$V$15:$V$655,HM!$AF$15:$AF$655)</f>
        <v/>
      </c>
      <c r="BG53" s="171" t="str">
        <f>LOOKUP(AS52,HM!$V$15:$V$655,HM!$AG$15:$AG$655)&amp;" "&amp;LOOKUP(AS52,HM!$V$15:$V$655,Tabla9[Diario])</f>
        <v xml:space="preserve"> </v>
      </c>
      <c r="BH53" s="56" t="str">
        <f>LOOKUP(AS52,HM!$V$15:$V$655,HM!$AH$15:$AH$655)</f>
        <v/>
      </c>
      <c r="BJ53" s="358"/>
      <c r="BK53" s="365"/>
      <c r="BL53" s="365"/>
      <c r="BN53" s="358"/>
      <c r="BO53" s="365"/>
      <c r="BP53" s="365"/>
      <c r="BQ53" s="365"/>
      <c r="BS53" s="358"/>
      <c r="BT53" s="365"/>
      <c r="BU53" s="365"/>
      <c r="BW53" s="442"/>
      <c r="BX53" s="442"/>
      <c r="BY53" s="442"/>
      <c r="BZ53" s="442"/>
      <c r="CA53" s="442"/>
      <c r="CB53" s="442"/>
      <c r="CF53" s="308" t="str">
        <f>LOOKUP(CF51,Tabla15[Poder],Tabla15[Descripcion])</f>
        <v/>
      </c>
      <c r="CG53" s="308"/>
      <c r="CH53" s="308"/>
      <c r="CI53" s="308"/>
      <c r="CJ53" s="308"/>
      <c r="CK53" s="184"/>
      <c r="CL53" s="308" t="str">
        <f>LOOKUP(CL51,Tabla15[Poder],Tabla15[Descripcion])</f>
        <v/>
      </c>
      <c r="CM53" s="308"/>
      <c r="CN53" s="308"/>
      <c r="CO53" s="308"/>
      <c r="CP53" s="308"/>
      <c r="CQ53" s="177"/>
      <c r="CR53" s="332"/>
      <c r="CS53" s="333"/>
      <c r="CT53" s="333"/>
      <c r="CU53" s="333"/>
      <c r="CV53" s="333"/>
      <c r="CW53" s="333"/>
      <c r="CX53" s="333"/>
      <c r="CY53" s="333"/>
      <c r="CZ53" s="333"/>
      <c r="DA53" s="333"/>
      <c r="DB53" s="334"/>
      <c r="DC53" s="97"/>
      <c r="DD53" s="456"/>
      <c r="DE53" s="456"/>
      <c r="DF53" s="456"/>
      <c r="DG53" s="54"/>
      <c r="DH53" s="456"/>
      <c r="DI53" s="456"/>
      <c r="DJ53" s="456"/>
      <c r="DK53" s="11"/>
      <c r="DL53" s="11"/>
      <c r="DM53" s="11"/>
      <c r="DN53" s="11"/>
      <c r="DO53" s="11"/>
      <c r="DP53" s="11"/>
      <c r="DQ53" s="68">
        <v>2</v>
      </c>
      <c r="DR53" s="322"/>
      <c r="DS53" s="322"/>
      <c r="DT53" s="66">
        <v>0</v>
      </c>
      <c r="DU53" s="66">
        <v>0</v>
      </c>
      <c r="DV53" s="66">
        <v>0</v>
      </c>
      <c r="DW53" s="66">
        <v>0</v>
      </c>
      <c r="DX53" s="66">
        <f>(SUM(DT53:DW53)*LOOKUP(DT53,Sheet3!$O$2:$O$40,Sheet3!$P$2:$P$40))-(30*LOOKUP(DT53,Sheet3!$O$2:$O$40,Sheet3!$Q$2:$Q$40))</f>
        <v>-30</v>
      </c>
    </row>
    <row r="54" spans="1:128" ht="7.35" customHeight="1" x14ac:dyDescent="0.2">
      <c r="B54" s="292" t="s">
        <v>200</v>
      </c>
      <c r="C54" s="292" t="s">
        <v>143</v>
      </c>
      <c r="D54" s="292" t="s">
        <v>201</v>
      </c>
      <c r="E54" s="292" t="s">
        <v>144</v>
      </c>
      <c r="F54" s="292" t="s">
        <v>202</v>
      </c>
      <c r="G54" s="293" t="s">
        <v>203</v>
      </c>
      <c r="H54" s="293" t="s">
        <v>204</v>
      </c>
      <c r="I54" s="293" t="s">
        <v>205</v>
      </c>
      <c r="J54" s="293" t="s">
        <v>16</v>
      </c>
      <c r="K54" s="345" t="s">
        <v>55</v>
      </c>
      <c r="L54" s="345"/>
      <c r="O54" s="203">
        <f>MAX(1,LOOKUP($C$2,Sheet3!$C$42:$V$42,Sheet3!C84:V84)-Sheet3!AF345)</f>
        <v>2</v>
      </c>
      <c r="P54" s="350" t="s">
        <v>231</v>
      </c>
      <c r="Q54" s="350"/>
      <c r="R54" s="199">
        <v>0</v>
      </c>
      <c r="S54" s="199">
        <f>F10+(F10*T54)</f>
        <v>0</v>
      </c>
      <c r="T54" s="199">
        <v>0</v>
      </c>
      <c r="U54" s="199">
        <v>0</v>
      </c>
      <c r="V54" s="203">
        <f>(LOOKUP($C$2,Sheet3!$C$100:$V$100,Sheet3!C142:V142)+Sheet3!AP345)*$C$3</f>
        <v>0</v>
      </c>
      <c r="W54" s="199">
        <f>((SUM(R54:V54)-T54+Sheet3!$O$396)*IF(R54=0,0,1))-IF(AND(R54=0,Sheet3!$O$396=0),30,0)</f>
        <v>-30</v>
      </c>
      <c r="Y54" s="444"/>
      <c r="Z54" s="444"/>
      <c r="AA54" s="6"/>
      <c r="AB54" s="2"/>
      <c r="AC54" s="2"/>
      <c r="AJ54" s="366" t="s">
        <v>3252</v>
      </c>
      <c r="AK54" s="367"/>
      <c r="AL54" s="367"/>
      <c r="AM54" s="367"/>
      <c r="AN54" s="367"/>
      <c r="AO54" s="105">
        <f>IF(AP54=0,KI!I53,"-")</f>
        <v>30</v>
      </c>
      <c r="AP54" s="102"/>
      <c r="AR54" s="120" t="s">
        <v>14</v>
      </c>
      <c r="AS54" s="117" t="s">
        <v>26</v>
      </c>
      <c r="AT54" s="57" t="s">
        <v>175</v>
      </c>
      <c r="AU54" s="443"/>
      <c r="AV54" s="443"/>
      <c r="AW54" s="443"/>
      <c r="AX54" s="418" t="s">
        <v>176</v>
      </c>
      <c r="AY54" s="418"/>
      <c r="AZ54" s="418"/>
      <c r="BA54" s="439" t="str">
        <f>LOOKUP(AS52,HM!$V$15:$V$655,HM!$AI$15:$AI$655)</f>
        <v/>
      </c>
      <c r="BB54" s="439"/>
      <c r="BC54" s="439"/>
      <c r="BD54" s="439"/>
      <c r="BE54" s="439"/>
      <c r="BF54" s="56" t="str">
        <f>LOOKUP(AS52,HM!$V$15:$V$655,HM!$AJ$15:$AJ$655)</f>
        <v/>
      </c>
      <c r="BG54" s="171" t="str">
        <f>LOOKUP(AS52,HM!$V$15:$V$655,HM!$AK$15:$AK$655)&amp;" "&amp;LOOKUP(AS52,HM!$V$15:$V$655,Tabla9[Diario])</f>
        <v xml:space="preserve"> </v>
      </c>
      <c r="BH54" s="56" t="str">
        <f>LOOKUP(AS52,HM!$V$15:$V$655,HM!$AL$15:$AL$655)</f>
        <v/>
      </c>
      <c r="BI54" s="12"/>
      <c r="BJ54" s="50">
        <v>20</v>
      </c>
      <c r="BK54" s="322" t="str">
        <f>LOOKUP(BK48,HP!$I$17:$I$141,HP!$N$17:$N$141)</f>
        <v/>
      </c>
      <c r="BL54" s="322"/>
      <c r="BN54" s="50">
        <v>20</v>
      </c>
      <c r="BO54" s="322" t="str">
        <f>LOOKUP(BO48,HP!$I$17:$I$141,HP!$N$17:$N$141)</f>
        <v/>
      </c>
      <c r="BP54" s="322"/>
      <c r="BQ54" s="322"/>
      <c r="BS54" s="50">
        <v>20</v>
      </c>
      <c r="BT54" s="322" t="str">
        <f>LOOKUP(BT48,HP!$I$17:$I$141,HP!$N$17:$N$141)</f>
        <v/>
      </c>
      <c r="BU54" s="322"/>
      <c r="BW54" s="442"/>
      <c r="BX54" s="442"/>
      <c r="BY54" s="442"/>
      <c r="BZ54" s="442"/>
      <c r="CA54" s="442"/>
      <c r="CB54" s="442"/>
      <c r="CF54" s="184"/>
      <c r="CG54" s="184"/>
      <c r="CH54" s="184"/>
      <c r="CI54" s="184"/>
      <c r="CJ54" s="184"/>
      <c r="CK54" s="184"/>
      <c r="CL54" s="184"/>
      <c r="CM54" s="184"/>
      <c r="CN54" s="184"/>
      <c r="CO54" s="184"/>
      <c r="CP54" s="184"/>
      <c r="CQ54" s="177"/>
      <c r="CR54" s="332"/>
      <c r="CS54" s="333"/>
      <c r="CT54" s="333"/>
      <c r="CU54" s="333"/>
      <c r="CV54" s="333"/>
      <c r="CW54" s="333"/>
      <c r="CX54" s="333"/>
      <c r="CY54" s="333"/>
      <c r="CZ54" s="333"/>
      <c r="DA54" s="333"/>
      <c r="DB54" s="334"/>
      <c r="DC54" s="97"/>
      <c r="DD54" s="456"/>
      <c r="DE54" s="456"/>
      <c r="DF54" s="456"/>
      <c r="DG54" s="54"/>
      <c r="DH54" s="456"/>
      <c r="DI54" s="456"/>
      <c r="DJ54" s="456"/>
      <c r="DK54" s="11"/>
      <c r="DL54" s="11"/>
      <c r="DM54" s="11"/>
      <c r="DN54" s="11"/>
      <c r="DO54" s="11"/>
      <c r="DP54" s="11"/>
      <c r="DQ54" s="68">
        <v>2</v>
      </c>
      <c r="DR54" s="322"/>
      <c r="DS54" s="322"/>
      <c r="DT54" s="66">
        <v>0</v>
      </c>
      <c r="DU54" s="66">
        <v>0</v>
      </c>
      <c r="DV54" s="66">
        <v>0</v>
      </c>
      <c r="DW54" s="66">
        <v>0</v>
      </c>
      <c r="DX54" s="66">
        <f>(SUM(DT54:DW54)*LOOKUP(DT54,Sheet3!$O$2:$O$40,Sheet3!$P$2:$P$40))-(30*LOOKUP(DT54,Sheet3!$O$2:$O$40,Sheet3!$Q$2:$Q$40))</f>
        <v>-30</v>
      </c>
    </row>
    <row r="55" spans="1:128" ht="7.35" customHeight="1" x14ac:dyDescent="0.2">
      <c r="B55" s="291">
        <f>IFERROR(LOOKUP(C51,Tabla11[Nombre],Tabla11[Turno])+(5*(LOOKUP($J$49,Sheet3!$L$2:$L$6,Sheet3!$M$2:$M$6)))+LOOKUP(K55,Sheet3!$K$186:$K$189,Sheet3!$O$186:$O$189),"No usable")</f>
        <v>20</v>
      </c>
      <c r="C55" s="291">
        <f>IFERROR(LOOKUP(C51,Tabla11[Nombre],Tabla11[Entereza])+(10*(LOOKUP($J$49,Sheet3!$L$2:$L$6,Sheet3!$M$2:$M$6)))+IF(C51&lt;&gt;0,IF($AP$15&gt;5,10,0)+LOOKUP(K55,Sheet3!$K$186:$K$189,Sheet3!$M$186:$M$189),0),"NA")</f>
        <v>0</v>
      </c>
      <c r="D55" s="291">
        <f>IFERROR(LOOKUP(C51,Tabla11[Nombre],Tabla11[Rotura])+(2*(LOOKUP($J$49,Sheet3!$L$2:$L$6,Sheet3!$M$2:$M$6)))+IF(C51&lt;&gt;0,IF($AP$15&gt;5,5,0)+Sheet3!$L$176+Sheet3!$N$174+LOOKUP(K55,Sheet3!$K$186:$K$189,Sheet3!$L$186:$L$189),0),"NA")</f>
        <v>0</v>
      </c>
      <c r="E55" s="291">
        <f>IFERROR(LOOKUP(C51,Tabla11[Nombre],Tabla11[Presencia])+(50*(LOOKUP($J$49,Sheet3!$L$2:$L$6,Sheet3!$M$2:$M$6))),"NA")</f>
        <v>0</v>
      </c>
      <c r="F55" s="291" t="str">
        <f>LOOKUP(C51,Tabla11[Nombre],Tabla11[Crítico 1])</f>
        <v/>
      </c>
      <c r="G55" s="289" t="str">
        <f>IF(C51&lt;&gt;0,IF($AP$16&lt;&gt;0,LOOKUP($AN$16,Sheet3!$L$286:$M$291),LOOKUP(C51,Tabla11[Nombre],Tabla11[Ctrítico 2])),"")</f>
        <v/>
      </c>
      <c r="H55" s="289" t="str">
        <f>LOOKUP(C51,Tabla11[Nombre],Tabla11[Fuerza requerida])&amp;IF(C51&lt;&gt;0,LOOKUP(K55,Sheet3!$K$186:$K$189,Sheet3!$P$186:$P$189),"")</f>
        <v/>
      </c>
      <c r="I55" s="289"/>
      <c r="J55" s="289"/>
      <c r="K55" s="360"/>
      <c r="L55" s="361"/>
      <c r="O55" s="203">
        <f>MAX(1,LOOKUP($C$2,Sheet3!$C$42:$V$42,Sheet3!C85:V85)-Sheet3!AF346)</f>
        <v>2</v>
      </c>
      <c r="P55" s="350" t="s">
        <v>232</v>
      </c>
      <c r="Q55" s="350"/>
      <c r="R55" s="199">
        <v>0</v>
      </c>
      <c r="S55" s="199">
        <f>F12+(F12*T55)</f>
        <v>0</v>
      </c>
      <c r="T55" s="199">
        <v>0</v>
      </c>
      <c r="U55" s="199">
        <v>0</v>
      </c>
      <c r="V55" s="203">
        <f>(LOOKUP($C$2,Sheet3!$C$100:$V$100,Sheet3!C143:V143)+Sheet3!AP346)*$C$3</f>
        <v>0</v>
      </c>
      <c r="W55" s="199">
        <f>((SUM(R55:V55)-T55+Sheet3!$O$396)*IF(R55=0,0,1))-IF(AND(R55=0,Sheet3!$O$396=0),30,0)</f>
        <v>-30</v>
      </c>
      <c r="Y55" s="358" t="s">
        <v>221</v>
      </c>
      <c r="Z55" s="358"/>
      <c r="AA55" s="358"/>
      <c r="AB55" s="120" t="s">
        <v>152</v>
      </c>
      <c r="AC55" s="128">
        <f>IF($C$2="Tao",LOOKUP(Y57,Sheet2!$AP$7:$AP$116,Sheet2!$AV$7:$AV$116),LOOKUP(Y57,Sheet2!$AP$7:$AP$116,Sheet2!$AU$7:$AU$116))</f>
        <v>0</v>
      </c>
      <c r="AE55" s="358" t="s">
        <v>5421</v>
      </c>
      <c r="AF55" s="358"/>
      <c r="AG55" s="358"/>
      <c r="AH55" s="358"/>
      <c r="AJ55" s="116" t="s">
        <v>5589</v>
      </c>
      <c r="AK55" s="366" t="s">
        <v>5587</v>
      </c>
      <c r="AL55" s="367"/>
      <c r="AM55" s="367"/>
      <c r="AN55" s="367"/>
      <c r="AO55" s="105">
        <f>IF(AP55=0,KI!I54,"-")</f>
        <v>50</v>
      </c>
      <c r="AP55" s="102"/>
      <c r="AR55" s="106" t="str">
        <f>LOOKUP(AS52,HM!$V$15:$V$655,HM!$X$15:$X$655)</f>
        <v/>
      </c>
      <c r="AS55" s="118" t="str">
        <f>LOOKUP(AS52,HM!$V$15:$V$655,HM!$Y$15:$Y$655)</f>
        <v/>
      </c>
      <c r="AT55" s="56" t="str">
        <f>LOOKUP(AS52,HM!$V$15:$V$655,HM!$Z$15:$Z$655)</f>
        <v/>
      </c>
      <c r="AU55" s="443"/>
      <c r="AV55" s="443"/>
      <c r="AW55" s="443"/>
      <c r="AX55" s="418" t="s">
        <v>179</v>
      </c>
      <c r="AY55" s="418"/>
      <c r="AZ55" s="418"/>
      <c r="BA55" s="439" t="str">
        <f>LOOKUP(AS52,HM!$V$15:$V$655,HM!$AM$15:$AM$655)</f>
        <v/>
      </c>
      <c r="BB55" s="439"/>
      <c r="BC55" s="439"/>
      <c r="BD55" s="439"/>
      <c r="BE55" s="439"/>
      <c r="BF55" s="56" t="str">
        <f>LOOKUP(AS52,HM!$V$15:$V$655,HM!$AN$15:$AN$655)</f>
        <v/>
      </c>
      <c r="BG55" s="171" t="str">
        <f>LOOKUP(AS52,HM!$V$15:$V$655,HM!$AO$15:$AO$655)&amp;" "&amp;LOOKUP(AS52,HM!$V$15:$V$655,Tabla9[Diario])</f>
        <v xml:space="preserve"> </v>
      </c>
      <c r="BH55" s="56" t="str">
        <f>LOOKUP(AS52,HM!$V$15:$V$655,HM!$AP$15:$AP$655)</f>
        <v/>
      </c>
      <c r="BI55" s="13"/>
      <c r="BJ55" s="50">
        <v>40</v>
      </c>
      <c r="BK55" s="322" t="str">
        <f>LOOKUP(BK48,HP!$I$17:$I$141,HP!$O$17:$O$141)</f>
        <v/>
      </c>
      <c r="BL55" s="322"/>
      <c r="BN55" s="50">
        <v>40</v>
      </c>
      <c r="BO55" s="322" t="str">
        <f>LOOKUP(BO48,HP!$I$17:$I$141,HP!$O$17:$O$141)</f>
        <v/>
      </c>
      <c r="BP55" s="322"/>
      <c r="BQ55" s="322"/>
      <c r="BS55" s="50">
        <v>40</v>
      </c>
      <c r="BT55" s="322" t="str">
        <f>LOOKUP(BT48,HP!$I$17:$I$141,HP!$O$17:$O$141)</f>
        <v/>
      </c>
      <c r="BU55" s="322"/>
      <c r="BW55" s="442"/>
      <c r="BX55" s="442"/>
      <c r="BY55" s="442"/>
      <c r="BZ55" s="442"/>
      <c r="CA55" s="442"/>
      <c r="CB55" s="442"/>
      <c r="CF55" s="184"/>
      <c r="CG55" s="184"/>
      <c r="CH55" s="184"/>
      <c r="CI55" s="184"/>
      <c r="CJ55" s="184"/>
      <c r="CK55" s="184"/>
      <c r="CL55" s="184"/>
      <c r="CM55" s="184"/>
      <c r="CN55" s="184"/>
      <c r="CO55" s="184"/>
      <c r="CP55" s="184"/>
      <c r="CQ55" s="177"/>
      <c r="CR55" s="332"/>
      <c r="CS55" s="333"/>
      <c r="CT55" s="333"/>
      <c r="CU55" s="333"/>
      <c r="CV55" s="333"/>
      <c r="CW55" s="333"/>
      <c r="CX55" s="333"/>
      <c r="CY55" s="333"/>
      <c r="CZ55" s="333"/>
      <c r="DA55" s="333"/>
      <c r="DB55" s="334"/>
      <c r="DC55" s="97"/>
      <c r="DD55" s="456"/>
      <c r="DE55" s="456"/>
      <c r="DF55" s="456"/>
      <c r="DG55" s="54"/>
      <c r="DH55" s="456"/>
      <c r="DI55" s="456"/>
      <c r="DJ55" s="456"/>
      <c r="DK55" s="11"/>
      <c r="DL55" s="11"/>
      <c r="DM55" s="11"/>
      <c r="DN55" s="11"/>
      <c r="DO55" s="11"/>
      <c r="DP55" s="11"/>
      <c r="DQ55" s="68">
        <v>2</v>
      </c>
      <c r="DR55" s="322"/>
      <c r="DS55" s="322"/>
      <c r="DT55" s="66">
        <v>0</v>
      </c>
      <c r="DU55" s="66">
        <v>0</v>
      </c>
      <c r="DV55" s="66">
        <v>0</v>
      </c>
      <c r="DW55" s="66">
        <v>0</v>
      </c>
      <c r="DX55" s="66">
        <f>(SUM(DT55:DW55)*LOOKUP(DT55,Sheet3!$O$2:$O$40,Sheet3!$P$2:$P$40))-(30*LOOKUP(DT55,Sheet3!$O$2:$O$40,Sheet3!$Q$2:$Q$40))</f>
        <v>-30</v>
      </c>
    </row>
    <row r="56" spans="1:128" ht="7.35" customHeight="1" x14ac:dyDescent="0.2">
      <c r="B56" s="15"/>
      <c r="C56" s="15"/>
      <c r="D56" s="15"/>
      <c r="E56" s="15"/>
      <c r="F56" s="15"/>
      <c r="G56" s="15"/>
      <c r="H56" s="15"/>
      <c r="I56" s="15"/>
      <c r="J56" s="15"/>
      <c r="O56" s="203">
        <f>MAX(1,LOOKUP($C$2,Sheet3!$C$42:$V$42,Sheet3!C86:V86)-Sheet3!AF347)</f>
        <v>2</v>
      </c>
      <c r="P56" s="350" t="s">
        <v>234</v>
      </c>
      <c r="Q56" s="350"/>
      <c r="R56" s="199">
        <v>0</v>
      </c>
      <c r="S56" s="199">
        <f>F16+(F16*T56)</f>
        <v>0</v>
      </c>
      <c r="T56" s="199">
        <v>0</v>
      </c>
      <c r="U56" s="199">
        <v>0</v>
      </c>
      <c r="V56" s="203">
        <f>(LOOKUP($C$2,Sheet3!$C$100:$V$100,Sheet3!C144:V144)+Sheet3!AP347)*$C$3</f>
        <v>0</v>
      </c>
      <c r="W56" s="199">
        <f>((SUM(R56:V56)-T56+Sheet3!$O$396)*IF(R56=0,0,1))-IF(AND(R56=0,Sheet3!$O$396=0),30,0)</f>
        <v>-30</v>
      </c>
      <c r="Y56" s="357" t="s">
        <v>0</v>
      </c>
      <c r="Z56" s="357"/>
      <c r="AA56" s="357" t="s">
        <v>13</v>
      </c>
      <c r="AB56" s="357"/>
      <c r="AC56" s="357"/>
      <c r="AE56" s="354"/>
      <c r="AF56" s="355"/>
      <c r="AG56" s="355"/>
      <c r="AH56" s="356"/>
      <c r="AI56" s="71"/>
      <c r="AR56" s="72"/>
      <c r="AS56" s="72"/>
      <c r="AT56" s="7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2"/>
      <c r="BG56" s="2"/>
      <c r="BH56" s="2"/>
      <c r="BI56" s="13"/>
      <c r="BJ56" s="50">
        <v>80</v>
      </c>
      <c r="BK56" s="322" t="str">
        <f>LOOKUP(BK48,HP!$I$17:$I$141,HP!$P$17:$P$141)</f>
        <v/>
      </c>
      <c r="BL56" s="322"/>
      <c r="BN56" s="50">
        <v>80</v>
      </c>
      <c r="BO56" s="322" t="str">
        <f>LOOKUP(BO48,HP!$I$17:$I$141,HP!$P$17:$P$141)</f>
        <v/>
      </c>
      <c r="BP56" s="322"/>
      <c r="BQ56" s="322"/>
      <c r="BS56" s="50">
        <v>80</v>
      </c>
      <c r="BT56" s="322" t="str">
        <f>LOOKUP(BT48,HP!$I$17:$I$141,HP!$P$17:$P$141)</f>
        <v/>
      </c>
      <c r="BU56" s="322"/>
      <c r="BW56" s="442"/>
      <c r="BX56" s="442"/>
      <c r="BY56" s="442"/>
      <c r="BZ56" s="442"/>
      <c r="CA56" s="442"/>
      <c r="CB56" s="442"/>
      <c r="CF56" s="507" t="s">
        <v>0</v>
      </c>
      <c r="CG56" s="314"/>
      <c r="CH56" s="314"/>
      <c r="CI56" s="180" t="s">
        <v>6421</v>
      </c>
      <c r="CJ56" s="181" t="s">
        <v>19</v>
      </c>
      <c r="CK56" s="184"/>
      <c r="CL56" s="507" t="s">
        <v>0</v>
      </c>
      <c r="CM56" s="314"/>
      <c r="CN56" s="314"/>
      <c r="CO56" s="180" t="s">
        <v>6421</v>
      </c>
      <c r="CP56" s="181" t="s">
        <v>19</v>
      </c>
      <c r="CQ56" s="177"/>
      <c r="CR56" s="332"/>
      <c r="CS56" s="333"/>
      <c r="CT56" s="333"/>
      <c r="CU56" s="333"/>
      <c r="CV56" s="333"/>
      <c r="CW56" s="333"/>
      <c r="CX56" s="333"/>
      <c r="CY56" s="333"/>
      <c r="CZ56" s="333"/>
      <c r="DA56" s="333"/>
      <c r="DB56" s="334"/>
      <c r="DC56" s="97"/>
      <c r="DD56" s="456"/>
      <c r="DE56" s="456"/>
      <c r="DF56" s="456"/>
      <c r="DG56" s="54"/>
      <c r="DH56" s="456"/>
      <c r="DI56" s="456"/>
      <c r="DJ56" s="456"/>
      <c r="DK56" s="11"/>
      <c r="DL56" s="11"/>
      <c r="DM56" s="11"/>
      <c r="DN56" s="11"/>
      <c r="DO56" s="11"/>
      <c r="DP56" s="11"/>
      <c r="DQ56" s="68">
        <v>2</v>
      </c>
      <c r="DR56" s="322"/>
      <c r="DS56" s="322"/>
      <c r="DT56" s="66">
        <v>0</v>
      </c>
      <c r="DU56" s="66">
        <v>0</v>
      </c>
      <c r="DV56" s="66">
        <v>0</v>
      </c>
      <c r="DW56" s="66">
        <v>0</v>
      </c>
      <c r="DX56" s="66">
        <f>(SUM(DT56:DW56)*LOOKUP(DT56,Sheet3!$O$2:$O$40,Sheet3!$P$2:$P$40))-(30*LOOKUP(DT56,Sheet3!$O$2:$O$40,Sheet3!$Q$2:$Q$40))</f>
        <v>-30</v>
      </c>
    </row>
    <row r="57" spans="1:128" ht="7.35" customHeight="1" x14ac:dyDescent="0.2">
      <c r="B57" s="281"/>
      <c r="C57" s="353"/>
      <c r="D57" s="353"/>
      <c r="E57" s="353"/>
      <c r="F57" s="353"/>
      <c r="G57" s="287" t="s">
        <v>153</v>
      </c>
      <c r="H57" s="308" t="str">
        <f>LOOKUP(C57,Sheet3!$AX$4:$AX$181,Sheet3!$BI$4:$BI$181)</f>
        <v/>
      </c>
      <c r="I57" s="308"/>
      <c r="J57" s="308"/>
      <c r="K57" s="308"/>
      <c r="L57" s="308"/>
      <c r="O57" s="203">
        <f>MAX(1,LOOKUP($C$2,Sheet3!$C$42:$V$42,Sheet3!C87:V87)-Sheet3!AF348)</f>
        <v>2</v>
      </c>
      <c r="P57" s="350" t="s">
        <v>237</v>
      </c>
      <c r="Q57" s="350"/>
      <c r="R57" s="199">
        <v>0</v>
      </c>
      <c r="S57" s="199">
        <f>F12+(F12*T57)</f>
        <v>0</v>
      </c>
      <c r="T57" s="199">
        <v>0</v>
      </c>
      <c r="U57" s="199">
        <v>0</v>
      </c>
      <c r="V57" s="203">
        <f>((LOOKUP($C$2,Sheet3!$C$100:$V$100,Sheet3!C145:V145)+Sheet3!AP348)*$C$3)+Sheet3!O433</f>
        <v>0</v>
      </c>
      <c r="W57" s="199">
        <f>((SUM(R57:V57)-T57+Sheet3!$O$396)*IF(R57=0,0,1))-IF(AND(R57=0,Sheet3!$O$396=0),30,0)</f>
        <v>-30</v>
      </c>
      <c r="Y57" s="371"/>
      <c r="Z57" s="371"/>
      <c r="AA57" s="371" t="str">
        <f>LOOKUP(Y57,Sheet2!$AP$7:$AP$116,Sheet2!$AR$7:$AR$116)</f>
        <v/>
      </c>
      <c r="AB57" s="371"/>
      <c r="AC57" s="371"/>
      <c r="AE57" s="322" t="s">
        <v>5422</v>
      </c>
      <c r="AF57" s="322"/>
      <c r="AG57" s="322"/>
      <c r="AH57" s="322"/>
      <c r="AI57" s="19"/>
      <c r="AJ57" s="398" t="s">
        <v>5591</v>
      </c>
      <c r="AK57" s="398"/>
      <c r="AL57" s="398"/>
      <c r="AM57" s="398"/>
      <c r="AN57" s="398"/>
      <c r="AO57" s="396"/>
      <c r="AP57" s="101" t="s">
        <v>5</v>
      </c>
      <c r="AR57" s="120" t="s">
        <v>5194</v>
      </c>
      <c r="AS57" s="437" t="s">
        <v>0</v>
      </c>
      <c r="AT57" s="418"/>
      <c r="AU57" s="395" t="s">
        <v>164</v>
      </c>
      <c r="AV57" s="395"/>
      <c r="AW57" s="395"/>
      <c r="AX57" s="418" t="s">
        <v>165</v>
      </c>
      <c r="AY57" s="418"/>
      <c r="AZ57" s="418"/>
      <c r="BA57" s="418" t="s">
        <v>164</v>
      </c>
      <c r="BB57" s="418"/>
      <c r="BC57" s="418"/>
      <c r="BD57" s="418"/>
      <c r="BE57" s="418"/>
      <c r="BF57" s="57" t="s">
        <v>27</v>
      </c>
      <c r="BG57" s="57" t="s">
        <v>69</v>
      </c>
      <c r="BH57" s="57" t="s">
        <v>166</v>
      </c>
      <c r="BI57" s="13"/>
      <c r="BJ57" s="50">
        <v>120</v>
      </c>
      <c r="BK57" s="322" t="str">
        <f>LOOKUP(BK48,HP!$I$17:$I$141,HP!$Q$17:$Q$141)</f>
        <v/>
      </c>
      <c r="BL57" s="322"/>
      <c r="BN57" s="50">
        <v>120</v>
      </c>
      <c r="BO57" s="322" t="str">
        <f>LOOKUP(BO48,HP!$I$17:$I$141,HP!$Q$17:$Q$141)</f>
        <v/>
      </c>
      <c r="BP57" s="322"/>
      <c r="BQ57" s="322"/>
      <c r="BS57" s="50">
        <v>120</v>
      </c>
      <c r="BT57" s="322" t="str">
        <f>LOOKUP(BT48,HP!$I$17:$I$141,HP!$Q$17:$Q$141)</f>
        <v/>
      </c>
      <c r="BU57" s="322"/>
      <c r="BW57" s="442"/>
      <c r="BX57" s="442"/>
      <c r="BY57" s="442"/>
      <c r="BZ57" s="442"/>
      <c r="CA57" s="442"/>
      <c r="CB57" s="442"/>
      <c r="CF57" s="311"/>
      <c r="CG57" s="508"/>
      <c r="CH57" s="312"/>
      <c r="CI57" s="167">
        <f>CJ57-CJ61-CJ66-CJ71-CJ76-CJ81-CJ86-CJ91-CJ96</f>
        <v>0</v>
      </c>
      <c r="CJ57" s="161">
        <v>0</v>
      </c>
      <c r="CK57" s="184"/>
      <c r="CL57" s="311"/>
      <c r="CM57" s="508"/>
      <c r="CN57" s="312"/>
      <c r="CO57" s="167">
        <f>CP57-CP61-CP66-CP71-CP76-CP81-CP86-CP91-CP96</f>
        <v>0</v>
      </c>
      <c r="CP57" s="167">
        <v>0</v>
      </c>
      <c r="CQ57" s="177"/>
      <c r="CR57" s="332"/>
      <c r="CS57" s="333"/>
      <c r="CT57" s="333"/>
      <c r="CU57" s="333"/>
      <c r="CV57" s="333"/>
      <c r="CW57" s="333"/>
      <c r="CX57" s="333"/>
      <c r="CY57" s="333"/>
      <c r="CZ57" s="333"/>
      <c r="DA57" s="333"/>
      <c r="DB57" s="334"/>
      <c r="DC57" s="97"/>
      <c r="DD57" s="456"/>
      <c r="DE57" s="456"/>
      <c r="DF57" s="456"/>
      <c r="DG57" s="54"/>
      <c r="DH57" s="456"/>
      <c r="DI57" s="456"/>
      <c r="DJ57" s="456"/>
      <c r="DK57" s="11"/>
      <c r="DL57" s="11"/>
      <c r="DM57" s="11"/>
      <c r="DN57" s="11"/>
      <c r="DO57" s="11"/>
      <c r="DP57" s="11"/>
      <c r="DQ57" s="68">
        <v>2</v>
      </c>
      <c r="DR57" s="322"/>
      <c r="DS57" s="322"/>
      <c r="DT57" s="66">
        <v>0</v>
      </c>
      <c r="DU57" s="66">
        <v>0</v>
      </c>
      <c r="DV57" s="66">
        <v>0</v>
      </c>
      <c r="DW57" s="66">
        <v>0</v>
      </c>
      <c r="DX57" s="66">
        <f>(SUM(DT57:DW57)*LOOKUP(DT57,Sheet3!$O$2:$O$40,Sheet3!$P$2:$P$40))-(30*LOOKUP(DT57,Sheet3!$O$2:$O$40,Sheet3!$Q$2:$Q$40))</f>
        <v>-30</v>
      </c>
    </row>
    <row r="58" spans="1:128" ht="7.35" customHeight="1" x14ac:dyDescent="0.2">
      <c r="B58" s="292" t="s">
        <v>116</v>
      </c>
      <c r="C58" s="292" t="s">
        <v>117</v>
      </c>
      <c r="D58" s="292" t="s">
        <v>195</v>
      </c>
      <c r="E58" s="292" t="s">
        <v>196</v>
      </c>
      <c r="F58" s="292" t="s">
        <v>197</v>
      </c>
      <c r="G58" s="359" t="s">
        <v>38</v>
      </c>
      <c r="H58" s="359"/>
      <c r="I58" s="359"/>
      <c r="J58" s="359" t="s">
        <v>26</v>
      </c>
      <c r="K58" s="359"/>
      <c r="L58" s="359"/>
      <c r="O58" s="202" t="s">
        <v>27</v>
      </c>
      <c r="P58" s="351" t="s">
        <v>38</v>
      </c>
      <c r="Q58" s="351"/>
      <c r="R58" s="202" t="s">
        <v>2</v>
      </c>
      <c r="S58" s="202" t="s">
        <v>13</v>
      </c>
      <c r="T58" s="202" t="s">
        <v>5332</v>
      </c>
      <c r="U58" s="202" t="s">
        <v>106</v>
      </c>
      <c r="V58" s="202" t="s">
        <v>107</v>
      </c>
      <c r="W58" s="202" t="s">
        <v>108</v>
      </c>
      <c r="Y58" s="357" t="s">
        <v>228</v>
      </c>
      <c r="Z58" s="357"/>
      <c r="AA58" s="357"/>
      <c r="AB58" s="120" t="s">
        <v>5</v>
      </c>
      <c r="AC58" s="120" t="s">
        <v>229</v>
      </c>
      <c r="AE58" s="365" t="str">
        <f>LOOKUP(AE56,Sheet3!$DV$6:$DV$21,Sheet3!$DW$6:$DW$21)</f>
        <v/>
      </c>
      <c r="AF58" s="365"/>
      <c r="AG58" s="365"/>
      <c r="AH58" s="365"/>
      <c r="AI58" s="19"/>
      <c r="AJ58" s="454" t="s">
        <v>5592</v>
      </c>
      <c r="AK58" s="454"/>
      <c r="AL58" s="454"/>
      <c r="AM58" s="454"/>
      <c r="AN58" s="455"/>
      <c r="AO58" s="125">
        <f>IF(AP58=0,KI!I56,"-")</f>
        <v>70</v>
      </c>
      <c r="AP58" s="126"/>
      <c r="AR58" s="440"/>
      <c r="AS58" s="438"/>
      <c r="AT58" s="439"/>
      <c r="AU58" s="443" t="str">
        <f>LOOKUP(AS58,HM!$V$15:$V$655,HM!$W$15:$W$655)</f>
        <v/>
      </c>
      <c r="AV58" s="443"/>
      <c r="AW58" s="443"/>
      <c r="AX58" s="418" t="s">
        <v>2</v>
      </c>
      <c r="AY58" s="418"/>
      <c r="AZ58" s="418"/>
      <c r="BA58" s="439" t="str">
        <f>LOOKUP(AS58,HM!$V$15:$V$655,HM!$AA$15:$AA$655)</f>
        <v/>
      </c>
      <c r="BB58" s="439"/>
      <c r="BC58" s="439"/>
      <c r="BD58" s="439"/>
      <c r="BE58" s="439"/>
      <c r="BF58" s="56" t="str">
        <f>LOOKUP(AS58,HM!$V$15:$V$655,HM!$AB$15:$AB$655)</f>
        <v/>
      </c>
      <c r="BG58" s="171" t="str">
        <f>LOOKUP(AS58,HM!$V$15:$V$655,HM!$AC$15:$AC$655)&amp;" "&amp;LOOKUP(AS58,HM!$V$15:$V$655,Tabla9[Diario])</f>
        <v xml:space="preserve"> </v>
      </c>
      <c r="BH58" s="56" t="str">
        <f>LOOKUP(AS58,HM!$V$15:$V$655,HM!$AD$15:$AD$655)</f>
        <v/>
      </c>
      <c r="BI58" s="13"/>
      <c r="BJ58" s="50">
        <v>140</v>
      </c>
      <c r="BK58" s="322" t="str">
        <f>LOOKUP(BK48,HP!$I$17:$I$141,HP!$R$17:$R$141)</f>
        <v/>
      </c>
      <c r="BL58" s="322"/>
      <c r="BN58" s="50">
        <v>140</v>
      </c>
      <c r="BO58" s="322" t="str">
        <f>LOOKUP(BO48,HP!$I$17:$I$141,HP!$R$17:$R$141)</f>
        <v/>
      </c>
      <c r="BP58" s="322"/>
      <c r="BQ58" s="322"/>
      <c r="BS58" s="50">
        <v>140</v>
      </c>
      <c r="BT58" s="322" t="str">
        <f>LOOKUP(BT48,HP!$I$17:$I$141,HP!$R$17:$R$141)</f>
        <v/>
      </c>
      <c r="BU58" s="322"/>
      <c r="BV58" s="6"/>
      <c r="BW58" s="442"/>
      <c r="BX58" s="442"/>
      <c r="BY58" s="442"/>
      <c r="BZ58" s="442"/>
      <c r="CA58" s="442"/>
      <c r="CB58" s="442"/>
      <c r="CK58" s="184"/>
      <c r="CQ58" s="177"/>
      <c r="CR58" s="332"/>
      <c r="CS58" s="333"/>
      <c r="CT58" s="333"/>
      <c r="CU58" s="333"/>
      <c r="CV58" s="333"/>
      <c r="CW58" s="333"/>
      <c r="CX58" s="333"/>
      <c r="CY58" s="333"/>
      <c r="CZ58" s="333"/>
      <c r="DA58" s="333"/>
      <c r="DB58" s="334"/>
      <c r="DC58" s="97"/>
      <c r="DD58" s="456"/>
      <c r="DE58" s="456"/>
      <c r="DF58" s="456"/>
      <c r="DG58" s="54"/>
      <c r="DH58" s="456"/>
      <c r="DI58" s="456"/>
      <c r="DJ58" s="456"/>
      <c r="DK58" s="11"/>
      <c r="DL58" s="11"/>
      <c r="DM58" s="11"/>
      <c r="DN58" s="11"/>
      <c r="DO58" s="11"/>
      <c r="DP58" s="11"/>
      <c r="DQ58" s="68">
        <v>2</v>
      </c>
      <c r="DR58" s="322"/>
      <c r="DS58" s="322"/>
      <c r="DT58" s="66">
        <v>0</v>
      </c>
      <c r="DU58" s="66">
        <v>0</v>
      </c>
      <c r="DV58" s="66">
        <v>0</v>
      </c>
      <c r="DW58" s="66">
        <v>0</v>
      </c>
      <c r="DX58" s="66">
        <f>(SUM(DT58:DW58)*LOOKUP(DT58,Sheet3!$O$2:$O$40,Sheet3!$P$2:$P$40))-(30*LOOKUP(DT58,Sheet3!$O$2:$O$40,Sheet3!$Q$2:$Q$40))</f>
        <v>-30</v>
      </c>
    </row>
    <row r="59" spans="1:128" ht="7.35" customHeight="1" x14ac:dyDescent="0.2">
      <c r="B59" s="291">
        <f>5*(LOOKUP(J61,Sheet3!$L$2:$L$6,Sheet3!$M$2:$M$6))</f>
        <v>0</v>
      </c>
      <c r="C59" s="291">
        <f>5*(LOOKUP(J61,Sheet3!$L$2:$L$6,Sheet3!$M$2:$M$6))</f>
        <v>0</v>
      </c>
      <c r="D59" s="291">
        <f>(LOOKUP(C57,Tabla11[Nombre],Tabla11[Daño])+(10*(LOOKUP(J61,Sheet3!$L$2:$L$6,Sheet3!$M$2:$M$6))))*LOOKUP(K61,Sheet3!$K$186:$K$189,Sheet3!$N$186:$N$189)</f>
        <v>0</v>
      </c>
      <c r="E59" s="291">
        <f>$F$13</f>
        <v>0</v>
      </c>
      <c r="F59" s="291">
        <f>SUM(D59:E59)+IF(C57&lt;&gt;0,IF(AP27&gt;5,10,0),0)+IF(C57&lt;&gt;0,IF(AP29&gt;5,10,0),0)</f>
        <v>0</v>
      </c>
      <c r="G59" s="308" t="str">
        <f>LOOKUP(C57,Tabla11[Nombre],Tabla11[Especial])</f>
        <v/>
      </c>
      <c r="H59" s="308"/>
      <c r="I59" s="308"/>
      <c r="J59" s="308" t="str">
        <f>LOOKUP(C57,Tabla11[Nombre],Tabla11[Tipo de arma])</f>
        <v/>
      </c>
      <c r="K59" s="308"/>
      <c r="L59" s="308"/>
      <c r="O59" s="203">
        <v>0</v>
      </c>
      <c r="P59" s="350"/>
      <c r="Q59" s="350"/>
      <c r="R59" s="199">
        <v>0</v>
      </c>
      <c r="S59" s="199">
        <v>0</v>
      </c>
      <c r="T59" s="199">
        <v>0</v>
      </c>
      <c r="U59" s="199">
        <v>0</v>
      </c>
      <c r="V59" s="199">
        <v>0</v>
      </c>
      <c r="W59" s="199">
        <f>((SUM(R59:V59)-T59+Sheet3!$O$396)*IF(R59=0,0,1))-IF(AND(R59=0,Sheet3!$O$396=0),30,0)</f>
        <v>-30</v>
      </c>
      <c r="Y59" s="371" t="str">
        <f>LOOKUP(Y57,Sheet2!$AP$7:$AP$116,Sheet2!$AQ$7:$AQ$116)</f>
        <v/>
      </c>
      <c r="Z59" s="371"/>
      <c r="AA59" s="371"/>
      <c r="AB59" s="127">
        <f>LOOKUP(Y57,Sheet2!$AP$7:$AP$116,Sheet2!$AS$7:$AS$116)</f>
        <v>0</v>
      </c>
      <c r="AC59" s="127" t="str">
        <f>LOOKUP(Y57,Sheet2!$AP$7:$AP$116,Sheet2!$AW$7:$AW$116)</f>
        <v/>
      </c>
      <c r="AE59" s="365"/>
      <c r="AF59" s="365"/>
      <c r="AG59" s="365"/>
      <c r="AH59" s="365"/>
      <c r="AI59" s="19"/>
      <c r="AJ59" s="370" t="s">
        <v>5593</v>
      </c>
      <c r="AK59" s="370"/>
      <c r="AL59" s="370"/>
      <c r="AM59" s="370"/>
      <c r="AN59" s="366"/>
      <c r="AO59" s="105">
        <f>IF(AP59=0,KI!I57,"-")</f>
        <v>60</v>
      </c>
      <c r="AP59" s="102"/>
      <c r="AR59" s="440"/>
      <c r="AS59" s="438"/>
      <c r="AT59" s="439"/>
      <c r="AU59" s="443"/>
      <c r="AV59" s="443"/>
      <c r="AW59" s="443"/>
      <c r="AX59" s="418" t="s">
        <v>173</v>
      </c>
      <c r="AY59" s="418"/>
      <c r="AZ59" s="418"/>
      <c r="BA59" s="439" t="str">
        <f>LOOKUP(AS58,HM!$V$15:$V$655,HM!$AE$15:$AE$655)</f>
        <v/>
      </c>
      <c r="BB59" s="439"/>
      <c r="BC59" s="439"/>
      <c r="BD59" s="439"/>
      <c r="BE59" s="439"/>
      <c r="BF59" s="56" t="str">
        <f>LOOKUP(AS58,HM!$V$15:$V$655,HM!$AF$15:$AF$655)</f>
        <v/>
      </c>
      <c r="BG59" s="171" t="str">
        <f>LOOKUP(AS58,HM!$V$15:$V$655,HM!$AG$15:$AG$655)&amp;" "&amp;LOOKUP(AS58,HM!$V$15:$V$655,Tabla9[Diario])</f>
        <v xml:space="preserve"> </v>
      </c>
      <c r="BH59" s="56" t="str">
        <f>LOOKUP(AS58,HM!$V$15:$V$655,HM!$AH$15:$AH$655)</f>
        <v/>
      </c>
      <c r="BJ59" s="50">
        <v>180</v>
      </c>
      <c r="BK59" s="322" t="str">
        <f>LOOKUP(BK48,HP!$I$17:$I$141,HP!$S$17:$S$141)</f>
        <v/>
      </c>
      <c r="BL59" s="322"/>
      <c r="BN59" s="50">
        <v>180</v>
      </c>
      <c r="BO59" s="322" t="str">
        <f>LOOKUP(BO48,HP!$I$17:$I$141,HP!$S$17:$S$141)</f>
        <v/>
      </c>
      <c r="BP59" s="322"/>
      <c r="BQ59" s="322"/>
      <c r="BS59" s="50">
        <v>180</v>
      </c>
      <c r="BT59" s="322" t="str">
        <f>LOOKUP(BT48,HP!$I$17:$I$141,HP!$S$17:$S$141)</f>
        <v/>
      </c>
      <c r="BU59" s="322"/>
      <c r="BW59" s="442"/>
      <c r="BX59" s="442"/>
      <c r="BY59" s="442"/>
      <c r="BZ59" s="442"/>
      <c r="CA59" s="442"/>
      <c r="CB59" s="442"/>
      <c r="CF59" s="313" t="s">
        <v>20</v>
      </c>
      <c r="CG59" s="314"/>
      <c r="CH59" s="314"/>
      <c r="CI59" s="314"/>
      <c r="CJ59" s="314"/>
      <c r="CK59" s="184"/>
      <c r="CL59" s="313" t="s">
        <v>20</v>
      </c>
      <c r="CM59" s="314"/>
      <c r="CN59" s="314"/>
      <c r="CO59" s="314"/>
      <c r="CP59" s="314"/>
      <c r="CQ59" s="177"/>
      <c r="CR59" s="332"/>
      <c r="CS59" s="333"/>
      <c r="CT59" s="333"/>
      <c r="CU59" s="333"/>
      <c r="CV59" s="333"/>
      <c r="CW59" s="333"/>
      <c r="CX59" s="333"/>
      <c r="CY59" s="333"/>
      <c r="CZ59" s="333"/>
      <c r="DA59" s="333"/>
      <c r="DB59" s="334"/>
      <c r="DC59" s="97"/>
      <c r="DD59" s="456"/>
      <c r="DE59" s="456"/>
      <c r="DF59" s="456"/>
      <c r="DG59" s="54"/>
      <c r="DH59" s="456"/>
      <c r="DI59" s="456"/>
      <c r="DJ59" s="456"/>
      <c r="DK59" s="11"/>
      <c r="DL59" s="11"/>
      <c r="DM59" s="11"/>
      <c r="DN59" s="11"/>
      <c r="DO59" s="11"/>
      <c r="DP59" s="11"/>
      <c r="DQ59" s="68">
        <v>2</v>
      </c>
      <c r="DR59" s="322"/>
      <c r="DS59" s="322"/>
      <c r="DT59" s="66">
        <v>0</v>
      </c>
      <c r="DU59" s="66">
        <v>0</v>
      </c>
      <c r="DV59" s="66">
        <v>0</v>
      </c>
      <c r="DW59" s="66">
        <v>0</v>
      </c>
      <c r="DX59" s="66">
        <f>(SUM(DT59:DW59)*LOOKUP(DT59,Sheet3!$O$2:$O$40,Sheet3!$P$2:$P$40))-(30*LOOKUP(DT59,Sheet3!$O$2:$O$40,Sheet3!$Q$2:$Q$40))</f>
        <v>-30</v>
      </c>
    </row>
    <row r="60" spans="1:128" ht="7.35" customHeight="1" x14ac:dyDescent="0.2">
      <c r="B60" s="292" t="s">
        <v>200</v>
      </c>
      <c r="C60" s="292" t="s">
        <v>143</v>
      </c>
      <c r="D60" s="292" t="s">
        <v>201</v>
      </c>
      <c r="E60" s="292" t="s">
        <v>144</v>
      </c>
      <c r="F60" s="292" t="s">
        <v>202</v>
      </c>
      <c r="G60" s="293" t="s">
        <v>203</v>
      </c>
      <c r="H60" s="293" t="s">
        <v>204</v>
      </c>
      <c r="I60" s="293" t="s">
        <v>205</v>
      </c>
      <c r="J60" s="293" t="s">
        <v>16</v>
      </c>
      <c r="K60" s="345" t="s">
        <v>55</v>
      </c>
      <c r="L60" s="345"/>
      <c r="M60" s="2"/>
      <c r="O60" s="203">
        <v>0</v>
      </c>
      <c r="P60" s="350"/>
      <c r="Q60" s="350"/>
      <c r="R60" s="199">
        <v>0</v>
      </c>
      <c r="S60" s="199">
        <v>0</v>
      </c>
      <c r="T60" s="199">
        <v>0</v>
      </c>
      <c r="U60" s="199">
        <v>0</v>
      </c>
      <c r="V60" s="199">
        <v>0</v>
      </c>
      <c r="W60" s="199">
        <f>((SUM(R60:V60)-T60+Sheet3!$O$396)*IF(R60=0,0,1))-IF(AND(R60=0,Sheet3!$O$396=0),30,0)</f>
        <v>-30</v>
      </c>
      <c r="Y60" s="357" t="s">
        <v>233</v>
      </c>
      <c r="Z60" s="357"/>
      <c r="AA60" s="357"/>
      <c r="AB60" s="357"/>
      <c r="AC60" s="357"/>
      <c r="AE60" s="365"/>
      <c r="AF60" s="365"/>
      <c r="AG60" s="365"/>
      <c r="AH60" s="365"/>
      <c r="AI60" s="2"/>
      <c r="AJ60" s="116" t="s">
        <v>5589</v>
      </c>
      <c r="AK60" s="370" t="s">
        <v>5594</v>
      </c>
      <c r="AL60" s="370"/>
      <c r="AM60" s="370"/>
      <c r="AN60" s="366"/>
      <c r="AO60" s="105">
        <f>IF(AP60=0,KI!I58,"-")</f>
        <v>30</v>
      </c>
      <c r="AP60" s="102"/>
      <c r="AR60" s="120" t="s">
        <v>14</v>
      </c>
      <c r="AS60" s="117" t="s">
        <v>26</v>
      </c>
      <c r="AT60" s="57" t="s">
        <v>175</v>
      </c>
      <c r="AU60" s="443"/>
      <c r="AV60" s="443"/>
      <c r="AW60" s="443"/>
      <c r="AX60" s="418" t="s">
        <v>176</v>
      </c>
      <c r="AY60" s="418"/>
      <c r="AZ60" s="418"/>
      <c r="BA60" s="439" t="str">
        <f>LOOKUP(AS58,HM!$V$15:$V$655,HM!$AI$15:$AI$655)</f>
        <v/>
      </c>
      <c r="BB60" s="439"/>
      <c r="BC60" s="439"/>
      <c r="BD60" s="439"/>
      <c r="BE60" s="439"/>
      <c r="BF60" s="56" t="str">
        <f>LOOKUP(AS58,HM!$V$15:$V$655,HM!$AJ$15:$AJ$655)</f>
        <v/>
      </c>
      <c r="BG60" s="171" t="str">
        <f>LOOKUP(AS58,HM!$V$15:$V$655,HM!$AK$15:$AK$655)&amp;" "&amp;LOOKUP(AS58,HM!$V$15:$V$655,Tabla9[Diario])</f>
        <v xml:space="preserve"> </v>
      </c>
      <c r="BH60" s="56" t="str">
        <f>LOOKUP(AS58,HM!$V$15:$V$655,HM!$AL$15:$AL$655)</f>
        <v/>
      </c>
      <c r="BJ60" s="50">
        <v>240</v>
      </c>
      <c r="BK60" s="322" t="str">
        <f>LOOKUP(BK48,HP!$I$17:$I$141,HP!$T$17:$T$141)</f>
        <v/>
      </c>
      <c r="BL60" s="322"/>
      <c r="BN60" s="50">
        <v>240</v>
      </c>
      <c r="BO60" s="322" t="str">
        <f>LOOKUP(BO48,HP!$I$17:$I$141,HP!$T$17:$T$141)</f>
        <v/>
      </c>
      <c r="BP60" s="322"/>
      <c r="BQ60" s="322"/>
      <c r="BS60" s="50">
        <v>240</v>
      </c>
      <c r="BT60" s="322" t="str">
        <f>LOOKUP(BT48,HP!$I$17:$I$141,HP!$T$17:$T$141)</f>
        <v/>
      </c>
      <c r="BU60" s="322"/>
      <c r="BV60" s="6"/>
      <c r="BW60" s="442"/>
      <c r="BX60" s="442"/>
      <c r="BY60" s="442"/>
      <c r="BZ60" s="442"/>
      <c r="CA60" s="442"/>
      <c r="CB60" s="442"/>
      <c r="CF60" s="310" t="s">
        <v>0</v>
      </c>
      <c r="CG60" s="310"/>
      <c r="CH60" s="310" t="s">
        <v>228</v>
      </c>
      <c r="CI60" s="310"/>
      <c r="CJ60" s="183" t="s">
        <v>27</v>
      </c>
      <c r="CK60" s="184"/>
      <c r="CL60" s="310" t="s">
        <v>0</v>
      </c>
      <c r="CM60" s="310"/>
      <c r="CN60" s="310" t="s">
        <v>228</v>
      </c>
      <c r="CO60" s="310"/>
      <c r="CP60" s="183" t="s">
        <v>27</v>
      </c>
      <c r="CQ60" s="177"/>
      <c r="CR60" s="332"/>
      <c r="CS60" s="333"/>
      <c r="CT60" s="333"/>
      <c r="CU60" s="333"/>
      <c r="CV60" s="333"/>
      <c r="CW60" s="333"/>
      <c r="CX60" s="333"/>
      <c r="CY60" s="333"/>
      <c r="CZ60" s="333"/>
      <c r="DA60" s="333"/>
      <c r="DB60" s="334"/>
      <c r="DC60" s="97"/>
    </row>
    <row r="61" spans="1:128" ht="7.35" customHeight="1" x14ac:dyDescent="0.2">
      <c r="B61" s="291">
        <f>IFERROR(LOOKUP(C57,Tabla11[Nombre],Tabla11[Turno])+(5*(LOOKUP($J$49,Sheet3!$L$2:$L$6,Sheet3!$M$2:$M$6)))+LOOKUP(K61,Sheet3!$K$186:$K$189,Sheet3!$O$186:$O$189),"No usable")</f>
        <v>20</v>
      </c>
      <c r="C61" s="291">
        <f>IFERROR(LOOKUP(C57,Tabla11[Nombre],Tabla11[Entereza])+(10*(LOOKUP($J$49,Sheet3!$L$2:$L$6,Sheet3!$M$2:$M$6)))+IF(C57&lt;&gt;0,IF($AP$15&gt;5,10,0)+LOOKUP(K61,Sheet3!$K$186:$K$189,Sheet3!$M$186:$M$189),0),"NA")</f>
        <v>0</v>
      </c>
      <c r="D61" s="291">
        <f>IFERROR(LOOKUP(C57,Tabla11[Nombre],Tabla11[Rotura])+(2*(LOOKUP($J$49,Sheet3!$L$2:$L$6,Sheet3!$M$2:$M$6)))+IF(C57&lt;&gt;0,IF($AP$15&gt;5,5,0)+Sheet3!$L$176+Sheet3!$N$174+LOOKUP(K61,Sheet3!$K$186:$K$189,Sheet3!$L$186:$L$189),0),"NA")</f>
        <v>0</v>
      </c>
      <c r="E61" s="291">
        <f>IFERROR(LOOKUP(C57,Tabla11[Nombre],Tabla11[Presencia])+(50*(LOOKUP($J$49,Sheet3!$L$2:$L$6,Sheet3!$M$2:$M$6))),"NA")</f>
        <v>0</v>
      </c>
      <c r="F61" s="291" t="str">
        <f>LOOKUP(C57,Tabla11[Nombre],Tabla11[Crítico 1])</f>
        <v/>
      </c>
      <c r="G61" s="289" t="str">
        <f>IF(C57&lt;&gt;0,IF($AP$16&lt;&gt;0,LOOKUP($AN$16,Sheet3!$L$286:$M$291),LOOKUP(C57,Tabla11[Nombre],Tabla11[Ctrítico 2])),"")</f>
        <v/>
      </c>
      <c r="H61" s="289" t="str">
        <f>LOOKUP(C57,Tabla11[Nombre],Tabla11[Fuerza requerida])&amp;IF(C57&lt;&gt;0,LOOKUP(K61,Sheet3!$K$186:$K$189,Sheet3!$P$186:$P$189),"")</f>
        <v/>
      </c>
      <c r="I61" s="289"/>
      <c r="J61" s="289"/>
      <c r="K61" s="360"/>
      <c r="L61" s="361"/>
      <c r="M61" s="2"/>
      <c r="O61" s="203">
        <f>LOOKUP($C$2,Sheet3!$C$42:$V$42,Sheet3!C91:V91)</f>
        <v>0</v>
      </c>
      <c r="P61" s="350"/>
      <c r="Q61" s="350"/>
      <c r="R61" s="199">
        <v>0</v>
      </c>
      <c r="S61" s="199">
        <v>0</v>
      </c>
      <c r="T61" s="199">
        <v>0</v>
      </c>
      <c r="U61" s="199">
        <v>0</v>
      </c>
      <c r="V61" s="199">
        <v>0</v>
      </c>
      <c r="W61" s="199">
        <f>((SUM(R61:V61)-T61+Sheet3!$O$396)*IF(R61=0,0,1))-IF(AND(R61=0,Sheet3!$O$396=0),30,0)</f>
        <v>-30</v>
      </c>
      <c r="Y61" s="365" t="str">
        <f>LOOKUP(Y57,Sheet2!$AP$7:$AP$116,Sheet2!$AT$7:$AT$116)</f>
        <v/>
      </c>
      <c r="Z61" s="365"/>
      <c r="AA61" s="365"/>
      <c r="AB61" s="365"/>
      <c r="AC61" s="365"/>
      <c r="AE61" s="89" t="s">
        <v>152</v>
      </c>
      <c r="AF61" s="89">
        <f>LOOKUP(AE56,Sheet3!$DV$6:$DV$21,Sheet3!$DY$6:$DY$21)</f>
        <v>0</v>
      </c>
      <c r="AG61" s="89" t="s">
        <v>5</v>
      </c>
      <c r="AH61" s="89">
        <f>LOOKUP(AE56,Sheet3!$DV$6:$DV$21,Sheet3!$DZ$6:$DZ$21)</f>
        <v>0</v>
      </c>
      <c r="AJ61" s="370" t="s">
        <v>5595</v>
      </c>
      <c r="AK61" s="370"/>
      <c r="AL61" s="370"/>
      <c r="AM61" s="370"/>
      <c r="AN61" s="366"/>
      <c r="AO61" s="105">
        <f>IF(AP61=0,KI!I59,"-")</f>
        <v>30</v>
      </c>
      <c r="AP61" s="102"/>
      <c r="AR61" s="106" t="str">
        <f>LOOKUP(AS58,HM!$V$15:$V$655,HM!$X$15:$X$655)</f>
        <v/>
      </c>
      <c r="AS61" s="118" t="str">
        <f>LOOKUP(AS58,HM!$V$15:$V$655,HM!$Y$15:$Y$655)</f>
        <v/>
      </c>
      <c r="AT61" s="56" t="str">
        <f>LOOKUP(AS58,HM!$V$15:$V$655,HM!$Z$15:$Z$655)</f>
        <v/>
      </c>
      <c r="AU61" s="443"/>
      <c r="AV61" s="443"/>
      <c r="AW61" s="443"/>
      <c r="AX61" s="418" t="s">
        <v>179</v>
      </c>
      <c r="AY61" s="418"/>
      <c r="AZ61" s="418"/>
      <c r="BA61" s="439" t="str">
        <f>LOOKUP(AS58,HM!$V$15:$V$655,HM!$AM$15:$AM$655)</f>
        <v/>
      </c>
      <c r="BB61" s="439"/>
      <c r="BC61" s="439"/>
      <c r="BD61" s="439"/>
      <c r="BE61" s="439"/>
      <c r="BF61" s="56" t="str">
        <f>LOOKUP(AS58,HM!$V$15:$V$655,HM!$AN$15:$AN$655)</f>
        <v/>
      </c>
      <c r="BG61" s="171" t="str">
        <f>LOOKUP(AS58,HM!$V$15:$V$655,HM!$AO$15:$AO$655)&amp;" "&amp;LOOKUP(AS58,HM!$V$15:$V$655,Tabla9[Diario])</f>
        <v xml:space="preserve"> </v>
      </c>
      <c r="BH61" s="56" t="str">
        <f>LOOKUP(AS58,HM!$V$15:$V$655,HM!$AP$15:$AP$655)</f>
        <v/>
      </c>
      <c r="BJ61" s="50">
        <v>280</v>
      </c>
      <c r="BK61" s="322" t="str">
        <f>LOOKUP(BK48,HP!$I$17:$I$141,HP!$U$17:$U$141)</f>
        <v/>
      </c>
      <c r="BL61" s="322"/>
      <c r="BN61" s="50">
        <v>280</v>
      </c>
      <c r="BO61" s="322" t="str">
        <f>LOOKUP(BO48,HP!$I$17:$I$141,HP!$U$17:$U$141)</f>
        <v/>
      </c>
      <c r="BP61" s="322"/>
      <c r="BQ61" s="322"/>
      <c r="BS61" s="50">
        <v>280</v>
      </c>
      <c r="BT61" s="322" t="str">
        <f>LOOKUP(BT48,HP!$I$17:$I$141,HP!$U$17:$U$141)</f>
        <v/>
      </c>
      <c r="BU61" s="322"/>
      <c r="BW61" s="442"/>
      <c r="BX61" s="442"/>
      <c r="BY61" s="442"/>
      <c r="BZ61" s="442"/>
      <c r="CA61" s="442"/>
      <c r="CB61" s="442"/>
      <c r="CF61" s="311"/>
      <c r="CG61" s="312"/>
      <c r="CH61" s="311" t="str">
        <f>LOOKUP(CF61,Tabla15[Poder],Tabla15[Requisito])</f>
        <v/>
      </c>
      <c r="CI61" s="312"/>
      <c r="CJ61" s="167">
        <f>LOOKUP(CF61,Tabla15[Poder],Tabla15[Coste])</f>
        <v>0</v>
      </c>
      <c r="CK61" s="184"/>
      <c r="CL61" s="311"/>
      <c r="CM61" s="312"/>
      <c r="CN61" s="311" t="str">
        <f>LOOKUP(CL61,Tabla15[Poder],Tabla15[Requisito])</f>
        <v/>
      </c>
      <c r="CO61" s="312"/>
      <c r="CP61" s="167">
        <f>LOOKUP(CL61,Tabla15[Poder],Tabla15[Coste])</f>
        <v>0</v>
      </c>
      <c r="CQ61" s="177"/>
      <c r="CR61" s="332"/>
      <c r="CS61" s="333"/>
      <c r="CT61" s="333"/>
      <c r="CU61" s="333"/>
      <c r="CV61" s="333"/>
      <c r="CW61" s="333"/>
      <c r="CX61" s="333"/>
      <c r="CY61" s="333"/>
      <c r="CZ61" s="333"/>
      <c r="DA61" s="333"/>
      <c r="DB61" s="334"/>
      <c r="DC61" s="97"/>
    </row>
    <row r="62" spans="1:128" ht="7.35" customHeight="1" x14ac:dyDescent="0.2">
      <c r="B62" s="15"/>
      <c r="C62" s="15"/>
      <c r="D62" s="15"/>
      <c r="E62" s="15"/>
      <c r="F62" s="15"/>
      <c r="G62" s="15"/>
      <c r="H62" s="15"/>
      <c r="I62" s="15"/>
      <c r="J62" s="13"/>
      <c r="K62" s="2"/>
      <c r="L62" s="2"/>
      <c r="O62" s="203">
        <f>LOOKUP($C$2,Sheet3!$C$42:$V$42,Sheet3!C92:V92)</f>
        <v>0</v>
      </c>
      <c r="P62" s="350"/>
      <c r="Q62" s="350"/>
      <c r="R62" s="199">
        <v>0</v>
      </c>
      <c r="S62" s="199">
        <v>0</v>
      </c>
      <c r="T62" s="199">
        <v>0</v>
      </c>
      <c r="U62" s="199">
        <v>0</v>
      </c>
      <c r="V62" s="199">
        <v>0</v>
      </c>
      <c r="W62" s="199">
        <f>((SUM(R62:V62)-T62+Sheet3!$O$396)*IF(R62=0,0,1))-IF(AND(R62=0,Sheet3!$O$396=0),30,0)</f>
        <v>-30</v>
      </c>
      <c r="Y62" s="365"/>
      <c r="Z62" s="365"/>
      <c r="AA62" s="365"/>
      <c r="AB62" s="365"/>
      <c r="AC62" s="365"/>
      <c r="AE62" s="322" t="s">
        <v>5429</v>
      </c>
      <c r="AF62" s="322"/>
      <c r="AG62" s="322"/>
      <c r="AH62" s="322"/>
      <c r="AJ62" s="116" t="s">
        <v>5589</v>
      </c>
      <c r="AK62" s="370" t="s">
        <v>5596</v>
      </c>
      <c r="AL62" s="370"/>
      <c r="AM62" s="370"/>
      <c r="AN62" s="366"/>
      <c r="AO62" s="105">
        <f>IF(AP62=0,KI!I60,"-")</f>
        <v>20</v>
      </c>
      <c r="AP62" s="102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2"/>
      <c r="BG62" s="2"/>
      <c r="BH62" s="2"/>
      <c r="BI62" s="6"/>
      <c r="BJ62" s="50">
        <v>320</v>
      </c>
      <c r="BK62" s="322" t="str">
        <f>LOOKUP(BK48,HP!$I$17:$I$141,HP!$V$17:$V$141)</f>
        <v/>
      </c>
      <c r="BL62" s="322"/>
      <c r="BN62" s="50">
        <v>320</v>
      </c>
      <c r="BO62" s="322" t="str">
        <f>LOOKUP(BO48,HP!$I$17:$I$141,HP!$V$17:$V$141)</f>
        <v/>
      </c>
      <c r="BP62" s="322"/>
      <c r="BQ62" s="322"/>
      <c r="BS62" s="50">
        <v>320</v>
      </c>
      <c r="BT62" s="322" t="str">
        <f>LOOKUP(BT48,HP!$I$17:$I$141,HP!$V$17:$V$141)</f>
        <v/>
      </c>
      <c r="BU62" s="322"/>
      <c r="BV62" s="17"/>
      <c r="BW62" s="442"/>
      <c r="BX62" s="442"/>
      <c r="BY62" s="442"/>
      <c r="BZ62" s="442"/>
      <c r="CA62" s="442"/>
      <c r="CB62" s="442"/>
      <c r="CF62" s="309" t="s">
        <v>138</v>
      </c>
      <c r="CG62" s="309"/>
      <c r="CH62" s="309"/>
      <c r="CI62" s="309"/>
      <c r="CJ62" s="309"/>
      <c r="CK62" s="97"/>
      <c r="CL62" s="309" t="s">
        <v>138</v>
      </c>
      <c r="CM62" s="309"/>
      <c r="CN62" s="309"/>
      <c r="CO62" s="309"/>
      <c r="CP62" s="309"/>
      <c r="CQ62" s="177"/>
      <c r="CR62" s="332"/>
      <c r="CS62" s="333"/>
      <c r="CT62" s="333"/>
      <c r="CU62" s="333"/>
      <c r="CV62" s="333"/>
      <c r="CW62" s="333"/>
      <c r="CX62" s="333"/>
      <c r="CY62" s="333"/>
      <c r="CZ62" s="333"/>
      <c r="DA62" s="333"/>
      <c r="DB62" s="334"/>
      <c r="DC62" s="97"/>
      <c r="DF62" s="338" t="s">
        <v>92</v>
      </c>
      <c r="DG62" s="338"/>
      <c r="DH62" s="338"/>
      <c r="DI62" s="338"/>
      <c r="DJ62" s="338"/>
    </row>
    <row r="63" spans="1:128" ht="7.35" customHeight="1" x14ac:dyDescent="0.2">
      <c r="B63" s="281"/>
      <c r="C63" s="353"/>
      <c r="D63" s="353"/>
      <c r="E63" s="353"/>
      <c r="F63" s="353"/>
      <c r="G63" s="287" t="s">
        <v>153</v>
      </c>
      <c r="H63" s="308" t="str">
        <f>LOOKUP(C63,Sheet3!$AX$4:$AX$181,Sheet3!$BI$4:$BI$181)</f>
        <v/>
      </c>
      <c r="I63" s="308"/>
      <c r="J63" s="308"/>
      <c r="K63" s="308"/>
      <c r="L63" s="308"/>
      <c r="O63" s="203">
        <f>LOOKUP($C$2,Sheet3!$C$42:$V$42,Sheet3!C93:V93)</f>
        <v>0</v>
      </c>
      <c r="P63" s="350"/>
      <c r="Q63" s="350"/>
      <c r="R63" s="199">
        <v>0</v>
      </c>
      <c r="S63" s="199">
        <v>0</v>
      </c>
      <c r="T63" s="199">
        <v>0</v>
      </c>
      <c r="U63" s="199">
        <v>0</v>
      </c>
      <c r="V63" s="199">
        <v>0</v>
      </c>
      <c r="W63" s="199">
        <f>((SUM(R63:V63)-T63+Sheet3!$O$396)*IF(R63=0,0,1))-IF(AND(R63=0,Sheet3!$O$396=0),30,0)</f>
        <v>-30</v>
      </c>
      <c r="Y63" s="365"/>
      <c r="Z63" s="365"/>
      <c r="AA63" s="365"/>
      <c r="AB63" s="365"/>
      <c r="AC63" s="365"/>
      <c r="AE63" s="322" t="str">
        <f>LOOKUP(AE56,Sheet3!$DV$6:$DV$21,Sheet3!$DX$6:$DX$21)</f>
        <v>Ninguna</v>
      </c>
      <c r="AF63" s="322"/>
      <c r="AG63" s="322"/>
      <c r="AH63" s="322"/>
      <c r="AJ63" s="370" t="s">
        <v>1639</v>
      </c>
      <c r="AK63" s="370"/>
      <c r="AL63" s="370"/>
      <c r="AM63" s="370"/>
      <c r="AN63" s="366"/>
      <c r="AO63" s="105">
        <f>IF(AP63=0,KI!I61,"-")</f>
        <v>30</v>
      </c>
      <c r="AP63" s="102"/>
      <c r="AR63" s="120" t="s">
        <v>5194</v>
      </c>
      <c r="AS63" s="437" t="s">
        <v>0</v>
      </c>
      <c r="AT63" s="418"/>
      <c r="AU63" s="395" t="s">
        <v>164</v>
      </c>
      <c r="AV63" s="395"/>
      <c r="AW63" s="395"/>
      <c r="AX63" s="418" t="s">
        <v>165</v>
      </c>
      <c r="AY63" s="418"/>
      <c r="AZ63" s="418"/>
      <c r="BA63" s="418" t="s">
        <v>164</v>
      </c>
      <c r="BB63" s="418"/>
      <c r="BC63" s="418"/>
      <c r="BD63" s="418"/>
      <c r="BE63" s="418"/>
      <c r="BF63" s="57" t="s">
        <v>27</v>
      </c>
      <c r="BG63" s="57" t="s">
        <v>69</v>
      </c>
      <c r="BH63" s="57" t="s">
        <v>166</v>
      </c>
      <c r="BJ63" s="50">
        <v>440</v>
      </c>
      <c r="BK63" s="322" t="str">
        <f>LOOKUP(BK48,HP!$I$17:$I$141,HP!$W$17:$W$141)</f>
        <v/>
      </c>
      <c r="BL63" s="322"/>
      <c r="BN63" s="50">
        <v>440</v>
      </c>
      <c r="BO63" s="322" t="str">
        <f>LOOKUP(BO48,HP!$I$17:$I$141,HP!$W$17:$W$141)</f>
        <v/>
      </c>
      <c r="BP63" s="322"/>
      <c r="BQ63" s="322"/>
      <c r="BS63" s="50">
        <v>440</v>
      </c>
      <c r="BT63" s="322" t="str">
        <f>LOOKUP(BT48,HP!$I$17:$I$141,HP!$W$17:$W$141)</f>
        <v/>
      </c>
      <c r="BU63" s="322"/>
      <c r="BV63" s="17"/>
      <c r="BW63" s="442"/>
      <c r="BX63" s="442"/>
      <c r="BY63" s="442"/>
      <c r="BZ63" s="442"/>
      <c r="CA63" s="442"/>
      <c r="CB63" s="442"/>
      <c r="CF63" s="308" t="str">
        <f>LOOKUP(CF61,Tabla15[Poder],Tabla15[Descripcion])</f>
        <v/>
      </c>
      <c r="CG63" s="308"/>
      <c r="CH63" s="308"/>
      <c r="CI63" s="308"/>
      <c r="CJ63" s="308"/>
      <c r="CK63" s="184"/>
      <c r="CL63" s="308" t="str">
        <f>LOOKUP(CL61,Tabla15[Poder],Tabla15[Descripcion])</f>
        <v/>
      </c>
      <c r="CM63" s="308"/>
      <c r="CN63" s="308"/>
      <c r="CO63" s="308"/>
      <c r="CP63" s="308"/>
      <c r="CQ63" s="177"/>
      <c r="CR63" s="332"/>
      <c r="CS63" s="333"/>
      <c r="CT63" s="333"/>
      <c r="CU63" s="333"/>
      <c r="CV63" s="333"/>
      <c r="CW63" s="333"/>
      <c r="CX63" s="333"/>
      <c r="CY63" s="333"/>
      <c r="CZ63" s="333"/>
      <c r="DA63" s="333"/>
      <c r="DB63" s="334"/>
      <c r="DC63" s="97"/>
      <c r="DF63" s="358" t="s">
        <v>96</v>
      </c>
      <c r="DG63" s="358"/>
      <c r="DH63" s="358"/>
      <c r="DI63" s="358" t="s">
        <v>97</v>
      </c>
      <c r="DJ63" s="358"/>
    </row>
    <row r="64" spans="1:128" ht="7.35" customHeight="1" x14ac:dyDescent="0.2">
      <c r="B64" s="292" t="s">
        <v>116</v>
      </c>
      <c r="C64" s="292" t="s">
        <v>117</v>
      </c>
      <c r="D64" s="292" t="s">
        <v>195</v>
      </c>
      <c r="E64" s="292" t="s">
        <v>196</v>
      </c>
      <c r="F64" s="292" t="s">
        <v>197</v>
      </c>
      <c r="G64" s="359" t="s">
        <v>38</v>
      </c>
      <c r="H64" s="359"/>
      <c r="I64" s="359"/>
      <c r="J64" s="359" t="s">
        <v>26</v>
      </c>
      <c r="K64" s="359"/>
      <c r="L64" s="359"/>
      <c r="AJ64" s="116" t="s">
        <v>5589</v>
      </c>
      <c r="AK64" s="370" t="s">
        <v>5597</v>
      </c>
      <c r="AL64" s="370"/>
      <c r="AM64" s="370"/>
      <c r="AN64" s="366"/>
      <c r="AO64" s="105">
        <f>IF(AP64=0,KI!I62,"-")</f>
        <v>20</v>
      </c>
      <c r="AP64" s="102"/>
      <c r="AR64" s="440"/>
      <c r="AS64" s="438"/>
      <c r="AT64" s="439"/>
      <c r="AU64" s="443" t="str">
        <f>LOOKUP(AS64,HM!$V$15:$V$655,HM!$W$15:$W$655)</f>
        <v/>
      </c>
      <c r="AV64" s="443"/>
      <c r="AW64" s="443"/>
      <c r="AX64" s="418" t="s">
        <v>2</v>
      </c>
      <c r="AY64" s="418"/>
      <c r="AZ64" s="418"/>
      <c r="BA64" s="439" t="str">
        <f>LOOKUP(AS64,HM!$V$15:$V$655,HM!$AA$15:$AA$655)</f>
        <v/>
      </c>
      <c r="BB64" s="439"/>
      <c r="BC64" s="439"/>
      <c r="BD64" s="439"/>
      <c r="BE64" s="439"/>
      <c r="BF64" s="56" t="str">
        <f>LOOKUP(AS64,HM!$V$15:$V$655,HM!$AB$15:$AB$655)</f>
        <v/>
      </c>
      <c r="BG64" s="171" t="str">
        <f>LOOKUP(AS64,HM!$V$15:$V$655,HM!$AC$15:$AC$655)&amp;" "&amp;LOOKUP(AS64,HM!$V$15:$V$655,Tabla9[Diario])</f>
        <v xml:space="preserve"> </v>
      </c>
      <c r="BH64" s="56" t="str">
        <f>LOOKUP(AS64,HM!$V$15:$V$655,HM!$AD$15:$AD$655)</f>
        <v/>
      </c>
      <c r="BJ64" s="6"/>
      <c r="BK64" s="6"/>
      <c r="BL64" s="6"/>
      <c r="BN64" s="20"/>
      <c r="BO64" s="20"/>
      <c r="BP64" s="20"/>
      <c r="BQ64" s="20"/>
      <c r="BS64" s="6"/>
      <c r="BT64" s="6"/>
      <c r="BU64" s="6"/>
      <c r="BW64" s="442"/>
      <c r="BX64" s="442"/>
      <c r="BY64" s="442"/>
      <c r="BZ64" s="442"/>
      <c r="CA64" s="442"/>
      <c r="CB64" s="442"/>
      <c r="CF64" s="182"/>
      <c r="CG64" s="184"/>
      <c r="CH64" s="184"/>
      <c r="CI64" s="184"/>
      <c r="CK64" s="184"/>
      <c r="CL64" s="182"/>
      <c r="CM64" s="184"/>
      <c r="CN64" s="184"/>
      <c r="CO64" s="184"/>
      <c r="CQ64" s="177"/>
      <c r="CR64" s="332"/>
      <c r="CS64" s="333"/>
      <c r="CT64" s="333"/>
      <c r="CU64" s="333"/>
      <c r="CV64" s="333"/>
      <c r="CW64" s="333"/>
      <c r="CX64" s="333"/>
      <c r="CY64" s="333"/>
      <c r="CZ64" s="333"/>
      <c r="DA64" s="333"/>
      <c r="DB64" s="334"/>
      <c r="DC64" s="97"/>
      <c r="DF64" s="322" t="s">
        <v>2</v>
      </c>
      <c r="DG64" s="322"/>
      <c r="DH64" s="66">
        <f>DE14</f>
        <v>5</v>
      </c>
      <c r="DI64" s="66" t="s">
        <v>2</v>
      </c>
      <c r="DJ64" s="66">
        <f>DE13</f>
        <v>5</v>
      </c>
    </row>
    <row r="65" spans="1:114" ht="7.35" customHeight="1" x14ac:dyDescent="0.2">
      <c r="B65" s="291">
        <f>5*(LOOKUP(J67,Sheet3!$L$2:$L$6,Sheet3!$M$2:$M$6))</f>
        <v>0</v>
      </c>
      <c r="C65" s="291">
        <f>5*(LOOKUP(J67,Sheet3!$L$2:$L$6,Sheet3!$M$2:$M$6))</f>
        <v>0</v>
      </c>
      <c r="D65" s="291">
        <f>(LOOKUP(C63,Tabla11[Nombre],Tabla11[Daño])+(10*(LOOKUP(J67,Sheet3!$L$2:$L$6,Sheet3!$M$2:$M$6))))*LOOKUP(K67,Sheet3!$K$186:$K$189,Sheet3!$N$186:$N$189)</f>
        <v>0</v>
      </c>
      <c r="E65" s="291">
        <f>$F$13</f>
        <v>0</v>
      </c>
      <c r="F65" s="291">
        <f>SUM(D65:E65)+IF(C63&lt;&gt;0,IF(AP33&gt;5,10,0),0)+IF(C63&lt;&gt;0,IF(AP35&gt;5,10,0),0)</f>
        <v>0</v>
      </c>
      <c r="G65" s="308" t="str">
        <f>LOOKUP(C63,Tabla11[Nombre],Tabla11[Especial])</f>
        <v/>
      </c>
      <c r="H65" s="308"/>
      <c r="I65" s="308"/>
      <c r="J65" s="308" t="str">
        <f>LOOKUP(C63,Tabla11[Nombre],Tabla11[Tipo de arma])</f>
        <v/>
      </c>
      <c r="K65" s="308"/>
      <c r="L65" s="308"/>
      <c r="N65" s="55"/>
      <c r="O65" s="351" t="s">
        <v>247</v>
      </c>
      <c r="P65" s="351"/>
      <c r="Q65" s="351"/>
      <c r="R65" s="351"/>
      <c r="S65" s="351" t="s">
        <v>233</v>
      </c>
      <c r="T65" s="351"/>
      <c r="U65" s="351"/>
      <c r="V65" s="351"/>
      <c r="W65" s="351"/>
      <c r="X65" s="6"/>
      <c r="Y65" s="447" t="s">
        <v>5625</v>
      </c>
      <c r="Z65" s="447"/>
      <c r="AA65" s="447"/>
      <c r="AB65" s="447"/>
      <c r="AC65" s="447"/>
      <c r="AD65" s="447"/>
      <c r="AE65" s="447"/>
      <c r="AF65" s="447"/>
      <c r="AG65" s="447"/>
      <c r="AH65" s="447"/>
      <c r="AJ65" s="370" t="s">
        <v>5598</v>
      </c>
      <c r="AK65" s="370"/>
      <c r="AL65" s="370"/>
      <c r="AM65" s="370"/>
      <c r="AN65" s="366"/>
      <c r="AO65" s="105">
        <f>IF(AP65=0,KI!I63,"-")</f>
        <v>30</v>
      </c>
      <c r="AP65" s="102"/>
      <c r="AR65" s="440"/>
      <c r="AS65" s="438"/>
      <c r="AT65" s="439"/>
      <c r="AU65" s="443"/>
      <c r="AV65" s="443"/>
      <c r="AW65" s="443"/>
      <c r="AX65" s="418" t="s">
        <v>173</v>
      </c>
      <c r="AY65" s="418"/>
      <c r="AZ65" s="418"/>
      <c r="BA65" s="439" t="str">
        <f>LOOKUP(AS64,HM!$V$15:$V$655,HM!$AE$15:$AE$655)</f>
        <v/>
      </c>
      <c r="BB65" s="439"/>
      <c r="BC65" s="439"/>
      <c r="BD65" s="439"/>
      <c r="BE65" s="439"/>
      <c r="BF65" s="56" t="str">
        <f>LOOKUP(AS64,HM!$V$15:$V$655,HM!$AF$15:$AF$655)</f>
        <v/>
      </c>
      <c r="BG65" s="171" t="str">
        <f>LOOKUP(AS64,HM!$V$15:$V$655,HM!$AG$15:$AG$655)&amp;" "&amp;LOOKUP(AS64,HM!$V$15:$V$655,Tabla9[Diario])</f>
        <v xml:space="preserve"> </v>
      </c>
      <c r="BH65" s="56" t="str">
        <f>LOOKUP(AS64,HM!$V$15:$V$655,HM!$AH$15:$AH$655)</f>
        <v/>
      </c>
      <c r="BJ65" s="63" t="s">
        <v>4266</v>
      </c>
      <c r="BK65" s="358" t="s">
        <v>0</v>
      </c>
      <c r="BL65" s="358"/>
      <c r="BN65" s="63" t="s">
        <v>4266</v>
      </c>
      <c r="BO65" s="358" t="s">
        <v>0</v>
      </c>
      <c r="BP65" s="358"/>
      <c r="BQ65" s="358"/>
      <c r="BS65" s="63" t="s">
        <v>4266</v>
      </c>
      <c r="BT65" s="358" t="s">
        <v>0</v>
      </c>
      <c r="BU65" s="358"/>
      <c r="BW65" s="442"/>
      <c r="BX65" s="442"/>
      <c r="BY65" s="442"/>
      <c r="BZ65" s="442"/>
      <c r="CA65" s="442"/>
      <c r="CB65" s="442"/>
      <c r="CF65" s="310" t="s">
        <v>0</v>
      </c>
      <c r="CG65" s="310"/>
      <c r="CH65" s="310" t="s">
        <v>228</v>
      </c>
      <c r="CI65" s="310"/>
      <c r="CJ65" s="183" t="s">
        <v>27</v>
      </c>
      <c r="CK65" s="184"/>
      <c r="CL65" s="310" t="s">
        <v>0</v>
      </c>
      <c r="CM65" s="310"/>
      <c r="CN65" s="310" t="s">
        <v>228</v>
      </c>
      <c r="CO65" s="310"/>
      <c r="CP65" s="183" t="s">
        <v>27</v>
      </c>
      <c r="CQ65" s="177"/>
      <c r="CR65" s="332"/>
      <c r="CS65" s="333"/>
      <c r="CT65" s="333"/>
      <c r="CU65" s="333"/>
      <c r="CV65" s="333"/>
      <c r="CW65" s="333"/>
      <c r="CX65" s="333"/>
      <c r="CY65" s="333"/>
      <c r="CZ65" s="333"/>
      <c r="DA65" s="333"/>
      <c r="DB65" s="334"/>
      <c r="DC65" s="97"/>
      <c r="DF65" s="322" t="s">
        <v>38</v>
      </c>
      <c r="DG65" s="322"/>
      <c r="DH65" s="66">
        <v>0</v>
      </c>
      <c r="DI65" s="66" t="s">
        <v>114</v>
      </c>
      <c r="DJ65" s="69">
        <v>0</v>
      </c>
    </row>
    <row r="66" spans="1:114" ht="7.35" customHeight="1" x14ac:dyDescent="0.2">
      <c r="B66" s="292" t="s">
        <v>200</v>
      </c>
      <c r="C66" s="292" t="s">
        <v>143</v>
      </c>
      <c r="D66" s="292" t="s">
        <v>201</v>
      </c>
      <c r="E66" s="292" t="s">
        <v>144</v>
      </c>
      <c r="F66" s="292" t="s">
        <v>202</v>
      </c>
      <c r="G66" s="293" t="s">
        <v>203</v>
      </c>
      <c r="H66" s="293" t="s">
        <v>204</v>
      </c>
      <c r="I66" s="293" t="s">
        <v>205</v>
      </c>
      <c r="J66" s="293" t="s">
        <v>16</v>
      </c>
      <c r="K66" s="345" t="s">
        <v>55</v>
      </c>
      <c r="L66" s="345"/>
      <c r="N66" s="55"/>
      <c r="O66" s="353"/>
      <c r="P66" s="353"/>
      <c r="Q66" s="353"/>
      <c r="R66" s="353"/>
      <c r="S66" s="353"/>
      <c r="T66" s="353"/>
      <c r="U66" s="353"/>
      <c r="V66" s="353"/>
      <c r="W66" s="353"/>
      <c r="Y66" s="448" t="s">
        <v>5666</v>
      </c>
      <c r="Z66" s="448"/>
      <c r="AA66" s="131" t="s">
        <v>152</v>
      </c>
      <c r="AB66" s="448" t="s">
        <v>248</v>
      </c>
      <c r="AC66" s="448"/>
      <c r="AD66" s="448"/>
      <c r="AE66" s="448"/>
      <c r="AF66" s="448"/>
      <c r="AG66" s="448"/>
      <c r="AH66" s="448"/>
      <c r="AJ66" s="116" t="s">
        <v>5589</v>
      </c>
      <c r="AK66" s="370" t="s">
        <v>5599</v>
      </c>
      <c r="AL66" s="370"/>
      <c r="AM66" s="370"/>
      <c r="AN66" s="366"/>
      <c r="AO66" s="105">
        <f>IF(AP66=0,KI!I64,"-")</f>
        <v>20</v>
      </c>
      <c r="AP66" s="102"/>
      <c r="AR66" s="120" t="s">
        <v>14</v>
      </c>
      <c r="AS66" s="117" t="s">
        <v>26</v>
      </c>
      <c r="AT66" s="57" t="s">
        <v>175</v>
      </c>
      <c r="AU66" s="443"/>
      <c r="AV66" s="443"/>
      <c r="AW66" s="443"/>
      <c r="AX66" s="418" t="s">
        <v>176</v>
      </c>
      <c r="AY66" s="418"/>
      <c r="AZ66" s="418"/>
      <c r="BA66" s="439" t="str">
        <f>LOOKUP(AS64,HM!$V$15:$V$655,HM!$AI$15:$AI$655)</f>
        <v/>
      </c>
      <c r="BB66" s="439"/>
      <c r="BC66" s="439"/>
      <c r="BD66" s="439"/>
      <c r="BE66" s="439"/>
      <c r="BF66" s="56" t="str">
        <f>LOOKUP(AS64,HM!$V$15:$V$655,HM!$AJ$15:$AJ$655)</f>
        <v/>
      </c>
      <c r="BG66" s="171" t="str">
        <f>LOOKUP(AS64,HM!$V$15:$V$655,HM!$AK$15:$AK$655)&amp;" "&amp;LOOKUP(AS64,HM!$V$15:$V$655,Tabla9[Diario])</f>
        <v xml:space="preserve"> </v>
      </c>
      <c r="BH66" s="56" t="str">
        <f>LOOKUP(AS64,HM!$V$15:$V$655,HM!$AL$15:$AL$655)</f>
        <v/>
      </c>
      <c r="BJ66" s="50"/>
      <c r="BK66" s="322"/>
      <c r="BL66" s="322"/>
      <c r="BN66" s="50"/>
      <c r="BO66" s="322"/>
      <c r="BP66" s="322"/>
      <c r="BQ66" s="322"/>
      <c r="BS66" s="50"/>
      <c r="BT66" s="322"/>
      <c r="BU66" s="322"/>
      <c r="BW66" s="442"/>
      <c r="BX66" s="442"/>
      <c r="BY66" s="442"/>
      <c r="BZ66" s="442"/>
      <c r="CA66" s="442"/>
      <c r="CB66" s="442"/>
      <c r="CF66" s="311"/>
      <c r="CG66" s="312"/>
      <c r="CH66" s="311" t="str">
        <f>LOOKUP(CF66,Tabla15[Poder],Tabla15[Requisito])</f>
        <v/>
      </c>
      <c r="CI66" s="312"/>
      <c r="CJ66" s="167">
        <f>LOOKUP(CF66,Tabla15[Poder],Tabla15[Coste])</f>
        <v>0</v>
      </c>
      <c r="CK66" s="184"/>
      <c r="CL66" s="311"/>
      <c r="CM66" s="312"/>
      <c r="CN66" s="311" t="str">
        <f>LOOKUP(CL66,Tabla15[Poder],Tabla15[Requisito])</f>
        <v/>
      </c>
      <c r="CO66" s="312"/>
      <c r="CP66" s="167">
        <f>LOOKUP(CL66,Tabla15[Poder],Tabla15[Coste])</f>
        <v>0</v>
      </c>
      <c r="CQ66" s="177"/>
      <c r="CR66" s="332"/>
      <c r="CS66" s="333"/>
      <c r="CT66" s="333"/>
      <c r="CU66" s="333"/>
      <c r="CV66" s="333"/>
      <c r="CW66" s="333"/>
      <c r="CX66" s="333"/>
      <c r="CY66" s="333"/>
      <c r="CZ66" s="333"/>
      <c r="DA66" s="333"/>
      <c r="DB66" s="334"/>
      <c r="DC66" s="97"/>
      <c r="DF66" s="322" t="s">
        <v>71</v>
      </c>
      <c r="DG66" s="322"/>
      <c r="DH66" s="66">
        <f>SUM(DH64:DH65)</f>
        <v>5</v>
      </c>
      <c r="DI66" s="66" t="s">
        <v>122</v>
      </c>
      <c r="DJ66" s="66">
        <v>0</v>
      </c>
    </row>
    <row r="67" spans="1:114" ht="7.35" customHeight="1" x14ac:dyDescent="0.2">
      <c r="B67" s="291">
        <f>IFERROR(LOOKUP(C63,Tabla11[Nombre],Tabla11[Turno])+(5*(LOOKUP($J$49,Sheet3!$L$2:$L$6,Sheet3!$M$2:$M$6)))+LOOKUP(K67,Sheet3!$K$186:$K$189,Sheet3!$O$186:$O$189),"No usable")</f>
        <v>20</v>
      </c>
      <c r="C67" s="291">
        <f>IFERROR(LOOKUP(C63,Tabla11[Nombre],Tabla11[Entereza])+(10*(LOOKUP($J$49,Sheet3!$L$2:$L$6,Sheet3!$M$2:$M$6)))+IF(C63&lt;&gt;0,IF($AP$15&gt;5,10,0)+LOOKUP(K67,Sheet3!$K$186:$K$189,Sheet3!$M$186:$M$189),0),"NA")</f>
        <v>0</v>
      </c>
      <c r="D67" s="291">
        <f>IFERROR(LOOKUP(C63,Tabla11[Nombre],Tabla11[Rotura])+(2*(LOOKUP($J$49,Sheet3!$L$2:$L$6,Sheet3!$M$2:$M$6)))+IF(C63&lt;&gt;0,IF($AP$15&gt;5,5,0)+Sheet3!$L$176+Sheet3!$N$174+LOOKUP(K67,Sheet3!$K$186:$K$189,Sheet3!$L$186:$L$189),0),"NA")</f>
        <v>0</v>
      </c>
      <c r="E67" s="291">
        <f>IFERROR(LOOKUP(C63,Tabla11[Nombre],Tabla11[Presencia])+(50*(LOOKUP($J$49,Sheet3!$L$2:$L$6,Sheet3!$M$2:$M$6))),"NA")</f>
        <v>0</v>
      </c>
      <c r="F67" s="291" t="str">
        <f>LOOKUP(C63,Tabla11[Nombre],Tabla11[Crítico 1])</f>
        <v/>
      </c>
      <c r="G67" s="289" t="str">
        <f>IF(C63&lt;&gt;0,IF($AP$16&lt;&gt;0,LOOKUP($AN$16,Sheet3!$L$286:$M$291),LOOKUP(C63,Tabla11[Nombre],Tabla11[Ctrítico 2])),"")</f>
        <v/>
      </c>
      <c r="H67" s="289" t="str">
        <f>LOOKUP(C63,Tabla11[Nombre],Tabla11[Fuerza requerida])&amp;IF(C63&lt;&gt;0,LOOKUP(K67,Sheet3!$K$186:$K$189,Sheet3!$P$186:$P$189),"")</f>
        <v/>
      </c>
      <c r="I67" s="289"/>
      <c r="J67" s="289"/>
      <c r="K67" s="360"/>
      <c r="L67" s="361"/>
      <c r="N67" s="55"/>
      <c r="O67" s="353"/>
      <c r="P67" s="353"/>
      <c r="Q67" s="353"/>
      <c r="R67" s="353"/>
      <c r="S67" s="353"/>
      <c r="T67" s="353"/>
      <c r="U67" s="353"/>
      <c r="V67" s="353"/>
      <c r="W67" s="353"/>
      <c r="Y67" s="449"/>
      <c r="Z67" s="449"/>
      <c r="AA67" s="130">
        <f>LOOKUP(Y67,Sheet2!$BE$7:$BF$25)</f>
        <v>0</v>
      </c>
      <c r="AB67" s="449" t="str">
        <f>LOOKUP(Y67,Sheet2!$BE$7:$BE$25,Sheet2!$BG$7:$BG$25)</f>
        <v/>
      </c>
      <c r="AC67" s="449"/>
      <c r="AD67" s="449"/>
      <c r="AE67" s="449"/>
      <c r="AF67" s="449"/>
      <c r="AG67" s="449"/>
      <c r="AH67" s="449"/>
      <c r="AJ67" s="370" t="s">
        <v>5600</v>
      </c>
      <c r="AK67" s="370"/>
      <c r="AL67" s="370"/>
      <c r="AM67" s="370"/>
      <c r="AN67" s="366"/>
      <c r="AO67" s="105">
        <f>IF(AP67=0,KI!I65,"-")</f>
        <v>30</v>
      </c>
      <c r="AP67" s="102"/>
      <c r="AR67" s="106" t="str">
        <f>LOOKUP(AS64,HM!$V$15:$V$655,HM!$X$15:$X$655)</f>
        <v/>
      </c>
      <c r="AS67" s="118" t="str">
        <f>LOOKUP(AS64,HM!$V$15:$V$655,HM!$Y$15:$Y$655)</f>
        <v/>
      </c>
      <c r="AT67" s="56" t="str">
        <f>LOOKUP(AS64,HM!$V$15:$V$655,HM!$Z$15:$Z$655)</f>
        <v/>
      </c>
      <c r="AU67" s="443"/>
      <c r="AV67" s="443"/>
      <c r="AW67" s="443"/>
      <c r="AX67" s="418" t="s">
        <v>179</v>
      </c>
      <c r="AY67" s="418"/>
      <c r="AZ67" s="418"/>
      <c r="BA67" s="439" t="str">
        <f>LOOKUP(AS64,HM!$V$15:$V$655,HM!$AM$15:$AM$655)</f>
        <v/>
      </c>
      <c r="BB67" s="439"/>
      <c r="BC67" s="439"/>
      <c r="BD67" s="439"/>
      <c r="BE67" s="439"/>
      <c r="BF67" s="56" t="str">
        <f>LOOKUP(AS64,HM!$V$15:$V$655,HM!$AN$15:$AN$655)</f>
        <v/>
      </c>
      <c r="BG67" s="171" t="str">
        <f>LOOKUP(AS64,HM!$V$15:$V$655,HM!$AO$15:$AO$655)&amp;" "&amp;LOOKUP(AS64,HM!$V$15:$V$655,Tabla9[Diario])</f>
        <v xml:space="preserve"> </v>
      </c>
      <c r="BH67" s="56" t="str">
        <f>LOOKUP(AS64,HM!$V$15:$V$655,HM!$AP$15:$AP$655)</f>
        <v/>
      </c>
      <c r="BJ67" s="63" t="s">
        <v>14</v>
      </c>
      <c r="BK67" s="63" t="s">
        <v>175</v>
      </c>
      <c r="BL67" s="63" t="s">
        <v>177</v>
      </c>
      <c r="BN67" s="63" t="s">
        <v>14</v>
      </c>
      <c r="BO67" s="63" t="s">
        <v>175</v>
      </c>
      <c r="BP67" s="358" t="s">
        <v>177</v>
      </c>
      <c r="BQ67" s="358"/>
      <c r="BS67" s="63" t="s">
        <v>14</v>
      </c>
      <c r="BT67" s="63" t="s">
        <v>175</v>
      </c>
      <c r="BU67" s="63" t="s">
        <v>177</v>
      </c>
      <c r="BW67" s="442"/>
      <c r="BX67" s="442"/>
      <c r="BY67" s="442"/>
      <c r="BZ67" s="442"/>
      <c r="CA67" s="442"/>
      <c r="CB67" s="442"/>
      <c r="CF67" s="309" t="s">
        <v>138</v>
      </c>
      <c r="CG67" s="309"/>
      <c r="CH67" s="309"/>
      <c r="CI67" s="309"/>
      <c r="CJ67" s="309"/>
      <c r="CK67" s="97"/>
      <c r="CL67" s="309" t="s">
        <v>138</v>
      </c>
      <c r="CM67" s="309"/>
      <c r="CN67" s="309"/>
      <c r="CO67" s="309"/>
      <c r="CP67" s="309"/>
      <c r="CQ67" s="177"/>
      <c r="CR67" s="332"/>
      <c r="CS67" s="333"/>
      <c r="CT67" s="333"/>
      <c r="CU67" s="333"/>
      <c r="CV67" s="333"/>
      <c r="CW67" s="333"/>
      <c r="CX67" s="333"/>
      <c r="CY67" s="333"/>
      <c r="CZ67" s="333"/>
      <c r="DA67" s="333"/>
      <c r="DB67" s="334"/>
      <c r="DC67" s="97"/>
      <c r="DF67" s="322" t="s">
        <v>5141</v>
      </c>
      <c r="DG67" s="322"/>
      <c r="DH67" s="66">
        <f>LOOKUP(DH66,Sheet3!$L$17:$M$22)</f>
        <v>0</v>
      </c>
      <c r="DI67" s="66" t="s">
        <v>108</v>
      </c>
      <c r="DJ67" s="66">
        <f>DJ64+DJ66-DJ65</f>
        <v>5</v>
      </c>
    </row>
    <row r="68" spans="1:114" ht="7.35" customHeight="1" x14ac:dyDescent="0.2">
      <c r="N68" s="55"/>
      <c r="O68" s="353"/>
      <c r="P68" s="353"/>
      <c r="Q68" s="353"/>
      <c r="R68" s="353"/>
      <c r="S68" s="353"/>
      <c r="T68" s="353"/>
      <c r="U68" s="353"/>
      <c r="V68" s="353"/>
      <c r="W68" s="353"/>
      <c r="Y68" s="448" t="s">
        <v>5665</v>
      </c>
      <c r="Z68" s="448"/>
      <c r="AA68" s="131" t="s">
        <v>152</v>
      </c>
      <c r="AB68" s="448" t="s">
        <v>248</v>
      </c>
      <c r="AC68" s="448"/>
      <c r="AD68" s="448"/>
      <c r="AE68" s="448"/>
      <c r="AF68" s="448"/>
      <c r="AG68" s="448"/>
      <c r="AH68" s="448"/>
      <c r="AJ68" s="370" t="s">
        <v>5601</v>
      </c>
      <c r="AK68" s="370"/>
      <c r="AL68" s="370"/>
      <c r="AM68" s="370"/>
      <c r="AN68" s="366"/>
      <c r="AO68" s="105">
        <f>IF(AP68=0,KI!I66,"-")</f>
        <v>30</v>
      </c>
      <c r="AP68" s="102"/>
      <c r="AR68" s="2"/>
      <c r="AS68" s="2"/>
      <c r="AT68" s="2"/>
      <c r="AU68" s="2"/>
      <c r="AV68" s="2"/>
      <c r="AW68" s="2"/>
      <c r="AX68" s="2"/>
      <c r="AY68" s="2"/>
      <c r="AZ68" s="8"/>
      <c r="BA68" s="8"/>
      <c r="BB68" s="2"/>
      <c r="BC68" s="2"/>
      <c r="BD68" s="2"/>
      <c r="BE68" s="2"/>
      <c r="BF68" s="2"/>
      <c r="BG68" s="2"/>
      <c r="BH68" s="2"/>
      <c r="BJ68" s="50" t="str">
        <f>LOOKUP(BK66,HP!$I$17:$I$141,HP!$J$17:$J$141)</f>
        <v/>
      </c>
      <c r="BK68" s="50" t="str">
        <f>LOOKUP(BK66,HP!$I$17:$I$141,HP!$K$17:$K$141)</f>
        <v/>
      </c>
      <c r="BL68" s="50" t="str">
        <f>LOOKUP(BK66,HP!$I$17:$I$141,HP!$L$17:$L$141)</f>
        <v/>
      </c>
      <c r="BN68" s="50" t="str">
        <f>LOOKUP(BO66,HP!$I$17:$I$141,HP!$J$17:$J$141)</f>
        <v/>
      </c>
      <c r="BO68" s="50" t="str">
        <f>LOOKUP(BO66,HP!$I$17:$I$141,HP!$K$17:$K$141)</f>
        <v/>
      </c>
      <c r="BP68" s="322" t="str">
        <f>LOOKUP(BO66,HP!$I$17:$I$141,HP!$L$17:$L$141)</f>
        <v/>
      </c>
      <c r="BQ68" s="322"/>
      <c r="BS68" s="50" t="str">
        <f>LOOKUP(BT66,HP!$I$17:$I$141,HP!$J$17:$J$141)</f>
        <v/>
      </c>
      <c r="BT68" s="50" t="str">
        <f>LOOKUP(BT66,HP!$I$17:$I$141,HP!$K$17:$K$141)</f>
        <v/>
      </c>
      <c r="BU68" s="50" t="str">
        <f>LOOKUP(BT66,HP!$I$17:$I$141,HP!$L$17:$L$141)</f>
        <v/>
      </c>
      <c r="BW68" s="442"/>
      <c r="BX68" s="442"/>
      <c r="BY68" s="442"/>
      <c r="BZ68" s="442"/>
      <c r="CA68" s="442"/>
      <c r="CB68" s="442"/>
      <c r="CF68" s="308" t="str">
        <f>LOOKUP(CF66,Tabla15[Poder],Tabla15[Descripcion])</f>
        <v/>
      </c>
      <c r="CG68" s="308"/>
      <c r="CH68" s="308"/>
      <c r="CI68" s="308"/>
      <c r="CJ68" s="308"/>
      <c r="CK68" s="184"/>
      <c r="CL68" s="308" t="str">
        <f>LOOKUP(CL66,Tabla15[Poder],Tabla15[Descripcion])</f>
        <v/>
      </c>
      <c r="CM68" s="308"/>
      <c r="CN68" s="308"/>
      <c r="CO68" s="308"/>
      <c r="CP68" s="308"/>
      <c r="CQ68" s="177"/>
      <c r="CR68" s="332"/>
      <c r="CS68" s="333"/>
      <c r="CT68" s="333"/>
      <c r="CU68" s="333"/>
      <c r="CV68" s="333"/>
      <c r="CW68" s="333"/>
      <c r="CX68" s="333"/>
      <c r="CY68" s="333"/>
      <c r="CZ68" s="333"/>
      <c r="DA68" s="333"/>
      <c r="DB68" s="334"/>
      <c r="DC68" s="97"/>
      <c r="DF68" s="358" t="s">
        <v>100</v>
      </c>
      <c r="DG68" s="358"/>
      <c r="DH68" s="358"/>
      <c r="DI68" s="322">
        <f>LOOKUP(DE14,Sheet3!$J$1:$K$20)</f>
        <v>1</v>
      </c>
      <c r="DJ68" s="322"/>
    </row>
    <row r="69" spans="1:114" ht="7.35" customHeight="1" x14ac:dyDescent="0.2">
      <c r="N69" s="55"/>
      <c r="O69" s="353"/>
      <c r="P69" s="353"/>
      <c r="Q69" s="353"/>
      <c r="R69" s="353"/>
      <c r="S69" s="353"/>
      <c r="T69" s="353"/>
      <c r="U69" s="353"/>
      <c r="V69" s="353"/>
      <c r="W69" s="353"/>
      <c r="Y69" s="449"/>
      <c r="Z69" s="449"/>
      <c r="AA69" s="130">
        <f>LOOKUP(Y69,Sheet2!$BK$7:$BL$18)</f>
        <v>0</v>
      </c>
      <c r="AB69" s="449" t="str">
        <f>LOOKUP(Y69,Sheet2!$BK$7:$BK$18,Sheet2!$BM$7:$BM$18)</f>
        <v/>
      </c>
      <c r="AC69" s="449"/>
      <c r="AD69" s="449"/>
      <c r="AE69" s="449"/>
      <c r="AF69" s="449"/>
      <c r="AG69" s="449"/>
      <c r="AH69" s="449"/>
      <c r="AI69" s="19"/>
      <c r="AJ69" s="435" t="s">
        <v>5602</v>
      </c>
      <c r="AK69" s="436"/>
      <c r="AL69" s="436"/>
      <c r="AM69" s="436"/>
      <c r="AN69" s="436"/>
      <c r="AO69" s="105">
        <f>IF(AP69=0,KI!I67,"-")</f>
        <v>10</v>
      </c>
      <c r="AP69" s="102"/>
      <c r="AR69" s="478" t="str">
        <f>Sheet3!DH87</f>
        <v/>
      </c>
      <c r="AS69" s="478"/>
      <c r="AT69" s="478"/>
      <c r="AU69" s="478"/>
      <c r="AV69" s="478"/>
      <c r="AW69" s="478"/>
      <c r="AX69" s="478"/>
      <c r="AY69" s="478"/>
      <c r="AZ69" s="478"/>
      <c r="BA69" s="478"/>
      <c r="BB69" s="478"/>
      <c r="BC69" s="478"/>
      <c r="BD69" s="478"/>
      <c r="BE69" s="478"/>
      <c r="BF69" s="478"/>
      <c r="BG69" s="478"/>
      <c r="BH69" s="478"/>
      <c r="BJ69" s="358" t="s">
        <v>138</v>
      </c>
      <c r="BK69" s="365" t="str">
        <f>LOOKUP(BK66,HP!$I$17:$I$141,HP!$M$17:$M$141)</f>
        <v/>
      </c>
      <c r="BL69" s="365"/>
      <c r="BN69" s="358" t="s">
        <v>138</v>
      </c>
      <c r="BO69" s="365" t="str">
        <f>LOOKUP(BO66,HP!$I$17:$I$141,HP!$M$17:$M$141)</f>
        <v/>
      </c>
      <c r="BP69" s="365"/>
      <c r="BQ69" s="365"/>
      <c r="BS69" s="358" t="s">
        <v>138</v>
      </c>
      <c r="BT69" s="365" t="str">
        <f>LOOKUP(BT66,HP!$I$17:$I$141,HP!$M$17:$M$141)</f>
        <v/>
      </c>
      <c r="BU69" s="365"/>
      <c r="BW69" s="442"/>
      <c r="BX69" s="442"/>
      <c r="BY69" s="442"/>
      <c r="BZ69" s="442"/>
      <c r="CA69" s="442"/>
      <c r="CB69" s="442"/>
      <c r="CF69" s="182"/>
      <c r="CG69" s="184"/>
      <c r="CH69" s="184"/>
      <c r="CI69" s="182"/>
      <c r="CK69" s="184"/>
      <c r="CL69" s="182"/>
      <c r="CM69" s="184"/>
      <c r="CN69" s="184"/>
      <c r="CO69" s="182"/>
      <c r="CQ69" s="177"/>
      <c r="CR69" s="332"/>
      <c r="CS69" s="333"/>
      <c r="CT69" s="333"/>
      <c r="CU69" s="333"/>
      <c r="CV69" s="333"/>
      <c r="CW69" s="333"/>
      <c r="CX69" s="333"/>
      <c r="CY69" s="333"/>
      <c r="CZ69" s="333"/>
      <c r="DA69" s="333"/>
      <c r="DB69" s="334"/>
      <c r="DC69" s="97"/>
      <c r="DF69" s="358" t="s">
        <v>5135</v>
      </c>
      <c r="DG69" s="358"/>
      <c r="DH69" s="358"/>
      <c r="DI69" s="322">
        <f>DE16</f>
        <v>5</v>
      </c>
      <c r="DJ69" s="322"/>
    </row>
    <row r="70" spans="1:114" ht="7.35" customHeight="1" thickBot="1" x14ac:dyDescent="0.25">
      <c r="B70" s="344" t="s">
        <v>235</v>
      </c>
      <c r="C70" s="344"/>
      <c r="D70" s="202" t="s">
        <v>2</v>
      </c>
      <c r="E70" s="202" t="s">
        <v>236</v>
      </c>
      <c r="F70" s="202" t="s">
        <v>13</v>
      </c>
      <c r="G70" s="202" t="s">
        <v>93</v>
      </c>
      <c r="H70" s="202" t="s">
        <v>71</v>
      </c>
      <c r="I70" s="362" t="s">
        <v>6017</v>
      </c>
      <c r="J70" s="363"/>
      <c r="K70" s="363"/>
      <c r="L70" s="363"/>
      <c r="M70" s="76"/>
      <c r="N70" s="55"/>
      <c r="O70" s="353"/>
      <c r="P70" s="353"/>
      <c r="Q70" s="353"/>
      <c r="R70" s="353"/>
      <c r="S70" s="353"/>
      <c r="T70" s="353"/>
      <c r="U70" s="353"/>
      <c r="V70" s="353"/>
      <c r="W70" s="353"/>
      <c r="AI70" s="19"/>
      <c r="AJ70" s="114" t="s">
        <v>5590</v>
      </c>
      <c r="AK70" s="370" t="s">
        <v>5140</v>
      </c>
      <c r="AL70" s="370"/>
      <c r="AM70" s="370"/>
      <c r="AN70" s="366"/>
      <c r="AO70" s="105">
        <f>IF(AP70=0,KI!I68,"-")</f>
        <v>10</v>
      </c>
      <c r="AP70" s="10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358"/>
      <c r="BK70" s="365"/>
      <c r="BL70" s="365"/>
      <c r="BN70" s="358"/>
      <c r="BO70" s="365"/>
      <c r="BP70" s="365"/>
      <c r="BQ70" s="365"/>
      <c r="BS70" s="358"/>
      <c r="BT70" s="365"/>
      <c r="BU70" s="365"/>
      <c r="BW70" s="442"/>
      <c r="BX70" s="442"/>
      <c r="BY70" s="442"/>
      <c r="BZ70" s="442"/>
      <c r="CA70" s="442"/>
      <c r="CB70" s="442"/>
      <c r="CF70" s="310" t="s">
        <v>0</v>
      </c>
      <c r="CG70" s="310"/>
      <c r="CH70" s="310" t="s">
        <v>228</v>
      </c>
      <c r="CI70" s="310"/>
      <c r="CJ70" s="183" t="s">
        <v>27</v>
      </c>
      <c r="CK70" s="184"/>
      <c r="CL70" s="310" t="s">
        <v>0</v>
      </c>
      <c r="CM70" s="310"/>
      <c r="CN70" s="310" t="s">
        <v>228</v>
      </c>
      <c r="CO70" s="310"/>
      <c r="CP70" s="183" t="s">
        <v>27</v>
      </c>
      <c r="CQ70" s="177"/>
      <c r="CR70" s="332"/>
      <c r="CS70" s="333"/>
      <c r="CT70" s="333"/>
      <c r="CU70" s="333"/>
      <c r="CV70" s="333"/>
      <c r="CW70" s="333"/>
      <c r="CX70" s="333"/>
      <c r="CY70" s="333"/>
      <c r="CZ70" s="333"/>
      <c r="DA70" s="333"/>
      <c r="DB70" s="334"/>
      <c r="DC70" s="97"/>
      <c r="DF70" s="358" t="s">
        <v>5136</v>
      </c>
      <c r="DG70" s="358"/>
      <c r="DH70" s="358"/>
      <c r="DI70" s="322" t="s">
        <v>5137</v>
      </c>
      <c r="DJ70" s="322"/>
    </row>
    <row r="71" spans="1:114" ht="7.35" customHeight="1" x14ac:dyDescent="0.2">
      <c r="B71" s="351" t="s">
        <v>17</v>
      </c>
      <c r="C71" s="351"/>
      <c r="D71" s="199">
        <f>25+(C3*5)</f>
        <v>30</v>
      </c>
      <c r="E71" s="202"/>
      <c r="F71" s="202"/>
      <c r="G71" s="197"/>
      <c r="H71" s="288">
        <f>ROUNDDOWN((SUM(D71:G71)/1),0)</f>
        <v>30</v>
      </c>
      <c r="I71" s="308"/>
      <c r="J71" s="308"/>
      <c r="K71" s="308"/>
      <c r="L71" s="308"/>
      <c r="M71" s="76"/>
      <c r="N71" s="55"/>
      <c r="O71" s="353"/>
      <c r="P71" s="353"/>
      <c r="Q71" s="353"/>
      <c r="R71" s="353"/>
      <c r="S71" s="353"/>
      <c r="T71" s="353"/>
      <c r="U71" s="353"/>
      <c r="V71" s="353"/>
      <c r="W71" s="353"/>
      <c r="Y71" s="368" t="s">
        <v>5325</v>
      </c>
      <c r="Z71" s="368"/>
      <c r="AA71" s="368"/>
      <c r="AB71" s="368"/>
      <c r="AC71" s="368"/>
      <c r="AD71" s="368"/>
      <c r="AE71" s="368"/>
      <c r="AF71" s="369"/>
      <c r="AG71" s="322">
        <f>AG75+AG82+AG89+AG96</f>
        <v>0</v>
      </c>
      <c r="AH71" s="322"/>
      <c r="AI71" s="19"/>
      <c r="AJ71" s="114" t="s">
        <v>5590</v>
      </c>
      <c r="AK71" s="435" t="s">
        <v>5603</v>
      </c>
      <c r="AL71" s="436"/>
      <c r="AM71" s="436"/>
      <c r="AN71" s="436"/>
      <c r="AO71" s="105">
        <f>IF(AP71=0,KI!I69,"-")</f>
        <v>20</v>
      </c>
      <c r="AP71" s="102"/>
      <c r="AR71" s="172" t="s">
        <v>5194</v>
      </c>
      <c r="AS71" s="173" t="s">
        <v>242</v>
      </c>
      <c r="AT71" s="445" t="s">
        <v>164</v>
      </c>
      <c r="AU71" s="445"/>
      <c r="AV71" s="445"/>
      <c r="AW71" s="445"/>
      <c r="AX71" s="132" t="s">
        <v>14</v>
      </c>
      <c r="AY71" s="475" t="s">
        <v>6727</v>
      </c>
      <c r="AZ71" s="476"/>
      <c r="BA71" s="476"/>
      <c r="BB71" s="476"/>
      <c r="BC71" s="476"/>
      <c r="BD71" s="476"/>
      <c r="BE71" s="476"/>
      <c r="BF71" s="476"/>
      <c r="BG71" s="476"/>
      <c r="BH71" s="477"/>
      <c r="BJ71" s="358"/>
      <c r="BK71" s="365"/>
      <c r="BL71" s="365"/>
      <c r="BN71" s="358"/>
      <c r="BO71" s="365"/>
      <c r="BP71" s="365"/>
      <c r="BQ71" s="365"/>
      <c r="BS71" s="358"/>
      <c r="BT71" s="365"/>
      <c r="BU71" s="365"/>
      <c r="BW71" s="442"/>
      <c r="BX71" s="442"/>
      <c r="BY71" s="442"/>
      <c r="BZ71" s="442"/>
      <c r="CA71" s="442"/>
      <c r="CB71" s="442"/>
      <c r="CF71" s="311"/>
      <c r="CG71" s="312"/>
      <c r="CH71" s="311" t="str">
        <f>LOOKUP(CF71,Tabla15[Poder],Tabla15[Requisito])</f>
        <v/>
      </c>
      <c r="CI71" s="312"/>
      <c r="CJ71" s="167">
        <f>LOOKUP(CF71,Tabla15[Poder],Tabla15[Coste])</f>
        <v>0</v>
      </c>
      <c r="CK71" s="184"/>
      <c r="CL71" s="311"/>
      <c r="CM71" s="312"/>
      <c r="CN71" s="311" t="str">
        <f>LOOKUP(CL71,Tabla15[Poder],Tabla15[Requisito])</f>
        <v/>
      </c>
      <c r="CO71" s="312"/>
      <c r="CP71" s="167">
        <f>LOOKUP(CL71,Tabla15[Poder],Tabla15[Coste])</f>
        <v>0</v>
      </c>
      <c r="CQ71" s="177"/>
      <c r="CR71" s="332"/>
      <c r="CS71" s="333"/>
      <c r="CT71" s="333"/>
      <c r="CU71" s="333"/>
      <c r="CV71" s="333"/>
      <c r="CW71" s="333"/>
      <c r="CX71" s="333"/>
      <c r="CY71" s="333"/>
      <c r="CZ71" s="333"/>
      <c r="DA71" s="333"/>
      <c r="DB71" s="334"/>
      <c r="DC71" s="97"/>
    </row>
    <row r="72" spans="1:114" ht="7.35" customHeight="1" x14ac:dyDescent="0.2">
      <c r="B72" s="351" t="s">
        <v>238</v>
      </c>
      <c r="C72" s="351"/>
      <c r="D72" s="199">
        <f>D71</f>
        <v>30</v>
      </c>
      <c r="E72" s="199" t="s">
        <v>66</v>
      </c>
      <c r="F72" s="199">
        <f>F11</f>
        <v>0</v>
      </c>
      <c r="G72" s="199">
        <f>LOOKUP(IFERROR(VLOOKUP("Resistencia física excepcional – 1",S66:W73,1,FALSE),0),Sheet3!M303:N305)+LOOKUP(IFERROR(VLOOKUP("Resistencia física excepcional – 2",S66:W73,1,FALSE),0),Sheet3!M303:N305)+IF(AP69&lt;&gt;0,20,0)+LOOKUP($C$5,Tabla14[RAZAS],Tabla14[RF])</f>
        <v>0</v>
      </c>
      <c r="H72" s="288">
        <f>ROUNDDOWN((SUM(D72:G72)/(LOOKUP(IFERROR(VLOOKUP("Debilidad física – 1",O66:R73,1,FALSE),1),Sheet3!M315:N316))),0)</f>
        <v>30</v>
      </c>
      <c r="I72" s="364"/>
      <c r="J72" s="364"/>
      <c r="K72" s="364"/>
      <c r="L72" s="364"/>
      <c r="M72" s="76"/>
      <c r="N72" s="55"/>
      <c r="O72" s="353"/>
      <c r="P72" s="353"/>
      <c r="Q72" s="353"/>
      <c r="R72" s="353"/>
      <c r="S72" s="353"/>
      <c r="T72" s="353"/>
      <c r="U72" s="353"/>
      <c r="V72" s="353"/>
      <c r="W72" s="353"/>
      <c r="Y72" s="368"/>
      <c r="Z72" s="368"/>
      <c r="AA72" s="368"/>
      <c r="AB72" s="368"/>
      <c r="AC72" s="368"/>
      <c r="AD72" s="368"/>
      <c r="AE72" s="368"/>
      <c r="AF72" s="369"/>
      <c r="AG72" s="322"/>
      <c r="AH72" s="322"/>
      <c r="AI72" s="19"/>
      <c r="AJ72" s="114" t="s">
        <v>5590</v>
      </c>
      <c r="AK72" s="370" t="s">
        <v>5604</v>
      </c>
      <c r="AL72" s="370"/>
      <c r="AM72" s="370"/>
      <c r="AN72" s="366"/>
      <c r="AO72" s="105">
        <f>IF(AP72=0,KI!I70,"-")</f>
        <v>30</v>
      </c>
      <c r="AP72" s="102"/>
      <c r="AR72" s="169"/>
      <c r="AS72" s="195"/>
      <c r="AT72" s="353" t="str">
        <f>LOOKUP(AS72,HM!$V$15:$V$655,HM!$W$15:$W$655)</f>
        <v/>
      </c>
      <c r="AU72" s="353"/>
      <c r="AV72" s="353"/>
      <c r="AW72" s="353"/>
      <c r="AX72" s="133" t="str">
        <f>LOOKUP(AS72,HM!$V$15:$V$655,HM!$X$15:$X$655)</f>
        <v/>
      </c>
      <c r="AY72" s="469" t="str">
        <f>HM!AY44&amp;HM!AY59&amp;HM!BB64</f>
        <v xml:space="preserve">                       </v>
      </c>
      <c r="AZ72" s="470"/>
      <c r="BA72" s="470"/>
      <c r="BB72" s="470"/>
      <c r="BC72" s="470"/>
      <c r="BD72" s="470"/>
      <c r="BE72" s="470"/>
      <c r="BF72" s="470"/>
      <c r="BG72" s="470"/>
      <c r="BH72" s="471"/>
      <c r="BJ72" s="50">
        <v>20</v>
      </c>
      <c r="BK72" s="322" t="str">
        <f>LOOKUP(BK66,HP!$I$17:$I$141,HP!$N$17:$N$141)</f>
        <v/>
      </c>
      <c r="BL72" s="322"/>
      <c r="BN72" s="50">
        <v>20</v>
      </c>
      <c r="BO72" s="322" t="str">
        <f>LOOKUP(BO66,HP!$I$17:$I$141,HP!$N$17:$N$141)</f>
        <v/>
      </c>
      <c r="BP72" s="322"/>
      <c r="BQ72" s="322"/>
      <c r="BS72" s="50">
        <v>20</v>
      </c>
      <c r="BT72" s="322" t="str">
        <f>LOOKUP(BT66,HP!$I$17:$I$141,HP!$N$17:$N$141)</f>
        <v/>
      </c>
      <c r="BU72" s="322"/>
      <c r="BW72" s="442"/>
      <c r="BX72" s="442"/>
      <c r="BY72" s="442"/>
      <c r="BZ72" s="442"/>
      <c r="CA72" s="442"/>
      <c r="CB72" s="442"/>
      <c r="CF72" s="309" t="s">
        <v>138</v>
      </c>
      <c r="CG72" s="309"/>
      <c r="CH72" s="309"/>
      <c r="CI72" s="309"/>
      <c r="CJ72" s="309"/>
      <c r="CK72" s="97"/>
      <c r="CL72" s="309" t="s">
        <v>138</v>
      </c>
      <c r="CM72" s="309"/>
      <c r="CN72" s="309"/>
      <c r="CO72" s="309"/>
      <c r="CP72" s="309"/>
      <c r="CQ72" s="177"/>
      <c r="CR72" s="332"/>
      <c r="CS72" s="333"/>
      <c r="CT72" s="333"/>
      <c r="CU72" s="333"/>
      <c r="CV72" s="333"/>
      <c r="CW72" s="333"/>
      <c r="CX72" s="333"/>
      <c r="CY72" s="333"/>
      <c r="CZ72" s="333"/>
      <c r="DA72" s="333"/>
      <c r="DB72" s="334"/>
      <c r="DC72" s="97"/>
      <c r="DF72" s="358" t="s">
        <v>100</v>
      </c>
      <c r="DG72" s="358"/>
      <c r="DH72" s="358"/>
      <c r="DI72" s="358"/>
      <c r="DJ72" s="358"/>
    </row>
    <row r="73" spans="1:114" ht="7.35" customHeight="1" x14ac:dyDescent="0.2">
      <c r="B73" s="351" t="s">
        <v>239</v>
      </c>
      <c r="C73" s="351"/>
      <c r="D73" s="199">
        <f>D71</f>
        <v>30</v>
      </c>
      <c r="E73" s="199" t="s">
        <v>66</v>
      </c>
      <c r="F73" s="199">
        <f>F11</f>
        <v>0</v>
      </c>
      <c r="G73" s="199">
        <f>LOOKUP(IFERROR(VLOOKUP("Resistencia física excepcional – 1",S66:W73,1,FALSE),0),Sheet3!M303:N305)+LOOKUP(IFERROR(VLOOKUP("Resistencia física excepcional – 2",S66:W73,1,FALSE),0),Sheet3!M303:N305)+IF(AP69&lt;&gt;0,20,0)+LOOKUP($C$5,Tabla14[RAZAS],Tabla14[RE])</f>
        <v>0</v>
      </c>
      <c r="H73" s="288">
        <f>ROUNDDOWN((SUM(D73:G73)/(LOOKUP(IFERROR(VLOOKUP("Salud enfermiza – 1",O66:R73,1,FALSE),1),Sheet3!M318:N319))),0)</f>
        <v>30</v>
      </c>
      <c r="I73" s="308"/>
      <c r="J73" s="308"/>
      <c r="K73" s="308"/>
      <c r="L73" s="308"/>
      <c r="M73" s="76"/>
      <c r="N73" s="55"/>
      <c r="O73" s="353"/>
      <c r="P73" s="353"/>
      <c r="Q73" s="353"/>
      <c r="R73" s="353"/>
      <c r="S73" s="353"/>
      <c r="T73" s="353"/>
      <c r="U73" s="353"/>
      <c r="V73" s="353"/>
      <c r="W73" s="353"/>
      <c r="AI73" s="2"/>
      <c r="AJ73" s="114" t="s">
        <v>5589</v>
      </c>
      <c r="AK73" s="435" t="s">
        <v>5605</v>
      </c>
      <c r="AL73" s="436"/>
      <c r="AM73" s="436"/>
      <c r="AN73" s="436"/>
      <c r="AO73" s="105">
        <f>IF(AP73=0,KI!I71,"-")</f>
        <v>20</v>
      </c>
      <c r="AP73" s="102"/>
      <c r="AR73" s="169"/>
      <c r="AS73" s="195"/>
      <c r="AT73" s="353" t="str">
        <f>LOOKUP(AS73,HM!$V$15:$V$655,HM!$W$15:$W$655)</f>
        <v/>
      </c>
      <c r="AU73" s="353"/>
      <c r="AV73" s="353"/>
      <c r="AW73" s="353"/>
      <c r="AX73" s="133" t="str">
        <f>LOOKUP(AS73,HM!$V$15:$V$655,HM!$X$15:$X$655)</f>
        <v/>
      </c>
      <c r="AY73" s="469"/>
      <c r="AZ73" s="470"/>
      <c r="BA73" s="470"/>
      <c r="BB73" s="470"/>
      <c r="BC73" s="470"/>
      <c r="BD73" s="470"/>
      <c r="BE73" s="470"/>
      <c r="BF73" s="470"/>
      <c r="BG73" s="470"/>
      <c r="BH73" s="471"/>
      <c r="BJ73" s="50">
        <v>40</v>
      </c>
      <c r="BK73" s="322" t="str">
        <f>LOOKUP(BK66,HP!$I$17:$I$141,HP!$O$17:$O$141)</f>
        <v/>
      </c>
      <c r="BL73" s="322"/>
      <c r="BN73" s="50">
        <v>40</v>
      </c>
      <c r="BO73" s="322" t="str">
        <f>LOOKUP(BO66,HP!$I$17:$I$141,HP!$O$17:$O$141)</f>
        <v/>
      </c>
      <c r="BP73" s="322"/>
      <c r="BQ73" s="322"/>
      <c r="BS73" s="50">
        <v>40</v>
      </c>
      <c r="BT73" s="322" t="str">
        <f>LOOKUP(BT66,HP!$I$17:$I$141,HP!$O$17:$O$141)</f>
        <v/>
      </c>
      <c r="BU73" s="322"/>
      <c r="BW73" s="442"/>
      <c r="BX73" s="442"/>
      <c r="BY73" s="442"/>
      <c r="BZ73" s="442"/>
      <c r="CA73" s="442"/>
      <c r="CB73" s="442"/>
      <c r="CF73" s="308" t="str">
        <f>LOOKUP(CF71,Tabla15[Poder],Tabla15[Descripcion])</f>
        <v/>
      </c>
      <c r="CG73" s="308"/>
      <c r="CH73" s="308"/>
      <c r="CI73" s="308"/>
      <c r="CJ73" s="308"/>
      <c r="CK73" s="184"/>
      <c r="CL73" s="308" t="str">
        <f>LOOKUP(CL71,Tabla15[Poder],Tabla15[Descripcion])</f>
        <v/>
      </c>
      <c r="CM73" s="308"/>
      <c r="CN73" s="308"/>
      <c r="CO73" s="308"/>
      <c r="CP73" s="308"/>
      <c r="CQ73" s="177"/>
      <c r="CR73" s="332"/>
      <c r="CS73" s="333"/>
      <c r="CT73" s="333"/>
      <c r="CU73" s="333"/>
      <c r="CV73" s="333"/>
      <c r="CW73" s="333"/>
      <c r="CX73" s="333"/>
      <c r="CY73" s="333"/>
      <c r="CZ73" s="333"/>
      <c r="DA73" s="333"/>
      <c r="DB73" s="334"/>
      <c r="DC73" s="97"/>
      <c r="DF73" s="322" t="s">
        <v>5134</v>
      </c>
      <c r="DG73" s="322"/>
      <c r="DH73" s="322"/>
      <c r="DI73" s="322"/>
      <c r="DJ73" s="66" t="str">
        <f>LOOKUP(DI68,Sheet3!$B$173:$B$192,Sheet3!$C$173:$C$192)</f>
        <v>10 al día</v>
      </c>
    </row>
    <row r="74" spans="1:114" ht="7.35" customHeight="1" x14ac:dyDescent="0.2">
      <c r="B74" s="351" t="s">
        <v>240</v>
      </c>
      <c r="C74" s="351"/>
      <c r="D74" s="199">
        <f>D71</f>
        <v>30</v>
      </c>
      <c r="E74" s="199" t="s">
        <v>66</v>
      </c>
      <c r="F74" s="199">
        <f>F11</f>
        <v>0</v>
      </c>
      <c r="G74" s="199">
        <f>LOOKUP(IFERROR(VLOOKUP("Resistencia física excepcional – 1",S66:W73,1,FALSE),0),Sheet3!M303:N305)+LOOKUP(IFERROR(VLOOKUP("Resistencia física excepcional – 2",S66:W73,1,FALSE),0),Sheet3!M303:N305)+IF(AP69&lt;&gt;0,20,0)+LOOKUP($C$5,Tabla14[RAZAS],Tabla14[RV])+IF(OR(O98="Esencia venenosa",O100="Esencia venenosa"),20,0)</f>
        <v>0</v>
      </c>
      <c r="H74" s="288">
        <f>ROUNDDOWN((SUM(D74:G74)/(LOOKUP(IFERROR(VLOOKUP("Vulnerabilidad a los venenos – 1",O66:R73,1,FALSE),1),Sheet3!M321:N322))),0)</f>
        <v>30</v>
      </c>
      <c r="I74" s="308"/>
      <c r="J74" s="308"/>
      <c r="K74" s="308"/>
      <c r="L74" s="308"/>
      <c r="M74" s="76"/>
      <c r="N74" s="55"/>
      <c r="O74" s="351" t="s">
        <v>5824</v>
      </c>
      <c r="P74" s="351"/>
      <c r="Q74" s="351"/>
      <c r="R74" s="351"/>
      <c r="S74" s="351" t="s">
        <v>5825</v>
      </c>
      <c r="T74" s="351"/>
      <c r="U74" s="351"/>
      <c r="V74" s="351"/>
      <c r="W74" s="351"/>
      <c r="Y74" s="103" t="s">
        <v>4</v>
      </c>
      <c r="Z74" s="380" t="str">
        <f>IF('Técnicas de Ki'!B6=0,"",'Técnicas de Ki'!B6)</f>
        <v/>
      </c>
      <c r="AA74" s="381"/>
      <c r="AB74" s="381"/>
      <c r="AC74" s="381"/>
      <c r="AD74" s="381"/>
      <c r="AE74" s="381"/>
      <c r="AF74" s="382"/>
      <c r="AG74" s="372" t="s">
        <v>5</v>
      </c>
      <c r="AH74" s="373"/>
      <c r="AI74" s="2"/>
      <c r="AJ74" s="121"/>
      <c r="AK74" s="115" t="s">
        <v>5589</v>
      </c>
      <c r="AL74" s="370" t="s">
        <v>5606</v>
      </c>
      <c r="AM74" s="370"/>
      <c r="AN74" s="366"/>
      <c r="AO74" s="105">
        <f>IF(AP74=0,KI!I72,"-")</f>
        <v>40</v>
      </c>
      <c r="AP74" s="102"/>
      <c r="AR74" s="169"/>
      <c r="AS74" s="195"/>
      <c r="AT74" s="353" t="str">
        <f>LOOKUP(AS74,HM!$V$15:$V$655,HM!$W$15:$W$655)</f>
        <v/>
      </c>
      <c r="AU74" s="353"/>
      <c r="AV74" s="353"/>
      <c r="AW74" s="353"/>
      <c r="AX74" s="133" t="str">
        <f>LOOKUP(AS74,HM!$V$15:$V$655,HM!$X$15:$X$655)</f>
        <v/>
      </c>
      <c r="AY74" s="469"/>
      <c r="AZ74" s="470"/>
      <c r="BA74" s="470"/>
      <c r="BB74" s="470"/>
      <c r="BC74" s="470"/>
      <c r="BD74" s="470"/>
      <c r="BE74" s="470"/>
      <c r="BF74" s="470"/>
      <c r="BG74" s="470"/>
      <c r="BH74" s="471"/>
      <c r="BJ74" s="50">
        <v>80</v>
      </c>
      <c r="BK74" s="322" t="str">
        <f>LOOKUP(BK66,HP!$I$17:$I$141,HP!$P$17:$P$141)</f>
        <v/>
      </c>
      <c r="BL74" s="322"/>
      <c r="BN74" s="50">
        <v>80</v>
      </c>
      <c r="BO74" s="322" t="str">
        <f>LOOKUP(BO66,HP!$I$17:$I$141,HP!$P$17:$P$141)</f>
        <v/>
      </c>
      <c r="BP74" s="322"/>
      <c r="BQ74" s="322"/>
      <c r="BS74" s="50">
        <v>80</v>
      </c>
      <c r="BT74" s="322" t="str">
        <f>LOOKUP(BT66,HP!$I$17:$I$141,HP!$P$17:$P$141)</f>
        <v/>
      </c>
      <c r="BU74" s="322"/>
      <c r="BW74" s="442"/>
      <c r="BX74" s="442"/>
      <c r="BY74" s="442"/>
      <c r="BZ74" s="442"/>
      <c r="CA74" s="442"/>
      <c r="CB74" s="442"/>
      <c r="CF74" s="182"/>
      <c r="CG74" s="184"/>
      <c r="CH74" s="184"/>
      <c r="CI74" s="184"/>
      <c r="CK74" s="184"/>
      <c r="CL74" s="182"/>
      <c r="CM74" s="184"/>
      <c r="CN74" s="184"/>
      <c r="CO74" s="184"/>
      <c r="CQ74" s="177"/>
      <c r="CR74" s="332"/>
      <c r="CS74" s="333"/>
      <c r="CT74" s="333"/>
      <c r="CU74" s="333"/>
      <c r="CV74" s="333"/>
      <c r="CW74" s="333"/>
      <c r="CX74" s="333"/>
      <c r="CY74" s="333"/>
      <c r="CZ74" s="333"/>
      <c r="DA74" s="333"/>
      <c r="DB74" s="334"/>
      <c r="DC74" s="97"/>
      <c r="DF74" s="322" t="s">
        <v>187</v>
      </c>
      <c r="DG74" s="322"/>
      <c r="DH74" s="322"/>
      <c r="DI74" s="322"/>
      <c r="DJ74" s="66" t="str">
        <f>LOOKUP(DI68,Sheet3!$B$173:$B$192,Sheet3!$D$173:$D$192)</f>
        <v>5 al día</v>
      </c>
    </row>
    <row r="75" spans="1:114" ht="7.35" customHeight="1" x14ac:dyDescent="0.2">
      <c r="B75" s="351" t="s">
        <v>241</v>
      </c>
      <c r="C75" s="351"/>
      <c r="D75" s="199">
        <f>D71</f>
        <v>30</v>
      </c>
      <c r="E75" s="199" t="s">
        <v>58</v>
      </c>
      <c r="F75" s="199">
        <f>F16</f>
        <v>0</v>
      </c>
      <c r="G75" s="199">
        <f>LOOKUP(IFERROR(VLOOKUP("Resistencia mágica excepcional – 1",S66:W73,1,FALSE),0),Sheet3!M307:N309)+LOOKUP(IFERROR(VLOOKUP("Resistencia mágica excepcional – 2",S66:W73,1,FALSE),0),Sheet3!M307:N309)+IF(AP69&lt;&gt;0,20,0)+LOOKUP($C$5,Tabla14[RAZAS],Tabla14[RM])</f>
        <v>0</v>
      </c>
      <c r="H75" s="288">
        <f>ROUNDDOWN((SUM(D75:G75)/(LOOKUP(IFERROR(VLOOKUP("Vulnerabilidad a la mágia – 1",O66:R73,1,FALSE),1),Sheet3!M324:N325))),0)</f>
        <v>30</v>
      </c>
      <c r="I75" s="308"/>
      <c r="J75" s="308"/>
      <c r="K75" s="308"/>
      <c r="L75" s="308"/>
      <c r="M75" s="76"/>
      <c r="N75" s="55"/>
      <c r="O75" s="446"/>
      <c r="P75" s="446"/>
      <c r="Q75" s="446"/>
      <c r="R75" s="446"/>
      <c r="S75" s="446"/>
      <c r="T75" s="446"/>
      <c r="U75" s="446"/>
      <c r="V75" s="446"/>
      <c r="W75" s="446"/>
      <c r="Y75" s="374" t="str">
        <f>'Técnicas de Ki'!A7</f>
        <v/>
      </c>
      <c r="Z75" s="383"/>
      <c r="AA75" s="383"/>
      <c r="AB75" s="383"/>
      <c r="AC75" s="383"/>
      <c r="AD75" s="383"/>
      <c r="AE75" s="383"/>
      <c r="AF75" s="375"/>
      <c r="AG75" s="374">
        <f>'Técnicas de Ki'!I7</f>
        <v>0</v>
      </c>
      <c r="AH75" s="375"/>
      <c r="AJ75" s="370" t="s">
        <v>2450</v>
      </c>
      <c r="AK75" s="370"/>
      <c r="AL75" s="370"/>
      <c r="AM75" s="370"/>
      <c r="AN75" s="366"/>
      <c r="AO75" s="105">
        <f>IF(AP75=0,KI!I73,"-")</f>
        <v>30</v>
      </c>
      <c r="AP75" s="102"/>
      <c r="AR75" s="169"/>
      <c r="AS75" s="195"/>
      <c r="AT75" s="353" t="str">
        <f>LOOKUP(AS75,HM!$V$15:$V$655,HM!$W$15:$W$655)</f>
        <v/>
      </c>
      <c r="AU75" s="353"/>
      <c r="AV75" s="353"/>
      <c r="AW75" s="353"/>
      <c r="AX75" s="133" t="str">
        <f>LOOKUP(AS75,HM!$V$15:$V$655,HM!$X$15:$X$655)</f>
        <v/>
      </c>
      <c r="AY75" s="469"/>
      <c r="AZ75" s="470"/>
      <c r="BA75" s="470"/>
      <c r="BB75" s="470"/>
      <c r="BC75" s="470"/>
      <c r="BD75" s="470"/>
      <c r="BE75" s="470"/>
      <c r="BF75" s="470"/>
      <c r="BG75" s="470"/>
      <c r="BH75" s="471"/>
      <c r="BJ75" s="50">
        <v>120</v>
      </c>
      <c r="BK75" s="322" t="str">
        <f>LOOKUP(BK66,HP!$I$17:$I$141,HP!$Q$17:$Q$141)</f>
        <v/>
      </c>
      <c r="BL75" s="322"/>
      <c r="BN75" s="50">
        <v>120</v>
      </c>
      <c r="BO75" s="322" t="str">
        <f>LOOKUP(BO66,HP!$I$17:$I$141,HP!$Q$17:$Q$141)</f>
        <v/>
      </c>
      <c r="BP75" s="322"/>
      <c r="BQ75" s="322"/>
      <c r="BS75" s="50">
        <v>120</v>
      </c>
      <c r="BT75" s="322" t="str">
        <f>LOOKUP(BT66,HP!$I$17:$I$141,HP!$Q$17:$Q$141)</f>
        <v/>
      </c>
      <c r="BU75" s="322"/>
      <c r="BV75" s="6"/>
      <c r="BW75" s="442"/>
      <c r="BX75" s="442"/>
      <c r="BY75" s="442"/>
      <c r="BZ75" s="442"/>
      <c r="CA75" s="442"/>
      <c r="CB75" s="442"/>
      <c r="CF75" s="310" t="s">
        <v>0</v>
      </c>
      <c r="CG75" s="310"/>
      <c r="CH75" s="310" t="s">
        <v>228</v>
      </c>
      <c r="CI75" s="310"/>
      <c r="CJ75" s="183" t="s">
        <v>27</v>
      </c>
      <c r="CK75" s="184"/>
      <c r="CL75" s="310" t="s">
        <v>0</v>
      </c>
      <c r="CM75" s="310"/>
      <c r="CN75" s="310" t="s">
        <v>228</v>
      </c>
      <c r="CO75" s="310"/>
      <c r="CP75" s="183" t="s">
        <v>27</v>
      </c>
      <c r="CQ75" s="177"/>
      <c r="CR75" s="332"/>
      <c r="CS75" s="333"/>
      <c r="CT75" s="333"/>
      <c r="CU75" s="333"/>
      <c r="CV75" s="333"/>
      <c r="CW75" s="333"/>
      <c r="CX75" s="333"/>
      <c r="CY75" s="333"/>
      <c r="CZ75" s="333"/>
      <c r="DA75" s="333"/>
      <c r="DB75" s="334"/>
      <c r="DC75" s="97"/>
      <c r="DF75" s="322" t="s">
        <v>190</v>
      </c>
      <c r="DG75" s="322"/>
      <c r="DH75" s="322"/>
      <c r="DI75" s="322"/>
      <c r="DJ75" s="66">
        <f>LOOKUP(DI68,Sheet3!$B$173:$B$192,Sheet3!$E$173:$E$192)</f>
        <v>-5</v>
      </c>
    </row>
    <row r="76" spans="1:114" ht="7.35" customHeight="1" x14ac:dyDescent="0.2">
      <c r="B76" s="351" t="s">
        <v>243</v>
      </c>
      <c r="C76" s="351"/>
      <c r="D76" s="199">
        <f>D71</f>
        <v>30</v>
      </c>
      <c r="E76" s="199" t="s">
        <v>59</v>
      </c>
      <c r="F76" s="199">
        <f>F17</f>
        <v>0</v>
      </c>
      <c r="G76" s="199">
        <f>LOOKUP(IFERROR(VLOOKUP("Resistencia psíquica excepcional – 1",S66:W73,1,FALSE),0),Sheet3!M311:N313)+LOOKUP(IFERROR(VLOOKUP("Resistencia psíquica excepcional – 2",S66:W73,1,FALSE),0),Sheet3!M311:N313)+IF(AP69&lt;&gt;0,20,0)+LOOKUP($C$5,Tabla14[RAZAS],Tabla14[RP])</f>
        <v>0</v>
      </c>
      <c r="H76" s="288">
        <f>ROUNDDOWN((SUM(D76:G76)/(LOOKUP(IFERROR(VLOOKUP("Fácil posesión – 1",O66:R73,1,FALSE),1),Sheet3!M327:N328))),0)</f>
        <v>30</v>
      </c>
      <c r="I76" s="308"/>
      <c r="J76" s="308"/>
      <c r="K76" s="308"/>
      <c r="L76" s="308"/>
      <c r="M76" s="76"/>
      <c r="N76" s="55"/>
      <c r="O76" s="446"/>
      <c r="P76" s="446"/>
      <c r="Q76" s="446"/>
      <c r="R76" s="446"/>
      <c r="S76" s="446"/>
      <c r="T76" s="446"/>
      <c r="U76" s="446"/>
      <c r="V76" s="446"/>
      <c r="W76" s="446"/>
      <c r="Y76" s="376"/>
      <c r="Z76" s="384"/>
      <c r="AA76" s="384"/>
      <c r="AB76" s="384"/>
      <c r="AC76" s="384"/>
      <c r="AD76" s="384"/>
      <c r="AE76" s="384"/>
      <c r="AF76" s="377"/>
      <c r="AG76" s="376"/>
      <c r="AH76" s="377"/>
      <c r="AI76" s="97"/>
      <c r="AJ76" s="435" t="s">
        <v>4163</v>
      </c>
      <c r="AK76" s="436"/>
      <c r="AL76" s="436"/>
      <c r="AM76" s="468" t="str">
        <f>IF(AP76&lt;&gt;0,"RM o RP contra detección + "&amp;(H71*2),"")</f>
        <v/>
      </c>
      <c r="AN76" s="468"/>
      <c r="AO76" s="105">
        <f>IF(AP76=0,KI!I74,"-")</f>
        <v>10</v>
      </c>
      <c r="AP76" s="102"/>
      <c r="AR76" s="169"/>
      <c r="AS76" s="195"/>
      <c r="AT76" s="353" t="str">
        <f>LOOKUP(AS76,HM!$V$15:$V$655,HM!$W$15:$W$655)</f>
        <v/>
      </c>
      <c r="AU76" s="353"/>
      <c r="AV76" s="353"/>
      <c r="AW76" s="353"/>
      <c r="AX76" s="133" t="str">
        <f>LOOKUP(AS76,HM!$V$15:$V$655,HM!$X$15:$X$655)</f>
        <v/>
      </c>
      <c r="AY76" s="469"/>
      <c r="AZ76" s="470"/>
      <c r="BA76" s="470"/>
      <c r="BB76" s="470"/>
      <c r="BC76" s="470"/>
      <c r="BD76" s="470"/>
      <c r="BE76" s="470"/>
      <c r="BF76" s="470"/>
      <c r="BG76" s="470"/>
      <c r="BH76" s="471"/>
      <c r="BJ76" s="50">
        <v>140</v>
      </c>
      <c r="BK76" s="322" t="str">
        <f>LOOKUP(BK66,HP!$I$17:$I$141,HP!$R$17:$R$141)</f>
        <v/>
      </c>
      <c r="BL76" s="322"/>
      <c r="BN76" s="50">
        <v>140</v>
      </c>
      <c r="BO76" s="322" t="str">
        <f>LOOKUP(BO66,HP!$I$17:$I$141,HP!$R$17:$R$141)</f>
        <v/>
      </c>
      <c r="BP76" s="322"/>
      <c r="BQ76" s="322"/>
      <c r="BS76" s="50">
        <v>140</v>
      </c>
      <c r="BT76" s="322" t="str">
        <f>LOOKUP(BT66,HP!$I$17:$I$141,HP!$R$17:$R$141)</f>
        <v/>
      </c>
      <c r="BU76" s="322"/>
      <c r="BW76" s="442"/>
      <c r="BX76" s="442"/>
      <c r="BY76" s="442"/>
      <c r="BZ76" s="442"/>
      <c r="CA76" s="442"/>
      <c r="CB76" s="442"/>
      <c r="CF76" s="311"/>
      <c r="CG76" s="312"/>
      <c r="CH76" s="311" t="str">
        <f>LOOKUP(CF76,Tabla15[Poder],Tabla15[Requisito])</f>
        <v/>
      </c>
      <c r="CI76" s="312"/>
      <c r="CJ76" s="167">
        <f>LOOKUP(CF76,Tabla15[Poder],Tabla15[Coste])</f>
        <v>0</v>
      </c>
      <c r="CK76" s="184"/>
      <c r="CL76" s="311"/>
      <c r="CM76" s="312"/>
      <c r="CN76" s="311" t="str">
        <f>LOOKUP(CL76,Tabla15[Poder],Tabla15[Requisito])</f>
        <v/>
      </c>
      <c r="CO76" s="312"/>
      <c r="CP76" s="167">
        <f>LOOKUP(CL76,Tabla15[Poder],Tabla15[Coste])</f>
        <v>0</v>
      </c>
      <c r="CQ76" s="177"/>
      <c r="CR76" s="332"/>
      <c r="CS76" s="333"/>
      <c r="CT76" s="333"/>
      <c r="CU76" s="333"/>
      <c r="CV76" s="333"/>
      <c r="CW76" s="333"/>
      <c r="CX76" s="333"/>
      <c r="CY76" s="333"/>
      <c r="CZ76" s="333"/>
      <c r="DA76" s="333"/>
      <c r="DB76" s="334"/>
      <c r="DC76" s="97"/>
      <c r="DF76" s="358" t="s">
        <v>97</v>
      </c>
      <c r="DG76" s="358"/>
      <c r="DH76" s="358"/>
      <c r="DI76" s="358"/>
      <c r="DJ76" s="358"/>
    </row>
    <row r="77" spans="1:114" ht="7.35" customHeight="1" x14ac:dyDescent="0.2">
      <c r="N77" s="55"/>
      <c r="O77" s="446"/>
      <c r="P77" s="446"/>
      <c r="Q77" s="446"/>
      <c r="R77" s="446"/>
      <c r="S77" s="446"/>
      <c r="T77" s="446"/>
      <c r="U77" s="446"/>
      <c r="V77" s="446"/>
      <c r="W77" s="446"/>
      <c r="Y77" s="378"/>
      <c r="Z77" s="385"/>
      <c r="AA77" s="385"/>
      <c r="AB77" s="385"/>
      <c r="AC77" s="385"/>
      <c r="AD77" s="385"/>
      <c r="AE77" s="385"/>
      <c r="AF77" s="379"/>
      <c r="AG77" s="378"/>
      <c r="AH77" s="379"/>
      <c r="AI77" s="97"/>
      <c r="AJ77" s="370" t="s">
        <v>3252</v>
      </c>
      <c r="AK77" s="370"/>
      <c r="AL77" s="370"/>
      <c r="AM77" s="370"/>
      <c r="AN77" s="366"/>
      <c r="AO77" s="105">
        <f>IF(AP77=0,KI!I75,"-")</f>
        <v>20</v>
      </c>
      <c r="AP77" s="102"/>
      <c r="AR77" s="169"/>
      <c r="AS77" s="195"/>
      <c r="AT77" s="353" t="str">
        <f>LOOKUP(AS77,HM!$V$15:$V$655,HM!$W$15:$W$655)</f>
        <v/>
      </c>
      <c r="AU77" s="353"/>
      <c r="AV77" s="353"/>
      <c r="AW77" s="353"/>
      <c r="AX77" s="133" t="str">
        <f>LOOKUP(AS77,HM!$V$15:$V$655,HM!$X$15:$X$655)</f>
        <v/>
      </c>
      <c r="AY77" s="469"/>
      <c r="AZ77" s="470"/>
      <c r="BA77" s="470"/>
      <c r="BB77" s="470"/>
      <c r="BC77" s="470"/>
      <c r="BD77" s="470"/>
      <c r="BE77" s="470"/>
      <c r="BF77" s="470"/>
      <c r="BG77" s="470"/>
      <c r="BH77" s="471"/>
      <c r="BJ77" s="50">
        <v>180</v>
      </c>
      <c r="BK77" s="322" t="str">
        <f>LOOKUP(BK66,HP!$I$17:$I$141,HP!$S$17:$S$141)</f>
        <v/>
      </c>
      <c r="BL77" s="322"/>
      <c r="BN77" s="50">
        <v>180</v>
      </c>
      <c r="BO77" s="322" t="str">
        <f>LOOKUP(BO66,HP!$I$17:$I$141,HP!$S$17:$S$141)</f>
        <v/>
      </c>
      <c r="BP77" s="322"/>
      <c r="BQ77" s="322"/>
      <c r="BS77" s="50">
        <v>180</v>
      </c>
      <c r="BT77" s="322" t="str">
        <f>LOOKUP(BT66,HP!$I$17:$I$141,HP!$S$17:$S$141)</f>
        <v/>
      </c>
      <c r="BU77" s="322"/>
      <c r="BV77" s="6"/>
      <c r="BW77" s="442"/>
      <c r="BX77" s="442"/>
      <c r="BY77" s="442"/>
      <c r="BZ77" s="442"/>
      <c r="CA77" s="442"/>
      <c r="CB77" s="442"/>
      <c r="CF77" s="309" t="s">
        <v>138</v>
      </c>
      <c r="CG77" s="309"/>
      <c r="CH77" s="309"/>
      <c r="CI77" s="309"/>
      <c r="CJ77" s="309"/>
      <c r="CK77" s="97"/>
      <c r="CL77" s="309" t="s">
        <v>138</v>
      </c>
      <c r="CM77" s="309"/>
      <c r="CN77" s="309"/>
      <c r="CO77" s="309"/>
      <c r="CP77" s="309"/>
      <c r="CQ77" s="177"/>
      <c r="CR77" s="332"/>
      <c r="CS77" s="333"/>
      <c r="CT77" s="333"/>
      <c r="CU77" s="333"/>
      <c r="CV77" s="333"/>
      <c r="CW77" s="333"/>
      <c r="CX77" s="333"/>
      <c r="CY77" s="333"/>
      <c r="CZ77" s="333"/>
      <c r="DA77" s="333"/>
      <c r="DB77" s="334"/>
      <c r="DC77" s="97"/>
      <c r="DF77" s="322" t="s">
        <v>5072</v>
      </c>
      <c r="DG77" s="322"/>
      <c r="DH77" s="322"/>
      <c r="DI77" s="322"/>
      <c r="DJ77" s="66" t="str">
        <f>LOOKUP(DJ67,Sheet3!$D$262:$D$281,Sheet3!$F$262:$F$281)</f>
        <v>20m</v>
      </c>
    </row>
    <row r="78" spans="1:114" ht="7.35" customHeight="1" x14ac:dyDescent="0.2">
      <c r="B78" s="485" t="s">
        <v>246</v>
      </c>
      <c r="C78" s="485"/>
      <c r="D78" s="485"/>
      <c r="E78" s="485"/>
      <c r="F78" s="485"/>
      <c r="G78" s="485"/>
      <c r="H78" s="485"/>
      <c r="I78" s="485"/>
      <c r="J78" s="485"/>
      <c r="K78" s="485"/>
      <c r="L78" s="485"/>
      <c r="N78" s="55"/>
      <c r="O78" s="446"/>
      <c r="P78" s="446"/>
      <c r="Q78" s="446"/>
      <c r="R78" s="446"/>
      <c r="S78" s="446"/>
      <c r="T78" s="446"/>
      <c r="U78" s="446"/>
      <c r="V78" s="446"/>
      <c r="W78" s="446"/>
      <c r="Y78" s="450" t="s">
        <v>5543</v>
      </c>
      <c r="Z78" s="104" t="s">
        <v>36</v>
      </c>
      <c r="AA78" s="104" t="s">
        <v>46</v>
      </c>
      <c r="AB78" s="104" t="s">
        <v>57</v>
      </c>
      <c r="AC78" s="104" t="s">
        <v>66</v>
      </c>
      <c r="AD78" s="104" t="s">
        <v>58</v>
      </c>
      <c r="AE78" s="104" t="s">
        <v>59</v>
      </c>
      <c r="AF78" s="104" t="s">
        <v>14</v>
      </c>
      <c r="AG78" s="372" t="s">
        <v>177</v>
      </c>
      <c r="AH78" s="373"/>
      <c r="AI78" s="97"/>
      <c r="AJ78" s="122" t="s">
        <v>5589</v>
      </c>
      <c r="AK78" s="370" t="s">
        <v>5587</v>
      </c>
      <c r="AL78" s="370"/>
      <c r="AM78" s="370"/>
      <c r="AN78" s="366"/>
      <c r="AO78" s="105">
        <f>IF(AP78=0,KI!I76,"-")</f>
        <v>40</v>
      </c>
      <c r="AP78" s="102"/>
      <c r="AR78" s="169"/>
      <c r="AS78" s="195"/>
      <c r="AT78" s="353" t="str">
        <f>LOOKUP(AS78,HM!$V$15:$V$655,HM!$W$15:$W$655)</f>
        <v/>
      </c>
      <c r="AU78" s="353"/>
      <c r="AV78" s="353"/>
      <c r="AW78" s="353"/>
      <c r="AX78" s="133" t="str">
        <f>LOOKUP(AS78,HM!$V$15:$V$655,HM!$X$15:$X$655)</f>
        <v/>
      </c>
      <c r="AY78" s="469"/>
      <c r="AZ78" s="470"/>
      <c r="BA78" s="470"/>
      <c r="BB78" s="470"/>
      <c r="BC78" s="470"/>
      <c r="BD78" s="470"/>
      <c r="BE78" s="470"/>
      <c r="BF78" s="470"/>
      <c r="BG78" s="470"/>
      <c r="BH78" s="471"/>
      <c r="BJ78" s="50">
        <v>240</v>
      </c>
      <c r="BK78" s="322" t="str">
        <f>LOOKUP(BK66,HP!$I$17:$I$141,HP!$T$17:$T$141)</f>
        <v/>
      </c>
      <c r="BL78" s="322"/>
      <c r="BN78" s="50">
        <v>240</v>
      </c>
      <c r="BO78" s="322" t="str">
        <f>LOOKUP(BO66,HP!$I$17:$I$141,HP!$T$17:$T$141)</f>
        <v/>
      </c>
      <c r="BP78" s="322"/>
      <c r="BQ78" s="322"/>
      <c r="BS78" s="50">
        <v>240</v>
      </c>
      <c r="BT78" s="322" t="str">
        <f>LOOKUP(BT66,HP!$I$17:$I$141,HP!$T$17:$T$141)</f>
        <v/>
      </c>
      <c r="BU78" s="322"/>
      <c r="BW78" s="442"/>
      <c r="BX78" s="442"/>
      <c r="BY78" s="442"/>
      <c r="BZ78" s="442"/>
      <c r="CA78" s="442"/>
      <c r="CB78" s="442"/>
      <c r="CF78" s="308" t="str">
        <f>LOOKUP(CF76,Tabla15[Poder],Tabla15[Descripcion])</f>
        <v/>
      </c>
      <c r="CG78" s="308"/>
      <c r="CH78" s="308"/>
      <c r="CI78" s="308"/>
      <c r="CJ78" s="308"/>
      <c r="CK78" s="184"/>
      <c r="CL78" s="308" t="str">
        <f>LOOKUP(CL76,Tabla15[Poder],Tabla15[Descripcion])</f>
        <v/>
      </c>
      <c r="CM78" s="308"/>
      <c r="CN78" s="308"/>
      <c r="CO78" s="308"/>
      <c r="CP78" s="308"/>
      <c r="CQ78" s="177"/>
      <c r="CR78" s="332"/>
      <c r="CS78" s="333"/>
      <c r="CT78" s="333"/>
      <c r="CU78" s="333"/>
      <c r="CV78" s="333"/>
      <c r="CW78" s="333"/>
      <c r="CX78" s="333"/>
      <c r="CY78" s="333"/>
      <c r="CZ78" s="333"/>
      <c r="DA78" s="333"/>
      <c r="DB78" s="334"/>
      <c r="DC78" s="97"/>
      <c r="DF78" s="322" t="s">
        <v>5097</v>
      </c>
      <c r="DG78" s="322"/>
      <c r="DH78" s="322"/>
      <c r="DI78" s="322"/>
      <c r="DJ78" s="66" t="str">
        <f>LOOKUP(DJ67,Sheet3!$D$262:$D$281,Sheet3!$I$262:$I$281)</f>
        <v>4m</v>
      </c>
    </row>
    <row r="79" spans="1:114" ht="7.35" customHeight="1" x14ac:dyDescent="0.2">
      <c r="B79" s="345" t="s">
        <v>0</v>
      </c>
      <c r="C79" s="345"/>
      <c r="D79" s="286" t="s">
        <v>152</v>
      </c>
      <c r="E79" s="486" t="s">
        <v>287</v>
      </c>
      <c r="F79" s="486"/>
      <c r="G79" s="486"/>
      <c r="H79" s="486"/>
      <c r="I79" s="486"/>
      <c r="J79" s="486"/>
      <c r="K79" s="486"/>
      <c r="L79" s="486"/>
      <c r="N79" s="55"/>
      <c r="Y79" s="451"/>
      <c r="Z79" s="113" t="str">
        <f>IF('Técnicas de Ki'!B11=0,"",'Técnicas de Ki'!B11)</f>
        <v/>
      </c>
      <c r="AA79" s="113" t="str">
        <f>IF('Técnicas de Ki'!C11=0,"",'Técnicas de Ki'!C11)</f>
        <v/>
      </c>
      <c r="AB79" s="113" t="str">
        <f>IF('Técnicas de Ki'!D11=0,"",'Técnicas de Ki'!D11)</f>
        <v/>
      </c>
      <c r="AC79" s="113" t="str">
        <f>IF('Técnicas de Ki'!E11=0,"",'Técnicas de Ki'!E11)</f>
        <v/>
      </c>
      <c r="AD79" s="113" t="str">
        <f>IF('Técnicas de Ki'!F11=0,"",'Técnicas de Ki'!F11)</f>
        <v/>
      </c>
      <c r="AE79" s="113" t="str">
        <f>IF('Técnicas de Ki'!G11=0,"",'Técnicas de Ki'!G11)</f>
        <v/>
      </c>
      <c r="AF79" s="113" t="str">
        <f>IF('Técnicas de Ki'!H11=0,"",'Técnicas de Ki'!H11)</f>
        <v/>
      </c>
      <c r="AG79" s="354" t="str">
        <f>IF('Técnicas de Ki'!H11=0,"",'Técnicas de Ki'!I11)</f>
        <v/>
      </c>
      <c r="AH79" s="356"/>
      <c r="AI79" s="97"/>
      <c r="AR79" s="169"/>
      <c r="AS79" s="195"/>
      <c r="AT79" s="353" t="str">
        <f>LOOKUP(AS79,HM!$V$15:$V$655,HM!$W$15:$W$655)</f>
        <v/>
      </c>
      <c r="AU79" s="353"/>
      <c r="AV79" s="353"/>
      <c r="AW79" s="353"/>
      <c r="AX79" s="133" t="str">
        <f>LOOKUP(AS79,HM!$V$15:$V$655,HM!$X$15:$X$655)</f>
        <v/>
      </c>
      <c r="AY79" s="469"/>
      <c r="AZ79" s="470"/>
      <c r="BA79" s="470"/>
      <c r="BB79" s="470"/>
      <c r="BC79" s="470"/>
      <c r="BD79" s="470"/>
      <c r="BE79" s="470"/>
      <c r="BF79" s="470"/>
      <c r="BG79" s="470"/>
      <c r="BH79" s="471"/>
      <c r="BJ79" s="50">
        <v>280</v>
      </c>
      <c r="BK79" s="322" t="str">
        <f>LOOKUP(BK66,HP!$I$17:$I$141,HP!$U$17:$U$141)</f>
        <v/>
      </c>
      <c r="BL79" s="322"/>
      <c r="BN79" s="50">
        <v>280</v>
      </c>
      <c r="BO79" s="322" t="str">
        <f>LOOKUP(BO66,HP!$I$17:$I$141,HP!$U$17:$U$141)</f>
        <v/>
      </c>
      <c r="BP79" s="322"/>
      <c r="BQ79" s="322"/>
      <c r="BS79" s="50">
        <v>280</v>
      </c>
      <c r="BT79" s="322" t="str">
        <f>LOOKUP(BT66,HP!$I$17:$I$141,HP!$U$17:$U$141)</f>
        <v/>
      </c>
      <c r="BU79" s="322"/>
      <c r="BV79" s="17"/>
      <c r="BW79" s="442"/>
      <c r="BX79" s="442"/>
      <c r="BY79" s="442"/>
      <c r="BZ79" s="442"/>
      <c r="CA79" s="442"/>
      <c r="CB79" s="442"/>
      <c r="CF79" s="182"/>
      <c r="CG79" s="184"/>
      <c r="CH79" s="184"/>
      <c r="CI79" s="184"/>
      <c r="CK79" s="184"/>
      <c r="CL79" s="182"/>
      <c r="CM79" s="184"/>
      <c r="CN79" s="184"/>
      <c r="CO79" s="184"/>
      <c r="CQ79" s="177"/>
      <c r="CR79" s="332"/>
      <c r="CS79" s="333"/>
      <c r="CT79" s="333"/>
      <c r="CU79" s="333"/>
      <c r="CV79" s="333"/>
      <c r="CW79" s="333"/>
      <c r="CX79" s="333"/>
      <c r="CY79" s="333"/>
      <c r="CZ79" s="333"/>
      <c r="DA79" s="333"/>
      <c r="DB79" s="334"/>
      <c r="DC79" s="97"/>
      <c r="DF79" s="322" t="s">
        <v>5073</v>
      </c>
      <c r="DG79" s="322"/>
      <c r="DH79" s="322"/>
      <c r="DI79" s="322"/>
      <c r="DJ79" s="66" t="str">
        <f>LOOKUP(DJ67,Sheet3!$D$262:$D$281,Sheet3!$G$262:$G$281)</f>
        <v/>
      </c>
    </row>
    <row r="80" spans="1:114" ht="7.35" customHeight="1" x14ac:dyDescent="0.2">
      <c r="A80" s="148"/>
      <c r="B80" s="309" t="s">
        <v>6018</v>
      </c>
      <c r="C80" s="309"/>
      <c r="D80" s="285" t="s">
        <v>6019</v>
      </c>
      <c r="E80" s="342"/>
      <c r="F80" s="342"/>
      <c r="G80" s="342"/>
      <c r="H80" s="342"/>
      <c r="I80" s="342"/>
      <c r="J80" s="342"/>
      <c r="K80" s="342"/>
      <c r="L80" s="342"/>
      <c r="N80" s="55"/>
      <c r="O80" s="344" t="s">
        <v>259</v>
      </c>
      <c r="P80" s="344"/>
      <c r="Q80" s="344"/>
      <c r="R80" s="344"/>
      <c r="S80" s="344"/>
      <c r="T80" s="344"/>
      <c r="U80" s="344"/>
      <c r="V80" s="344"/>
      <c r="W80" s="34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97"/>
      <c r="AJ80" s="452" t="s">
        <v>5331</v>
      </c>
      <c r="AK80" s="452"/>
      <c r="AL80" s="452"/>
      <c r="AM80" s="452"/>
      <c r="AN80" s="452"/>
      <c r="AR80" s="169"/>
      <c r="AS80" s="195"/>
      <c r="AT80" s="353" t="str">
        <f>LOOKUP(AS80,HM!$V$15:$V$655,HM!$W$15:$W$655)</f>
        <v/>
      </c>
      <c r="AU80" s="353"/>
      <c r="AV80" s="353"/>
      <c r="AW80" s="353"/>
      <c r="AX80" s="133" t="str">
        <f>LOOKUP(AS80,HM!$V$15:$V$655,HM!$X$15:$X$655)</f>
        <v/>
      </c>
      <c r="AY80" s="469"/>
      <c r="AZ80" s="470"/>
      <c r="BA80" s="470"/>
      <c r="BB80" s="470"/>
      <c r="BC80" s="470"/>
      <c r="BD80" s="470"/>
      <c r="BE80" s="470"/>
      <c r="BF80" s="470"/>
      <c r="BG80" s="470"/>
      <c r="BH80" s="471"/>
      <c r="BJ80" s="50">
        <v>320</v>
      </c>
      <c r="BK80" s="322" t="str">
        <f>LOOKUP(BK66,HP!$I$17:$I$141,HP!$V$17:$V$141)</f>
        <v/>
      </c>
      <c r="BL80" s="322"/>
      <c r="BN80" s="50">
        <v>320</v>
      </c>
      <c r="BO80" s="322" t="str">
        <f>LOOKUP(BO66,HP!$I$17:$I$141,HP!$V$17:$V$141)</f>
        <v/>
      </c>
      <c r="BP80" s="322"/>
      <c r="BQ80" s="322"/>
      <c r="BS80" s="50">
        <v>320</v>
      </c>
      <c r="BT80" s="322" t="str">
        <f>LOOKUP(BT66,HP!$I$17:$I$141,HP!$V$17:$V$141)</f>
        <v/>
      </c>
      <c r="BU80" s="322"/>
      <c r="BV80" s="17"/>
      <c r="BW80" s="442"/>
      <c r="BX80" s="442"/>
      <c r="BY80" s="442"/>
      <c r="BZ80" s="442"/>
      <c r="CA80" s="442"/>
      <c r="CB80" s="442"/>
      <c r="CF80" s="310" t="s">
        <v>0</v>
      </c>
      <c r="CG80" s="310"/>
      <c r="CH80" s="310" t="s">
        <v>228</v>
      </c>
      <c r="CI80" s="310"/>
      <c r="CJ80" s="183" t="s">
        <v>27</v>
      </c>
      <c r="CK80" s="184"/>
      <c r="CL80" s="310" t="s">
        <v>0</v>
      </c>
      <c r="CM80" s="310"/>
      <c r="CN80" s="310" t="s">
        <v>228</v>
      </c>
      <c r="CO80" s="310"/>
      <c r="CP80" s="183" t="s">
        <v>27</v>
      </c>
      <c r="CQ80" s="177"/>
      <c r="CR80" s="332"/>
      <c r="CS80" s="333"/>
      <c r="CT80" s="333"/>
      <c r="CU80" s="333"/>
      <c r="CV80" s="333"/>
      <c r="CW80" s="333"/>
      <c r="CX80" s="333"/>
      <c r="CY80" s="333"/>
      <c r="CZ80" s="333"/>
      <c r="DA80" s="333"/>
      <c r="DB80" s="334"/>
      <c r="DC80" s="97"/>
      <c r="DF80" s="358" t="s">
        <v>43</v>
      </c>
      <c r="DG80" s="358"/>
      <c r="DH80" s="358"/>
      <c r="DI80" s="358"/>
      <c r="DJ80" s="358"/>
    </row>
    <row r="81" spans="2:114" ht="7.35" customHeight="1" x14ac:dyDescent="0.2">
      <c r="B81" s="486" t="s">
        <v>249</v>
      </c>
      <c r="C81" s="486"/>
      <c r="D81" s="486"/>
      <c r="E81" s="486"/>
      <c r="F81" s="486"/>
      <c r="G81" s="486"/>
      <c r="H81" s="486"/>
      <c r="I81" s="486"/>
      <c r="J81" s="486"/>
      <c r="K81" s="486"/>
      <c r="L81" s="486"/>
      <c r="N81" s="55"/>
      <c r="O81" s="197" t="s">
        <v>27</v>
      </c>
      <c r="P81" s="453" t="s">
        <v>254</v>
      </c>
      <c r="Q81" s="453"/>
      <c r="R81" s="453"/>
      <c r="S81" s="197" t="s">
        <v>2</v>
      </c>
      <c r="T81" s="197" t="s">
        <v>13</v>
      </c>
      <c r="U81" s="197" t="s">
        <v>106</v>
      </c>
      <c r="V81" s="204" t="s">
        <v>107</v>
      </c>
      <c r="W81" s="197" t="s">
        <v>108</v>
      </c>
      <c r="Y81" s="103" t="s">
        <v>4</v>
      </c>
      <c r="Z81" s="380" t="str">
        <f>IF('Técnicas de Ki'!W6=0,"",'Técnicas de Ki'!W6)</f>
        <v/>
      </c>
      <c r="AA81" s="381"/>
      <c r="AB81" s="381"/>
      <c r="AC81" s="381"/>
      <c r="AD81" s="381"/>
      <c r="AE81" s="381"/>
      <c r="AF81" s="382"/>
      <c r="AG81" s="372" t="s">
        <v>5</v>
      </c>
      <c r="AH81" s="373"/>
      <c r="AI81" s="97"/>
      <c r="AJ81" s="409" t="s">
        <v>5326</v>
      </c>
      <c r="AK81" s="409"/>
      <c r="AL81" s="50">
        <v>5</v>
      </c>
      <c r="AM81" s="62" t="s">
        <v>5327</v>
      </c>
      <c r="AN81" s="62">
        <v>5</v>
      </c>
      <c r="AR81" s="169"/>
      <c r="AS81" s="195"/>
      <c r="AT81" s="353" t="str">
        <f>LOOKUP(AS81,HM!$V$15:$V$655,HM!$W$15:$W$655)</f>
        <v/>
      </c>
      <c r="AU81" s="353"/>
      <c r="AV81" s="353"/>
      <c r="AW81" s="353"/>
      <c r="AX81" s="133" t="str">
        <f>LOOKUP(AS81,HM!$V$15:$V$655,HM!$X$15:$X$655)</f>
        <v/>
      </c>
      <c r="AY81" s="469"/>
      <c r="AZ81" s="470"/>
      <c r="BA81" s="470"/>
      <c r="BB81" s="470"/>
      <c r="BC81" s="470"/>
      <c r="BD81" s="470"/>
      <c r="BE81" s="470"/>
      <c r="BF81" s="470"/>
      <c r="BG81" s="470"/>
      <c r="BH81" s="471"/>
      <c r="BJ81" s="50">
        <v>440</v>
      </c>
      <c r="BK81" s="322" t="str">
        <f>LOOKUP(BK66,HP!$I$17:$I$141,HP!$W$17:$W$141)</f>
        <v/>
      </c>
      <c r="BL81" s="322"/>
      <c r="BN81" s="50">
        <v>440</v>
      </c>
      <c r="BO81" s="322" t="str">
        <f>LOOKUP(BO66,HP!$I$17:$I$141,HP!$W$17:$W$141)</f>
        <v/>
      </c>
      <c r="BP81" s="322"/>
      <c r="BQ81" s="322"/>
      <c r="BS81" s="50">
        <v>440</v>
      </c>
      <c r="BT81" s="322" t="str">
        <f>LOOKUP(BT66,HP!$I$17:$I$141,HP!$W$17:$W$141)</f>
        <v/>
      </c>
      <c r="BU81" s="322"/>
      <c r="BW81" s="442"/>
      <c r="BX81" s="442"/>
      <c r="BY81" s="442"/>
      <c r="BZ81" s="442"/>
      <c r="CA81" s="442"/>
      <c r="CB81" s="442"/>
      <c r="CF81" s="311"/>
      <c r="CG81" s="312"/>
      <c r="CH81" s="311" t="str">
        <f>LOOKUP(CF81,Tabla15[Poder],Tabla15[Requisito])</f>
        <v/>
      </c>
      <c r="CI81" s="312"/>
      <c r="CJ81" s="167">
        <f>LOOKUP(CF81,Tabla15[Poder],Tabla15[Coste])</f>
        <v>0</v>
      </c>
      <c r="CK81" s="184"/>
      <c r="CL81" s="311"/>
      <c r="CM81" s="312"/>
      <c r="CN81" s="311" t="str">
        <f>LOOKUP(CL81,Tabla15[Poder],Tabla15[Requisito])</f>
        <v/>
      </c>
      <c r="CO81" s="312"/>
      <c r="CP81" s="167">
        <f>LOOKUP(CL81,Tabla15[Poder],Tabla15[Coste])</f>
        <v>0</v>
      </c>
      <c r="CQ81" s="177"/>
      <c r="CR81" s="332"/>
      <c r="CS81" s="333"/>
      <c r="CT81" s="333"/>
      <c r="CU81" s="333"/>
      <c r="CV81" s="333"/>
      <c r="CW81" s="333"/>
      <c r="CX81" s="333"/>
      <c r="CY81" s="333"/>
      <c r="CZ81" s="333"/>
      <c r="DA81" s="333"/>
      <c r="DB81" s="334"/>
      <c r="DC81" s="97"/>
      <c r="DF81" s="322" t="s">
        <v>5098</v>
      </c>
      <c r="DG81" s="322"/>
      <c r="DH81" s="322"/>
      <c r="DI81" s="322"/>
      <c r="DJ81" s="66" t="str">
        <f>LOOKUP(DI69,Sheet3!$J$262:$J$281,Sheet3!$K$262:$K$281)</f>
        <v>25 Kg</v>
      </c>
    </row>
    <row r="82" spans="2:114" ht="7.35" customHeight="1" x14ac:dyDescent="0.2">
      <c r="B82" s="308"/>
      <c r="C82" s="308"/>
      <c r="D82" s="280">
        <f>(LOOKUP(B82,Sheet3!$AB$111:$AC$119))*(LOOKUP($C$2,Sheet3!$C$100:$V$100,Sheet3!$C$171:$V$171))</f>
        <v>0</v>
      </c>
      <c r="E82" s="308"/>
      <c r="F82" s="308"/>
      <c r="G82" s="308"/>
      <c r="H82" s="308"/>
      <c r="I82" s="308"/>
      <c r="J82" s="308"/>
      <c r="K82" s="308"/>
      <c r="L82" s="308"/>
      <c r="N82" s="55"/>
      <c r="O82" s="199">
        <f>LOOKUP($C$2,Sheet3!$C$100:$V$100,Sheet3!$C$161:$V$161)</f>
        <v>2</v>
      </c>
      <c r="P82" s="350" t="s">
        <v>5607</v>
      </c>
      <c r="Q82" s="350"/>
      <c r="R82" s="350"/>
      <c r="S82" s="199">
        <v>0</v>
      </c>
      <c r="T82" s="199">
        <f>$F$16</f>
        <v>0</v>
      </c>
      <c r="U82" s="198">
        <f>LOOKUP($C$5,Tabla14[RAZAS],Tabla14[Convocar])</f>
        <v>0</v>
      </c>
      <c r="V82" s="199">
        <f>(LOOKUP($C$2,Sheet3!$C$100:$V$100,Sheet3!C150:V150))*$C$3</f>
        <v>0</v>
      </c>
      <c r="W82" s="199">
        <f>SUM(S82:V82)</f>
        <v>0</v>
      </c>
      <c r="Y82" s="374" t="str">
        <f>'Técnicas de Ki'!V7</f>
        <v/>
      </c>
      <c r="Z82" s="383"/>
      <c r="AA82" s="383"/>
      <c r="AB82" s="383"/>
      <c r="AC82" s="383"/>
      <c r="AD82" s="383"/>
      <c r="AE82" s="383"/>
      <c r="AF82" s="375"/>
      <c r="AG82" s="374">
        <f>'Técnicas de Ki'!AD7</f>
        <v>0</v>
      </c>
      <c r="AH82" s="375"/>
      <c r="AI82" s="97"/>
      <c r="AJ82" s="452" t="s">
        <v>5330</v>
      </c>
      <c r="AK82" s="452"/>
      <c r="AL82" s="452"/>
      <c r="AM82" s="452"/>
      <c r="AN82" s="452"/>
      <c r="AR82" s="169"/>
      <c r="AS82" s="195"/>
      <c r="AT82" s="353" t="str">
        <f>LOOKUP(AS82,HM!$V$15:$V$655,HM!$W$15:$W$655)</f>
        <v/>
      </c>
      <c r="AU82" s="353"/>
      <c r="AV82" s="353"/>
      <c r="AW82" s="353"/>
      <c r="AX82" s="133" t="str">
        <f>LOOKUP(AS82,HM!$V$15:$V$655,HM!$X$15:$X$655)</f>
        <v/>
      </c>
      <c r="AY82" s="469"/>
      <c r="AZ82" s="470"/>
      <c r="BA82" s="470"/>
      <c r="BB82" s="470"/>
      <c r="BC82" s="470"/>
      <c r="BD82" s="470"/>
      <c r="BE82" s="470"/>
      <c r="BF82" s="470"/>
      <c r="BG82" s="470"/>
      <c r="BH82" s="471"/>
      <c r="BJ82" s="2"/>
      <c r="BK82" s="2"/>
      <c r="BL82" s="2"/>
      <c r="BN82" s="21"/>
      <c r="BO82" s="21"/>
      <c r="BP82" s="21"/>
      <c r="BQ82" s="21"/>
      <c r="BS82" s="2"/>
      <c r="BT82" s="2"/>
      <c r="BW82" s="442"/>
      <c r="BX82" s="442"/>
      <c r="BY82" s="442"/>
      <c r="BZ82" s="442"/>
      <c r="CA82" s="442"/>
      <c r="CB82" s="442"/>
      <c r="CF82" s="309" t="s">
        <v>138</v>
      </c>
      <c r="CG82" s="309"/>
      <c r="CH82" s="309"/>
      <c r="CI82" s="309"/>
      <c r="CJ82" s="309"/>
      <c r="CK82" s="97"/>
      <c r="CL82" s="309" t="s">
        <v>138</v>
      </c>
      <c r="CM82" s="309"/>
      <c r="CN82" s="309"/>
      <c r="CO82" s="309"/>
      <c r="CP82" s="309"/>
      <c r="CQ82" s="177"/>
      <c r="CR82" s="332"/>
      <c r="CS82" s="333"/>
      <c r="CT82" s="333"/>
      <c r="CU82" s="333"/>
      <c r="CV82" s="333"/>
      <c r="CW82" s="333"/>
      <c r="CX82" s="333"/>
      <c r="CY82" s="333"/>
      <c r="CZ82" s="333"/>
      <c r="DA82" s="333"/>
      <c r="DB82" s="334"/>
      <c r="DC82" s="97"/>
      <c r="DF82" s="322" t="s">
        <v>5099</v>
      </c>
      <c r="DG82" s="322"/>
      <c r="DH82" s="322"/>
      <c r="DI82" s="322"/>
      <c r="DJ82" s="66" t="str">
        <f>LOOKUP(DI69,Sheet3!$J$262:$J$281,Sheet3!$L$262:$L$281)</f>
        <v>60 Kg</v>
      </c>
    </row>
    <row r="83" spans="2:114" ht="7.35" customHeight="1" x14ac:dyDescent="0.2">
      <c r="B83" s="308"/>
      <c r="C83" s="308"/>
      <c r="D83" s="280">
        <f>(LOOKUP(B83,Sheet3!$AB$111:$AC$119))*(LOOKUP($C$2,Sheet3!$C$100:$V$100,Sheet3!$C$171:$V$171))</f>
        <v>0</v>
      </c>
      <c r="E83" s="308"/>
      <c r="F83" s="308"/>
      <c r="G83" s="308"/>
      <c r="H83" s="308"/>
      <c r="I83" s="308"/>
      <c r="J83" s="308"/>
      <c r="K83" s="308"/>
      <c r="L83" s="308"/>
      <c r="O83" s="199">
        <f>LOOKUP($C$2,Sheet3!$C$100:$V$100,Sheet3!$C$162:$V$162)</f>
        <v>2</v>
      </c>
      <c r="P83" s="350" t="s">
        <v>5608</v>
      </c>
      <c r="Q83" s="350"/>
      <c r="R83" s="350"/>
      <c r="S83" s="199">
        <v>0</v>
      </c>
      <c r="T83" s="199">
        <f>$F$17</f>
        <v>0</v>
      </c>
      <c r="U83" s="198">
        <f>LOOKUP($C$5,Tabla14[RAZAS],Tabla14[Controla])</f>
        <v>0</v>
      </c>
      <c r="V83" s="199">
        <f>(LOOKUP($C$2,Sheet3!$C$100:$V$100,Sheet3!C151:V151))*$C$3</f>
        <v>0</v>
      </c>
      <c r="W83" s="199">
        <f>SUM(S83:V83)</f>
        <v>0</v>
      </c>
      <c r="Y83" s="376"/>
      <c r="Z83" s="384"/>
      <c r="AA83" s="384"/>
      <c r="AB83" s="384"/>
      <c r="AC83" s="384"/>
      <c r="AD83" s="384"/>
      <c r="AE83" s="384"/>
      <c r="AF83" s="377"/>
      <c r="AG83" s="376"/>
      <c r="AH83" s="377"/>
      <c r="AI83" s="97"/>
      <c r="AJ83" s="409" t="s">
        <v>5326</v>
      </c>
      <c r="AK83" s="409"/>
      <c r="AL83" s="50">
        <v>15</v>
      </c>
      <c r="AM83" s="62" t="s">
        <v>5327</v>
      </c>
      <c r="AN83" s="62">
        <v>25</v>
      </c>
      <c r="AR83" s="169"/>
      <c r="AS83" s="195"/>
      <c r="AT83" s="353" t="str">
        <f>LOOKUP(AS83,HM!$V$15:$V$655,HM!$W$15:$W$655)</f>
        <v/>
      </c>
      <c r="AU83" s="353"/>
      <c r="AV83" s="353"/>
      <c r="AW83" s="353"/>
      <c r="AX83" s="133" t="str">
        <f>LOOKUP(AS83,HM!$V$15:$V$655,HM!$X$15:$X$655)</f>
        <v/>
      </c>
      <c r="AY83" s="469"/>
      <c r="AZ83" s="470"/>
      <c r="BA83" s="470"/>
      <c r="BB83" s="470"/>
      <c r="BC83" s="470"/>
      <c r="BD83" s="470"/>
      <c r="BE83" s="470"/>
      <c r="BF83" s="470"/>
      <c r="BG83" s="470"/>
      <c r="BH83" s="471"/>
      <c r="BJ83" s="63" t="s">
        <v>4266</v>
      </c>
      <c r="BK83" s="358" t="s">
        <v>0</v>
      </c>
      <c r="BL83" s="358"/>
      <c r="BN83" s="63" t="s">
        <v>4266</v>
      </c>
      <c r="BO83" s="358" t="s">
        <v>0</v>
      </c>
      <c r="BP83" s="358"/>
      <c r="BQ83" s="358"/>
      <c r="BS83" s="63" t="s">
        <v>4266</v>
      </c>
      <c r="BT83" s="358" t="s">
        <v>0</v>
      </c>
      <c r="BU83" s="358"/>
      <c r="BW83" s="442"/>
      <c r="BX83" s="442"/>
      <c r="BY83" s="442"/>
      <c r="BZ83" s="442"/>
      <c r="CA83" s="442"/>
      <c r="CB83" s="442"/>
      <c r="CF83" s="308" t="str">
        <f>LOOKUP(CF81,Tabla15[Poder],Tabla15[Descripcion])</f>
        <v/>
      </c>
      <c r="CG83" s="308"/>
      <c r="CH83" s="308"/>
      <c r="CI83" s="308"/>
      <c r="CJ83" s="308"/>
      <c r="CK83" s="184"/>
      <c r="CL83" s="308" t="str">
        <f>LOOKUP(CL81,Tabla15[Poder],Tabla15[Descripcion])</f>
        <v/>
      </c>
      <c r="CM83" s="308"/>
      <c r="CN83" s="308"/>
      <c r="CO83" s="308"/>
      <c r="CP83" s="308"/>
      <c r="CQ83" s="177"/>
      <c r="CR83" s="332"/>
      <c r="CS83" s="333"/>
      <c r="CT83" s="333"/>
      <c r="CU83" s="333"/>
      <c r="CV83" s="333"/>
      <c r="CW83" s="333"/>
      <c r="CX83" s="333"/>
      <c r="CY83" s="333"/>
      <c r="CZ83" s="333"/>
      <c r="DA83" s="333"/>
      <c r="DB83" s="334"/>
      <c r="DC83" s="97"/>
      <c r="DF83" s="322" t="s">
        <v>5073</v>
      </c>
      <c r="DG83" s="322"/>
      <c r="DH83" s="322"/>
      <c r="DI83" s="322"/>
      <c r="DJ83" s="66" t="str">
        <f>LOOKUP(DI69,Sheet3!$J$262:$J$281,Sheet3!$M$262:$M$281)</f>
        <v/>
      </c>
    </row>
    <row r="84" spans="2:114" ht="7.35" customHeight="1" x14ac:dyDescent="0.2">
      <c r="B84" s="308"/>
      <c r="C84" s="308"/>
      <c r="D84" s="280">
        <f>(LOOKUP(B84,Sheet3!$AB$111:$AC$119))*(LOOKUP($C$2,Sheet3!$C$100:$V$100,Sheet3!$C$171:$V$171))</f>
        <v>0</v>
      </c>
      <c r="E84" s="308"/>
      <c r="F84" s="308"/>
      <c r="G84" s="308"/>
      <c r="H84" s="308"/>
      <c r="I84" s="308"/>
      <c r="J84" s="308"/>
      <c r="K84" s="308"/>
      <c r="L84" s="308"/>
      <c r="O84" s="199">
        <f>LOOKUP($C$2,Sheet3!$C$100:$V$100,Sheet3!$C$163:$V$163)</f>
        <v>2</v>
      </c>
      <c r="P84" s="350" t="s">
        <v>5609</v>
      </c>
      <c r="Q84" s="350"/>
      <c r="R84" s="350"/>
      <c r="S84" s="199">
        <v>0</v>
      </c>
      <c r="T84" s="199">
        <f>$F$16</f>
        <v>0</v>
      </c>
      <c r="U84" s="198">
        <f>LOOKUP($C$5,Tabla14[RAZAS],Tabla14[Atar])</f>
        <v>0</v>
      </c>
      <c r="V84" s="199">
        <f>(LOOKUP($C$2,Sheet3!$C$100:$V$100,Sheet3!C152:V152))*$C$3</f>
        <v>0</v>
      </c>
      <c r="W84" s="199">
        <f>SUM(S84:V84)</f>
        <v>0</v>
      </c>
      <c r="Y84" s="378"/>
      <c r="Z84" s="385"/>
      <c r="AA84" s="385"/>
      <c r="AB84" s="385"/>
      <c r="AC84" s="385"/>
      <c r="AD84" s="385"/>
      <c r="AE84" s="385"/>
      <c r="AF84" s="379"/>
      <c r="AG84" s="378"/>
      <c r="AH84" s="379"/>
      <c r="AI84" s="97"/>
      <c r="AJ84" s="338" t="s">
        <v>6</v>
      </c>
      <c r="AK84" s="338"/>
      <c r="AL84" s="338"/>
      <c r="AM84" s="338"/>
      <c r="AN84" s="338"/>
      <c r="AR84" s="169"/>
      <c r="AS84" s="195"/>
      <c r="AT84" s="353" t="str">
        <f>LOOKUP(AS84,HM!$V$15:$V$655,HM!$W$15:$W$655)</f>
        <v/>
      </c>
      <c r="AU84" s="353"/>
      <c r="AV84" s="353"/>
      <c r="AW84" s="353"/>
      <c r="AX84" s="133" t="str">
        <f>LOOKUP(AS84,HM!$V$15:$V$655,HM!$X$15:$X$655)</f>
        <v/>
      </c>
      <c r="AY84" s="469"/>
      <c r="AZ84" s="470"/>
      <c r="BA84" s="470"/>
      <c r="BB84" s="470"/>
      <c r="BC84" s="470"/>
      <c r="BD84" s="470"/>
      <c r="BE84" s="470"/>
      <c r="BF84" s="470"/>
      <c r="BG84" s="470"/>
      <c r="BH84" s="471"/>
      <c r="BJ84" s="50"/>
      <c r="BK84" s="322"/>
      <c r="BL84" s="322"/>
      <c r="BN84" s="50"/>
      <c r="BO84" s="322"/>
      <c r="BP84" s="322"/>
      <c r="BQ84" s="322"/>
      <c r="BS84" s="50"/>
      <c r="BT84" s="322"/>
      <c r="BU84" s="322"/>
      <c r="BW84" s="442"/>
      <c r="BX84" s="442"/>
      <c r="BY84" s="442"/>
      <c r="BZ84" s="442"/>
      <c r="CA84" s="442"/>
      <c r="CB84" s="442"/>
      <c r="CF84" s="182"/>
      <c r="CG84" s="184"/>
      <c r="CH84" s="184"/>
      <c r="CI84" s="184"/>
      <c r="CK84" s="184"/>
      <c r="CL84" s="182"/>
      <c r="CM84" s="184"/>
      <c r="CN84" s="184"/>
      <c r="CO84" s="184"/>
      <c r="CQ84" s="177"/>
      <c r="CR84" s="332"/>
      <c r="CS84" s="333"/>
      <c r="CT84" s="333"/>
      <c r="CU84" s="333"/>
      <c r="CV84" s="333"/>
      <c r="CW84" s="333"/>
      <c r="CX84" s="333"/>
      <c r="CY84" s="333"/>
      <c r="CZ84" s="333"/>
      <c r="DA84" s="333"/>
      <c r="DB84" s="334"/>
      <c r="DC84" s="97"/>
    </row>
    <row r="85" spans="2:114" ht="7.35" customHeight="1" x14ac:dyDescent="0.2">
      <c r="B85" s="308"/>
      <c r="C85" s="308"/>
      <c r="D85" s="280">
        <f>(LOOKUP(B85,Sheet3!$AB$111:$AC$119))*(LOOKUP($C$2,Sheet3!$C$100:$V$100,Sheet3!$C$171:$V$171))</f>
        <v>0</v>
      </c>
      <c r="E85" s="308"/>
      <c r="F85" s="308"/>
      <c r="G85" s="308"/>
      <c r="H85" s="308"/>
      <c r="I85" s="308"/>
      <c r="J85" s="308"/>
      <c r="K85" s="308"/>
      <c r="L85" s="308"/>
      <c r="O85" s="199">
        <f>LOOKUP($C$2,Sheet3!$C$100:$V$100,Sheet3!$C$164:$V$164)</f>
        <v>2</v>
      </c>
      <c r="P85" s="353" t="s">
        <v>5610</v>
      </c>
      <c r="Q85" s="353"/>
      <c r="R85" s="353"/>
      <c r="S85" s="199">
        <v>0</v>
      </c>
      <c r="T85" s="199">
        <f>$F$16</f>
        <v>0</v>
      </c>
      <c r="U85" s="198">
        <f>LOOKUP($C$5,Tabla14[RAZAS],Tabla14[Desconvocar])</f>
        <v>0</v>
      </c>
      <c r="V85" s="199">
        <f>(LOOKUP($C$2,Sheet3!$C$100:$V$100,Sheet3!C153:V153))*$C$3</f>
        <v>0</v>
      </c>
      <c r="W85" s="199">
        <f>SUM(S85:V85)</f>
        <v>0</v>
      </c>
      <c r="Y85" s="450" t="s">
        <v>5543</v>
      </c>
      <c r="Z85" s="104" t="s">
        <v>36</v>
      </c>
      <c r="AA85" s="104" t="s">
        <v>46</v>
      </c>
      <c r="AB85" s="104" t="s">
        <v>57</v>
      </c>
      <c r="AC85" s="104" t="s">
        <v>66</v>
      </c>
      <c r="AD85" s="104" t="s">
        <v>58</v>
      </c>
      <c r="AE85" s="104" t="s">
        <v>59</v>
      </c>
      <c r="AF85" s="104" t="s">
        <v>14</v>
      </c>
      <c r="AG85" s="372" t="s">
        <v>177</v>
      </c>
      <c r="AH85" s="373"/>
      <c r="AI85" s="97"/>
      <c r="AJ85" s="322" t="s">
        <v>26</v>
      </c>
      <c r="AK85" s="322"/>
      <c r="AL85" s="322"/>
      <c r="AM85" s="50" t="s">
        <v>5328</v>
      </c>
      <c r="AN85" s="50" t="s">
        <v>5329</v>
      </c>
      <c r="AR85" s="169"/>
      <c r="AS85" s="195"/>
      <c r="AT85" s="353" t="str">
        <f>LOOKUP(AS85,HM!$V$15:$V$655,HM!$W$15:$W$655)</f>
        <v/>
      </c>
      <c r="AU85" s="353"/>
      <c r="AV85" s="353"/>
      <c r="AW85" s="353"/>
      <c r="AX85" s="133" t="str">
        <f>LOOKUP(AS85,HM!$V$15:$V$655,HM!$X$15:$X$655)</f>
        <v/>
      </c>
      <c r="AY85" s="469"/>
      <c r="AZ85" s="470"/>
      <c r="BA85" s="470"/>
      <c r="BB85" s="470"/>
      <c r="BC85" s="470"/>
      <c r="BD85" s="470"/>
      <c r="BE85" s="470"/>
      <c r="BF85" s="470"/>
      <c r="BG85" s="470"/>
      <c r="BH85" s="471"/>
      <c r="BJ85" s="63" t="s">
        <v>14</v>
      </c>
      <c r="BK85" s="63" t="s">
        <v>175</v>
      </c>
      <c r="BL85" s="63" t="s">
        <v>177</v>
      </c>
      <c r="BN85" s="63" t="s">
        <v>14</v>
      </c>
      <c r="BO85" s="63" t="s">
        <v>175</v>
      </c>
      <c r="BP85" s="358" t="s">
        <v>177</v>
      </c>
      <c r="BQ85" s="358"/>
      <c r="BS85" s="63" t="s">
        <v>14</v>
      </c>
      <c r="BT85" s="63" t="s">
        <v>175</v>
      </c>
      <c r="BU85" s="63" t="s">
        <v>177</v>
      </c>
      <c r="BW85" s="442"/>
      <c r="BX85" s="442"/>
      <c r="BY85" s="442"/>
      <c r="BZ85" s="442"/>
      <c r="CA85" s="442"/>
      <c r="CB85" s="442"/>
      <c r="CF85" s="310" t="s">
        <v>0</v>
      </c>
      <c r="CG85" s="310"/>
      <c r="CH85" s="310" t="s">
        <v>228</v>
      </c>
      <c r="CI85" s="310"/>
      <c r="CJ85" s="183" t="s">
        <v>27</v>
      </c>
      <c r="CK85" s="184"/>
      <c r="CL85" s="310" t="s">
        <v>0</v>
      </c>
      <c r="CM85" s="310"/>
      <c r="CN85" s="310" t="s">
        <v>228</v>
      </c>
      <c r="CO85" s="310"/>
      <c r="CP85" s="183" t="s">
        <v>27</v>
      </c>
      <c r="CQ85" s="177"/>
      <c r="CR85" s="332"/>
      <c r="CS85" s="333"/>
      <c r="CT85" s="333"/>
      <c r="CU85" s="333"/>
      <c r="CV85" s="333"/>
      <c r="CW85" s="333"/>
      <c r="CX85" s="333"/>
      <c r="CY85" s="333"/>
      <c r="CZ85" s="333"/>
      <c r="DA85" s="333"/>
      <c r="DB85" s="334"/>
      <c r="DC85" s="97"/>
    </row>
    <row r="86" spans="2:114" ht="7.35" customHeight="1" x14ac:dyDescent="0.2">
      <c r="B86" s="486" t="s">
        <v>255</v>
      </c>
      <c r="C86" s="486"/>
      <c r="D86" s="486"/>
      <c r="E86" s="486"/>
      <c r="F86" s="486"/>
      <c r="G86" s="486"/>
      <c r="H86" s="486"/>
      <c r="I86" s="486"/>
      <c r="J86" s="486"/>
      <c r="K86" s="486"/>
      <c r="L86" s="486"/>
      <c r="O86" s="349" t="s">
        <v>267</v>
      </c>
      <c r="P86" s="349"/>
      <c r="Q86" s="349"/>
      <c r="R86" s="350"/>
      <c r="S86" s="350"/>
      <c r="T86" s="350"/>
      <c r="U86" s="350"/>
      <c r="V86" s="350"/>
      <c r="W86" s="350"/>
      <c r="Y86" s="451"/>
      <c r="Z86" s="113" t="str">
        <f>IF('Técnicas de Ki'!W11=0,"",'Técnicas de Ki'!W11)</f>
        <v/>
      </c>
      <c r="AA86" s="113" t="str">
        <f>IF('Técnicas de Ki'!X11=0,"",'Técnicas de Ki'!X11)</f>
        <v/>
      </c>
      <c r="AB86" s="113" t="str">
        <f>IF('Técnicas de Ki'!Y11=0,"",'Técnicas de Ki'!Y11)</f>
        <v/>
      </c>
      <c r="AC86" s="113" t="str">
        <f>IF('Técnicas de Ki'!Z11=0,"",'Técnicas de Ki'!Z11)</f>
        <v/>
      </c>
      <c r="AD86" s="113" t="str">
        <f>IF('Técnicas de Ki'!AA11=0,"",'Técnicas de Ki'!AA11)</f>
        <v/>
      </c>
      <c r="AE86" s="113" t="str">
        <f>IF('Técnicas de Ki'!AB11=0,"",'Técnicas de Ki'!AB11)</f>
        <v/>
      </c>
      <c r="AF86" s="113" t="str">
        <f>IF('Técnicas de Ki'!AC11=0,"",'Técnicas de Ki'!AC11)</f>
        <v/>
      </c>
      <c r="AG86" s="354" t="str">
        <f>IF('Técnicas de Ki'!AC11=0,"",'Técnicas de Ki'!AD11)</f>
        <v/>
      </c>
      <c r="AH86" s="356"/>
      <c r="AI86" s="97"/>
      <c r="AJ86" s="322" t="s">
        <v>5228</v>
      </c>
      <c r="AK86" s="322"/>
      <c r="AL86" s="322"/>
      <c r="AM86" s="50">
        <v>0</v>
      </c>
      <c r="AN86" s="50">
        <v>0</v>
      </c>
      <c r="AR86" s="169"/>
      <c r="AS86" s="195"/>
      <c r="AT86" s="353" t="str">
        <f>LOOKUP(AS86,HM!$V$15:$V$655,HM!$W$15:$W$655)</f>
        <v/>
      </c>
      <c r="AU86" s="353"/>
      <c r="AV86" s="353"/>
      <c r="AW86" s="353"/>
      <c r="AX86" s="133" t="str">
        <f>LOOKUP(AS86,HM!$V$15:$V$655,HM!$X$15:$X$655)</f>
        <v/>
      </c>
      <c r="AY86" s="469"/>
      <c r="AZ86" s="470"/>
      <c r="BA86" s="470"/>
      <c r="BB86" s="470"/>
      <c r="BC86" s="470"/>
      <c r="BD86" s="470"/>
      <c r="BE86" s="470"/>
      <c r="BF86" s="470"/>
      <c r="BG86" s="470"/>
      <c r="BH86" s="471"/>
      <c r="BJ86" s="50" t="str">
        <f>LOOKUP(BK84,HP!$I$17:$I$141,HP!$J$17:$J$141)</f>
        <v/>
      </c>
      <c r="BK86" s="50" t="str">
        <f>LOOKUP(BK84,HP!$I$17:$I$141,HP!$K$17:$K$141)</f>
        <v/>
      </c>
      <c r="BL86" s="50" t="str">
        <f>LOOKUP(BK84,HP!$I$17:$I$141,HP!$L$17:$L$141)</f>
        <v/>
      </c>
      <c r="BN86" s="50" t="str">
        <f>LOOKUP(BO84,HP!$I$17:$I$141,HP!$J$17:$J$141)</f>
        <v/>
      </c>
      <c r="BO86" s="50" t="str">
        <f>LOOKUP(BO84,HP!$I$17:$I$141,HP!$K$17:$K$141)</f>
        <v/>
      </c>
      <c r="BP86" s="322" t="str">
        <f>LOOKUP(BO84,HP!$I$17:$I$141,HP!$L$17:$L$141)</f>
        <v/>
      </c>
      <c r="BQ86" s="322"/>
      <c r="BS86" s="50" t="str">
        <f>LOOKUP(BT84,HP!$I$17:$I$141,HP!$J$17:$J$141)</f>
        <v/>
      </c>
      <c r="BT86" s="50" t="str">
        <f>LOOKUP(BT84,HP!$I$17:$I$141,HP!$K$17:$K$141)</f>
        <v/>
      </c>
      <c r="BU86" s="50" t="str">
        <f>LOOKUP(BT84,HP!$I$17:$I$141,HP!$L$17:$L$141)</f>
        <v/>
      </c>
      <c r="BW86" s="442"/>
      <c r="BX86" s="442"/>
      <c r="BY86" s="442"/>
      <c r="BZ86" s="442"/>
      <c r="CA86" s="442"/>
      <c r="CB86" s="442"/>
      <c r="CF86" s="311"/>
      <c r="CG86" s="312"/>
      <c r="CH86" s="311" t="str">
        <f>LOOKUP(CF86,Tabla15[Poder],Tabla15[Requisito])</f>
        <v/>
      </c>
      <c r="CI86" s="312"/>
      <c r="CJ86" s="167">
        <f>LOOKUP(CF86,Tabla15[Poder],Tabla15[Coste])</f>
        <v>0</v>
      </c>
      <c r="CK86" s="184"/>
      <c r="CL86" s="311"/>
      <c r="CM86" s="312"/>
      <c r="CN86" s="311" t="str">
        <f>LOOKUP(CL86,Tabla15[Poder],Tabla15[Requisito])</f>
        <v/>
      </c>
      <c r="CO86" s="312"/>
      <c r="CP86" s="167">
        <f>LOOKUP(CL86,Tabla15[Poder],Tabla15[Coste])</f>
        <v>0</v>
      </c>
      <c r="CQ86" s="177"/>
      <c r="CR86" s="332"/>
      <c r="CS86" s="333"/>
      <c r="CT86" s="333"/>
      <c r="CU86" s="333"/>
      <c r="CV86" s="333"/>
      <c r="CW86" s="333"/>
      <c r="CX86" s="333"/>
      <c r="CY86" s="333"/>
      <c r="CZ86" s="333"/>
      <c r="DA86" s="333"/>
      <c r="DB86" s="334"/>
      <c r="DC86" s="97"/>
    </row>
    <row r="87" spans="2:114" ht="7.35" customHeight="1" x14ac:dyDescent="0.2">
      <c r="B87" s="308"/>
      <c r="C87" s="308"/>
      <c r="D87" s="280">
        <f>LOOKUP(B87,Sheet3!$Z$119:$AA$131)*(LOOKUP($C$2,Sheet3!$C$100:$V$100,Sheet3!$C$171:$V$171))</f>
        <v>0</v>
      </c>
      <c r="E87" s="308" t="str">
        <f>LOOKUP(B87,Sheet3!$AA$135:$AB$147)</f>
        <v/>
      </c>
      <c r="F87" s="308"/>
      <c r="G87" s="308"/>
      <c r="H87" s="308"/>
      <c r="I87" s="308"/>
      <c r="J87" s="308"/>
      <c r="K87" s="308"/>
      <c r="L87" s="308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322" t="s">
        <v>45</v>
      </c>
      <c r="AK87" s="322"/>
      <c r="AL87" s="322"/>
      <c r="AM87" s="50">
        <v>0</v>
      </c>
      <c r="AN87" s="50">
        <v>0</v>
      </c>
      <c r="AR87" s="169"/>
      <c r="AS87" s="195"/>
      <c r="AT87" s="353" t="str">
        <f>LOOKUP(AS87,HM!$V$15:$V$655,HM!$W$15:$W$655)</f>
        <v/>
      </c>
      <c r="AU87" s="353"/>
      <c r="AV87" s="353"/>
      <c r="AW87" s="353"/>
      <c r="AX87" s="133" t="str">
        <f>LOOKUP(AS87,HM!$V$15:$V$655,HM!$X$15:$X$655)</f>
        <v/>
      </c>
      <c r="AY87" s="469"/>
      <c r="AZ87" s="470"/>
      <c r="BA87" s="470"/>
      <c r="BB87" s="470"/>
      <c r="BC87" s="470"/>
      <c r="BD87" s="470"/>
      <c r="BE87" s="470"/>
      <c r="BF87" s="470"/>
      <c r="BG87" s="470"/>
      <c r="BH87" s="471"/>
      <c r="BJ87" s="358" t="s">
        <v>138</v>
      </c>
      <c r="BK87" s="365" t="str">
        <f>LOOKUP(BK84,HP!$I$17:$I$141,HP!$M$17:$M$141)</f>
        <v/>
      </c>
      <c r="BL87" s="365"/>
      <c r="BN87" s="358" t="s">
        <v>138</v>
      </c>
      <c r="BO87" s="365" t="str">
        <f>LOOKUP(BO84,HP!$I$17:$I$141,HP!$M$17:$M$141)</f>
        <v/>
      </c>
      <c r="BP87" s="365"/>
      <c r="BQ87" s="365"/>
      <c r="BS87" s="358" t="s">
        <v>138</v>
      </c>
      <c r="BT87" s="365" t="str">
        <f>LOOKUP(BT84,HP!$I$17:$I$141,HP!$M$17:$M$141)</f>
        <v/>
      </c>
      <c r="BU87" s="365"/>
      <c r="BW87" s="442"/>
      <c r="BX87" s="442"/>
      <c r="BY87" s="442"/>
      <c r="BZ87" s="442"/>
      <c r="CA87" s="442"/>
      <c r="CB87" s="442"/>
      <c r="CF87" s="309" t="s">
        <v>138</v>
      </c>
      <c r="CG87" s="309"/>
      <c r="CH87" s="309"/>
      <c r="CI87" s="309"/>
      <c r="CJ87" s="309"/>
      <c r="CK87" s="97"/>
      <c r="CL87" s="309" t="s">
        <v>138</v>
      </c>
      <c r="CM87" s="309"/>
      <c r="CN87" s="309"/>
      <c r="CO87" s="309"/>
      <c r="CP87" s="309"/>
      <c r="CQ87" s="177"/>
      <c r="CR87" s="332"/>
      <c r="CS87" s="333"/>
      <c r="CT87" s="333"/>
      <c r="CU87" s="333"/>
      <c r="CV87" s="333"/>
      <c r="CW87" s="333"/>
      <c r="CX87" s="333"/>
      <c r="CY87" s="333"/>
      <c r="CZ87" s="333"/>
      <c r="DA87" s="333"/>
      <c r="DB87" s="334"/>
      <c r="DC87" s="97"/>
    </row>
    <row r="88" spans="2:114" ht="7.35" customHeight="1" x14ac:dyDescent="0.2">
      <c r="B88" s="308"/>
      <c r="C88" s="308"/>
      <c r="D88" s="280">
        <f>LOOKUP(B88,Sheet3!$Z$119:$AA$131)*(LOOKUP($C$2,Sheet3!$C$100:$V$100,Sheet3!$C$171:$V$171))</f>
        <v>0</v>
      </c>
      <c r="E88" s="308" t="str">
        <f>LOOKUP(B88,Sheet3!$AA$135:$AB$147)</f>
        <v/>
      </c>
      <c r="F88" s="308"/>
      <c r="G88" s="308"/>
      <c r="H88" s="308"/>
      <c r="I88" s="308"/>
      <c r="J88" s="308"/>
      <c r="K88" s="308"/>
      <c r="L88" s="308"/>
      <c r="M88" s="2"/>
      <c r="N88" s="149"/>
      <c r="O88" s="344" t="s">
        <v>92</v>
      </c>
      <c r="P88" s="344"/>
      <c r="Q88" s="344"/>
      <c r="R88" s="344"/>
      <c r="T88" s="351" t="s">
        <v>100</v>
      </c>
      <c r="U88" s="351"/>
      <c r="V88" s="351"/>
      <c r="W88" s="351"/>
      <c r="Y88" s="103" t="s">
        <v>4</v>
      </c>
      <c r="Z88" s="380" t="str">
        <f>IF('Técnicas de Ki'!AR6=0,"",'Técnicas de Ki'!AR6)</f>
        <v/>
      </c>
      <c r="AA88" s="381"/>
      <c r="AB88" s="381"/>
      <c r="AC88" s="381"/>
      <c r="AD88" s="381"/>
      <c r="AE88" s="381"/>
      <c r="AF88" s="382"/>
      <c r="AG88" s="372" t="s">
        <v>5</v>
      </c>
      <c r="AH88" s="373"/>
      <c r="AI88" s="97"/>
      <c r="AJ88" s="322" t="s">
        <v>60</v>
      </c>
      <c r="AK88" s="322"/>
      <c r="AL88" s="322"/>
      <c r="AM88" s="50">
        <v>0</v>
      </c>
      <c r="AN88" s="50">
        <v>0</v>
      </c>
      <c r="AR88" s="169"/>
      <c r="AS88" s="195"/>
      <c r="AT88" s="353" t="str">
        <f>LOOKUP(AS88,HM!$V$15:$V$655,HM!$W$15:$W$655)</f>
        <v/>
      </c>
      <c r="AU88" s="353"/>
      <c r="AV88" s="353"/>
      <c r="AW88" s="353"/>
      <c r="AX88" s="133" t="str">
        <f>LOOKUP(AS88,HM!$V$15:$V$655,HM!$X$15:$X$655)</f>
        <v/>
      </c>
      <c r="AY88" s="469"/>
      <c r="AZ88" s="470"/>
      <c r="BA88" s="470"/>
      <c r="BB88" s="470"/>
      <c r="BC88" s="470"/>
      <c r="BD88" s="470"/>
      <c r="BE88" s="470"/>
      <c r="BF88" s="470"/>
      <c r="BG88" s="470"/>
      <c r="BH88" s="471"/>
      <c r="BJ88" s="358"/>
      <c r="BK88" s="365"/>
      <c r="BL88" s="365"/>
      <c r="BN88" s="358"/>
      <c r="BO88" s="365"/>
      <c r="BP88" s="365"/>
      <c r="BQ88" s="365"/>
      <c r="BS88" s="358"/>
      <c r="BT88" s="365"/>
      <c r="BU88" s="365"/>
      <c r="BW88" s="442"/>
      <c r="BX88" s="442"/>
      <c r="BY88" s="442"/>
      <c r="BZ88" s="442"/>
      <c r="CA88" s="442"/>
      <c r="CB88" s="442"/>
      <c r="CF88" s="308" t="str">
        <f>LOOKUP(CF86,Tabla15[Poder],Tabla15[Descripcion])</f>
        <v/>
      </c>
      <c r="CG88" s="308"/>
      <c r="CH88" s="308"/>
      <c r="CI88" s="308"/>
      <c r="CJ88" s="308"/>
      <c r="CK88" s="184"/>
      <c r="CL88" s="308" t="str">
        <f>LOOKUP(CL86,Tabla15[Poder],Tabla15[Descripcion])</f>
        <v/>
      </c>
      <c r="CM88" s="308"/>
      <c r="CN88" s="308"/>
      <c r="CO88" s="308"/>
      <c r="CP88" s="308"/>
      <c r="CQ88" s="177"/>
      <c r="CR88" s="332"/>
      <c r="CS88" s="333"/>
      <c r="CT88" s="333"/>
      <c r="CU88" s="333"/>
      <c r="CV88" s="333"/>
      <c r="CW88" s="333"/>
      <c r="CX88" s="333"/>
      <c r="CY88" s="333"/>
      <c r="CZ88" s="333"/>
      <c r="DA88" s="333"/>
      <c r="DB88" s="334"/>
      <c r="DC88" s="97"/>
    </row>
    <row r="89" spans="2:114" ht="7.35" customHeight="1" x14ac:dyDescent="0.2">
      <c r="B89" s="486" t="s">
        <v>258</v>
      </c>
      <c r="C89" s="486"/>
      <c r="D89" s="486"/>
      <c r="E89" s="486"/>
      <c r="F89" s="486"/>
      <c r="G89" s="486"/>
      <c r="H89" s="486"/>
      <c r="I89" s="486"/>
      <c r="J89" s="486"/>
      <c r="K89" s="486"/>
      <c r="L89" s="486"/>
      <c r="M89" s="2"/>
      <c r="N89" s="71"/>
      <c r="O89" s="391" t="s">
        <v>96</v>
      </c>
      <c r="P89" s="391"/>
      <c r="Q89" s="391" t="s">
        <v>97</v>
      </c>
      <c r="R89" s="391"/>
      <c r="T89" s="350" t="s">
        <v>5622</v>
      </c>
      <c r="U89" s="350"/>
      <c r="V89" s="350">
        <f>MIN(LOOKUP($E$11,Sheet3!$J$1:$K$20)+Sheet3!O345+LOOKUP($C$5,Tabla14[RAZAS],Tabla14[Regeneración]),20)</f>
        <v>1</v>
      </c>
      <c r="W89" s="350"/>
      <c r="Y89" s="374" t="str">
        <f>'Técnicas de Ki'!AQ7</f>
        <v/>
      </c>
      <c r="Z89" s="383"/>
      <c r="AA89" s="383"/>
      <c r="AB89" s="383"/>
      <c r="AC89" s="383"/>
      <c r="AD89" s="383"/>
      <c r="AE89" s="383"/>
      <c r="AF89" s="375"/>
      <c r="AG89" s="374">
        <f>'Técnicas de Ki'!AY7</f>
        <v>0</v>
      </c>
      <c r="AH89" s="375"/>
      <c r="AI89" s="97"/>
      <c r="AJ89" s="322" t="s">
        <v>65</v>
      </c>
      <c r="AK89" s="322"/>
      <c r="AL89" s="322"/>
      <c r="AM89" s="50">
        <v>0</v>
      </c>
      <c r="AN89" s="50">
        <v>0</v>
      </c>
      <c r="AR89" s="169"/>
      <c r="AS89" s="195"/>
      <c r="AT89" s="353" t="str">
        <f>LOOKUP(AS89,HM!$V$15:$V$655,HM!$W$15:$W$655)</f>
        <v/>
      </c>
      <c r="AU89" s="353"/>
      <c r="AV89" s="353"/>
      <c r="AW89" s="353"/>
      <c r="AX89" s="133" t="str">
        <f>LOOKUP(AS89,HM!$V$15:$V$655,HM!$X$15:$X$655)</f>
        <v/>
      </c>
      <c r="AY89" s="469"/>
      <c r="AZ89" s="470"/>
      <c r="BA89" s="470"/>
      <c r="BB89" s="470"/>
      <c r="BC89" s="470"/>
      <c r="BD89" s="470"/>
      <c r="BE89" s="470"/>
      <c r="BF89" s="470"/>
      <c r="BG89" s="470"/>
      <c r="BH89" s="471"/>
      <c r="BJ89" s="358"/>
      <c r="BK89" s="365"/>
      <c r="BL89" s="365"/>
      <c r="BN89" s="358"/>
      <c r="BO89" s="365"/>
      <c r="BP89" s="365"/>
      <c r="BQ89" s="365"/>
      <c r="BS89" s="358"/>
      <c r="BT89" s="365"/>
      <c r="BU89" s="365"/>
      <c r="BW89" s="442"/>
      <c r="BX89" s="442"/>
      <c r="BY89" s="442"/>
      <c r="BZ89" s="442"/>
      <c r="CA89" s="442"/>
      <c r="CB89" s="442"/>
      <c r="CF89" s="182"/>
      <c r="CG89" s="184"/>
      <c r="CH89" s="184"/>
      <c r="CI89" s="184"/>
      <c r="CK89" s="184"/>
      <c r="CL89" s="182"/>
      <c r="CM89" s="184"/>
      <c r="CN89" s="184"/>
      <c r="CO89" s="184"/>
      <c r="CQ89" s="177"/>
      <c r="CR89" s="332"/>
      <c r="CS89" s="333"/>
      <c r="CT89" s="333"/>
      <c r="CU89" s="333"/>
      <c r="CV89" s="333"/>
      <c r="CW89" s="333"/>
      <c r="CX89" s="333"/>
      <c r="CY89" s="333"/>
      <c r="CZ89" s="333"/>
      <c r="DA89" s="333"/>
      <c r="DB89" s="334"/>
      <c r="DC89" s="97"/>
    </row>
    <row r="90" spans="2:114" ht="7.35" customHeight="1" x14ac:dyDescent="0.2">
      <c r="B90" s="308"/>
      <c r="C90" s="308"/>
      <c r="D90" s="280">
        <f>LOOKUP(B90,Sheet3!Y111:Z115)*(LOOKUP($C$2,Sheet3!$C$100:$V$100,Sheet3!$C$171:$V$171))</f>
        <v>0</v>
      </c>
      <c r="E90" s="308"/>
      <c r="F90" s="308"/>
      <c r="G90" s="308"/>
      <c r="H90" s="308"/>
      <c r="I90" s="308"/>
      <c r="J90" s="308"/>
      <c r="K90" s="308"/>
      <c r="L90" s="308"/>
      <c r="M90" s="2"/>
      <c r="N90" s="19"/>
      <c r="O90" s="195" t="s">
        <v>2</v>
      </c>
      <c r="P90" s="195">
        <f>$E$11+Sheet3!O353-Sheet3!O384+LOOKUP($C$5,Tabla14[RAZAS],Tabla14[Cansancio])</f>
        <v>5</v>
      </c>
      <c r="Q90" s="195" t="s">
        <v>2</v>
      </c>
      <c r="R90" s="195">
        <f>IF(AP71&lt;&gt;0,MAX(E10,E16),E10)</f>
        <v>5</v>
      </c>
      <c r="T90" s="350" t="s">
        <v>5134</v>
      </c>
      <c r="U90" s="350"/>
      <c r="V90" s="353" t="str">
        <f>LOOKUP($V$89,Sheet3!$B$173:$B$192,Sheet3!$C$173:$C$192)</f>
        <v>10 al día</v>
      </c>
      <c r="W90" s="353"/>
      <c r="Y90" s="376"/>
      <c r="Z90" s="384"/>
      <c r="AA90" s="384"/>
      <c r="AB90" s="384"/>
      <c r="AC90" s="384"/>
      <c r="AD90" s="384"/>
      <c r="AE90" s="384"/>
      <c r="AF90" s="377"/>
      <c r="AG90" s="376"/>
      <c r="AH90" s="377"/>
      <c r="AI90" s="97"/>
      <c r="AJ90" s="322" t="s">
        <v>70</v>
      </c>
      <c r="AK90" s="322"/>
      <c r="AL90" s="322"/>
      <c r="AM90" s="50">
        <v>0</v>
      </c>
      <c r="AN90" s="50">
        <v>0</v>
      </c>
      <c r="AR90" s="169"/>
      <c r="AS90" s="195"/>
      <c r="AT90" s="353" t="str">
        <f>LOOKUP(AS90,HM!$V$15:$V$655,HM!$W$15:$W$655)</f>
        <v/>
      </c>
      <c r="AU90" s="353"/>
      <c r="AV90" s="353"/>
      <c r="AW90" s="353"/>
      <c r="AX90" s="133" t="str">
        <f>LOOKUP(AS90,HM!$V$15:$V$655,HM!$X$15:$X$655)</f>
        <v/>
      </c>
      <c r="AY90" s="469"/>
      <c r="AZ90" s="470"/>
      <c r="BA90" s="470"/>
      <c r="BB90" s="470"/>
      <c r="BC90" s="470"/>
      <c r="BD90" s="470"/>
      <c r="BE90" s="470"/>
      <c r="BF90" s="470"/>
      <c r="BG90" s="470"/>
      <c r="BH90" s="471"/>
      <c r="BJ90" s="50">
        <v>20</v>
      </c>
      <c r="BK90" s="322" t="str">
        <f>LOOKUP(BK84,HP!$I$17:$I$141,HP!$N$17:$N$141)</f>
        <v/>
      </c>
      <c r="BL90" s="322"/>
      <c r="BN90" s="50">
        <v>20</v>
      </c>
      <c r="BO90" s="322" t="str">
        <f>LOOKUP(BO84,HP!$I$17:$I$141,HP!$N$17:$N$141)</f>
        <v/>
      </c>
      <c r="BP90" s="322"/>
      <c r="BQ90" s="322"/>
      <c r="BS90" s="50">
        <v>20</v>
      </c>
      <c r="BT90" s="322" t="str">
        <f>LOOKUP(BT84,HP!$I$17:$I$141,HP!$N$17:$N$141)</f>
        <v/>
      </c>
      <c r="BU90" s="322"/>
      <c r="BW90" s="442"/>
      <c r="BX90" s="442"/>
      <c r="BY90" s="442"/>
      <c r="BZ90" s="442"/>
      <c r="CA90" s="442"/>
      <c r="CB90" s="442"/>
      <c r="CF90" s="310" t="s">
        <v>0</v>
      </c>
      <c r="CG90" s="310"/>
      <c r="CH90" s="310" t="s">
        <v>228</v>
      </c>
      <c r="CI90" s="310"/>
      <c r="CJ90" s="183" t="s">
        <v>27</v>
      </c>
      <c r="CK90" s="184"/>
      <c r="CL90" s="310" t="s">
        <v>0</v>
      </c>
      <c r="CM90" s="310"/>
      <c r="CN90" s="310" t="s">
        <v>228</v>
      </c>
      <c r="CO90" s="310"/>
      <c r="CP90" s="183" t="s">
        <v>27</v>
      </c>
      <c r="CQ90" s="177"/>
      <c r="CR90" s="332"/>
      <c r="CS90" s="333"/>
      <c r="CT90" s="333"/>
      <c r="CU90" s="333"/>
      <c r="CV90" s="333"/>
      <c r="CW90" s="333"/>
      <c r="CX90" s="333"/>
      <c r="CY90" s="333"/>
      <c r="CZ90" s="333"/>
      <c r="DA90" s="333"/>
      <c r="DB90" s="334"/>
      <c r="DC90" s="97"/>
    </row>
    <row r="91" spans="2:114" ht="7.35" customHeight="1" x14ac:dyDescent="0.2">
      <c r="B91" s="486" t="s">
        <v>261</v>
      </c>
      <c r="C91" s="486"/>
      <c r="D91" s="486"/>
      <c r="E91" s="486"/>
      <c r="F91" s="486"/>
      <c r="G91" s="486"/>
      <c r="H91" s="486"/>
      <c r="I91" s="486"/>
      <c r="J91" s="486"/>
      <c r="K91" s="486"/>
      <c r="L91" s="486"/>
      <c r="M91" s="2"/>
      <c r="N91" s="19"/>
      <c r="O91" s="195" t="s">
        <v>5335</v>
      </c>
      <c r="P91" s="195">
        <v>0</v>
      </c>
      <c r="Q91" s="195" t="s">
        <v>114</v>
      </c>
      <c r="R91" s="195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T91" s="350" t="s">
        <v>187</v>
      </c>
      <c r="U91" s="350"/>
      <c r="V91" s="353" t="str">
        <f>LOOKUP($V$89,Sheet3!$B$173:$B$192,Sheet3!$D$173:$D$192)</f>
        <v>5 al día</v>
      </c>
      <c r="W91" s="353"/>
      <c r="Y91" s="378"/>
      <c r="Z91" s="385"/>
      <c r="AA91" s="385"/>
      <c r="AB91" s="385"/>
      <c r="AC91" s="385"/>
      <c r="AD91" s="385"/>
      <c r="AE91" s="385"/>
      <c r="AF91" s="379"/>
      <c r="AG91" s="378"/>
      <c r="AH91" s="379"/>
      <c r="AI91" s="97"/>
      <c r="AJ91" s="19"/>
      <c r="AK91" s="19"/>
      <c r="AL91" s="19"/>
      <c r="AM91" s="19"/>
      <c r="AN91" s="19"/>
      <c r="AR91" s="169"/>
      <c r="AS91" s="195"/>
      <c r="AT91" s="353" t="str">
        <f>LOOKUP(AS91,HM!$V$15:$V$655,HM!$W$15:$W$655)</f>
        <v/>
      </c>
      <c r="AU91" s="353"/>
      <c r="AV91" s="353"/>
      <c r="AW91" s="353"/>
      <c r="AX91" s="133" t="str">
        <f>LOOKUP(AS91,HM!$V$15:$V$655,HM!$X$15:$X$655)</f>
        <v/>
      </c>
      <c r="AY91" s="469"/>
      <c r="AZ91" s="470"/>
      <c r="BA91" s="470"/>
      <c r="BB91" s="470"/>
      <c r="BC91" s="470"/>
      <c r="BD91" s="470"/>
      <c r="BE91" s="470"/>
      <c r="BF91" s="470"/>
      <c r="BG91" s="470"/>
      <c r="BH91" s="471"/>
      <c r="BJ91" s="50">
        <v>40</v>
      </c>
      <c r="BK91" s="322" t="str">
        <f>LOOKUP(BK84,HP!$I$17:$I$141,HP!$O$17:$O$141)</f>
        <v/>
      </c>
      <c r="BL91" s="322"/>
      <c r="BN91" s="50">
        <v>40</v>
      </c>
      <c r="BO91" s="322" t="str">
        <f>LOOKUP(BO84,HP!$I$17:$I$141,HP!$O$17:$O$141)</f>
        <v/>
      </c>
      <c r="BP91" s="322"/>
      <c r="BQ91" s="322"/>
      <c r="BS91" s="50">
        <v>40</v>
      </c>
      <c r="BT91" s="322" t="str">
        <f>LOOKUP(BT84,HP!$I$17:$I$141,HP!$O$17:$O$141)</f>
        <v/>
      </c>
      <c r="BU91" s="322"/>
      <c r="BW91" s="442"/>
      <c r="BX91" s="442"/>
      <c r="BY91" s="442"/>
      <c r="BZ91" s="442"/>
      <c r="CA91" s="442"/>
      <c r="CB91" s="442"/>
      <c r="CF91" s="311"/>
      <c r="CG91" s="312"/>
      <c r="CH91" s="311" t="str">
        <f>LOOKUP(CF91,Tabla15[Poder],Tabla15[Requisito])</f>
        <v/>
      </c>
      <c r="CI91" s="312"/>
      <c r="CJ91" s="167">
        <f>LOOKUP(CF91,Tabla15[Poder],Tabla15[Coste])</f>
        <v>0</v>
      </c>
      <c r="CK91" s="184"/>
      <c r="CL91" s="311"/>
      <c r="CM91" s="312"/>
      <c r="CN91" s="311" t="str">
        <f>LOOKUP(CL91,Tabla15[Poder],Tabla15[Requisito])</f>
        <v/>
      </c>
      <c r="CO91" s="312"/>
      <c r="CP91" s="167">
        <f>LOOKUP(CL91,Tabla15[Poder],Tabla15[Coste])</f>
        <v>0</v>
      </c>
      <c r="CQ91" s="177"/>
      <c r="CR91" s="332"/>
      <c r="CS91" s="333"/>
      <c r="CT91" s="333"/>
      <c r="CU91" s="333"/>
      <c r="CV91" s="333"/>
      <c r="CW91" s="333"/>
      <c r="CX91" s="333"/>
      <c r="CY91" s="333"/>
      <c r="CZ91" s="333"/>
      <c r="DA91" s="333"/>
      <c r="DB91" s="334"/>
      <c r="DC91" s="97"/>
    </row>
    <row r="92" spans="2:114" ht="7.35" customHeight="1" x14ac:dyDescent="0.2">
      <c r="B92" s="308"/>
      <c r="C92" s="308"/>
      <c r="D92" s="280">
        <f>LOOKUP(B92,Sheet3!$AB$124:$AC$129)*(LOOKUP($C$2,Sheet3!$C$100:$V$100,Sheet3!$C$171:$V$171))</f>
        <v>0</v>
      </c>
      <c r="E92" s="308"/>
      <c r="F92" s="308"/>
      <c r="G92" s="308"/>
      <c r="H92" s="308"/>
      <c r="I92" s="308"/>
      <c r="J92" s="308"/>
      <c r="K92" s="308"/>
      <c r="L92" s="308"/>
      <c r="M92" s="2"/>
      <c r="N92" s="19"/>
      <c r="O92" s="195" t="s">
        <v>71</v>
      </c>
      <c r="P92" s="195">
        <f>(P90-P91)</f>
        <v>5</v>
      </c>
      <c r="Q92" s="195" t="s">
        <v>122</v>
      </c>
      <c r="R92" s="195">
        <v>0</v>
      </c>
      <c r="T92" s="350" t="s">
        <v>190</v>
      </c>
      <c r="U92" s="350"/>
      <c r="V92" s="350">
        <f>LOOKUP($V$89,Sheet3!$B$173:$B$192,Sheet3!$E$173:$E$192)</f>
        <v>-5</v>
      </c>
      <c r="W92" s="350"/>
      <c r="Y92" s="450" t="s">
        <v>5543</v>
      </c>
      <c r="Z92" s="104" t="s">
        <v>36</v>
      </c>
      <c r="AA92" s="104" t="s">
        <v>46</v>
      </c>
      <c r="AB92" s="104" t="s">
        <v>57</v>
      </c>
      <c r="AC92" s="104" t="s">
        <v>66</v>
      </c>
      <c r="AD92" s="104" t="s">
        <v>58</v>
      </c>
      <c r="AE92" s="104" t="s">
        <v>59</v>
      </c>
      <c r="AF92" s="104" t="s">
        <v>14</v>
      </c>
      <c r="AG92" s="372" t="s">
        <v>177</v>
      </c>
      <c r="AH92" s="373"/>
      <c r="AI92" s="97"/>
      <c r="AJ92" s="338" t="s">
        <v>219</v>
      </c>
      <c r="AK92" s="338"/>
      <c r="AL92" s="338"/>
      <c r="AM92" s="338"/>
      <c r="AN92" s="338"/>
      <c r="AR92" s="169"/>
      <c r="AS92" s="195"/>
      <c r="AT92" s="353" t="str">
        <f>LOOKUP(AS92,HM!$V$15:$V$655,HM!$W$15:$W$655)</f>
        <v/>
      </c>
      <c r="AU92" s="353"/>
      <c r="AV92" s="353"/>
      <c r="AW92" s="353"/>
      <c r="AX92" s="133" t="str">
        <f>LOOKUP(AS92,HM!$V$15:$V$655,HM!$X$15:$X$655)</f>
        <v/>
      </c>
      <c r="AY92" s="469"/>
      <c r="AZ92" s="470"/>
      <c r="BA92" s="470"/>
      <c r="BB92" s="470"/>
      <c r="BC92" s="470"/>
      <c r="BD92" s="470"/>
      <c r="BE92" s="470"/>
      <c r="BF92" s="470"/>
      <c r="BG92" s="470"/>
      <c r="BH92" s="471"/>
      <c r="BJ92" s="50">
        <v>80</v>
      </c>
      <c r="BK92" s="322" t="str">
        <f>LOOKUP(BK84,HP!$I$17:$I$141,HP!$P$17:$P$141)</f>
        <v/>
      </c>
      <c r="BL92" s="322"/>
      <c r="BN92" s="50">
        <v>80</v>
      </c>
      <c r="BO92" s="322" t="str">
        <f>LOOKUP(BO84,HP!$I$17:$I$141,HP!$P$17:$P$141)</f>
        <v/>
      </c>
      <c r="BP92" s="322"/>
      <c r="BQ92" s="322"/>
      <c r="BS92" s="50">
        <v>80</v>
      </c>
      <c r="BT92" s="322" t="str">
        <f>LOOKUP(BT84,HP!$I$17:$I$141,HP!$P$17:$P$141)</f>
        <v/>
      </c>
      <c r="BU92" s="322"/>
      <c r="BW92" s="442"/>
      <c r="BX92" s="442"/>
      <c r="BY92" s="442"/>
      <c r="BZ92" s="442"/>
      <c r="CA92" s="442"/>
      <c r="CB92" s="442"/>
      <c r="CF92" s="309" t="s">
        <v>138</v>
      </c>
      <c r="CG92" s="309"/>
      <c r="CH92" s="309"/>
      <c r="CI92" s="309"/>
      <c r="CJ92" s="309"/>
      <c r="CK92" s="97"/>
      <c r="CL92" s="309" t="s">
        <v>138</v>
      </c>
      <c r="CM92" s="309"/>
      <c r="CN92" s="309"/>
      <c r="CO92" s="309"/>
      <c r="CP92" s="309"/>
      <c r="CQ92" s="177"/>
      <c r="CR92" s="332"/>
      <c r="CS92" s="333"/>
      <c r="CT92" s="333"/>
      <c r="CU92" s="333"/>
      <c r="CV92" s="333"/>
      <c r="CW92" s="333"/>
      <c r="CX92" s="333"/>
      <c r="CY92" s="333"/>
      <c r="CZ92" s="333"/>
      <c r="DA92" s="333"/>
      <c r="DB92" s="334"/>
      <c r="DC92" s="97"/>
    </row>
    <row r="93" spans="2:114" ht="7.35" customHeight="1" x14ac:dyDescent="0.2">
      <c r="B93" s="308"/>
      <c r="C93" s="308"/>
      <c r="D93" s="280">
        <f>LOOKUP(B93,Sheet3!$AB$124:$AC$129)*(LOOKUP($C$2,Sheet3!$C$100:$V$100,Sheet3!$C$171:$V$171))</f>
        <v>0</v>
      </c>
      <c r="E93" s="308"/>
      <c r="F93" s="308"/>
      <c r="G93" s="308"/>
      <c r="H93" s="308"/>
      <c r="I93" s="308"/>
      <c r="J93" s="308"/>
      <c r="K93" s="308"/>
      <c r="L93" s="308"/>
      <c r="M93" s="2"/>
      <c r="N93" s="19"/>
      <c r="O93" s="195" t="s">
        <v>5141</v>
      </c>
      <c r="P93" s="195">
        <f>IF(P92&lt;0,"KO",(LOOKUP(P92,Sheet3!$L$16:$M$22)*(1+Sheet3!O384)/(1+Sheet3!O399))*IF(AP73&lt;&gt;0,0,1))</f>
        <v>0</v>
      </c>
      <c r="Q93" s="195" t="s">
        <v>108</v>
      </c>
      <c r="R93" s="195">
        <f>R90+R92-R91</f>
        <v>5</v>
      </c>
      <c r="T93" s="351" t="s">
        <v>97</v>
      </c>
      <c r="U93" s="351"/>
      <c r="V93" s="351"/>
      <c r="W93" s="351"/>
      <c r="Y93" s="451"/>
      <c r="Z93" s="113" t="str">
        <f>IF('Técnicas de Ki'!AR11=0,"",'Técnicas de Ki'!AR11)</f>
        <v/>
      </c>
      <c r="AA93" s="113" t="str">
        <f>IF('Técnicas de Ki'!AS11=0,"",'Técnicas de Ki'!AS11)</f>
        <v/>
      </c>
      <c r="AB93" s="113" t="str">
        <f>IF('Técnicas de Ki'!AT11=0,"",'Técnicas de Ki'!AT11)</f>
        <v/>
      </c>
      <c r="AC93" s="113" t="str">
        <f>IF('Técnicas de Ki'!AU11=0,"",'Técnicas de Ki'!AU11)</f>
        <v/>
      </c>
      <c r="AD93" s="113" t="str">
        <f>IF('Técnicas de Ki'!AV11=0,"",'Técnicas de Ki'!AV11)</f>
        <v/>
      </c>
      <c r="AE93" s="113" t="str">
        <f>IF('Técnicas de Ki'!AW11=0,"",'Técnicas de Ki'!AW11)</f>
        <v/>
      </c>
      <c r="AF93" s="113" t="str">
        <f>IF('Técnicas de Ki'!AX11=0,"",'Técnicas de Ki'!AX11)</f>
        <v/>
      </c>
      <c r="AG93" s="354" t="str">
        <f>IF('Técnicas de Ki'!AX11=0,"",'Técnicas de Ki'!AY11)</f>
        <v/>
      </c>
      <c r="AH93" s="356"/>
      <c r="AI93" s="97"/>
      <c r="AJ93" s="358" t="s">
        <v>217</v>
      </c>
      <c r="AK93" s="358"/>
      <c r="AL93" s="354"/>
      <c r="AM93" s="355"/>
      <c r="AN93" s="356"/>
      <c r="AR93" s="169"/>
      <c r="AS93" s="195"/>
      <c r="AT93" s="353" t="str">
        <f>LOOKUP(AS93,HM!$V$15:$V$655,HM!$W$15:$W$655)</f>
        <v/>
      </c>
      <c r="AU93" s="353"/>
      <c r="AV93" s="353"/>
      <c r="AW93" s="353"/>
      <c r="AX93" s="133" t="str">
        <f>LOOKUP(AS93,HM!$V$15:$V$655,HM!$X$15:$X$655)</f>
        <v/>
      </c>
      <c r="AY93" s="469"/>
      <c r="AZ93" s="470"/>
      <c r="BA93" s="470"/>
      <c r="BB93" s="470"/>
      <c r="BC93" s="470"/>
      <c r="BD93" s="470"/>
      <c r="BE93" s="470"/>
      <c r="BF93" s="470"/>
      <c r="BG93" s="470"/>
      <c r="BH93" s="471"/>
      <c r="BJ93" s="50">
        <v>120</v>
      </c>
      <c r="BK93" s="322" t="str">
        <f>LOOKUP(BK84,HP!$I$17:$I$141,HP!$Q$17:$Q$141)</f>
        <v/>
      </c>
      <c r="BL93" s="322"/>
      <c r="BN93" s="50">
        <v>120</v>
      </c>
      <c r="BO93" s="322" t="str">
        <f>LOOKUP(BO84,HP!$I$17:$I$141,HP!$Q$17:$Q$141)</f>
        <v/>
      </c>
      <c r="BP93" s="322"/>
      <c r="BQ93" s="322"/>
      <c r="BS93" s="50">
        <v>120</v>
      </c>
      <c r="BT93" s="322" t="str">
        <f>LOOKUP(BT84,HP!$I$17:$I$141,HP!$Q$17:$Q$141)</f>
        <v/>
      </c>
      <c r="BU93" s="322"/>
      <c r="BW93" s="442"/>
      <c r="BX93" s="442"/>
      <c r="BY93" s="442"/>
      <c r="BZ93" s="442"/>
      <c r="CA93" s="442"/>
      <c r="CB93" s="442"/>
      <c r="CF93" s="308" t="str">
        <f>LOOKUP(CF91,Tabla15[Poder],Tabla15[Descripcion])</f>
        <v/>
      </c>
      <c r="CG93" s="308"/>
      <c r="CH93" s="308"/>
      <c r="CI93" s="308"/>
      <c r="CJ93" s="308"/>
      <c r="CK93" s="184"/>
      <c r="CL93" s="308" t="str">
        <f>LOOKUP(CL91,Tabla15[Poder],Tabla15[Descripcion])</f>
        <v/>
      </c>
      <c r="CM93" s="308"/>
      <c r="CN93" s="308"/>
      <c r="CO93" s="308"/>
      <c r="CP93" s="308"/>
      <c r="CQ93" s="177"/>
      <c r="CR93" s="332"/>
      <c r="CS93" s="333"/>
      <c r="CT93" s="333"/>
      <c r="CU93" s="333"/>
      <c r="CV93" s="333"/>
      <c r="CW93" s="333"/>
      <c r="CX93" s="333"/>
      <c r="CY93" s="333"/>
      <c r="CZ93" s="333"/>
      <c r="DA93" s="333"/>
      <c r="DB93" s="334"/>
      <c r="DC93" s="97"/>
    </row>
    <row r="94" spans="2:114" ht="7.35" customHeight="1" x14ac:dyDescent="0.2">
      <c r="B94" s="308"/>
      <c r="C94" s="308"/>
      <c r="D94" s="280">
        <f>LOOKUP(B94,Sheet3!$AB$124:$AC$129)*(LOOKUP($C$2,Sheet3!$C$100:$V$100,Sheet3!$C$171:$V$171))</f>
        <v>0</v>
      </c>
      <c r="E94" s="308"/>
      <c r="F94" s="308"/>
      <c r="G94" s="308"/>
      <c r="H94" s="308"/>
      <c r="I94" s="308"/>
      <c r="J94" s="308"/>
      <c r="K94" s="308"/>
      <c r="L94" s="308"/>
      <c r="M94" s="2"/>
      <c r="N94" s="71"/>
      <c r="O94" s="391" t="s">
        <v>5623</v>
      </c>
      <c r="P94" s="391"/>
      <c r="Q94" s="353">
        <f>LOOKUP(E10+E12,Sheet3!U23:V37)</f>
        <v>1</v>
      </c>
      <c r="R94" s="353"/>
      <c r="T94" s="350" t="s">
        <v>5072</v>
      </c>
      <c r="U94" s="350"/>
      <c r="V94" s="350" t="str">
        <f>LOOKUP($R$93,Sheet3!$D$262:$D$281,Sheet3!$F$262:$F$281)</f>
        <v>20m</v>
      </c>
      <c r="W94" s="350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358" t="s">
        <v>6</v>
      </c>
      <c r="AK94" s="358"/>
      <c r="AL94" s="354"/>
      <c r="AM94" s="355"/>
      <c r="AN94" s="356"/>
      <c r="AR94" s="169"/>
      <c r="AS94" s="195"/>
      <c r="AT94" s="353" t="str">
        <f>LOOKUP(AS94,HM!$V$15:$V$655,HM!$W$15:$W$655)</f>
        <v/>
      </c>
      <c r="AU94" s="353"/>
      <c r="AV94" s="353"/>
      <c r="AW94" s="353"/>
      <c r="AX94" s="133" t="str">
        <f>LOOKUP(AS94,HM!$V$15:$V$655,HM!$X$15:$X$655)</f>
        <v/>
      </c>
      <c r="AY94" s="469"/>
      <c r="AZ94" s="470"/>
      <c r="BA94" s="470"/>
      <c r="BB94" s="470"/>
      <c r="BC94" s="470"/>
      <c r="BD94" s="470"/>
      <c r="BE94" s="470"/>
      <c r="BF94" s="470"/>
      <c r="BG94" s="470"/>
      <c r="BH94" s="471"/>
      <c r="BJ94" s="50">
        <v>140</v>
      </c>
      <c r="BK94" s="322" t="str">
        <f>LOOKUP(BK84,HP!$I$17:$I$141,HP!$R$17:$R$141)</f>
        <v/>
      </c>
      <c r="BL94" s="322"/>
      <c r="BN94" s="50">
        <v>140</v>
      </c>
      <c r="BO94" s="322" t="str">
        <f>LOOKUP(BO84,HP!$I$17:$I$141,HP!$R$17:$R$141)</f>
        <v/>
      </c>
      <c r="BP94" s="322"/>
      <c r="BQ94" s="322"/>
      <c r="BS94" s="50">
        <v>140</v>
      </c>
      <c r="BT94" s="322" t="str">
        <f>LOOKUP(BT84,HP!$I$17:$I$141,HP!$R$17:$R$141)</f>
        <v/>
      </c>
      <c r="BU94" s="322"/>
      <c r="BW94" s="442"/>
      <c r="BX94" s="442"/>
      <c r="BY94" s="442"/>
      <c r="BZ94" s="442"/>
      <c r="CA94" s="442"/>
      <c r="CB94" s="442"/>
      <c r="CF94" s="182"/>
      <c r="CG94" s="184"/>
      <c r="CH94" s="184"/>
      <c r="CI94" s="184"/>
      <c r="CK94" s="184"/>
      <c r="CL94" s="182"/>
      <c r="CM94" s="184"/>
      <c r="CN94" s="184"/>
      <c r="CO94" s="184"/>
      <c r="CQ94" s="177"/>
      <c r="CR94" s="332"/>
      <c r="CS94" s="333"/>
      <c r="CT94" s="333"/>
      <c r="CU94" s="333"/>
      <c r="CV94" s="333"/>
      <c r="CW94" s="333"/>
      <c r="CX94" s="333"/>
      <c r="CY94" s="333"/>
      <c r="CZ94" s="333"/>
      <c r="DA94" s="333"/>
      <c r="DB94" s="334"/>
      <c r="DC94" s="97"/>
    </row>
    <row r="95" spans="2:114" ht="7.35" customHeight="1" x14ac:dyDescent="0.2">
      <c r="M95" s="2"/>
      <c r="N95" s="71"/>
      <c r="O95" s="391" t="s">
        <v>5135</v>
      </c>
      <c r="P95" s="391"/>
      <c r="Q95" s="353">
        <f>E13</f>
        <v>5</v>
      </c>
      <c r="R95" s="353"/>
      <c r="T95" s="350" t="s">
        <v>5097</v>
      </c>
      <c r="U95" s="350"/>
      <c r="V95" s="350" t="str">
        <f>LOOKUP($R$93,Sheet3!$D$262:$D$281,Sheet3!$I$262:$I$281)</f>
        <v>4m</v>
      </c>
      <c r="W95" s="350"/>
      <c r="Y95" s="103" t="s">
        <v>4</v>
      </c>
      <c r="Z95" s="380" t="str">
        <f>IF('Técnicas de Ki'!BM6=0,"",'Técnicas de Ki'!BM6)</f>
        <v/>
      </c>
      <c r="AA95" s="381"/>
      <c r="AB95" s="381"/>
      <c r="AC95" s="381"/>
      <c r="AD95" s="381"/>
      <c r="AE95" s="381"/>
      <c r="AF95" s="382"/>
      <c r="AG95" s="372" t="s">
        <v>5</v>
      </c>
      <c r="AH95" s="373"/>
      <c r="AI95" s="97"/>
      <c r="AJ95" s="406" t="s">
        <v>14</v>
      </c>
      <c r="AK95" s="406"/>
      <c r="AL95" s="50">
        <v>0</v>
      </c>
      <c r="AM95" s="63" t="s">
        <v>141</v>
      </c>
      <c r="AN95" s="50">
        <f>10*(AL95-$C$3)</f>
        <v>-10</v>
      </c>
      <c r="AR95" s="169"/>
      <c r="AS95" s="195"/>
      <c r="AT95" s="353" t="str">
        <f>LOOKUP(AS95,HM!$V$15:$V$655,HM!$W$15:$W$655)</f>
        <v/>
      </c>
      <c r="AU95" s="353"/>
      <c r="AV95" s="353"/>
      <c r="AW95" s="353"/>
      <c r="AX95" s="133" t="str">
        <f>LOOKUP(AS95,HM!$V$15:$V$655,HM!$X$15:$X$655)</f>
        <v/>
      </c>
      <c r="AY95" s="469"/>
      <c r="AZ95" s="470"/>
      <c r="BA95" s="470"/>
      <c r="BB95" s="470"/>
      <c r="BC95" s="470"/>
      <c r="BD95" s="470"/>
      <c r="BE95" s="470"/>
      <c r="BF95" s="470"/>
      <c r="BG95" s="470"/>
      <c r="BH95" s="471"/>
      <c r="BJ95" s="50">
        <v>180</v>
      </c>
      <c r="BK95" s="322" t="str">
        <f>LOOKUP(BK84,HP!$I$17:$I$141,HP!$S$17:$S$141)</f>
        <v/>
      </c>
      <c r="BL95" s="322"/>
      <c r="BN95" s="50">
        <v>180</v>
      </c>
      <c r="BO95" s="322" t="str">
        <f>LOOKUP(BO84,HP!$I$17:$I$141,HP!$S$17:$S$141)</f>
        <v/>
      </c>
      <c r="BP95" s="322"/>
      <c r="BQ95" s="322"/>
      <c r="BS95" s="50">
        <v>180</v>
      </c>
      <c r="BT95" s="322" t="str">
        <f>LOOKUP(BT84,HP!$I$17:$I$141,HP!$S$17:$S$141)</f>
        <v/>
      </c>
      <c r="BU95" s="322"/>
      <c r="CF95" s="310" t="s">
        <v>0</v>
      </c>
      <c r="CG95" s="310"/>
      <c r="CH95" s="310" t="s">
        <v>228</v>
      </c>
      <c r="CI95" s="310"/>
      <c r="CJ95" s="183" t="s">
        <v>27</v>
      </c>
      <c r="CK95" s="184"/>
      <c r="CL95" s="310" t="s">
        <v>0</v>
      </c>
      <c r="CM95" s="310"/>
      <c r="CN95" s="310" t="s">
        <v>228</v>
      </c>
      <c r="CO95" s="310"/>
      <c r="CP95" s="183" t="s">
        <v>27</v>
      </c>
      <c r="CQ95" s="177"/>
      <c r="CR95" s="332"/>
      <c r="CS95" s="333"/>
      <c r="CT95" s="333"/>
      <c r="CU95" s="333"/>
      <c r="CV95" s="333"/>
      <c r="CW95" s="333"/>
      <c r="CX95" s="333"/>
      <c r="CY95" s="333"/>
      <c r="CZ95" s="333"/>
      <c r="DA95" s="333"/>
      <c r="DB95" s="334"/>
      <c r="DC95" s="97"/>
    </row>
    <row r="96" spans="2:114" ht="7.35" customHeight="1" x14ac:dyDescent="0.2">
      <c r="B96" s="486" t="s">
        <v>5508</v>
      </c>
      <c r="C96" s="486"/>
      <c r="D96" s="486"/>
      <c r="E96" s="486"/>
      <c r="F96" s="486"/>
      <c r="G96" s="486"/>
      <c r="H96" s="486"/>
      <c r="I96" s="486"/>
      <c r="J96" s="486"/>
      <c r="K96" s="486"/>
      <c r="L96" s="486"/>
      <c r="M96" s="2"/>
      <c r="N96" s="71"/>
      <c r="O96" s="391" t="s">
        <v>5136</v>
      </c>
      <c r="P96" s="391"/>
      <c r="Q96" s="353" t="str">
        <f>IF(AP70=10,"Sin necesidades",IF(OR(AP32=10,LOOKUP($C$5,Tabla14[RAZAS],Tabla14[Necesidades limitadas])="Reducidas"),"Reducidas","Normales"))</f>
        <v>Normales</v>
      </c>
      <c r="R96" s="353"/>
      <c r="T96" s="350" t="s">
        <v>5073</v>
      </c>
      <c r="U96" s="350"/>
      <c r="V96" s="350" t="str">
        <f>LOOKUP($R$93,Sheet3!$D$262:$D$281,Sheet3!$G$262:$G$281)</f>
        <v/>
      </c>
      <c r="W96" s="350"/>
      <c r="Y96" s="374" t="str">
        <f>IF('Técnicas de Ki'!BN7=0,"",'Técnicas de Ki'!BN7)</f>
        <v/>
      </c>
      <c r="Z96" s="383"/>
      <c r="AA96" s="383"/>
      <c r="AB96" s="383"/>
      <c r="AC96" s="383"/>
      <c r="AD96" s="383"/>
      <c r="AE96" s="383"/>
      <c r="AF96" s="375"/>
      <c r="AG96" s="374">
        <f>'Técnicas de Ki'!BT7</f>
        <v>0</v>
      </c>
      <c r="AH96" s="375"/>
      <c r="AJ96" s="19"/>
      <c r="AK96" s="19"/>
      <c r="AL96" s="19"/>
      <c r="AM96" s="19"/>
      <c r="AN96" s="19"/>
      <c r="AR96" s="169"/>
      <c r="AS96" s="195"/>
      <c r="AT96" s="353" t="str">
        <f>LOOKUP(AS96,HM!$V$15:$V$655,HM!$W$15:$W$655)</f>
        <v/>
      </c>
      <c r="AU96" s="353"/>
      <c r="AV96" s="353"/>
      <c r="AW96" s="353"/>
      <c r="AX96" s="133" t="str">
        <f>LOOKUP(AS96,HM!$V$15:$V$655,HM!$X$15:$X$655)</f>
        <v/>
      </c>
      <c r="AY96" s="469"/>
      <c r="AZ96" s="470"/>
      <c r="BA96" s="470"/>
      <c r="BB96" s="470"/>
      <c r="BC96" s="470"/>
      <c r="BD96" s="470"/>
      <c r="BE96" s="470"/>
      <c r="BF96" s="470"/>
      <c r="BG96" s="470"/>
      <c r="BH96" s="471"/>
      <c r="BJ96" s="50">
        <v>240</v>
      </c>
      <c r="BK96" s="322" t="str">
        <f>LOOKUP(BK84,HP!$I$17:$I$141,HP!$T$17:$T$141)</f>
        <v/>
      </c>
      <c r="BL96" s="322"/>
      <c r="BN96" s="50">
        <v>240</v>
      </c>
      <c r="BO96" s="322" t="str">
        <f>LOOKUP(BO84,HP!$I$17:$I$141,HP!$T$17:$T$141)</f>
        <v/>
      </c>
      <c r="BP96" s="322"/>
      <c r="BQ96" s="322"/>
      <c r="BS96" s="50">
        <v>240</v>
      </c>
      <c r="BT96" s="322" t="str">
        <f>LOOKUP(BT84,HP!$I$17:$I$141,HP!$T$17:$T$141)</f>
        <v/>
      </c>
      <c r="BU96" s="322"/>
      <c r="CF96" s="311"/>
      <c r="CG96" s="312"/>
      <c r="CH96" s="311" t="str">
        <f>LOOKUP(CF96,Tabla15[Poder],Tabla15[Requisito])</f>
        <v/>
      </c>
      <c r="CI96" s="312"/>
      <c r="CJ96" s="167">
        <f>LOOKUP(CF96,Tabla15[Poder],Tabla15[Coste])</f>
        <v>0</v>
      </c>
      <c r="CK96" s="184"/>
      <c r="CL96" s="311"/>
      <c r="CM96" s="312"/>
      <c r="CN96" s="311" t="str">
        <f>LOOKUP(CL96,Tabla15[Poder],Tabla15[Requisito])</f>
        <v/>
      </c>
      <c r="CO96" s="312"/>
      <c r="CP96" s="167">
        <f>LOOKUP(CL96,Tabla15[Poder],Tabla15[Coste])</f>
        <v>0</v>
      </c>
      <c r="CQ96" s="177"/>
      <c r="CR96" s="332"/>
      <c r="CS96" s="333"/>
      <c r="CT96" s="333"/>
      <c r="CU96" s="333"/>
      <c r="CV96" s="333"/>
      <c r="CW96" s="333"/>
      <c r="CX96" s="333"/>
      <c r="CY96" s="333"/>
      <c r="CZ96" s="333"/>
      <c r="DA96" s="333"/>
      <c r="DB96" s="334"/>
      <c r="DC96" s="97"/>
    </row>
    <row r="97" spans="2:107" ht="7.35" customHeight="1" x14ac:dyDescent="0.2">
      <c r="B97" s="342"/>
      <c r="C97" s="342"/>
      <c r="D97" s="342"/>
      <c r="E97" s="342"/>
      <c r="F97" s="342"/>
      <c r="G97" s="342"/>
      <c r="H97" s="342"/>
      <c r="I97" s="342"/>
      <c r="J97" s="342"/>
      <c r="K97" s="342"/>
      <c r="L97" s="342"/>
      <c r="N97" s="97"/>
      <c r="O97" s="397" t="s">
        <v>5484</v>
      </c>
      <c r="P97" s="397"/>
      <c r="Q97" s="397"/>
      <c r="R97" s="397"/>
      <c r="T97" s="351" t="s">
        <v>43</v>
      </c>
      <c r="U97" s="351"/>
      <c r="V97" s="351"/>
      <c r="W97" s="351"/>
      <c r="Y97" s="376"/>
      <c r="Z97" s="384"/>
      <c r="AA97" s="384"/>
      <c r="AB97" s="384"/>
      <c r="AC97" s="384"/>
      <c r="AD97" s="384"/>
      <c r="AE97" s="384"/>
      <c r="AF97" s="377"/>
      <c r="AG97" s="376"/>
      <c r="AH97" s="377"/>
      <c r="AJ97" s="338" t="s">
        <v>219</v>
      </c>
      <c r="AK97" s="338"/>
      <c r="AL97" s="338"/>
      <c r="AM97" s="338"/>
      <c r="AN97" s="338"/>
      <c r="AR97" s="169"/>
      <c r="AS97" s="195"/>
      <c r="AT97" s="353" t="str">
        <f>LOOKUP(AS97,HM!$V$15:$V$655,HM!$W$15:$W$655)</f>
        <v/>
      </c>
      <c r="AU97" s="353"/>
      <c r="AV97" s="353"/>
      <c r="AW97" s="353"/>
      <c r="AX97" s="133" t="str">
        <f>LOOKUP(AS97,HM!$V$15:$V$655,HM!$X$15:$X$655)</f>
        <v/>
      </c>
      <c r="AY97" s="469"/>
      <c r="AZ97" s="470"/>
      <c r="BA97" s="470"/>
      <c r="BB97" s="470"/>
      <c r="BC97" s="470"/>
      <c r="BD97" s="470"/>
      <c r="BE97" s="470"/>
      <c r="BF97" s="470"/>
      <c r="BG97" s="470"/>
      <c r="BH97" s="471"/>
      <c r="BJ97" s="50">
        <v>280</v>
      </c>
      <c r="BK97" s="322" t="str">
        <f>LOOKUP(BK84,HP!$I$17:$I$141,HP!$U$17:$U$141)</f>
        <v/>
      </c>
      <c r="BL97" s="322"/>
      <c r="BN97" s="50">
        <v>280</v>
      </c>
      <c r="BO97" s="322" t="str">
        <f>LOOKUP(BO84,HP!$I$17:$I$141,HP!$U$17:$U$141)</f>
        <v/>
      </c>
      <c r="BP97" s="322"/>
      <c r="BQ97" s="322"/>
      <c r="BS97" s="50">
        <v>280</v>
      </c>
      <c r="BT97" s="322" t="str">
        <f>LOOKUP(BT84,HP!$I$17:$I$141,HP!$U$17:$U$141)</f>
        <v/>
      </c>
      <c r="BU97" s="322"/>
      <c r="CF97" s="309" t="s">
        <v>138</v>
      </c>
      <c r="CG97" s="309"/>
      <c r="CH97" s="309"/>
      <c r="CI97" s="309"/>
      <c r="CJ97" s="309"/>
      <c r="CK97" s="97"/>
      <c r="CL97" s="309" t="s">
        <v>138</v>
      </c>
      <c r="CM97" s="309"/>
      <c r="CN97" s="309"/>
      <c r="CO97" s="309"/>
      <c r="CP97" s="309"/>
      <c r="CQ97" s="177"/>
      <c r="CR97" s="335"/>
      <c r="CS97" s="336"/>
      <c r="CT97" s="336"/>
      <c r="CU97" s="336"/>
      <c r="CV97" s="336"/>
      <c r="CW97" s="336"/>
      <c r="CX97" s="336"/>
      <c r="CY97" s="336"/>
      <c r="CZ97" s="336"/>
      <c r="DA97" s="336"/>
      <c r="DB97" s="337"/>
      <c r="DC97" s="97"/>
    </row>
    <row r="98" spans="2:107" ht="7.35" customHeight="1" x14ac:dyDescent="0.2">
      <c r="B98" s="342"/>
      <c r="C98" s="342"/>
      <c r="D98" s="342"/>
      <c r="E98" s="342"/>
      <c r="F98" s="342"/>
      <c r="G98" s="342"/>
      <c r="H98" s="342"/>
      <c r="I98" s="342"/>
      <c r="J98" s="342"/>
      <c r="K98" s="342"/>
      <c r="L98" s="342"/>
      <c r="N98" s="97"/>
      <c r="O98" s="353"/>
      <c r="P98" s="353"/>
      <c r="Q98" s="353"/>
      <c r="R98" s="353"/>
      <c r="T98" s="350" t="s">
        <v>5098</v>
      </c>
      <c r="U98" s="350"/>
      <c r="V98" s="350" t="str">
        <f>LOOKUP($Q$95,Sheet3!$J$262:$J$281,Sheet3!$K$262:$K$281)</f>
        <v>25 Kg</v>
      </c>
      <c r="W98" s="350"/>
      <c r="Y98" s="378"/>
      <c r="Z98" s="385"/>
      <c r="AA98" s="385"/>
      <c r="AB98" s="385"/>
      <c r="AC98" s="385"/>
      <c r="AD98" s="385"/>
      <c r="AE98" s="385"/>
      <c r="AF98" s="379"/>
      <c r="AG98" s="378"/>
      <c r="AH98" s="379"/>
      <c r="AJ98" s="358" t="s">
        <v>217</v>
      </c>
      <c r="AK98" s="358"/>
      <c r="AL98" s="354"/>
      <c r="AM98" s="355"/>
      <c r="AN98" s="356"/>
      <c r="AR98" s="169"/>
      <c r="AS98" s="195"/>
      <c r="AT98" s="353" t="str">
        <f>LOOKUP(AS98,HM!$V$15:$V$655,HM!$W$15:$W$655)</f>
        <v/>
      </c>
      <c r="AU98" s="353"/>
      <c r="AV98" s="353"/>
      <c r="AW98" s="353"/>
      <c r="AX98" s="133" t="str">
        <f>LOOKUP(AS98,HM!$V$15:$V$655,HM!$X$15:$X$655)</f>
        <v/>
      </c>
      <c r="AY98" s="469"/>
      <c r="AZ98" s="470"/>
      <c r="BA98" s="470"/>
      <c r="BB98" s="470"/>
      <c r="BC98" s="470"/>
      <c r="BD98" s="470"/>
      <c r="BE98" s="470"/>
      <c r="BF98" s="470"/>
      <c r="BG98" s="470"/>
      <c r="BH98" s="471"/>
      <c r="BJ98" s="50">
        <v>320</v>
      </c>
      <c r="BK98" s="322" t="str">
        <f>LOOKUP(BK84,HP!$I$17:$I$141,HP!$V$17:$V$141)</f>
        <v/>
      </c>
      <c r="BL98" s="322"/>
      <c r="BN98" s="50">
        <v>320</v>
      </c>
      <c r="BO98" s="322" t="str">
        <f>LOOKUP(BO84,HP!$I$17:$I$141,HP!$V$17:$V$141)</f>
        <v/>
      </c>
      <c r="BP98" s="322"/>
      <c r="BQ98" s="322"/>
      <c r="BS98" s="50">
        <v>320</v>
      </c>
      <c r="BT98" s="322" t="str">
        <f>LOOKUP(BT84,HP!$I$17:$I$141,HP!$V$17:$V$141)</f>
        <v/>
      </c>
      <c r="BU98" s="322"/>
      <c r="CF98" s="308" t="str">
        <f>LOOKUP(CF96,Tabla15[Poder],Tabla15[Descripcion])</f>
        <v/>
      </c>
      <c r="CG98" s="308"/>
      <c r="CH98" s="308"/>
      <c r="CI98" s="308"/>
      <c r="CJ98" s="308"/>
      <c r="CL98" s="308" t="str">
        <f>LOOKUP(CL96,Tabla15[Poder],Tabla15[Descripcion])</f>
        <v/>
      </c>
      <c r="CM98" s="308"/>
      <c r="CN98" s="308"/>
      <c r="CO98" s="308"/>
      <c r="CP98" s="308"/>
      <c r="CR98" s="97"/>
      <c r="CS98" s="97"/>
      <c r="CT98" s="97"/>
      <c r="CU98" s="97"/>
      <c r="CV98" s="97"/>
      <c r="CW98" s="97"/>
      <c r="CX98" s="97"/>
      <c r="CY98" s="97"/>
      <c r="CZ98" s="97"/>
      <c r="DA98" s="97"/>
      <c r="DB98" s="97"/>
      <c r="DC98" s="97"/>
    </row>
    <row r="99" spans="2:107" ht="7.35" customHeight="1" thickBot="1" x14ac:dyDescent="0.25">
      <c r="B99" s="34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N99" s="97"/>
      <c r="O99" s="397" t="s">
        <v>5484</v>
      </c>
      <c r="P99" s="397"/>
      <c r="Q99" s="397"/>
      <c r="R99" s="397"/>
      <c r="T99" s="350" t="s">
        <v>5099</v>
      </c>
      <c r="U99" s="350"/>
      <c r="V99" s="350" t="str">
        <f>LOOKUP($Q$95,Sheet3!$J$262:$J$281,Sheet3!$L$262:$L$281)</f>
        <v>60 Kg</v>
      </c>
      <c r="W99" s="350"/>
      <c r="Y99" s="450" t="s">
        <v>5543</v>
      </c>
      <c r="Z99" s="104" t="s">
        <v>36</v>
      </c>
      <c r="AA99" s="104" t="s">
        <v>46</v>
      </c>
      <c r="AB99" s="104" t="s">
        <v>57</v>
      </c>
      <c r="AC99" s="104" t="s">
        <v>66</v>
      </c>
      <c r="AD99" s="104" t="s">
        <v>58</v>
      </c>
      <c r="AE99" s="104" t="s">
        <v>59</v>
      </c>
      <c r="AF99" s="104" t="s">
        <v>14</v>
      </c>
      <c r="AG99" s="372" t="s">
        <v>177</v>
      </c>
      <c r="AH99" s="373"/>
      <c r="AJ99" s="358" t="s">
        <v>6</v>
      </c>
      <c r="AK99" s="358"/>
      <c r="AL99" s="354"/>
      <c r="AM99" s="355"/>
      <c r="AN99" s="356"/>
      <c r="AR99" s="174"/>
      <c r="AS99" s="170"/>
      <c r="AT99" s="479" t="str">
        <f>LOOKUP(AS99,HM!$V$15:$V$655,HM!$W$15:$W$655)</f>
        <v/>
      </c>
      <c r="AU99" s="479"/>
      <c r="AV99" s="479"/>
      <c r="AW99" s="479"/>
      <c r="AX99" s="134" t="str">
        <f>LOOKUP(AS99,HM!$V$15:$V$655,HM!$X$15:$X$655)</f>
        <v/>
      </c>
      <c r="AY99" s="472"/>
      <c r="AZ99" s="473"/>
      <c r="BA99" s="473"/>
      <c r="BB99" s="473"/>
      <c r="BC99" s="473"/>
      <c r="BD99" s="473"/>
      <c r="BE99" s="473"/>
      <c r="BF99" s="473"/>
      <c r="BG99" s="473"/>
      <c r="BH99" s="474"/>
      <c r="BJ99" s="50">
        <v>440</v>
      </c>
      <c r="BK99" s="322" t="str">
        <f>LOOKUP(BK84,HP!$I$17:$I$141,HP!$W$17:$W$141)</f>
        <v/>
      </c>
      <c r="BL99" s="322"/>
      <c r="BN99" s="50">
        <v>440</v>
      </c>
      <c r="BO99" s="322" t="str">
        <f>LOOKUP(BO84,HP!$I$17:$I$141,HP!$W$17:$W$141)</f>
        <v/>
      </c>
      <c r="BP99" s="322"/>
      <c r="BQ99" s="322"/>
      <c r="BS99" s="50">
        <v>440</v>
      </c>
      <c r="BT99" s="322" t="str">
        <f>LOOKUP(BT84,HP!$I$17:$I$141,HP!$W$17:$W$141)</f>
        <v/>
      </c>
      <c r="BU99" s="322"/>
      <c r="CR99" s="97"/>
      <c r="CS99" s="97"/>
      <c r="CT99" s="97"/>
      <c r="CU99" s="97"/>
      <c r="CV99" s="97"/>
      <c r="CW99" s="97"/>
      <c r="CX99" s="97"/>
      <c r="CY99" s="97"/>
      <c r="CZ99" s="97"/>
      <c r="DA99" s="97"/>
      <c r="DB99" s="97"/>
      <c r="DC99" s="97"/>
    </row>
    <row r="100" spans="2:107" ht="6" customHeight="1" x14ac:dyDescent="0.2"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N100" s="97"/>
      <c r="O100" s="353"/>
      <c r="P100" s="353"/>
      <c r="Q100" s="353"/>
      <c r="R100" s="353"/>
      <c r="T100" s="350" t="s">
        <v>5073</v>
      </c>
      <c r="U100" s="350"/>
      <c r="V100" s="350" t="str">
        <f>LOOKUP($Q$95,Sheet3!$J$262:$J$281,Sheet3!$M$262:$M$281)</f>
        <v/>
      </c>
      <c r="W100" s="350"/>
      <c r="Y100" s="451"/>
      <c r="Z100" s="113" t="str">
        <f>IF('Técnicas de Ki'!BM11=0,"",'Técnicas de Ki'!BM11)</f>
        <v/>
      </c>
      <c r="AA100" s="113" t="str">
        <f>IF('Técnicas de Ki'!BN11=0,"",'Técnicas de Ki'!BN11)</f>
        <v/>
      </c>
      <c r="AB100" s="113" t="str">
        <f>IF('Técnicas de Ki'!BO11=0,"",'Técnicas de Ki'!BO11)</f>
        <v/>
      </c>
      <c r="AC100" s="113" t="str">
        <f>IF('Técnicas de Ki'!BP11=0,"",'Técnicas de Ki'!BP11)</f>
        <v/>
      </c>
      <c r="AD100" s="113" t="str">
        <f>IF('Técnicas de Ki'!BQ11=0,"",'Técnicas de Ki'!BQ11)</f>
        <v/>
      </c>
      <c r="AE100" s="113" t="str">
        <f>IF('Técnicas de Ki'!BR11=0,"",'Técnicas de Ki'!BR11)</f>
        <v/>
      </c>
      <c r="AF100" s="113" t="str">
        <f>IF('Técnicas de Ki'!BS11=0,"",'Técnicas de Ki'!BS11)</f>
        <v/>
      </c>
      <c r="AG100" s="354" t="str">
        <f>IF('Técnicas de Ki'!BS11=0,"",'Técnicas de Ki'!BT11)</f>
        <v/>
      </c>
      <c r="AH100" s="356"/>
      <c r="AJ100" s="406" t="s">
        <v>14</v>
      </c>
      <c r="AK100" s="406"/>
      <c r="AL100" s="50">
        <v>0</v>
      </c>
      <c r="AM100" s="63" t="s">
        <v>141</v>
      </c>
      <c r="AN100" s="50">
        <f>10*(AL100-$C$3)</f>
        <v>-10</v>
      </c>
      <c r="CR100" s="97"/>
      <c r="CS100" s="97"/>
      <c r="CT100" s="97"/>
      <c r="CU100" s="97"/>
      <c r="CV100" s="97"/>
      <c r="CW100" s="97"/>
      <c r="CX100" s="97"/>
      <c r="CY100" s="97"/>
      <c r="CZ100" s="97"/>
      <c r="DA100" s="97"/>
      <c r="DB100" s="97"/>
      <c r="DC100" s="97"/>
    </row>
    <row r="101" spans="2:107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CR101" s="97"/>
      <c r="CS101" s="97"/>
      <c r="CT101" s="97"/>
      <c r="CU101" s="97"/>
      <c r="CV101" s="97"/>
      <c r="CW101" s="97"/>
      <c r="CX101" s="97"/>
      <c r="CY101" s="97"/>
      <c r="CZ101" s="97"/>
      <c r="DA101" s="97"/>
      <c r="DB101" s="97"/>
      <c r="DC101" s="97"/>
    </row>
    <row r="102" spans="2:107" ht="7.35" customHeight="1" x14ac:dyDescent="0.2">
      <c r="Y102" s="8"/>
      <c r="Z102" s="19"/>
      <c r="AA102" s="19"/>
      <c r="AB102" s="19"/>
      <c r="AC102" s="19"/>
      <c r="AD102" s="19"/>
      <c r="AE102" s="19"/>
      <c r="AF102" s="19"/>
      <c r="AG102" s="2"/>
      <c r="AH102" s="2"/>
      <c r="CR102" s="192"/>
      <c r="CS102" s="192"/>
      <c r="CT102" s="192"/>
      <c r="CU102" s="192"/>
      <c r="CV102" s="192"/>
      <c r="CW102" s="192"/>
      <c r="CX102" s="192"/>
      <c r="CY102" s="192"/>
      <c r="CZ102" s="192"/>
      <c r="DA102" s="192"/>
      <c r="DB102" s="192"/>
      <c r="DC102" s="192"/>
    </row>
    <row r="103" spans="2:107" ht="7.35" customHeight="1" x14ac:dyDescent="0.2">
      <c r="Y103" s="19"/>
      <c r="Z103" s="19"/>
      <c r="AA103" s="19"/>
      <c r="AB103" s="19"/>
      <c r="AC103" s="19"/>
      <c r="AD103" s="19"/>
      <c r="AE103" s="19"/>
      <c r="AF103" s="19"/>
      <c r="AG103" s="2"/>
      <c r="AH103" s="2"/>
    </row>
    <row r="104" spans="2:107" ht="7.35" customHeight="1" x14ac:dyDescent="0.2">
      <c r="Y104" s="19"/>
      <c r="Z104" s="19"/>
      <c r="AA104" s="19"/>
      <c r="AB104" s="19"/>
      <c r="AC104" s="19"/>
      <c r="AD104" s="19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107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107" s="55" customFormat="1" ht="7.35" customHeight="1" x14ac:dyDescent="0.2">
      <c r="A159" s="1"/>
      <c r="X159" s="2"/>
      <c r="AP159" s="2"/>
      <c r="AQ159" s="2"/>
      <c r="BV159" s="2"/>
      <c r="CF159" s="185"/>
      <c r="CG159" s="185"/>
      <c r="CH159" s="185"/>
      <c r="CI159" s="185"/>
      <c r="CJ159" s="185"/>
      <c r="CK159" s="185"/>
      <c r="CL159" s="185"/>
      <c r="CM159" s="185"/>
      <c r="CN159" s="185"/>
      <c r="CO159" s="185"/>
      <c r="CP159" s="185"/>
      <c r="CQ159" s="164"/>
      <c r="CR159" s="97"/>
      <c r="CS159" s="97"/>
      <c r="CT159" s="97"/>
      <c r="CU159" s="97"/>
      <c r="CV159" s="97"/>
      <c r="CW159" s="97"/>
      <c r="CX159" s="97"/>
      <c r="CY159" s="97"/>
      <c r="CZ159" s="97"/>
      <c r="DA159" s="97"/>
      <c r="DB159" s="97"/>
      <c r="DC159" s="97"/>
    </row>
    <row r="160" spans="1:107" ht="7.35" customHeight="1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2:23" ht="7.35" customHeight="1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2:23" ht="7.35" customHeight="1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2:23" ht="7.35" customHeight="1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2:23" ht="7.35" customHeight="1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2:23" ht="7.35" customHeight="1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2:23" ht="7.35" customHeight="1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2:23" ht="7.35" customHeight="1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2:23" ht="7.35" customHeight="1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2:23" ht="7.35" customHeight="1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2:23" ht="7.35" customHeight="1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2:23" ht="7.35" customHeight="1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2:23" ht="7.35" customHeight="1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2:23" ht="7.35" customHeight="1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2:23" ht="7.35" customHeight="1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2:23" ht="7.35" customHeight="1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2:23" ht="7.35" customHeight="1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2:23" ht="7.35" customHeight="1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2:23" ht="7.35" customHeight="1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2:23" ht="7.35" customHeight="1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2:23" ht="7.35" customHeight="1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2:23" ht="7.35" customHeight="1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2:23" ht="7.35" customHeight="1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2:23" ht="7.35" customHeight="1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2:23" ht="7.35" customHeight="1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2:23" ht="7.35" customHeight="1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2:23" ht="7.35" customHeight="1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2:23" ht="7.35" customHeight="1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2:23" ht="7.35" customHeight="1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2:23" ht="7.35" customHeight="1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2:23" ht="7.35" customHeight="1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2:23" ht="7.35" customHeight="1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2:23" ht="7.35" customHeight="1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2:23" ht="7.35" customHeight="1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2:23" ht="7.35" customHeight="1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2:23" ht="7.35" customHeight="1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2:23" ht="7.35" customHeight="1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2:23" ht="7.35" customHeight="1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2:23" ht="7.35" customHeight="1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</sheetData>
  <sheetProtection selectLockedCells="1" selectUnlockedCells="1"/>
  <mergeCells count="1478">
    <mergeCell ref="F43:G43"/>
    <mergeCell ref="D43:E43"/>
    <mergeCell ref="B43:C43"/>
    <mergeCell ref="I36:K36"/>
    <mergeCell ref="E84:L84"/>
    <mergeCell ref="E85:L85"/>
    <mergeCell ref="B86:L86"/>
    <mergeCell ref="E87:L87"/>
    <mergeCell ref="E88:L88"/>
    <mergeCell ref="B89:L89"/>
    <mergeCell ref="E90:L90"/>
    <mergeCell ref="B91:L91"/>
    <mergeCell ref="E92:L92"/>
    <mergeCell ref="E93:L93"/>
    <mergeCell ref="E94:L94"/>
    <mergeCell ref="B97:L100"/>
    <mergeCell ref="B96:L96"/>
    <mergeCell ref="H51:L51"/>
    <mergeCell ref="G52:I52"/>
    <mergeCell ref="J52:L52"/>
    <mergeCell ref="G53:I53"/>
    <mergeCell ref="J53:L53"/>
    <mergeCell ref="K54:L54"/>
    <mergeCell ref="K55:L55"/>
    <mergeCell ref="H57:L57"/>
    <mergeCell ref="G58:I58"/>
    <mergeCell ref="J58:L58"/>
    <mergeCell ref="G59:I59"/>
    <mergeCell ref="J59:L59"/>
    <mergeCell ref="K60:L60"/>
    <mergeCell ref="K61:L61"/>
    <mergeCell ref="G65:I65"/>
    <mergeCell ref="CL88:CP88"/>
    <mergeCell ref="CL91:CM91"/>
    <mergeCell ref="CN91:CO91"/>
    <mergeCell ref="CL93:CP93"/>
    <mergeCell ref="CL96:CM96"/>
    <mergeCell ref="CN96:CO96"/>
    <mergeCell ref="CL98:CP98"/>
    <mergeCell ref="CF56:CH56"/>
    <mergeCell ref="CF57:CH57"/>
    <mergeCell ref="CL56:CN56"/>
    <mergeCell ref="CL57:CN57"/>
    <mergeCell ref="CL80:CM80"/>
    <mergeCell ref="CN80:CO80"/>
    <mergeCell ref="CL82:CP82"/>
    <mergeCell ref="CL85:CM85"/>
    <mergeCell ref="CN85:CO85"/>
    <mergeCell ref="CL73:CP73"/>
    <mergeCell ref="CL76:CM76"/>
    <mergeCell ref="CN76:CO76"/>
    <mergeCell ref="CL78:CP78"/>
    <mergeCell ref="CL81:CM81"/>
    <mergeCell ref="CN81:CO81"/>
    <mergeCell ref="CL83:CP83"/>
    <mergeCell ref="CL60:CM60"/>
    <mergeCell ref="CN60:CO60"/>
    <mergeCell ref="CL62:CP62"/>
    <mergeCell ref="CL65:CM65"/>
    <mergeCell ref="CN65:CO65"/>
    <mergeCell ref="CL67:CP67"/>
    <mergeCell ref="CL1:CN1"/>
    <mergeCell ref="CL2:CN2"/>
    <mergeCell ref="CF1:CH1"/>
    <mergeCell ref="CF2:CH2"/>
    <mergeCell ref="CL87:CP87"/>
    <mergeCell ref="CL90:CM90"/>
    <mergeCell ref="CN90:CO90"/>
    <mergeCell ref="CL92:CP92"/>
    <mergeCell ref="CL95:CM95"/>
    <mergeCell ref="CN95:CO95"/>
    <mergeCell ref="CL97:CP97"/>
    <mergeCell ref="CL4:CP4"/>
    <mergeCell ref="CL6:CM6"/>
    <mergeCell ref="CN6:CO6"/>
    <mergeCell ref="CL8:CP8"/>
    <mergeCell ref="CL11:CM11"/>
    <mergeCell ref="CN11:CO11"/>
    <mergeCell ref="CL13:CP13"/>
    <mergeCell ref="CL16:CM16"/>
    <mergeCell ref="CN16:CO16"/>
    <mergeCell ref="CL18:CP18"/>
    <mergeCell ref="CL21:CM21"/>
    <mergeCell ref="CN21:CO21"/>
    <mergeCell ref="CL23:CP23"/>
    <mergeCell ref="CL26:CM26"/>
    <mergeCell ref="CN26:CO26"/>
    <mergeCell ref="CL28:CP28"/>
    <mergeCell ref="CL31:CM31"/>
    <mergeCell ref="CL72:CP72"/>
    <mergeCell ref="CL75:CM75"/>
    <mergeCell ref="CN75:CO75"/>
    <mergeCell ref="CL86:CM86"/>
    <mergeCell ref="CN41:CO41"/>
    <mergeCell ref="CL43:CP43"/>
    <mergeCell ref="CL46:CM46"/>
    <mergeCell ref="CN46:CO46"/>
    <mergeCell ref="CL48:CP48"/>
    <mergeCell ref="CL51:CM51"/>
    <mergeCell ref="CN51:CO51"/>
    <mergeCell ref="CL53:CP53"/>
    <mergeCell ref="CL27:CP27"/>
    <mergeCell ref="CL30:CM30"/>
    <mergeCell ref="CN30:CO30"/>
    <mergeCell ref="CL32:CP32"/>
    <mergeCell ref="CL35:CM35"/>
    <mergeCell ref="CN35:CO35"/>
    <mergeCell ref="CL37:CP37"/>
    <mergeCell ref="CL40:CM40"/>
    <mergeCell ref="CN40:CO40"/>
    <mergeCell ref="CN31:CO31"/>
    <mergeCell ref="CL33:CP33"/>
    <mergeCell ref="CL36:CM36"/>
    <mergeCell ref="CN36:CO36"/>
    <mergeCell ref="CL38:CP38"/>
    <mergeCell ref="CL42:CP42"/>
    <mergeCell ref="CL45:CM45"/>
    <mergeCell ref="CN45:CO45"/>
    <mergeCell ref="CL47:CP47"/>
    <mergeCell ref="CL50:CM50"/>
    <mergeCell ref="CN50:CO50"/>
    <mergeCell ref="CL52:CP52"/>
    <mergeCell ref="CN15:CO15"/>
    <mergeCell ref="CL17:CP17"/>
    <mergeCell ref="CL20:CM20"/>
    <mergeCell ref="CN20:CO20"/>
    <mergeCell ref="CL22:CP22"/>
    <mergeCell ref="CL25:CM25"/>
    <mergeCell ref="CN25:CO25"/>
    <mergeCell ref="K11:M11"/>
    <mergeCell ref="K12:M12"/>
    <mergeCell ref="K15:M15"/>
    <mergeCell ref="K16:M16"/>
    <mergeCell ref="K18:M18"/>
    <mergeCell ref="K19:M19"/>
    <mergeCell ref="BF8:BH8"/>
    <mergeCell ref="BJ8:BL8"/>
    <mergeCell ref="AR8:AT8"/>
    <mergeCell ref="AV12:AW12"/>
    <mergeCell ref="AX12:AY12"/>
    <mergeCell ref="AX13:AY13"/>
    <mergeCell ref="BG23:BH25"/>
    <mergeCell ref="BA20:BB20"/>
    <mergeCell ref="BA21:BB21"/>
    <mergeCell ref="BA23:BF25"/>
    <mergeCell ref="BA22:BF22"/>
    <mergeCell ref="BG21:BH21"/>
    <mergeCell ref="BD21:BF21"/>
    <mergeCell ref="BD20:BF20"/>
    <mergeCell ref="AG15:AH15"/>
    <mergeCell ref="BJ12:BK12"/>
    <mergeCell ref="BW20:CC23"/>
    <mergeCell ref="CH21:CI21"/>
    <mergeCell ref="I39:K39"/>
    <mergeCell ref="I40:K40"/>
    <mergeCell ref="I37:K37"/>
    <mergeCell ref="J28:L28"/>
    <mergeCell ref="J29:L29"/>
    <mergeCell ref="J30:L30"/>
    <mergeCell ref="J31:L31"/>
    <mergeCell ref="J32:L32"/>
    <mergeCell ref="J33:L33"/>
    <mergeCell ref="B94:C94"/>
    <mergeCell ref="B83:C83"/>
    <mergeCell ref="B84:C84"/>
    <mergeCell ref="B85:C85"/>
    <mergeCell ref="B88:C88"/>
    <mergeCell ref="B79:C79"/>
    <mergeCell ref="B73:C73"/>
    <mergeCell ref="CL15:CM15"/>
    <mergeCell ref="CL41:CM41"/>
    <mergeCell ref="CL77:CP77"/>
    <mergeCell ref="CN70:CO70"/>
    <mergeCell ref="CL59:CP59"/>
    <mergeCell ref="CL61:CM61"/>
    <mergeCell ref="CN61:CO61"/>
    <mergeCell ref="CL63:CP63"/>
    <mergeCell ref="CL66:CM66"/>
    <mergeCell ref="CN66:CO66"/>
    <mergeCell ref="CL68:CP68"/>
    <mergeCell ref="CL71:CM71"/>
    <mergeCell ref="CN71:CO71"/>
    <mergeCell ref="CL70:CM70"/>
    <mergeCell ref="J65:L65"/>
    <mergeCell ref="CN86:CO86"/>
    <mergeCell ref="B70:C70"/>
    <mergeCell ref="B78:L78"/>
    <mergeCell ref="E79:L79"/>
    <mergeCell ref="E80:L80"/>
    <mergeCell ref="B81:L81"/>
    <mergeCell ref="E82:L82"/>
    <mergeCell ref="E83:L83"/>
    <mergeCell ref="O98:R98"/>
    <mergeCell ref="O100:R100"/>
    <mergeCell ref="O99:R99"/>
    <mergeCell ref="B80:C80"/>
    <mergeCell ref="Q94:R94"/>
    <mergeCell ref="Q95:R95"/>
    <mergeCell ref="Q96:R96"/>
    <mergeCell ref="B90:C90"/>
    <mergeCell ref="B93:C93"/>
    <mergeCell ref="B87:C87"/>
    <mergeCell ref="B92:C92"/>
    <mergeCell ref="O86:Q86"/>
    <mergeCell ref="P82:R82"/>
    <mergeCell ref="P83:R83"/>
    <mergeCell ref="O73:R73"/>
    <mergeCell ref="O70:R70"/>
    <mergeCell ref="I76:L76"/>
    <mergeCell ref="O94:P94"/>
    <mergeCell ref="O95:P95"/>
    <mergeCell ref="O96:P96"/>
    <mergeCell ref="O88:R88"/>
    <mergeCell ref="O89:P89"/>
    <mergeCell ref="O97:R97"/>
    <mergeCell ref="AE3:AG3"/>
    <mergeCell ref="AD2:AD3"/>
    <mergeCell ref="I35:L35"/>
    <mergeCell ref="AL16:AM16"/>
    <mergeCell ref="AK22:AL22"/>
    <mergeCell ref="AM22:AN22"/>
    <mergeCell ref="B24:C24"/>
    <mergeCell ref="B23:C23"/>
    <mergeCell ref="C5:E5"/>
    <mergeCell ref="AE5:AH5"/>
    <mergeCell ref="AK4:AM4"/>
    <mergeCell ref="Y3:AA3"/>
    <mergeCell ref="N8:O8"/>
    <mergeCell ref="AE47:AH47"/>
    <mergeCell ref="AE14:AH14"/>
    <mergeCell ref="F36:G3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K24:AN24"/>
    <mergeCell ref="AK27:AN27"/>
    <mergeCell ref="AK32:AN32"/>
    <mergeCell ref="AK36:AN36"/>
    <mergeCell ref="AK39:AN39"/>
    <mergeCell ref="AK45:AN45"/>
    <mergeCell ref="B27:C27"/>
    <mergeCell ref="I38:K38"/>
    <mergeCell ref="T99:U99"/>
    <mergeCell ref="O69:R69"/>
    <mergeCell ref="AS63:AT63"/>
    <mergeCell ref="AU63:AW63"/>
    <mergeCell ref="AS58:AT59"/>
    <mergeCell ref="AU58:AW61"/>
    <mergeCell ref="AX58:AZ58"/>
    <mergeCell ref="P38:Q38"/>
    <mergeCell ref="AE43:AH43"/>
    <mergeCell ref="P43:Q43"/>
    <mergeCell ref="Y26:Z26"/>
    <mergeCell ref="AE24:AH26"/>
    <mergeCell ref="P23:Q23"/>
    <mergeCell ref="AK29:AM29"/>
    <mergeCell ref="AL33:AN33"/>
    <mergeCell ref="AL34:AN34"/>
    <mergeCell ref="AL35:AN35"/>
    <mergeCell ref="AL37:AN37"/>
    <mergeCell ref="AL38:AN38"/>
    <mergeCell ref="AL40:AN40"/>
    <mergeCell ref="P61:Q61"/>
    <mergeCell ref="P44:Q44"/>
    <mergeCell ref="Y37:Z37"/>
    <mergeCell ref="P54:Q54"/>
    <mergeCell ref="AE45:AH45"/>
    <mergeCell ref="AK50:AN50"/>
    <mergeCell ref="AJ41:AN41"/>
    <mergeCell ref="AL49:AN49"/>
    <mergeCell ref="AL30:AN30"/>
    <mergeCell ref="AJ42:AN42"/>
    <mergeCell ref="AJ54:AN54"/>
    <mergeCell ref="P40:Q40"/>
    <mergeCell ref="Y99:Y100"/>
    <mergeCell ref="Y92:Y93"/>
    <mergeCell ref="Z95:AF95"/>
    <mergeCell ref="Z81:AF81"/>
    <mergeCell ref="AG81:AH81"/>
    <mergeCell ref="Y82:AF84"/>
    <mergeCell ref="AG82:AH84"/>
    <mergeCell ref="AT99:AW99"/>
    <mergeCell ref="AT98:AW98"/>
    <mergeCell ref="AG86:AH86"/>
    <mergeCell ref="AT90:AW90"/>
    <mergeCell ref="AT72:AW72"/>
    <mergeCell ref="AT92:AW92"/>
    <mergeCell ref="BA51:BE51"/>
    <mergeCell ref="AU46:AW49"/>
    <mergeCell ref="AX46:AZ46"/>
    <mergeCell ref="AT84:AW84"/>
    <mergeCell ref="AX59:AZ59"/>
    <mergeCell ref="AX51:AZ51"/>
    <mergeCell ref="AT74:AW74"/>
    <mergeCell ref="AX67:AZ67"/>
    <mergeCell ref="BA67:BE67"/>
    <mergeCell ref="AT88:AW88"/>
    <mergeCell ref="BA46:BE46"/>
    <mergeCell ref="AK46:AN46"/>
    <mergeCell ref="AK48:AN48"/>
    <mergeCell ref="BA53:BE53"/>
    <mergeCell ref="AT75:AW75"/>
    <mergeCell ref="AJ47:AN47"/>
    <mergeCell ref="Y51:AC53"/>
    <mergeCell ref="Y55:AA55"/>
    <mergeCell ref="Y49:AA49"/>
    <mergeCell ref="V100:W100"/>
    <mergeCell ref="BK94:BL94"/>
    <mergeCell ref="BK91:BL91"/>
    <mergeCell ref="V98:W98"/>
    <mergeCell ref="V99:W99"/>
    <mergeCell ref="AG95:AH95"/>
    <mergeCell ref="Y96:AF98"/>
    <mergeCell ref="AG96:AH98"/>
    <mergeCell ref="BK81:BL81"/>
    <mergeCell ref="AT77:AW77"/>
    <mergeCell ref="AT79:AW79"/>
    <mergeCell ref="AL74:AN74"/>
    <mergeCell ref="AJ68:AN68"/>
    <mergeCell ref="AJ69:AN69"/>
    <mergeCell ref="AK60:AN60"/>
    <mergeCell ref="AT76:AW76"/>
    <mergeCell ref="AT78:AW78"/>
    <mergeCell ref="AK73:AN73"/>
    <mergeCell ref="Z88:AF88"/>
    <mergeCell ref="AG88:AH88"/>
    <mergeCell ref="AJ99:AK99"/>
    <mergeCell ref="AL99:AN99"/>
    <mergeCell ref="AG99:AH99"/>
    <mergeCell ref="BK78:BL78"/>
    <mergeCell ref="AM76:AN76"/>
    <mergeCell ref="AJ76:AL76"/>
    <mergeCell ref="S66:W66"/>
    <mergeCell ref="AY72:BH99"/>
    <mergeCell ref="AY71:BH71"/>
    <mergeCell ref="AR69:BH69"/>
    <mergeCell ref="S78:W78"/>
    <mergeCell ref="S70:W70"/>
    <mergeCell ref="BT99:BU99"/>
    <mergeCell ref="AT93:AW93"/>
    <mergeCell ref="BJ87:BJ89"/>
    <mergeCell ref="BK92:BL92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T91:AW91"/>
    <mergeCell ref="AE23:AH23"/>
    <mergeCell ref="AE27:AH27"/>
    <mergeCell ref="AE17:AF17"/>
    <mergeCell ref="AG17:AH17"/>
    <mergeCell ref="T94:U94"/>
    <mergeCell ref="BK93:BL93"/>
    <mergeCell ref="BA52:BE52"/>
    <mergeCell ref="AL31:AN31"/>
    <mergeCell ref="BK98:BL98"/>
    <mergeCell ref="DD51:DF51"/>
    <mergeCell ref="DH51:DJ51"/>
    <mergeCell ref="DR51:DS51"/>
    <mergeCell ref="BO91:BQ91"/>
    <mergeCell ref="BT91:BU91"/>
    <mergeCell ref="AT97:AW97"/>
    <mergeCell ref="BN87:BN89"/>
    <mergeCell ref="BO87:BQ89"/>
    <mergeCell ref="BS87:BS89"/>
    <mergeCell ref="AT95:AW95"/>
    <mergeCell ref="BT87:BU89"/>
    <mergeCell ref="BT74:BU74"/>
    <mergeCell ref="BO69:BQ71"/>
    <mergeCell ref="BK80:BL80"/>
    <mergeCell ref="BO83:BQ83"/>
    <mergeCell ref="BT83:BU83"/>
    <mergeCell ref="AT87:AW87"/>
    <mergeCell ref="AT89:AW89"/>
    <mergeCell ref="BK87:BL89"/>
    <mergeCell ref="BK73:BL73"/>
    <mergeCell ref="BN69:BN71"/>
    <mergeCell ref="BT94:BU94"/>
    <mergeCell ref="BK95:BL95"/>
    <mergeCell ref="BO95:BQ95"/>
    <mergeCell ref="BT95:BU95"/>
    <mergeCell ref="BO93:BQ93"/>
    <mergeCell ref="BT93:BU93"/>
    <mergeCell ref="BK97:BL97"/>
    <mergeCell ref="BO97:BQ97"/>
    <mergeCell ref="BT97:BU97"/>
    <mergeCell ref="BK83:BL83"/>
    <mergeCell ref="AT83:AW83"/>
    <mergeCell ref="DR48:DS48"/>
    <mergeCell ref="DD49:DF49"/>
    <mergeCell ref="DF80:DJ80"/>
    <mergeCell ref="DF81:DI81"/>
    <mergeCell ref="DF82:DI82"/>
    <mergeCell ref="DF83:DI83"/>
    <mergeCell ref="DI63:DJ63"/>
    <mergeCell ref="DI68:DJ68"/>
    <mergeCell ref="DI69:DJ69"/>
    <mergeCell ref="DI70:DJ70"/>
    <mergeCell ref="DF62:DJ62"/>
    <mergeCell ref="DF63:DH63"/>
    <mergeCell ref="DF64:DG64"/>
    <mergeCell ref="DF65:DG65"/>
    <mergeCell ref="DF66:DG66"/>
    <mergeCell ref="DF67:DG67"/>
    <mergeCell ref="DF68:DH68"/>
    <mergeCell ref="DF69:DH69"/>
    <mergeCell ref="DF70:DH70"/>
    <mergeCell ref="DF72:DJ72"/>
    <mergeCell ref="DF73:DI73"/>
    <mergeCell ref="DF74:DI74"/>
    <mergeCell ref="DF75:DI75"/>
    <mergeCell ref="DF76:DJ76"/>
    <mergeCell ref="DH49:DJ49"/>
    <mergeCell ref="DR49:DS49"/>
    <mergeCell ref="DF77:DI77"/>
    <mergeCell ref="DF78:DI78"/>
    <mergeCell ref="DF79:DI79"/>
    <mergeCell ref="DD50:DF50"/>
    <mergeCell ref="DH50:DJ50"/>
    <mergeCell ref="DR50:DS50"/>
    <mergeCell ref="DD46:DF46"/>
    <mergeCell ref="DD59:DF59"/>
    <mergeCell ref="DH59:DJ59"/>
    <mergeCell ref="DR59:DS59"/>
    <mergeCell ref="DD56:DF56"/>
    <mergeCell ref="DH56:DJ56"/>
    <mergeCell ref="DR56:DS56"/>
    <mergeCell ref="DD57:DF57"/>
    <mergeCell ref="DH57:DJ57"/>
    <mergeCell ref="DR57:DS57"/>
    <mergeCell ref="DD54:DF54"/>
    <mergeCell ref="DH54:DJ54"/>
    <mergeCell ref="DR54:DS54"/>
    <mergeCell ref="DD55:DF55"/>
    <mergeCell ref="DH55:DJ55"/>
    <mergeCell ref="DR55:DS55"/>
    <mergeCell ref="DD52:DF52"/>
    <mergeCell ref="DH52:DJ52"/>
    <mergeCell ref="DR52:DS52"/>
    <mergeCell ref="DD53:DF53"/>
    <mergeCell ref="DH53:DJ53"/>
    <mergeCell ref="DR53:DS53"/>
    <mergeCell ref="DH46:DJ46"/>
    <mergeCell ref="DR46:DS46"/>
    <mergeCell ref="DD47:DF47"/>
    <mergeCell ref="DH47:DJ47"/>
    <mergeCell ref="DR47:DS47"/>
    <mergeCell ref="DD58:DF58"/>
    <mergeCell ref="DH58:DJ58"/>
    <mergeCell ref="DR58:DS58"/>
    <mergeCell ref="DD48:DF48"/>
    <mergeCell ref="DH48:DJ48"/>
    <mergeCell ref="DD45:DF45"/>
    <mergeCell ref="DH45:DJ45"/>
    <mergeCell ref="DR45:DS45"/>
    <mergeCell ref="DD42:DF42"/>
    <mergeCell ref="DH42:DJ42"/>
    <mergeCell ref="DL42:DN42"/>
    <mergeCell ref="DR42:DS42"/>
    <mergeCell ref="DD43:DF43"/>
    <mergeCell ref="DH43:DJ43"/>
    <mergeCell ref="DL43:DN43"/>
    <mergeCell ref="DR43:DS43"/>
    <mergeCell ref="DD40:DF40"/>
    <mergeCell ref="DH40:DJ40"/>
    <mergeCell ref="DL40:DN40"/>
    <mergeCell ref="DR40:DS40"/>
    <mergeCell ref="DD41:DF41"/>
    <mergeCell ref="DH41:DJ41"/>
    <mergeCell ref="DL41:DN41"/>
    <mergeCell ref="DR41:DS41"/>
    <mergeCell ref="DR39:DS39"/>
    <mergeCell ref="DD36:DF36"/>
    <mergeCell ref="DH36:DJ36"/>
    <mergeCell ref="DM36:DO36"/>
    <mergeCell ref="DR36:DS36"/>
    <mergeCell ref="DD37:DF37"/>
    <mergeCell ref="DH37:DJ37"/>
    <mergeCell ref="DR37:DS37"/>
    <mergeCell ref="DD34:DF34"/>
    <mergeCell ref="DH34:DJ34"/>
    <mergeCell ref="DQ34:DX34"/>
    <mergeCell ref="DD35:DF35"/>
    <mergeCell ref="DH35:DJ35"/>
    <mergeCell ref="DM35:DO35"/>
    <mergeCell ref="DR35:DS35"/>
    <mergeCell ref="DH38:DJ38"/>
    <mergeCell ref="DD44:DF44"/>
    <mergeCell ref="DH44:DJ44"/>
    <mergeCell ref="DR44:DS44"/>
    <mergeCell ref="DT14:DU14"/>
    <mergeCell ref="DM13:DN13"/>
    <mergeCell ref="DE31:DF31"/>
    <mergeCell ref="DG31:DH31"/>
    <mergeCell ref="DI31:DJ31"/>
    <mergeCell ref="DL31:DM31"/>
    <mergeCell ref="DN31:DR31"/>
    <mergeCell ref="DS31:DT31"/>
    <mergeCell ref="DM27:DO27"/>
    <mergeCell ref="DD29:DT29"/>
    <mergeCell ref="DE30:DF30"/>
    <mergeCell ref="DG30:DH30"/>
    <mergeCell ref="DI30:DJ30"/>
    <mergeCell ref="DL30:DM30"/>
    <mergeCell ref="DN30:DR30"/>
    <mergeCell ref="DS30:DT30"/>
    <mergeCell ref="DK27:DL27"/>
    <mergeCell ref="DP27:DS27"/>
    <mergeCell ref="DT27:DU27"/>
    <mergeCell ref="DI17:DJ17"/>
    <mergeCell ref="DM17:DN17"/>
    <mergeCell ref="DP17:DR17"/>
    <mergeCell ref="DT17:DU17"/>
    <mergeCell ref="DD22:DE22"/>
    <mergeCell ref="DF22:DG22"/>
    <mergeCell ref="DH22:DI22"/>
    <mergeCell ref="DI16:DJ16"/>
    <mergeCell ref="DM16:DN16"/>
    <mergeCell ref="DP16:DR16"/>
    <mergeCell ref="DT16:DU16"/>
    <mergeCell ref="DT12:DU12"/>
    <mergeCell ref="DI13:DJ13"/>
    <mergeCell ref="DW27:DX27"/>
    <mergeCell ref="DT6:DU6"/>
    <mergeCell ref="DT7:DU7"/>
    <mergeCell ref="DT8:DV8"/>
    <mergeCell ref="DT9:DV10"/>
    <mergeCell ref="DW9:DW10"/>
    <mergeCell ref="DK26:DL26"/>
    <mergeCell ref="DP24:DS24"/>
    <mergeCell ref="DP25:DS25"/>
    <mergeCell ref="DP26:DS26"/>
    <mergeCell ref="DK22:DX22"/>
    <mergeCell ref="DT23:DU23"/>
    <mergeCell ref="DW23:DX23"/>
    <mergeCell ref="DT24:DU24"/>
    <mergeCell ref="DT25:DU25"/>
    <mergeCell ref="DT26:DU26"/>
    <mergeCell ref="DW24:DX24"/>
    <mergeCell ref="DM25:DO25"/>
    <mergeCell ref="DM23:DO23"/>
    <mergeCell ref="DM24:DO24"/>
    <mergeCell ref="DM18:DN18"/>
    <mergeCell ref="DP18:DR18"/>
    <mergeCell ref="DT18:DU18"/>
    <mergeCell ref="DT19:DU19"/>
    <mergeCell ref="DK23:DL23"/>
    <mergeCell ref="DP23:DS23"/>
    <mergeCell ref="DK24:DL24"/>
    <mergeCell ref="DK25:DL25"/>
    <mergeCell ref="DM14:DN14"/>
    <mergeCell ref="DP14:DR14"/>
    <mergeCell ref="DW25:DX25"/>
    <mergeCell ref="DW26:DX26"/>
    <mergeCell ref="DM26:DO26"/>
    <mergeCell ref="DW1:DW3"/>
    <mergeCell ref="DE2:DG2"/>
    <mergeCell ref="DI2:DJ2"/>
    <mergeCell ref="DK2:DL2"/>
    <mergeCell ref="DM2:DR2"/>
    <mergeCell ref="DT2:DU2"/>
    <mergeCell ref="DD3:DR3"/>
    <mergeCell ref="DT3:DU3"/>
    <mergeCell ref="DE1:DG1"/>
    <mergeCell ref="DI1:DJ1"/>
    <mergeCell ref="DK1:DL1"/>
    <mergeCell ref="DM1:DN1"/>
    <mergeCell ref="DP1:DR1"/>
    <mergeCell ref="DT1:DV1"/>
    <mergeCell ref="DI18:DJ18"/>
    <mergeCell ref="DI14:DJ14"/>
    <mergeCell ref="DI15:DJ15"/>
    <mergeCell ref="DM15:DN15"/>
    <mergeCell ref="DP15:DR15"/>
    <mergeCell ref="DT15:DU15"/>
    <mergeCell ref="DI12:DJ12"/>
    <mergeCell ref="DM12:DN12"/>
    <mergeCell ref="DP13:DR13"/>
    <mergeCell ref="DT13:DU13"/>
    <mergeCell ref="DP12:DR12"/>
    <mergeCell ref="DD4:DR10"/>
    <mergeCell ref="DT4:DU4"/>
    <mergeCell ref="DW4:DW6"/>
    <mergeCell ref="DT5:DU5"/>
    <mergeCell ref="BO98:BQ98"/>
    <mergeCell ref="BT98:BU98"/>
    <mergeCell ref="BK96:BL96"/>
    <mergeCell ref="BO96:BQ96"/>
    <mergeCell ref="BT96:BU96"/>
    <mergeCell ref="BO78:BQ78"/>
    <mergeCell ref="BP85:BQ85"/>
    <mergeCell ref="BK84:BL84"/>
    <mergeCell ref="BT92:BU92"/>
    <mergeCell ref="DD38:DF38"/>
    <mergeCell ref="BP86:BQ86"/>
    <mergeCell ref="DL38:DO38"/>
    <mergeCell ref="DR38:DS38"/>
    <mergeCell ref="DD39:DF39"/>
    <mergeCell ref="DH39:DJ39"/>
    <mergeCell ref="DL39:DN39"/>
    <mergeCell ref="T96:U96"/>
    <mergeCell ref="T97:W97"/>
    <mergeCell ref="T98:U98"/>
    <mergeCell ref="V89:W89"/>
    <mergeCell ref="V90:W90"/>
    <mergeCell ref="BO90:BQ90"/>
    <mergeCell ref="AG92:AH92"/>
    <mergeCell ref="Y89:AF91"/>
    <mergeCell ref="AG89:AH91"/>
    <mergeCell ref="V91:W91"/>
    <mergeCell ref="V92:W92"/>
    <mergeCell ref="AJ86:AL86"/>
    <mergeCell ref="AJ87:AL87"/>
    <mergeCell ref="AJ83:AK83"/>
    <mergeCell ref="BK77:BL77"/>
    <mergeCell ref="AT85:AW85"/>
    <mergeCell ref="BO99:BQ99"/>
    <mergeCell ref="V95:W95"/>
    <mergeCell ref="V96:W96"/>
    <mergeCell ref="BO94:BQ94"/>
    <mergeCell ref="BO92:BQ92"/>
    <mergeCell ref="AT96:AW96"/>
    <mergeCell ref="AT94:AW94"/>
    <mergeCell ref="T100:U100"/>
    <mergeCell ref="T95:U95"/>
    <mergeCell ref="BK99:BL99"/>
    <mergeCell ref="T90:U90"/>
    <mergeCell ref="T91:U91"/>
    <mergeCell ref="AT81:AW81"/>
    <mergeCell ref="AG93:AH93"/>
    <mergeCell ref="T92:U92"/>
    <mergeCell ref="AJ94:AK94"/>
    <mergeCell ref="AJ93:AK93"/>
    <mergeCell ref="AJ95:AK95"/>
    <mergeCell ref="AL93:AN93"/>
    <mergeCell ref="AT86:AW86"/>
    <mergeCell ref="AG100:AH100"/>
    <mergeCell ref="AJ88:AL88"/>
    <mergeCell ref="AJ89:AL89"/>
    <mergeCell ref="AJ90:AL90"/>
    <mergeCell ref="AJ97:AN97"/>
    <mergeCell ref="AL98:AN98"/>
    <mergeCell ref="T93:W93"/>
    <mergeCell ref="T89:U89"/>
    <mergeCell ref="AJ98:AK98"/>
    <mergeCell ref="AJ100:AK100"/>
    <mergeCell ref="AJ92:AN92"/>
    <mergeCell ref="AJ85:AL85"/>
    <mergeCell ref="P48:Q48"/>
    <mergeCell ref="S73:W73"/>
    <mergeCell ref="Y66:Z66"/>
    <mergeCell ref="Y67:Z67"/>
    <mergeCell ref="AB67:AH67"/>
    <mergeCell ref="BK90:BL90"/>
    <mergeCell ref="AK66:AN66"/>
    <mergeCell ref="O67:R67"/>
    <mergeCell ref="S67:W67"/>
    <mergeCell ref="AX60:AZ60"/>
    <mergeCell ref="BA60:BE60"/>
    <mergeCell ref="BK79:BL79"/>
    <mergeCell ref="Y78:Y79"/>
    <mergeCell ref="AB66:AH66"/>
    <mergeCell ref="P84:R84"/>
    <mergeCell ref="R86:W86"/>
    <mergeCell ref="AT80:AW80"/>
    <mergeCell ref="O71:R71"/>
    <mergeCell ref="S71:W71"/>
    <mergeCell ref="AK52:AN52"/>
    <mergeCell ref="AJ53:AN53"/>
    <mergeCell ref="Q89:R89"/>
    <mergeCell ref="P60:Q60"/>
    <mergeCell ref="P85:R85"/>
    <mergeCell ref="O80:W80"/>
    <mergeCell ref="BO84:BQ84"/>
    <mergeCell ref="P62:Q62"/>
    <mergeCell ref="AB68:AH68"/>
    <mergeCell ref="Y69:Z69"/>
    <mergeCell ref="AB69:AH69"/>
    <mergeCell ref="Y85:Y86"/>
    <mergeCell ref="AJ84:AN84"/>
    <mergeCell ref="AG85:AH85"/>
    <mergeCell ref="T88:W88"/>
    <mergeCell ref="AT82:AW82"/>
    <mergeCell ref="AK78:AN78"/>
    <mergeCell ref="AJ75:AN75"/>
    <mergeCell ref="AJ77:AN77"/>
    <mergeCell ref="O72:R72"/>
    <mergeCell ref="S72:W72"/>
    <mergeCell ref="BO79:BQ79"/>
    <mergeCell ref="AX65:AZ65"/>
    <mergeCell ref="BA65:BE65"/>
    <mergeCell ref="AJ80:AN80"/>
    <mergeCell ref="AJ81:AK81"/>
    <mergeCell ref="AJ82:AN82"/>
    <mergeCell ref="P81:R81"/>
    <mergeCell ref="B82:C82"/>
    <mergeCell ref="B75:C75"/>
    <mergeCell ref="B74:C74"/>
    <mergeCell ref="B72:C72"/>
    <mergeCell ref="Y57:Z57"/>
    <mergeCell ref="O77:R77"/>
    <mergeCell ref="S77:W77"/>
    <mergeCell ref="O78:R78"/>
    <mergeCell ref="BO81:BQ81"/>
    <mergeCell ref="AG71:AH72"/>
    <mergeCell ref="AT73:AW73"/>
    <mergeCell ref="BT81:BU81"/>
    <mergeCell ref="BT80:BU80"/>
    <mergeCell ref="K67:L67"/>
    <mergeCell ref="H63:L63"/>
    <mergeCell ref="G64:I64"/>
    <mergeCell ref="J64:L64"/>
    <mergeCell ref="K66:L66"/>
    <mergeCell ref="BO74:BQ74"/>
    <mergeCell ref="S69:W69"/>
    <mergeCell ref="BO63:BQ63"/>
    <mergeCell ref="BT63:BU63"/>
    <mergeCell ref="BK66:BL66"/>
    <mergeCell ref="BO66:BQ66"/>
    <mergeCell ref="BT66:BU66"/>
    <mergeCell ref="P63:Q63"/>
    <mergeCell ref="BK76:BL76"/>
    <mergeCell ref="BO59:BQ59"/>
    <mergeCell ref="BO62:BQ62"/>
    <mergeCell ref="BK60:BL60"/>
    <mergeCell ref="BO60:BQ60"/>
    <mergeCell ref="AJ57:AO57"/>
    <mergeCell ref="BT84:BU84"/>
    <mergeCell ref="AG79:AH79"/>
    <mergeCell ref="BO80:BQ80"/>
    <mergeCell ref="BA63:BE63"/>
    <mergeCell ref="AJ63:AN63"/>
    <mergeCell ref="AJ65:AN65"/>
    <mergeCell ref="AJ67:AN67"/>
    <mergeCell ref="AK72:AN72"/>
    <mergeCell ref="AK55:AN55"/>
    <mergeCell ref="AK70:AN70"/>
    <mergeCell ref="AK71:AN71"/>
    <mergeCell ref="Y68:Z68"/>
    <mergeCell ref="O65:R65"/>
    <mergeCell ref="S65:W65"/>
    <mergeCell ref="BK55:BL55"/>
    <mergeCell ref="AE57:AH57"/>
    <mergeCell ref="S74:W74"/>
    <mergeCell ref="O75:R75"/>
    <mergeCell ref="S75:W75"/>
    <mergeCell ref="O76:R76"/>
    <mergeCell ref="O74:R74"/>
    <mergeCell ref="BT79:BU79"/>
    <mergeCell ref="BO76:BQ76"/>
    <mergeCell ref="BO77:BQ77"/>
    <mergeCell ref="BT77:BU77"/>
    <mergeCell ref="AJ58:AN58"/>
    <mergeCell ref="AJ59:AN59"/>
    <mergeCell ref="AA56:AC56"/>
    <mergeCell ref="AA57:AC57"/>
    <mergeCell ref="Y58:AA58"/>
    <mergeCell ref="Y59:AA59"/>
    <mergeCell ref="Y60:AC60"/>
    <mergeCell ref="BK74:BL74"/>
    <mergeCell ref="S76:W76"/>
    <mergeCell ref="BT62:BU62"/>
    <mergeCell ref="P59:Q59"/>
    <mergeCell ref="BK63:BL63"/>
    <mergeCell ref="Y65:AH65"/>
    <mergeCell ref="Y61:AC63"/>
    <mergeCell ref="AE58:AH60"/>
    <mergeCell ref="BT60:BU60"/>
    <mergeCell ref="BT76:BU76"/>
    <mergeCell ref="BT75:BU75"/>
    <mergeCell ref="BJ69:BJ71"/>
    <mergeCell ref="BK69:BL71"/>
    <mergeCell ref="AX66:AZ66"/>
    <mergeCell ref="P56:Q56"/>
    <mergeCell ref="AJ61:AN61"/>
    <mergeCell ref="BN51:BN53"/>
    <mergeCell ref="P53:Q53"/>
    <mergeCell ref="P52:Q52"/>
    <mergeCell ref="AL51:AN51"/>
    <mergeCell ref="BP67:BQ67"/>
    <mergeCell ref="BA66:BE66"/>
    <mergeCell ref="BK61:BL61"/>
    <mergeCell ref="BK75:BL75"/>
    <mergeCell ref="BO75:BQ75"/>
    <mergeCell ref="BY36:BZ94"/>
    <mergeCell ref="CA36:CB94"/>
    <mergeCell ref="BS51:BS53"/>
    <mergeCell ref="BK72:BL72"/>
    <mergeCell ref="BO72:BQ72"/>
    <mergeCell ref="BO51:BQ53"/>
    <mergeCell ref="AU51:AW51"/>
    <mergeCell ref="BO40:BQ40"/>
    <mergeCell ref="BT61:BU61"/>
    <mergeCell ref="BT72:BU72"/>
    <mergeCell ref="BT78:BU78"/>
    <mergeCell ref="BT65:BU65"/>
    <mergeCell ref="BT47:BU47"/>
    <mergeCell ref="AX64:AZ64"/>
    <mergeCell ref="BA64:BE64"/>
    <mergeCell ref="BK59:BL59"/>
    <mergeCell ref="BA57:BE57"/>
    <mergeCell ref="BA58:BE58"/>
    <mergeCell ref="AX61:AZ61"/>
    <mergeCell ref="BK57:BL57"/>
    <mergeCell ref="BK62:BL62"/>
    <mergeCell ref="BA61:BE61"/>
    <mergeCell ref="BT90:BU90"/>
    <mergeCell ref="BK58:BL58"/>
    <mergeCell ref="BO58:BQ58"/>
    <mergeCell ref="AU64:AW67"/>
    <mergeCell ref="BO61:BQ61"/>
    <mergeCell ref="BP68:BQ68"/>
    <mergeCell ref="BA59:BE59"/>
    <mergeCell ref="BK47:BL47"/>
    <mergeCell ref="BO47:BQ47"/>
    <mergeCell ref="BT45:BU45"/>
    <mergeCell ref="AS57:AT57"/>
    <mergeCell ref="AU57:AW57"/>
    <mergeCell ref="AX57:AZ57"/>
    <mergeCell ref="BA55:BE55"/>
    <mergeCell ref="BS69:BS71"/>
    <mergeCell ref="BT69:BU71"/>
    <mergeCell ref="BO73:BQ73"/>
    <mergeCell ref="BT73:BU73"/>
    <mergeCell ref="BT56:BU56"/>
    <mergeCell ref="AX63:AZ63"/>
    <mergeCell ref="AR58:AR59"/>
    <mergeCell ref="AX47:AZ47"/>
    <mergeCell ref="BK56:BL56"/>
    <mergeCell ref="BO56:BQ56"/>
    <mergeCell ref="BK51:BL53"/>
    <mergeCell ref="BK65:BL65"/>
    <mergeCell ref="BO65:BQ65"/>
    <mergeCell ref="BT59:BU59"/>
    <mergeCell ref="BT58:BU58"/>
    <mergeCell ref="AR64:AR65"/>
    <mergeCell ref="AS64:AT65"/>
    <mergeCell ref="AT71:AW71"/>
    <mergeCell ref="BO55:BQ55"/>
    <mergeCell ref="BO57:BQ57"/>
    <mergeCell ref="BT57:BU57"/>
    <mergeCell ref="BK54:BL54"/>
    <mergeCell ref="BO54:BQ54"/>
    <mergeCell ref="BT55:BU55"/>
    <mergeCell ref="AS46:AT47"/>
    <mergeCell ref="BS33:BS35"/>
    <mergeCell ref="BT33:BU35"/>
    <mergeCell ref="BT54:BU54"/>
    <mergeCell ref="BA47:BE47"/>
    <mergeCell ref="AR46:AR47"/>
    <mergeCell ref="Y54:Z54"/>
    <mergeCell ref="P47:Q47"/>
    <mergeCell ref="BJ51:BJ53"/>
    <mergeCell ref="BT51:BU53"/>
    <mergeCell ref="AS45:AT45"/>
    <mergeCell ref="AU45:AW45"/>
    <mergeCell ref="AR52:AR53"/>
    <mergeCell ref="AX54:AZ54"/>
    <mergeCell ref="BA54:BE54"/>
    <mergeCell ref="P39:Q39"/>
    <mergeCell ref="P42:Q42"/>
    <mergeCell ref="P46:Q46"/>
    <mergeCell ref="P45:Q45"/>
    <mergeCell ref="AA36:AC36"/>
    <mergeCell ref="AA37:AC37"/>
    <mergeCell ref="Y38:AA38"/>
    <mergeCell ref="Y39:AA39"/>
    <mergeCell ref="Y40:AC40"/>
    <mergeCell ref="AX45:AZ45"/>
    <mergeCell ref="BK48:BL48"/>
    <mergeCell ref="BT43:BU43"/>
    <mergeCell ref="AX49:AZ49"/>
    <mergeCell ref="BA49:BE49"/>
    <mergeCell ref="BK44:BL44"/>
    <mergeCell ref="BO44:BQ44"/>
    <mergeCell ref="BT44:BU44"/>
    <mergeCell ref="Y50:AC50"/>
    <mergeCell ref="BW36:BX94"/>
    <mergeCell ref="BO48:BQ48"/>
    <mergeCell ref="BT48:BU48"/>
    <mergeCell ref="BP49:BQ49"/>
    <mergeCell ref="BO42:BQ42"/>
    <mergeCell ref="BT42:BU42"/>
    <mergeCell ref="AX48:AZ48"/>
    <mergeCell ref="BA48:BE48"/>
    <mergeCell ref="BK43:BL43"/>
    <mergeCell ref="BO43:BQ43"/>
    <mergeCell ref="AS51:AT51"/>
    <mergeCell ref="AX55:AZ55"/>
    <mergeCell ref="BT41:BU41"/>
    <mergeCell ref="AX53:AZ53"/>
    <mergeCell ref="AU52:AW55"/>
    <mergeCell ref="AX52:AZ52"/>
    <mergeCell ref="AX42:AZ42"/>
    <mergeCell ref="BA42:BE42"/>
    <mergeCell ref="BK37:BL37"/>
    <mergeCell ref="BT37:BU37"/>
    <mergeCell ref="BO45:BQ45"/>
    <mergeCell ref="BA45:BE45"/>
    <mergeCell ref="AS40:AT41"/>
    <mergeCell ref="AU40:AW43"/>
    <mergeCell ref="AX40:AZ40"/>
    <mergeCell ref="AU34:AW37"/>
    <mergeCell ref="AX34:AZ34"/>
    <mergeCell ref="BA34:BE34"/>
    <mergeCell ref="BP50:BQ50"/>
    <mergeCell ref="BT40:BU40"/>
    <mergeCell ref="BK40:BL40"/>
    <mergeCell ref="BK45:BL45"/>
    <mergeCell ref="BW34:BX35"/>
    <mergeCell ref="BY34:BZ35"/>
    <mergeCell ref="CA34:CB35"/>
    <mergeCell ref="P30:Q30"/>
    <mergeCell ref="P35:Q35"/>
    <mergeCell ref="BK39:BL39"/>
    <mergeCell ref="BO39:BQ39"/>
    <mergeCell ref="BT39:BU39"/>
    <mergeCell ref="P34:Q34"/>
    <mergeCell ref="AX43:AZ43"/>
    <mergeCell ref="BA43:BE43"/>
    <mergeCell ref="BK38:BL38"/>
    <mergeCell ref="Y35:AA35"/>
    <mergeCell ref="BO38:BQ38"/>
    <mergeCell ref="BT38:BU38"/>
    <mergeCell ref="BT36:BU36"/>
    <mergeCell ref="BO37:BQ37"/>
    <mergeCell ref="BA40:BE40"/>
    <mergeCell ref="BA35:BE35"/>
    <mergeCell ref="BA36:BE36"/>
    <mergeCell ref="AE33:AH33"/>
    <mergeCell ref="AE34:AH34"/>
    <mergeCell ref="AX37:AZ37"/>
    <mergeCell ref="BA37:BE37"/>
    <mergeCell ref="BO33:BQ35"/>
    <mergeCell ref="BK42:BL42"/>
    <mergeCell ref="Y36:Z36"/>
    <mergeCell ref="AX41:AZ41"/>
    <mergeCell ref="BA41:BE41"/>
    <mergeCell ref="BK36:BL36"/>
    <mergeCell ref="BO36:BQ36"/>
    <mergeCell ref="AR40:AR41"/>
    <mergeCell ref="BN33:BN35"/>
    <mergeCell ref="AS39:AT39"/>
    <mergeCell ref="AU39:AW39"/>
    <mergeCell ref="AX39:AZ39"/>
    <mergeCell ref="BA39:BE39"/>
    <mergeCell ref="AX36:AZ36"/>
    <mergeCell ref="Y31:AC33"/>
    <mergeCell ref="AS34:AT35"/>
    <mergeCell ref="AR34:AR35"/>
    <mergeCell ref="AE40:AH40"/>
    <mergeCell ref="AE42:AH42"/>
    <mergeCell ref="AE36:AH38"/>
    <mergeCell ref="AE39:AH39"/>
    <mergeCell ref="BO41:BQ41"/>
    <mergeCell ref="AS33:AT33"/>
    <mergeCell ref="AU33:AW33"/>
    <mergeCell ref="AX33:AZ33"/>
    <mergeCell ref="BA33:BE33"/>
    <mergeCell ref="Y41:AC43"/>
    <mergeCell ref="BK41:BL41"/>
    <mergeCell ref="BR20:BT20"/>
    <mergeCell ref="AE30:AH30"/>
    <mergeCell ref="AE31:AH31"/>
    <mergeCell ref="P22:Q22"/>
    <mergeCell ref="BJ21:BK21"/>
    <mergeCell ref="BR16:BT16"/>
    <mergeCell ref="BR17:BT17"/>
    <mergeCell ref="AE28:AH28"/>
    <mergeCell ref="BJ20:BK20"/>
    <mergeCell ref="P24:Q24"/>
    <mergeCell ref="AU20:AV20"/>
    <mergeCell ref="BG20:BH20"/>
    <mergeCell ref="AK20:AN20"/>
    <mergeCell ref="AE22:AH22"/>
    <mergeCell ref="BJ22:BK22"/>
    <mergeCell ref="AJ23:AN23"/>
    <mergeCell ref="AW20:AX20"/>
    <mergeCell ref="AW21:AX21"/>
    <mergeCell ref="AW22:AX22"/>
    <mergeCell ref="AU21:AV21"/>
    <mergeCell ref="AS23:AV25"/>
    <mergeCell ref="BG22:BH22"/>
    <mergeCell ref="AW23:AX25"/>
    <mergeCell ref="Y27:Z27"/>
    <mergeCell ref="P25:Q25"/>
    <mergeCell ref="AR27:BH27"/>
    <mergeCell ref="AL17:AN17"/>
    <mergeCell ref="AL18:AN18"/>
    <mergeCell ref="AL19:AN19"/>
    <mergeCell ref="AL25:AN25"/>
    <mergeCell ref="AL26:AN26"/>
    <mergeCell ref="BA17:BB17"/>
    <mergeCell ref="BW19:CC19"/>
    <mergeCell ref="BY18:BZ18"/>
    <mergeCell ref="Y17:Z17"/>
    <mergeCell ref="Y16:Z16"/>
    <mergeCell ref="BT30:BU30"/>
    <mergeCell ref="BY26:BZ26"/>
    <mergeCell ref="Y25:AA25"/>
    <mergeCell ref="P27:Q27"/>
    <mergeCell ref="BP31:BQ31"/>
    <mergeCell ref="BT29:BU29"/>
    <mergeCell ref="BY25:BZ25"/>
    <mergeCell ref="BR15:BT1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8:AH19"/>
    <mergeCell ref="P28:Q28"/>
    <mergeCell ref="BW28:CC31"/>
    <mergeCell ref="AA27:AC27"/>
    <mergeCell ref="P18:Q18"/>
    <mergeCell ref="BW27:CC27"/>
    <mergeCell ref="P29:Q29"/>
    <mergeCell ref="Y29:AA29"/>
    <mergeCell ref="Y30:AC30"/>
    <mergeCell ref="AE16:AF16"/>
    <mergeCell ref="AG16:AH16"/>
    <mergeCell ref="AJ28:AN28"/>
    <mergeCell ref="BK30:BL30"/>
    <mergeCell ref="P26:Q26"/>
    <mergeCell ref="AX35:AZ35"/>
    <mergeCell ref="Y28:AA28"/>
    <mergeCell ref="BK29:BL29"/>
    <mergeCell ref="AR28:BH31"/>
    <mergeCell ref="AE21:AH21"/>
    <mergeCell ref="BO29:BQ29"/>
    <mergeCell ref="BO30:BQ30"/>
    <mergeCell ref="Y15:AA15"/>
    <mergeCell ref="P16:Q16"/>
    <mergeCell ref="BJ15:BK15"/>
    <mergeCell ref="P20:Q20"/>
    <mergeCell ref="BJ19:BK19"/>
    <mergeCell ref="BJ18:BK18"/>
    <mergeCell ref="BP32:BQ32"/>
    <mergeCell ref="AE35:AH35"/>
    <mergeCell ref="BJ33:BJ35"/>
    <mergeCell ref="P33:Q33"/>
    <mergeCell ref="AE15:AF15"/>
    <mergeCell ref="BC17:BD17"/>
    <mergeCell ref="BA15:BB15"/>
    <mergeCell ref="BC15:BD15"/>
    <mergeCell ref="BF15:BH17"/>
    <mergeCell ref="BA16:BB16"/>
    <mergeCell ref="BC16:BD16"/>
    <mergeCell ref="AE18:AF19"/>
    <mergeCell ref="P17:Q17"/>
    <mergeCell ref="AK21:AN21"/>
    <mergeCell ref="P21:Q21"/>
    <mergeCell ref="BJ27:BK27"/>
    <mergeCell ref="BK33:BL35"/>
    <mergeCell ref="BY9:BZ9"/>
    <mergeCell ref="BN2:BP2"/>
    <mergeCell ref="BW11:CC11"/>
    <mergeCell ref="BR12:BT12"/>
    <mergeCell ref="BW12:CC15"/>
    <mergeCell ref="BJ13:BK13"/>
    <mergeCell ref="BA14:BB14"/>
    <mergeCell ref="AV10:AW10"/>
    <mergeCell ref="AV11:AW11"/>
    <mergeCell ref="AV13:AW13"/>
    <mergeCell ref="O12:W12"/>
    <mergeCell ref="AR12:AS12"/>
    <mergeCell ref="BJ11:BK11"/>
    <mergeCell ref="BR9:BT9"/>
    <mergeCell ref="P19:Q19"/>
    <mergeCell ref="BW3:CC3"/>
    <mergeCell ref="N5:O5"/>
    <mergeCell ref="AJ2:AN2"/>
    <mergeCell ref="AJ3:AN3"/>
    <mergeCell ref="BJ1:BL2"/>
    <mergeCell ref="BR14:BT14"/>
    <mergeCell ref="BR2:BT2"/>
    <mergeCell ref="BY2:BZ2"/>
    <mergeCell ref="AR3:AS3"/>
    <mergeCell ref="BW4:CC7"/>
    <mergeCell ref="BN5:BP5"/>
    <mergeCell ref="BR5:BT5"/>
    <mergeCell ref="BY10:BZ10"/>
    <mergeCell ref="BR1:BT1"/>
    <mergeCell ref="BY1:BZ1"/>
    <mergeCell ref="AL5:AN5"/>
    <mergeCell ref="AK6:AN6"/>
    <mergeCell ref="BJ4:BK4"/>
    <mergeCell ref="BN4:BP4"/>
    <mergeCell ref="BR4:BT4"/>
    <mergeCell ref="BA3:BB3"/>
    <mergeCell ref="BA4:BB4"/>
    <mergeCell ref="BA5:BB5"/>
    <mergeCell ref="AR11:AS11"/>
    <mergeCell ref="AR10:AS10"/>
    <mergeCell ref="BF13:BG13"/>
    <mergeCell ref="AR15:AS15"/>
    <mergeCell ref="BJ14:BK14"/>
    <mergeCell ref="AR14:AS14"/>
    <mergeCell ref="AR13:AT13"/>
    <mergeCell ref="BR13:BT13"/>
    <mergeCell ref="AW6:AY6"/>
    <mergeCell ref="AW7:AY7"/>
    <mergeCell ref="AX10:AY10"/>
    <mergeCell ref="AX11:AY11"/>
    <mergeCell ref="BA13:BB13"/>
    <mergeCell ref="BF14:BH14"/>
    <mergeCell ref="AV14:AW14"/>
    <mergeCell ref="AX14:AY14"/>
    <mergeCell ref="BF5:BH5"/>
    <mergeCell ref="BF6:BH6"/>
    <mergeCell ref="AV2:AY2"/>
    <mergeCell ref="BF11:BG11"/>
    <mergeCell ref="BR3:BT3"/>
    <mergeCell ref="BF12:BG12"/>
    <mergeCell ref="BR8:BT8"/>
    <mergeCell ref="AR9:AS9"/>
    <mergeCell ref="BR11:BT11"/>
    <mergeCell ref="BN1:BP1"/>
    <mergeCell ref="BF2:BH2"/>
    <mergeCell ref="BA6:BB6"/>
    <mergeCell ref="BF10:BG10"/>
    <mergeCell ref="BJ6:BK6"/>
    <mergeCell ref="BA7:BB7"/>
    <mergeCell ref="BA8:BB8"/>
    <mergeCell ref="BA9:BB9"/>
    <mergeCell ref="BA10:BB10"/>
    <mergeCell ref="BA11:BB11"/>
    <mergeCell ref="BA12:BB12"/>
    <mergeCell ref="BA2:BB2"/>
    <mergeCell ref="AV4:AY4"/>
    <mergeCell ref="AV9:AY9"/>
    <mergeCell ref="AW5:AY5"/>
    <mergeCell ref="AR5:AS5"/>
    <mergeCell ref="BF9:BG9"/>
    <mergeCell ref="BJ5:BK5"/>
    <mergeCell ref="BR6:BT6"/>
    <mergeCell ref="BJ10:BK10"/>
    <mergeCell ref="BR10:BT10"/>
    <mergeCell ref="BN7:BP7"/>
    <mergeCell ref="AR6:AS6"/>
    <mergeCell ref="BR7:BT7"/>
    <mergeCell ref="BF4:BH4"/>
    <mergeCell ref="AR1:AT1"/>
    <mergeCell ref="BF1:BH1"/>
    <mergeCell ref="AR4:AS4"/>
    <mergeCell ref="BJ3:BK3"/>
    <mergeCell ref="BN3:BP3"/>
    <mergeCell ref="BA1:BD1"/>
    <mergeCell ref="AV1:AY1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H13:I13"/>
    <mergeCell ref="H12:I12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AE1:AG1"/>
    <mergeCell ref="AE2:AG2"/>
    <mergeCell ref="B26:C26"/>
    <mergeCell ref="P36:Q36"/>
    <mergeCell ref="C2:E2"/>
    <mergeCell ref="L2:M2"/>
    <mergeCell ref="N2:O2"/>
    <mergeCell ref="H14:I14"/>
    <mergeCell ref="L4:M4"/>
    <mergeCell ref="N4:O4"/>
    <mergeCell ref="P31:Q31"/>
    <mergeCell ref="P41:Q41"/>
    <mergeCell ref="H11:I11"/>
    <mergeCell ref="H10:J10"/>
    <mergeCell ref="B36:C36"/>
    <mergeCell ref="D36:E36"/>
    <mergeCell ref="B7:C7"/>
    <mergeCell ref="D7:E7"/>
    <mergeCell ref="H15:I15"/>
    <mergeCell ref="H16:I16"/>
    <mergeCell ref="H17:I17"/>
    <mergeCell ref="H18:I18"/>
    <mergeCell ref="H19:I19"/>
    <mergeCell ref="H20:I20"/>
    <mergeCell ref="L7:M7"/>
    <mergeCell ref="N7:O7"/>
    <mergeCell ref="B6:I6"/>
    <mergeCell ref="N6:O6"/>
    <mergeCell ref="B22:H22"/>
    <mergeCell ref="P37:Q37"/>
    <mergeCell ref="B25:C25"/>
    <mergeCell ref="P32:Q32"/>
    <mergeCell ref="AL94:AN94"/>
    <mergeCell ref="AE62:AH62"/>
    <mergeCell ref="AE63:AH63"/>
    <mergeCell ref="AE48:AH50"/>
    <mergeCell ref="AE52:AH52"/>
    <mergeCell ref="AE53:AH53"/>
    <mergeCell ref="AJ43:AN43"/>
    <mergeCell ref="AJ44:AN44"/>
    <mergeCell ref="Y71:AF72"/>
    <mergeCell ref="AK62:AN62"/>
    <mergeCell ref="AK64:AN64"/>
    <mergeCell ref="Y56:Z56"/>
    <mergeCell ref="Y47:Z47"/>
    <mergeCell ref="AG74:AH74"/>
    <mergeCell ref="AG75:AH77"/>
    <mergeCell ref="Z74:AF74"/>
    <mergeCell ref="Y75:AF77"/>
    <mergeCell ref="AG78:AH78"/>
    <mergeCell ref="V94:W94"/>
    <mergeCell ref="C63:F63"/>
    <mergeCell ref="P51:Q51"/>
    <mergeCell ref="C45:F45"/>
    <mergeCell ref="C57:F57"/>
    <mergeCell ref="AE46:AH46"/>
    <mergeCell ref="Y46:Z46"/>
    <mergeCell ref="P55:Q55"/>
    <mergeCell ref="P58:Q58"/>
    <mergeCell ref="O68:R68"/>
    <mergeCell ref="S68:W68"/>
    <mergeCell ref="P57:Q57"/>
    <mergeCell ref="P49:Q49"/>
    <mergeCell ref="Y45:AA45"/>
    <mergeCell ref="O66:R66"/>
    <mergeCell ref="C51:F51"/>
    <mergeCell ref="K48:L48"/>
    <mergeCell ref="H45:L45"/>
    <mergeCell ref="J46:L46"/>
    <mergeCell ref="J47:L47"/>
    <mergeCell ref="G46:I46"/>
    <mergeCell ref="P50:Q50"/>
    <mergeCell ref="B71:C71"/>
    <mergeCell ref="B76:C76"/>
    <mergeCell ref="G47:I47"/>
    <mergeCell ref="K49:L49"/>
    <mergeCell ref="I70:L70"/>
    <mergeCell ref="I71:L71"/>
    <mergeCell ref="I72:L72"/>
    <mergeCell ref="I73:L73"/>
    <mergeCell ref="I74:L74"/>
    <mergeCell ref="I75:L75"/>
    <mergeCell ref="CF5:CG5"/>
    <mergeCell ref="CH5:CI5"/>
    <mergeCell ref="CF6:CG6"/>
    <mergeCell ref="CH6:CI6"/>
    <mergeCell ref="B35:G35"/>
    <mergeCell ref="BJ17:BL17"/>
    <mergeCell ref="BJ23:BK23"/>
    <mergeCell ref="BN10:BN11"/>
    <mergeCell ref="BO10:BP11"/>
    <mergeCell ref="BN12:BN13"/>
    <mergeCell ref="BO12:BP13"/>
    <mergeCell ref="BN17:BN18"/>
    <mergeCell ref="BO17:BP18"/>
    <mergeCell ref="BN19:BN20"/>
    <mergeCell ref="BO19:BP20"/>
    <mergeCell ref="BN24:BN25"/>
    <mergeCell ref="BO24:BP25"/>
    <mergeCell ref="BN26:BN27"/>
    <mergeCell ref="BO26:BP27"/>
    <mergeCell ref="BJ24:BK24"/>
    <mergeCell ref="BJ25:BK25"/>
    <mergeCell ref="BJ26:BK26"/>
    <mergeCell ref="BJ9:BK9"/>
    <mergeCell ref="L5:M5"/>
    <mergeCell ref="L6:M6"/>
    <mergeCell ref="P15:Q15"/>
    <mergeCell ref="P14:Q14"/>
    <mergeCell ref="P13:Q13"/>
    <mergeCell ref="Z12:AC12"/>
    <mergeCell ref="CH20:CI20"/>
    <mergeCell ref="CF21:CG21"/>
    <mergeCell ref="CF22:CJ22"/>
    <mergeCell ref="CW1:CY1"/>
    <mergeCell ref="DA1:DB1"/>
    <mergeCell ref="CX2:CY2"/>
    <mergeCell ref="DA2:DB17"/>
    <mergeCell ref="CX3:CY3"/>
    <mergeCell ref="CX4:CY4"/>
    <mergeCell ref="CW6:CY6"/>
    <mergeCell ref="CW11:CY11"/>
    <mergeCell ref="CW12:CX12"/>
    <mergeCell ref="CW13:CX13"/>
    <mergeCell ref="BR22:BU22"/>
    <mergeCell ref="BR23:BT23"/>
    <mergeCell ref="BR24:BT24"/>
    <mergeCell ref="BR25:BT25"/>
    <mergeCell ref="BR26:BT26"/>
    <mergeCell ref="BR18:BT18"/>
    <mergeCell ref="BR19:BT19"/>
    <mergeCell ref="CL5:CM5"/>
    <mergeCell ref="CN5:CO5"/>
    <mergeCell ref="CL7:CP7"/>
    <mergeCell ref="CL10:CM10"/>
    <mergeCell ref="CN10:CO10"/>
    <mergeCell ref="CL12:CP12"/>
    <mergeCell ref="CW26:CY26"/>
    <mergeCell ref="CZ26:DB26"/>
    <mergeCell ref="CF13:CJ13"/>
    <mergeCell ref="CF15:CG15"/>
    <mergeCell ref="CH15:CI15"/>
    <mergeCell ref="CF16:CG16"/>
    <mergeCell ref="CH16:CI16"/>
    <mergeCell ref="CF17:CJ17"/>
    <mergeCell ref="CF18:CJ18"/>
    <mergeCell ref="CW27:CY27"/>
    <mergeCell ref="CZ27:DB27"/>
    <mergeCell ref="CF7:CJ7"/>
    <mergeCell ref="CF8:CJ8"/>
    <mergeCell ref="CF4:CJ4"/>
    <mergeCell ref="CF10:CG10"/>
    <mergeCell ref="CW28:CY28"/>
    <mergeCell ref="CZ28:DB28"/>
    <mergeCell ref="CW29:CY29"/>
    <mergeCell ref="CZ29:DB29"/>
    <mergeCell ref="CW30:CY30"/>
    <mergeCell ref="CZ30:DB30"/>
    <mergeCell ref="CW31:CY31"/>
    <mergeCell ref="CZ31:DB31"/>
    <mergeCell ref="CW32:CY32"/>
    <mergeCell ref="CZ32:DB32"/>
    <mergeCell ref="CW14:CX14"/>
    <mergeCell ref="CW15:CX15"/>
    <mergeCell ref="CW16:CX16"/>
    <mergeCell ref="CW17:CX17"/>
    <mergeCell ref="CW19:CY19"/>
    <mergeCell ref="CW20:CX20"/>
    <mergeCell ref="CW21:CX21"/>
    <mergeCell ref="CW22:CX22"/>
    <mergeCell ref="CW24:CY24"/>
    <mergeCell ref="CZ24:DB24"/>
    <mergeCell ref="CW25:CY25"/>
    <mergeCell ref="CZ25:DB25"/>
    <mergeCell ref="CH10:CI10"/>
    <mergeCell ref="CF11:CG11"/>
    <mergeCell ref="CH11:CI11"/>
    <mergeCell ref="CF12:CJ12"/>
    <mergeCell ref="CW41:CY41"/>
    <mergeCell ref="CZ41:DA41"/>
    <mergeCell ref="CR47:DB48"/>
    <mergeCell ref="CR49:DB97"/>
    <mergeCell ref="CZ34:DB34"/>
    <mergeCell ref="CW35:CY35"/>
    <mergeCell ref="CZ35:DB35"/>
    <mergeCell ref="CW36:CY36"/>
    <mergeCell ref="CZ36:DB36"/>
    <mergeCell ref="CW37:CY37"/>
    <mergeCell ref="CZ37:DA37"/>
    <mergeCell ref="CW38:CY38"/>
    <mergeCell ref="CZ38:DA38"/>
    <mergeCell ref="CW39:CY39"/>
    <mergeCell ref="CZ39:DA39"/>
    <mergeCell ref="CW40:CY40"/>
    <mergeCell ref="CZ40:DA40"/>
    <mergeCell ref="CF23:CJ23"/>
    <mergeCell ref="CF25:CG25"/>
    <mergeCell ref="CH25:CI25"/>
    <mergeCell ref="CF26:CG26"/>
    <mergeCell ref="CH26:CI26"/>
    <mergeCell ref="CF27:CJ27"/>
    <mergeCell ref="CF28:CJ28"/>
    <mergeCell ref="CF30:CG30"/>
    <mergeCell ref="CH30:CI30"/>
    <mergeCell ref="CF31:CG31"/>
    <mergeCell ref="CH31:CI31"/>
    <mergeCell ref="CF32:CJ32"/>
    <mergeCell ref="CF33:CJ33"/>
    <mergeCell ref="CF35:CG35"/>
    <mergeCell ref="CH35:CI35"/>
    <mergeCell ref="CF20:CG20"/>
    <mergeCell ref="CF36:CG36"/>
    <mergeCell ref="CH36:CI36"/>
    <mergeCell ref="CF37:CJ37"/>
    <mergeCell ref="CF38:CJ38"/>
    <mergeCell ref="CF40:CG40"/>
    <mergeCell ref="CH40:CI40"/>
    <mergeCell ref="CF41:CG41"/>
    <mergeCell ref="CH41:CI41"/>
    <mergeCell ref="CF42:CJ42"/>
    <mergeCell ref="CF43:CJ43"/>
    <mergeCell ref="CF45:CG45"/>
    <mergeCell ref="CH45:CI45"/>
    <mergeCell ref="CF46:CG46"/>
    <mergeCell ref="CH46:CI46"/>
    <mergeCell ref="CF47:CJ47"/>
    <mergeCell ref="CF48:CJ48"/>
    <mergeCell ref="CF50:CG50"/>
    <mergeCell ref="CH50:CI50"/>
    <mergeCell ref="CF72:CJ72"/>
    <mergeCell ref="CH71:CI71"/>
    <mergeCell ref="CF73:CJ73"/>
    <mergeCell ref="CF75:CG75"/>
    <mergeCell ref="CH75:CI75"/>
    <mergeCell ref="CF76:CG76"/>
    <mergeCell ref="CH76:CI76"/>
    <mergeCell ref="CF77:CJ77"/>
    <mergeCell ref="CF78:CJ78"/>
    <mergeCell ref="CF80:CG80"/>
    <mergeCell ref="CH80:CI80"/>
    <mergeCell ref="CF81:CG81"/>
    <mergeCell ref="CH81:CI81"/>
    <mergeCell ref="CF97:CJ97"/>
    <mergeCell ref="CF51:CG51"/>
    <mergeCell ref="CH51:CI51"/>
    <mergeCell ref="CF52:CJ52"/>
    <mergeCell ref="CF53:CJ53"/>
    <mergeCell ref="CF59:CJ59"/>
    <mergeCell ref="CF60:CG60"/>
    <mergeCell ref="CH60:CI60"/>
    <mergeCell ref="CF61:CG61"/>
    <mergeCell ref="CH61:CI61"/>
    <mergeCell ref="CF62:CJ62"/>
    <mergeCell ref="CF63:CJ63"/>
    <mergeCell ref="CF65:CG65"/>
    <mergeCell ref="CH65:CI65"/>
    <mergeCell ref="CF66:CG66"/>
    <mergeCell ref="CH66:CI66"/>
    <mergeCell ref="CF67:CJ67"/>
    <mergeCell ref="CF68:CJ68"/>
    <mergeCell ref="CF70:CG70"/>
    <mergeCell ref="CH70:CI70"/>
    <mergeCell ref="CF71:CG71"/>
    <mergeCell ref="CF98:CJ98"/>
    <mergeCell ref="CF82:CJ82"/>
    <mergeCell ref="CF83:CJ83"/>
    <mergeCell ref="CF85:CG85"/>
    <mergeCell ref="CH85:CI85"/>
    <mergeCell ref="CF86:CG86"/>
    <mergeCell ref="CH86:CI86"/>
    <mergeCell ref="CF87:CJ87"/>
    <mergeCell ref="CF88:CJ88"/>
    <mergeCell ref="CF90:CG90"/>
    <mergeCell ref="CH90:CI90"/>
    <mergeCell ref="CF91:CG91"/>
    <mergeCell ref="CH91:CI91"/>
    <mergeCell ref="CF92:CJ92"/>
    <mergeCell ref="CF93:CJ93"/>
    <mergeCell ref="CF95:CG95"/>
    <mergeCell ref="CH95:CI95"/>
    <mergeCell ref="CF96:CG96"/>
    <mergeCell ref="CH96:CI96"/>
  </mergeCells>
  <conditionalFormatting sqref="AB4">
    <cfRule type="cellIs" dxfId="141" priority="32" stopIfTrue="1" operator="lessThan">
      <formula>0</formula>
    </cfRule>
  </conditionalFormatting>
  <conditionalFormatting sqref="BU20">
    <cfRule type="cellIs" dxfId="140" priority="25" operator="lessThan">
      <formula>0</formula>
    </cfRule>
  </conditionalFormatting>
  <conditionalFormatting sqref="BU2:BU17">
    <cfRule type="cellIs" dxfId="139" priority="24" operator="greaterThan">
      <formula>100</formula>
    </cfRule>
  </conditionalFormatting>
  <conditionalFormatting sqref="AR15:AS15">
    <cfRule type="cellIs" dxfId="138" priority="22" operator="greaterThan">
      <formula>"&gt;30"</formula>
    </cfRule>
  </conditionalFormatting>
  <conditionalFormatting sqref="AT15">
    <cfRule type="cellIs" dxfId="137" priority="21" operator="greaterThan">
      <formula>"&gt;30"</formula>
    </cfRule>
  </conditionalFormatting>
  <conditionalFormatting sqref="AB5">
    <cfRule type="expression" dxfId="136" priority="37">
      <formula>#REF!&gt;#REF!</formula>
    </cfRule>
  </conditionalFormatting>
  <conditionalFormatting sqref="BU18:BU19">
    <cfRule type="cellIs" dxfId="135" priority="19" operator="greaterThan">
      <formula>100</formula>
    </cfRule>
  </conditionalFormatting>
  <conditionalFormatting sqref="CI2">
    <cfRule type="expression" dxfId="134" priority="18">
      <formula>$CI$2&lt;0</formula>
    </cfRule>
  </conditionalFormatting>
  <conditionalFormatting sqref="CO2">
    <cfRule type="expression" dxfId="133" priority="17">
      <formula>$CO$2&lt;0</formula>
    </cfRule>
  </conditionalFormatting>
  <conditionalFormatting sqref="CI57">
    <cfRule type="expression" dxfId="132" priority="16">
      <formula>$CI$57&lt;0</formula>
    </cfRule>
  </conditionalFormatting>
  <conditionalFormatting sqref="CO57">
    <cfRule type="expression" dxfId="131" priority="15">
      <formula>$CO$57&lt;0</formula>
    </cfRule>
  </conditionalFormatting>
  <conditionalFormatting sqref="BC17:BD17">
    <cfRule type="expression" dxfId="130" priority="58">
      <formula>$BC$16&gt;$BC$17</formula>
    </cfRule>
  </conditionalFormatting>
  <conditionalFormatting sqref="C29:I29">
    <cfRule type="expression" dxfId="129" priority="13">
      <formula>$B$24=0</formula>
    </cfRule>
  </conditionalFormatting>
  <conditionalFormatting sqref="C30:I30">
    <cfRule type="expression" dxfId="128" priority="12">
      <formula>$B$25=0</formula>
    </cfRule>
  </conditionalFormatting>
  <conditionalFormatting sqref="C31:I31">
    <cfRule type="expression" dxfId="127" priority="11">
      <formula>$B$26=0</formula>
    </cfRule>
  </conditionalFormatting>
  <conditionalFormatting sqref="C32:I32">
    <cfRule type="expression" dxfId="126" priority="10">
      <formula>$B$27=0</formula>
    </cfRule>
  </conditionalFormatting>
  <conditionalFormatting sqref="C33:I33">
    <cfRule type="expression" dxfId="125" priority="9">
      <formula>AND($B$24=0,$B$25=0,$B$26=0)</formula>
    </cfRule>
  </conditionalFormatting>
  <conditionalFormatting sqref="B47:F47">
    <cfRule type="expression" dxfId="124" priority="8">
      <formula>$C45=0</formula>
    </cfRule>
  </conditionalFormatting>
  <conditionalFormatting sqref="B49:E49">
    <cfRule type="expression" dxfId="123" priority="7">
      <formula>$C45=0</formula>
    </cfRule>
  </conditionalFormatting>
  <conditionalFormatting sqref="B53:F53">
    <cfRule type="expression" dxfId="122" priority="6">
      <formula>$C51=0</formula>
    </cfRule>
  </conditionalFormatting>
  <conditionalFormatting sqref="B55:E55">
    <cfRule type="expression" dxfId="121" priority="5">
      <formula>$C51=0</formula>
    </cfRule>
  </conditionalFormatting>
  <conditionalFormatting sqref="B59:F59">
    <cfRule type="expression" dxfId="120" priority="4">
      <formula>$C57=0</formula>
    </cfRule>
  </conditionalFormatting>
  <conditionalFormatting sqref="B61:E61">
    <cfRule type="expression" dxfId="119" priority="3">
      <formula>$C57=0</formula>
    </cfRule>
  </conditionalFormatting>
  <conditionalFormatting sqref="B65:F65">
    <cfRule type="expression" dxfId="118" priority="2">
      <formula>$C63=0</formula>
    </cfRule>
  </conditionalFormatting>
  <conditionalFormatting sqref="B67:E67">
    <cfRule type="expression" dxfId="117" priority="1">
      <formula>$C63=0</formula>
    </cfRule>
  </conditionalFormatting>
  <dataValidations xWindow="206" yWindow="372" count="34">
    <dataValidation type="list" operator="equal" allowBlank="1" showInputMessage="1" showErrorMessage="1" sqref="C2:E2 DM2">
      <formula1>Arquetipo</formula1>
      <formula2>0</formula2>
    </dataValidation>
    <dataValidation type="list" operator="equal" allowBlank="1" showInputMessage="1" showErrorMessage="1" promptTitle="Primer arte marcial" prompt="Si el arte marcial es tu primera forma de combate su coste se reduce a la mitad, solo afecta al primer arte marcial que desarrolles" sqref="Y13">
      <formula1>"Si,No"</formula1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6:W66">
      <formula1>ve.1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Q96:R96 DI70:DJ70">
      <formula1>Necesidades</formula1>
    </dataValidation>
    <dataValidation type="list" allowBlank="1" showInputMessage="1" showErrorMessage="1" sqref="AR34:AR35 AR58:AR59 AR40:AR41 AR46:AR47 AR52:AR53 AR64:AR65 AR72:AR99">
      <formula1>vias</formula1>
    </dataValidation>
    <dataValidation type="list" allowBlank="1" showInputMessage="1" showErrorMessage="1" sqref="BJ30 BJ48 BJ66 BJ84 BS30 BS48 BS66 BS84 BN30 BN48 BN66 BN84 BN2:BP5">
      <formula1>podpsi1</formula1>
    </dataValidation>
    <dataValidation type="list" allowBlank="1" showInputMessage="1" showErrorMessage="1" sqref="B45 B57 B51 B63">
      <formula1>a.0</formula1>
    </dataValidation>
    <dataValidation type="list" operator="equal" allowBlank="1" showInputMessage="1" showErrorMessage="1" promptTitle="Armaduras" prompt="Solo se puede poner una armadura dura con hasta dos capas blandas." sqref="B25:C26">
      <formula1>ar.0</formula1>
    </dataValidation>
    <dataValidation type="list" operator="equal" allowBlank="1" showInputMessage="1" showErrorMessage="1" promptTitle="Yelmo" prompt="El yelmo no cuenta en la suma final._x000a_El penalizador natural de yelmo se resta a las habilidades perceptivas.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43 AP49 AP51 AP74 AP78 AP2">
      <formula1>"40"</formula1>
    </dataValidation>
    <dataValidation type="list" allowBlank="1" showInputMessage="1" showErrorMessage="1" sqref="AP21 AP45 AP47:AP48 AP50 AP54 AP75 AP60:AP61 AP63 AP65 AP67:AP68 AP72 AP3">
      <formula1>"30"</formula1>
    </dataValidation>
    <dataValidation type="list" allowBlank="1" showInputMessage="1" showErrorMessage="1" sqref="AP7 AP9:AP10 AP20 AP33:AP37 AP39:AP40 AP42 AP46 AP52 AP77 AP62 AP64 AP66 AP71 AP73 AP4">
      <formula1>"20"</formula1>
    </dataValidation>
    <dataValidation type="list" allowBlank="1" showInputMessage="1" showErrorMessage="1" sqref="AP8 AP11:AP19 AP22:AP32 AP38 AP44 AP76 AP69:AP70 AP5:AP6">
      <formula1>"10"</formula1>
    </dataValidation>
    <dataValidation type="list" allowBlank="1" showInputMessage="1" showErrorMessage="1" sqref="AP53 AP55 AP41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  <dataValidation type="list" operator="equal" allowBlank="1" showInputMessage="1" showErrorMessage="1" promptTitle="Armaduras" prompt="Solo se puede poner una armadura dura con hasta dos capas blandas._x000a_" sqref="B24:C24">
      <formula1>ar.0</formula1>
    </dataValidation>
    <dataValidation operator="greaterThanOrEqual" allowBlank="1" showErrorMessage="1" promptTitle="CV comprados" prompt="Los CV comprados se gastan en los campos de abajo, en caso de no gastarlos todos el resto iran a libres" sqref="BL10"/>
    <dataValidation allowBlank="1" showInputMessage="1" showErrorMessage="1" promptTitle="Innatos" prompt="Un innato gasta 2 CV" sqref="BL13"/>
    <dataValidation allowBlank="1" showInputMessage="1" showErrorMessage="1" promptTitle="Aumento de potencial por CV" prompt="0 CV +0_x000a_1 CV +10_x000a_3 CV +20_x000a_6 CV +30_x000a_10 CV +40_x000a_15 CV +50_x000a_21 CV +60_x000a_28 CV +70_x000a_36 CV +80_x000a_45 CV +90_x000a_55 CV +100_x000a_66 CV +110" sqref="BL12"/>
    <dataValidation type="list" allowBlank="1" showInputMessage="1" showErrorMessage="1" sqref="AN16">
      <formula1>"Fuego,Aire,Agua,Tierra,Luz,Oscuridad"</formula1>
    </dataValidation>
    <dataValidation type="list" allowBlank="1" showInputMessage="1" showErrorMessage="1" sqref="AE2:AG3">
      <formula1>Límites</formula1>
    </dataValidation>
    <dataValidation type="list" allowBlank="1" showInputMessage="1" showErrorMessage="1" sqref="J49 J55 J61 H24:H26 J67">
      <formula1>"5,10,15"</formula1>
    </dataValidation>
    <dataValidation allowBlank="1" showErrorMessage="1" sqref="BM18:BM23 BQ22:BQ25 BQ18:BQ19"/>
    <dataValidation type="whole" allowBlank="1" showInputMessage="1" showErrorMessage="1" sqref="CJ2">
      <formula1>0</formula1>
      <formula2>100</formula2>
    </dataValidation>
    <dataValidation type="list" allowBlank="1" showInputMessage="1" showErrorMessage="1" sqref="H27">
      <formula1>"5,10,15"</formula1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 T83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FA44AB32-7D25-4F7C-9DB6-3EE2651F1A4A}">
            <xm:f>$J$20&gt;LOOKUP(C3,Sheet3!E234:T235)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ellIs" priority="2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2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2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06" yWindow="372" count="39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CHOOSE((LOOKUP(BJ30,HP!$A$50:$B$63)),p.1,p.2,p.3,p.4,p.5,p.6,p.7,p.8,p.9,p.10,p.11,p.12,p.13,p.14)</xm:f>
          </x14:formula1>
          <xm:sqref>BK30:BL30 BK48:BL48 BK66:BL66 BK84:BL84 BT30:BU30 BT48:BU48 BT66:BU66 BT84:BU84 BO30 BO48 BO66 BO84</xm:sqref>
        </x14:dataValidation>
        <x14:dataValidation type="list" allowBlank="1" showInputMessage="1" showErrorMessage="1">
          <x14:formula1>
            <xm:f>Sheet3!$CQ$17:$CQ$28</xm:f>
          </x14:formula1>
          <xm:sqref>BR2:BT19 BJ19:BK27</xm:sqref>
        </x14:dataValidation>
        <x14:dataValidation type="list" allowBlank="1" showInputMessage="1" showErrorMessage="1">
          <x14:formula1>
            <xm:f>Sheet3!$CS$17:$CS$26</xm:f>
          </x14:formula1>
          <xm:sqref>BL19:BL27</xm:sqref>
        </x14:dataValidation>
        <x14:dataValidation type="list" allowBlank="1" showInputMessage="1" showErrorMessage="1">
          <x14:formula1>
            <xm:f>Sheet3!$CU$17:$CU$27</xm:f>
          </x14:formula1>
          <xm:sqref>BU2:BU19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allowBlank="1" showInputMessage="1" showErrorMessage="1">
          <x14:formula1>
            <xm:f>Sheet3!$EH$5:$EH$28</xm:f>
          </x14:formula1>
          <xm:sqref>N98:O98 N100:O100</xm:sqref>
        </x14:dataValidation>
        <x14:dataValidation type="list" allowBlank="1" showInputMessage="1" showErrorMessage="1">
          <x14:formula1>
            <xm:f>Sheet3!$EU$6:$EU$13</xm:f>
          </x14:formula1>
          <xm:sqref>AS21 BA21</xm:sqref>
        </x14:dataValidation>
        <x14:dataValidation type="list" allowBlank="1" showInputMessage="1" showErrorMessage="1">
          <x14:formula1>
            <xm:f>Sheet3!$EM$16:$EM$17</xm:f>
          </x14:formula1>
          <xm:sqref>AW23 BG23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>
          <x14:formula1>
            <xm:f>IF(Sheet3!$S$439=1,de.2,IF(Sheet3!$S$437=1,de.4,IF(Sheet3!$S$438=1,de.3,de.1)))</xm:f>
          </x14:formula1>
          <xm:sqref>O66:R73</xm:sqref>
        </x14:dataValidation>
        <x14:dataValidation type="list" allowBlank="1" showInputMessage="1" showErrorMessage="1">
          <x14:formula1>
            <xm:f>Sheet3!$F$285:$F$294</xm:f>
          </x14:formula1>
          <xm:sqref>I49 I55 I61 I67</xm:sqref>
        </x14:dataValidation>
        <x14:dataValidation type="list" operator="equal" allowBlank="1">
          <x14:formula1>
            <xm:f>IF(S67=v.11,v.1,IF(S67=v.12,v.2,IF(S67=v.13,v.3,IF(S67=v.14,v.4,IF(S67=v.15,v.5,IF(S67=v.16,v.6,IF(S67=v.17,v.7,IF(Sheet3!$S$439=1,ve.2,IF(Sheet3!$S$437=1,ve.4,IF(Sheet3!$S$438=1,ve.3,ve.1))))))))))</xm:f>
          </x14:formula1>
          <xm:sqref>S67:W73</xm:sqref>
        </x14:dataValidation>
        <x14:dataValidation type="list" allowBlank="1" showInputMessage="1" showErrorMessage="1">
          <x14:formula1>
            <xm:f>Sheet3!$BS$41:$BS$45</xm:f>
          </x14:formula1>
          <xm:sqref>E80</xm:sqref>
        </x14:dataValidation>
        <x14:dataValidation type="list" allowBlank="1" showInputMessage="1" showErrorMessage="1">
          <x14:formula1>
            <xm:f>Sheet3!$AE$111:$AE$112</xm:f>
          </x14:formula1>
          <xm:sqref>C4:E4</xm:sqref>
        </x14:dataValidation>
        <x14:dataValidation type="list" operator="equal" allowBlank="1" showErrorMessage="1" promptTitle="Seleccionar Arma">
          <x14:formula1>
            <xm:f>CHOOSE((LOOKUP(B45,Sheet3!$BK$5:$BL$13)),a.1,a.2,a.3,a.4,a.5,a.6,a.7,a.8,a.9)</xm:f>
          </x14:formula1>
          <xm:sqref>C45:F45 C51:F51 C57:F57 C63:F63</xm:sqref>
        </x14:dataValidation>
        <x14:dataValidation type="list" operator="equal" allowBlank="1" showInputMessage="1" showErrorMessage="1">
          <x14:formula1>
            <xm:f>HP!$G$72:$G$85</xm:f>
          </x14:formula1>
          <xm:sqref>BN9 BN23 BN16</xm:sqref>
        </x14:dataValidation>
        <x14:dataValidation type="list" allowBlank="1" showInputMessage="1" showErrorMessage="1">
          <x14:formula1>
            <xm:f>Sheet3!$AO$224:$AO$237</xm:f>
          </x14:formula1>
          <xm:sqref>CL2 CL57 CF57 CF2</xm:sqref>
        </x14:dataValidation>
        <x14:dataValidation type="list" allowBlank="1" showInputMessage="1" showErrorMessage="1">
          <x14:formula1>
            <xm:f>CHOOSE(LOOKUP(b.1,Sheet3!$BA$241:$BB$254),ee.1,ee.2,ee.3,ee.4,ee.5,ee.6,ee.7,ee.8,ee.9,ee.10,ee.11,ee.12,ee.13,ee.14)</xm:f>
          </x14:formula1>
          <xm:sqref>CF6:CG6 CF11:CG11 CF16:CG16 CF21:CG21 CF26:CG26 CF31:CG31 CF36:CG36 CF41:CG41 CF46:CG46 CF51:CG51</xm:sqref>
        </x14:dataValidation>
        <x14:dataValidation type="list" allowBlank="1" showInputMessage="1" showErrorMessage="1">
          <x14:formula1>
            <xm:f>CHOOSE(LOOKUP(b.2,Sheet3!$BA$241:$BB$254),ee.1,ee.2,ee.3,ee.4,ee.5,ee.6,ee.7,ee.8,ee.9,ee.10,ee.11,ee.12,ee.13,ee.14)</xm:f>
          </x14:formula1>
          <xm:sqref>CL6:CM6 CL11:CM11 CL16:CM16 CL21:CM21 CL26:CM26 CL31:CM31 CL36:CM36 CL41:CM41 CL46:CM46 CL51:CM51</xm:sqref>
        </x14:dataValidation>
        <x14:dataValidation type="list" allowBlank="1" showInputMessage="1" showErrorMessage="1">
          <x14:formula1>
            <xm:f>CHOOSE(LOOKUP(b.3,Sheet3!$BA$241:$BB$254),ee.1,ee.2,ee.3,ee.4,ee.5,ee.6,ee.7,ee.8,ee.9,ee.10,ee.11,ee.12,ee.13,ee.14)</xm:f>
          </x14:formula1>
          <xm:sqref>CF61:CG61 CF66:CG66 CF71:CG71 CF76:CG76 CF81:CG81 CF86:CG86 CF91:CG91 CF96:CG96</xm:sqref>
        </x14:dataValidation>
        <x14:dataValidation type="list" allowBlank="1" showInputMessage="1" showErrorMessage="1">
          <x14:formula1>
            <xm:f>CHOOSE(LOOKUP(b.4,Sheet3!$BA$241:$BB$254),ee.1,ee.2,ee.3,ee.4,ee.5,ee.6,ee.7,ee.8,ee.9,ee.10,ee.11,ee.12,ee.13,ee.14)</xm:f>
          </x14:formula1>
          <xm:sqref>CL61:CM61 CL66:CM66 CL71:CM71 CL76:CM76 CL81:CM81 CL86:CM86 CL91:CM91 CL96:CM96</xm:sqref>
        </x14:dataValidation>
        <x14:dataValidation type="list" allowBlank="1" showInputMessage="1" showErrorMessage="1">
          <x14:formula1>
            <xm:f>IF(Sheet3!$CU$35,$BA$3:$BA$13,"")</xm:f>
          </x14:formula1>
          <xm:sqref>BF5:BH6</xm:sqref>
        </x14:dataValidation>
        <x14:dataValidation type="list" allowBlank="1" showInputMessage="1" showErrorMessage="1">
          <x14:formula1>
            <xm:f>Sheet3!$J$186:$J$188</xm:f>
          </x14:formula1>
          <xm:sqref>K49:L49 K61:L61 K55:L55 K67:L67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70"/>
  <sheetViews>
    <sheetView topLeftCell="AJ1" zoomScale="70" zoomScaleNormal="70" workbookViewId="0">
      <selection activeCell="AY59" sqref="AY59"/>
    </sheetView>
  </sheetViews>
  <sheetFormatPr baseColWidth="10" defaultRowHeight="12.75" x14ac:dyDescent="0.2"/>
  <cols>
    <col min="1" max="18" width="11.42578125" style="25"/>
    <col min="19" max="19" width="6" style="25" customWidth="1"/>
    <col min="20" max="20" width="18.140625" style="25" customWidth="1"/>
    <col min="21" max="21" width="10.28515625" style="25" customWidth="1"/>
    <col min="22" max="22" width="31.140625" style="25" customWidth="1"/>
    <col min="23" max="23" width="126" style="38" customWidth="1"/>
    <col min="24" max="24" width="8.140625" style="25" customWidth="1"/>
    <col min="25" max="25" width="17.85546875" style="25" customWidth="1"/>
    <col min="26" max="26" width="9.28515625" style="25" customWidth="1"/>
    <col min="27" max="27" width="42.42578125" style="25" customWidth="1"/>
    <col min="28" max="28" width="9.7109375" style="39" customWidth="1"/>
    <col min="29" max="29" width="10.28515625" style="39" customWidth="1"/>
    <col min="30" max="30" width="9.42578125" style="39" customWidth="1"/>
    <col min="31" max="31" width="41.28515625" style="25" customWidth="1"/>
    <col min="32" max="32" width="9" style="39" customWidth="1"/>
    <col min="33" max="33" width="9.5703125" style="39" customWidth="1"/>
    <col min="34" max="34" width="8.7109375" style="39" customWidth="1"/>
    <col min="35" max="35" width="38" style="25" customWidth="1"/>
    <col min="36" max="36" width="10.7109375" style="39" customWidth="1"/>
    <col min="37" max="37" width="11.28515625" style="39" customWidth="1"/>
    <col min="38" max="38" width="10.42578125" style="39" customWidth="1"/>
    <col min="39" max="39" width="51.5703125" style="25" customWidth="1"/>
    <col min="40" max="40" width="10.42578125" style="39" customWidth="1"/>
    <col min="41" max="41" width="11" style="39" customWidth="1"/>
    <col min="42" max="42" width="10.140625" style="39" customWidth="1"/>
    <col min="43" max="43" width="17.7109375" style="25" customWidth="1"/>
    <col min="44" max="51" width="11.42578125" style="25"/>
    <col min="52" max="52" width="12.7109375" style="25" bestFit="1" customWidth="1"/>
    <col min="53" max="53" width="12.28515625" style="25" bestFit="1" customWidth="1"/>
    <col min="54" max="16384" width="11.42578125" style="25"/>
  </cols>
  <sheetData>
    <row r="1" spans="1:84" x14ac:dyDescent="0.2">
      <c r="A1" s="25" t="s">
        <v>1432</v>
      </c>
      <c r="D1" s="25" t="s">
        <v>1433</v>
      </c>
      <c r="AX1" s="243">
        <f>'Hoja básica'!BD3</f>
        <v>0</v>
      </c>
      <c r="AY1" s="236" t="s">
        <v>6716</v>
      </c>
      <c r="AZ1"/>
      <c r="BA1" s="243">
        <f>'Hoja básica'!BD4</f>
        <v>0</v>
      </c>
      <c r="BB1" t="s">
        <v>6717</v>
      </c>
      <c r="BC1"/>
      <c r="BD1" s="243">
        <f>'Hoja básica'!BD5</f>
        <v>0</v>
      </c>
      <c r="BE1" t="s">
        <v>6718</v>
      </c>
      <c r="BF1"/>
      <c r="BG1" s="243">
        <f>'Hoja básica'!BD6</f>
        <v>0</v>
      </c>
      <c r="BH1" t="s">
        <v>6719</v>
      </c>
      <c r="BI1"/>
      <c r="BK1" s="243">
        <f>'Hoja básica'!BD7</f>
        <v>0</v>
      </c>
      <c r="BL1" t="s">
        <v>6720</v>
      </c>
      <c r="BM1"/>
      <c r="BN1" s="243">
        <f>'Hoja básica'!BD8</f>
        <v>0</v>
      </c>
      <c r="BO1" t="s">
        <v>6721</v>
      </c>
      <c r="BP1"/>
      <c r="BQ1" s="243">
        <f>'Hoja básica'!BD9</f>
        <v>0</v>
      </c>
      <c r="BR1" t="s">
        <v>6722</v>
      </c>
      <c r="BS1"/>
      <c r="BT1" s="243">
        <f>'Hoja básica'!BD10</f>
        <v>0</v>
      </c>
      <c r="BU1" t="s">
        <v>6723</v>
      </c>
      <c r="BV1"/>
      <c r="BW1" s="243">
        <f>'Hoja básica'!BD11</f>
        <v>0</v>
      </c>
      <c r="BX1" t="s">
        <v>6724</v>
      </c>
      <c r="BY1"/>
      <c r="BZ1" s="243">
        <f>'Hoja básica'!BD12</f>
        <v>0</v>
      </c>
      <c r="CA1" t="s">
        <v>6725</v>
      </c>
      <c r="CB1"/>
      <c r="CC1" s="243">
        <f>'Hoja básica'!BD13</f>
        <v>0</v>
      </c>
      <c r="CD1" t="s">
        <v>6726</v>
      </c>
      <c r="CE1"/>
      <c r="CF1" s="242"/>
    </row>
    <row r="2" spans="1:84" x14ac:dyDescent="0.2">
      <c r="A2" s="25">
        <v>1</v>
      </c>
      <c r="B2" s="25">
        <v>0</v>
      </c>
      <c r="D2" s="25">
        <v>1</v>
      </c>
      <c r="E2" s="25" t="s">
        <v>29</v>
      </c>
      <c r="F2" s="25">
        <v>1001</v>
      </c>
      <c r="G2" s="25">
        <v>2001</v>
      </c>
      <c r="H2" s="25">
        <v>3001</v>
      </c>
      <c r="I2" s="25">
        <v>4001</v>
      </c>
      <c r="J2" s="25">
        <v>5001</v>
      </c>
      <c r="K2" s="25">
        <v>6001</v>
      </c>
      <c r="L2" s="25">
        <v>7001</v>
      </c>
      <c r="M2" s="25">
        <v>8001</v>
      </c>
      <c r="N2" s="25">
        <v>9001</v>
      </c>
      <c r="O2" s="25">
        <v>10001</v>
      </c>
      <c r="P2" s="25">
        <v>11001</v>
      </c>
      <c r="Q2" s="25">
        <v>12001</v>
      </c>
      <c r="R2" s="25">
        <v>13001</v>
      </c>
      <c r="S2" s="25">
        <v>14001</v>
      </c>
      <c r="T2" s="25">
        <v>15001</v>
      </c>
      <c r="U2" s="25">
        <v>16001</v>
      </c>
      <c r="V2" s="25">
        <v>17001</v>
      </c>
      <c r="W2" s="38">
        <v>18001</v>
      </c>
      <c r="X2" s="25">
        <v>19001</v>
      </c>
      <c r="Y2" s="25">
        <v>20001</v>
      </c>
      <c r="Z2" s="25">
        <v>21001</v>
      </c>
      <c r="AA2" s="25">
        <v>22001</v>
      </c>
      <c r="AB2" s="39">
        <v>23001</v>
      </c>
      <c r="AC2" s="39">
        <v>24001</v>
      </c>
      <c r="AD2" s="39">
        <v>25001</v>
      </c>
      <c r="AE2" s="25">
        <v>26001</v>
      </c>
      <c r="AF2" s="39">
        <v>27001</v>
      </c>
      <c r="AG2" s="39">
        <v>28001</v>
      </c>
      <c r="AH2" s="39">
        <v>29001</v>
      </c>
      <c r="AI2" s="25">
        <v>30001</v>
      </c>
      <c r="AJ2" s="25">
        <v>31001</v>
      </c>
      <c r="AK2" s="25">
        <v>32001</v>
      </c>
      <c r="AL2" s="25">
        <v>33001</v>
      </c>
      <c r="AM2" s="25">
        <v>34001</v>
      </c>
      <c r="AN2" s="25">
        <v>35001</v>
      </c>
      <c r="AO2" s="25">
        <v>36001</v>
      </c>
      <c r="AP2" s="25">
        <v>37001</v>
      </c>
      <c r="AQ2" s="25">
        <v>38001</v>
      </c>
      <c r="AR2" s="25">
        <v>39001</v>
      </c>
      <c r="AS2" s="25">
        <v>40001</v>
      </c>
      <c r="AX2" s="244">
        <v>100</v>
      </c>
      <c r="AY2" s="245" t="s">
        <v>4246</v>
      </c>
      <c r="AZ2" s="216" t="b">
        <f>($AX2&lt;=AX$1)</f>
        <v>0</v>
      </c>
      <c r="BA2" s="245" t="str">
        <f>IF(AZ2,", "&amp;AY2,"")</f>
        <v/>
      </c>
      <c r="BB2" s="245" t="s">
        <v>4252</v>
      </c>
      <c r="BC2" s="216" t="b">
        <f>($AX2&lt;=BA$1)</f>
        <v>0</v>
      </c>
      <c r="BD2" s="245" t="str">
        <f t="shared" ref="BD2:BD39" si="0">IF(BC2,", "&amp;BB2,"")</f>
        <v/>
      </c>
      <c r="BE2" s="245" t="s">
        <v>4254</v>
      </c>
      <c r="BF2" s="216" t="b">
        <f>($AX2&lt;=BD$1)</f>
        <v>0</v>
      </c>
      <c r="BG2" s="245" t="str">
        <f t="shared" ref="BG2:BG39" si="1">IF(BF2,", "&amp;BE2,"")</f>
        <v/>
      </c>
      <c r="BH2" s="245" t="s">
        <v>4260</v>
      </c>
      <c r="BI2" s="216" t="b">
        <f>($AX2&lt;=BG$1)</f>
        <v>0</v>
      </c>
      <c r="BJ2" s="245" t="str">
        <f t="shared" ref="BJ2:BJ39" si="2">IF(BI2,", "&amp;BH2,"")</f>
        <v/>
      </c>
      <c r="BK2" s="245">
        <v>100</v>
      </c>
      <c r="BL2" s="245" t="s">
        <v>4034</v>
      </c>
      <c r="BM2" s="216" t="b">
        <f t="shared" ref="BM2:BM30" si="3">($BK2&lt;=BK$1)</f>
        <v>0</v>
      </c>
      <c r="BN2" s="245" t="str">
        <f t="shared" ref="BN2:BN30" si="4">IF(BM2,", "&amp;BL2,"")</f>
        <v/>
      </c>
      <c r="BO2" s="245" t="s">
        <v>4040</v>
      </c>
      <c r="BP2" s="216" t="b">
        <f t="shared" ref="BP2:BP30" si="5">($BK2&lt;=BN$1)</f>
        <v>0</v>
      </c>
      <c r="BQ2" s="245" t="str">
        <f t="shared" ref="BQ2:BQ30" si="6">IF(BP2,", "&amp;BO2,"")</f>
        <v/>
      </c>
      <c r="BR2" s="245" t="s">
        <v>4041</v>
      </c>
      <c r="BS2" s="216" t="b">
        <f t="shared" ref="BS2:BS30" si="7">($BK2&lt;=BQ$1)</f>
        <v>0</v>
      </c>
      <c r="BT2" s="245" t="str">
        <f t="shared" ref="BT2:BT30" si="8">IF(BS2,", "&amp;BR2,"")</f>
        <v/>
      </c>
      <c r="BU2" s="245" t="s">
        <v>4047</v>
      </c>
      <c r="BV2" s="216" t="b">
        <f t="shared" ref="BV2:BV30" si="9">($BK2&lt;=BT$1)</f>
        <v>0</v>
      </c>
      <c r="BW2" s="245" t="str">
        <f t="shared" ref="BW2:BW30" si="10">IF(BV2,", "&amp;BU2,"")</f>
        <v/>
      </c>
      <c r="BX2" s="245" t="s">
        <v>4053</v>
      </c>
      <c r="BY2" s="216" t="b">
        <f t="shared" ref="BY2:BY30" si="11">($BK2&lt;=BW$1)</f>
        <v>0</v>
      </c>
      <c r="BZ2" s="245" t="str">
        <f t="shared" ref="BZ2:BZ30" si="12">IF(BY2,", "&amp;BX2,"")</f>
        <v/>
      </c>
      <c r="CA2" s="245" t="s">
        <v>4058</v>
      </c>
      <c r="CB2" s="216" t="b">
        <f t="shared" ref="CB2:CB30" si="13">($BK2&lt;=BZ$1)</f>
        <v>0</v>
      </c>
      <c r="CC2" s="245" t="str">
        <f t="shared" ref="CC2:CC30" si="14">IF(CB2,", "&amp;CA2,"")</f>
        <v/>
      </c>
      <c r="CD2" s="245" t="s">
        <v>4262</v>
      </c>
      <c r="CE2" s="216" t="b">
        <f>($AX2&lt;=CC$1)</f>
        <v>0</v>
      </c>
      <c r="CF2" s="245" t="str">
        <f>IF(CE2,", "&amp;CD2,"")</f>
        <v/>
      </c>
    </row>
    <row r="3" spans="1:84" x14ac:dyDescent="0.2">
      <c r="A3" s="25">
        <v>2</v>
      </c>
      <c r="B3" s="25">
        <v>0</v>
      </c>
      <c r="D3" s="25">
        <v>2</v>
      </c>
      <c r="E3" s="25" t="s">
        <v>39</v>
      </c>
      <c r="F3" s="25">
        <v>1002</v>
      </c>
      <c r="G3" s="25">
        <v>2002</v>
      </c>
      <c r="H3" s="25">
        <v>3002</v>
      </c>
      <c r="I3" s="25">
        <v>4002</v>
      </c>
      <c r="J3" s="25">
        <v>5002</v>
      </c>
      <c r="K3" s="25">
        <v>6002</v>
      </c>
      <c r="L3" s="25">
        <v>7002</v>
      </c>
      <c r="M3" s="25">
        <v>8002</v>
      </c>
      <c r="N3" s="25">
        <v>9002</v>
      </c>
      <c r="O3" s="25">
        <v>10002</v>
      </c>
      <c r="P3" s="25">
        <v>11002</v>
      </c>
      <c r="Q3" s="25">
        <v>12002</v>
      </c>
      <c r="R3" s="25">
        <v>13002</v>
      </c>
      <c r="S3" s="25">
        <v>14002</v>
      </c>
      <c r="T3" s="25">
        <v>15002</v>
      </c>
      <c r="U3" s="25">
        <v>16002</v>
      </c>
      <c r="V3" s="25">
        <v>17002</v>
      </c>
      <c r="W3" s="38">
        <v>18002</v>
      </c>
      <c r="X3" s="25">
        <v>19002</v>
      </c>
      <c r="Y3" s="25">
        <v>20002</v>
      </c>
      <c r="Z3" s="25">
        <v>21002</v>
      </c>
      <c r="AA3" s="25">
        <v>22002</v>
      </c>
      <c r="AB3" s="25">
        <v>23002</v>
      </c>
      <c r="AC3" s="25">
        <v>24002</v>
      </c>
      <c r="AD3" s="25">
        <v>25002</v>
      </c>
      <c r="AE3" s="25">
        <v>26002</v>
      </c>
      <c r="AF3" s="25">
        <v>27002</v>
      </c>
      <c r="AG3" s="25">
        <v>28002</v>
      </c>
      <c r="AH3" s="25">
        <v>29002</v>
      </c>
      <c r="AI3" s="25">
        <v>30002</v>
      </c>
      <c r="AJ3" s="25">
        <v>31002</v>
      </c>
      <c r="AK3" s="25">
        <v>32002</v>
      </c>
      <c r="AL3" s="25">
        <v>33002</v>
      </c>
      <c r="AM3" s="25">
        <v>34002</v>
      </c>
      <c r="AN3" s="25">
        <v>35002</v>
      </c>
      <c r="AO3" s="25">
        <v>36002</v>
      </c>
      <c r="AP3" s="25">
        <v>37002</v>
      </c>
      <c r="AQ3" s="25">
        <v>38002</v>
      </c>
      <c r="AR3" s="25">
        <v>39002</v>
      </c>
      <c r="AS3" s="25">
        <v>40002</v>
      </c>
      <c r="AX3" s="244">
        <v>98</v>
      </c>
      <c r="AY3" s="245" t="s">
        <v>4223</v>
      </c>
      <c r="AZ3" s="216" t="b">
        <f t="shared" ref="AZ3:AZ40" si="15">(AX3&lt;=AX$1)</f>
        <v>0</v>
      </c>
      <c r="BA3" s="245" t="str">
        <f t="shared" ref="BA3:BA39" si="16">IF(AZ3,", "&amp;AY3,"")</f>
        <v/>
      </c>
      <c r="BB3" s="245" t="s">
        <v>4229</v>
      </c>
      <c r="BC3" s="216" t="b">
        <f t="shared" ref="BC3:BC41" si="17">($AX3&lt;=BA$1)</f>
        <v>0</v>
      </c>
      <c r="BD3" s="245" t="str">
        <f t="shared" si="0"/>
        <v/>
      </c>
      <c r="BE3" s="245" t="s">
        <v>4230</v>
      </c>
      <c r="BF3" s="216" t="b">
        <f t="shared" ref="BF3:BF41" si="18">($AX3&lt;=BD$1)</f>
        <v>0</v>
      </c>
      <c r="BG3" s="245" t="str">
        <f t="shared" si="1"/>
        <v/>
      </c>
      <c r="BH3" s="245" t="s">
        <v>1516</v>
      </c>
      <c r="BI3" s="216" t="b">
        <f t="shared" ref="BI3:BI41" si="19">($AX3&lt;=BG$1)</f>
        <v>0</v>
      </c>
      <c r="BJ3" s="245" t="str">
        <f t="shared" si="2"/>
        <v/>
      </c>
      <c r="BK3" s="245">
        <v>96</v>
      </c>
      <c r="BL3" s="245" t="s">
        <v>3995</v>
      </c>
      <c r="BM3" s="216" t="b">
        <f t="shared" si="3"/>
        <v>0</v>
      </c>
      <c r="BN3" s="245" t="str">
        <f t="shared" si="4"/>
        <v/>
      </c>
      <c r="BO3" s="245" t="s">
        <v>3997</v>
      </c>
      <c r="BP3" s="216" t="b">
        <f t="shared" si="5"/>
        <v>0</v>
      </c>
      <c r="BQ3" s="245" t="str">
        <f t="shared" si="6"/>
        <v/>
      </c>
      <c r="BR3" s="245" t="s">
        <v>3999</v>
      </c>
      <c r="BS3" s="216" t="b">
        <f t="shared" si="7"/>
        <v>0</v>
      </c>
      <c r="BT3" s="245" t="str">
        <f t="shared" si="8"/>
        <v/>
      </c>
      <c r="BU3" s="245" t="s">
        <v>4001</v>
      </c>
      <c r="BV3" s="216" t="b">
        <f t="shared" si="9"/>
        <v>0</v>
      </c>
      <c r="BW3" s="245" t="str">
        <f t="shared" si="10"/>
        <v/>
      </c>
      <c r="BX3" s="245" t="s">
        <v>4002</v>
      </c>
      <c r="BY3" s="216" t="b">
        <f t="shared" si="11"/>
        <v>0</v>
      </c>
      <c r="BZ3" s="245" t="str">
        <f t="shared" si="12"/>
        <v/>
      </c>
      <c r="CA3" s="245" t="s">
        <v>4008</v>
      </c>
      <c r="CB3" s="216" t="b">
        <f t="shared" si="13"/>
        <v>0</v>
      </c>
      <c r="CC3" s="245" t="str">
        <f t="shared" si="14"/>
        <v/>
      </c>
      <c r="CD3" s="245" t="s">
        <v>4240</v>
      </c>
      <c r="CE3" s="216" t="b">
        <f t="shared" ref="CE3:CE41" si="20">($AX3&lt;=CC$1)</f>
        <v>0</v>
      </c>
      <c r="CF3" s="245" t="str">
        <f t="shared" ref="CF3:CF39" si="21">IF(CE3,", "&amp;CD3,"")</f>
        <v/>
      </c>
    </row>
    <row r="4" spans="1:84" x14ac:dyDescent="0.2">
      <c r="A4" s="25">
        <v>3</v>
      </c>
      <c r="B4" s="25">
        <v>0</v>
      </c>
      <c r="D4" s="25">
        <v>3</v>
      </c>
      <c r="E4" s="25" t="s">
        <v>49</v>
      </c>
      <c r="F4" s="25">
        <v>1003</v>
      </c>
      <c r="G4" s="25">
        <v>2003</v>
      </c>
      <c r="H4" s="25">
        <v>3003</v>
      </c>
      <c r="I4" s="25">
        <v>4003</v>
      </c>
      <c r="J4" s="25">
        <v>5003</v>
      </c>
      <c r="K4" s="25">
        <v>6003</v>
      </c>
      <c r="L4" s="25">
        <v>7003</v>
      </c>
      <c r="M4" s="25">
        <v>8003</v>
      </c>
      <c r="N4" s="25">
        <v>9003</v>
      </c>
      <c r="O4" s="25">
        <v>10003</v>
      </c>
      <c r="P4" s="25">
        <v>11003</v>
      </c>
      <c r="Q4" s="25">
        <v>12003</v>
      </c>
      <c r="R4" s="25">
        <v>13003</v>
      </c>
      <c r="S4" s="25">
        <v>14003</v>
      </c>
      <c r="T4" s="25">
        <v>15003</v>
      </c>
      <c r="U4" s="25">
        <v>16003</v>
      </c>
      <c r="V4" s="25">
        <v>17003</v>
      </c>
      <c r="W4" s="38">
        <v>18003</v>
      </c>
      <c r="X4" s="25">
        <v>19003</v>
      </c>
      <c r="Y4" s="25">
        <v>20003</v>
      </c>
      <c r="Z4" s="25">
        <v>21003</v>
      </c>
      <c r="AA4" s="25">
        <v>22003</v>
      </c>
      <c r="AB4" s="25">
        <v>23003</v>
      </c>
      <c r="AC4" s="25">
        <v>24003</v>
      </c>
      <c r="AD4" s="25">
        <v>25003</v>
      </c>
      <c r="AE4" s="25">
        <v>26003</v>
      </c>
      <c r="AF4" s="25">
        <v>27003</v>
      </c>
      <c r="AG4" s="25">
        <v>28003</v>
      </c>
      <c r="AH4" s="25">
        <v>29003</v>
      </c>
      <c r="AI4" s="25">
        <v>30003</v>
      </c>
      <c r="AJ4" s="25">
        <v>31003</v>
      </c>
      <c r="AK4" s="25">
        <v>32003</v>
      </c>
      <c r="AL4" s="25">
        <v>33003</v>
      </c>
      <c r="AM4" s="25">
        <v>34003</v>
      </c>
      <c r="AN4" s="25">
        <v>35003</v>
      </c>
      <c r="AO4" s="25">
        <v>36003</v>
      </c>
      <c r="AP4" s="25">
        <v>37003</v>
      </c>
      <c r="AQ4" s="25">
        <v>38003</v>
      </c>
      <c r="AR4" s="25">
        <v>39003</v>
      </c>
      <c r="AS4" s="25">
        <v>40003</v>
      </c>
      <c r="AX4" s="244">
        <v>96</v>
      </c>
      <c r="AY4" s="245" t="s">
        <v>4205</v>
      </c>
      <c r="AZ4" s="216" t="b">
        <f t="shared" si="15"/>
        <v>0</v>
      </c>
      <c r="BA4" s="245" t="str">
        <f t="shared" si="16"/>
        <v/>
      </c>
      <c r="BB4" s="245" t="s">
        <v>4211</v>
      </c>
      <c r="BC4" s="216" t="b">
        <f t="shared" si="17"/>
        <v>0</v>
      </c>
      <c r="BD4" s="245" t="str">
        <f t="shared" si="0"/>
        <v/>
      </c>
      <c r="BE4" s="245" t="s">
        <v>4212</v>
      </c>
      <c r="BF4" s="216" t="b">
        <f t="shared" si="18"/>
        <v>0</v>
      </c>
      <c r="BG4" s="245" t="str">
        <f t="shared" si="1"/>
        <v/>
      </c>
      <c r="BH4" s="245" t="s">
        <v>4216</v>
      </c>
      <c r="BI4" s="216" t="b">
        <f t="shared" si="19"/>
        <v>0</v>
      </c>
      <c r="BJ4" s="245" t="str">
        <f t="shared" si="2"/>
        <v/>
      </c>
      <c r="BK4" s="245">
        <v>92</v>
      </c>
      <c r="BL4" s="245" t="s">
        <v>3957</v>
      </c>
      <c r="BM4" s="216" t="b">
        <f t="shared" si="3"/>
        <v>0</v>
      </c>
      <c r="BN4" s="245" t="str">
        <f t="shared" si="4"/>
        <v/>
      </c>
      <c r="BO4" s="245" t="s">
        <v>3960</v>
      </c>
      <c r="BP4" s="216" t="b">
        <f t="shared" si="5"/>
        <v>0</v>
      </c>
      <c r="BQ4" s="245" t="str">
        <f t="shared" si="6"/>
        <v/>
      </c>
      <c r="BR4" s="245" t="s">
        <v>3964</v>
      </c>
      <c r="BS4" s="216" t="b">
        <f t="shared" si="7"/>
        <v>0</v>
      </c>
      <c r="BT4" s="245" t="str">
        <f t="shared" si="8"/>
        <v/>
      </c>
      <c r="BU4" s="245" t="s">
        <v>3969</v>
      </c>
      <c r="BV4" s="216" t="b">
        <f t="shared" si="9"/>
        <v>0</v>
      </c>
      <c r="BW4" s="245" t="str">
        <f t="shared" si="10"/>
        <v/>
      </c>
      <c r="BX4" s="245" t="s">
        <v>2162</v>
      </c>
      <c r="BY4" s="216" t="b">
        <f t="shared" si="11"/>
        <v>0</v>
      </c>
      <c r="BZ4" s="245" t="str">
        <f t="shared" si="12"/>
        <v/>
      </c>
      <c r="CA4" s="245" t="s">
        <v>3979</v>
      </c>
      <c r="CB4" s="216" t="b">
        <f t="shared" si="13"/>
        <v>0</v>
      </c>
      <c r="CC4" s="245" t="str">
        <f t="shared" si="14"/>
        <v/>
      </c>
      <c r="CD4" s="245" t="s">
        <v>4221</v>
      </c>
      <c r="CE4" s="216" t="b">
        <f t="shared" si="20"/>
        <v>0</v>
      </c>
      <c r="CF4" s="245" t="str">
        <f t="shared" si="21"/>
        <v/>
      </c>
    </row>
    <row r="5" spans="1:84" x14ac:dyDescent="0.2">
      <c r="A5" s="25">
        <v>4</v>
      </c>
      <c r="B5" s="25">
        <v>0</v>
      </c>
      <c r="D5" s="25">
        <v>4</v>
      </c>
      <c r="E5" s="25" t="s">
        <v>61</v>
      </c>
      <c r="F5" s="25">
        <v>1004</v>
      </c>
      <c r="G5" s="25">
        <v>2004</v>
      </c>
      <c r="H5" s="25">
        <v>3004</v>
      </c>
      <c r="I5" s="25">
        <v>4004</v>
      </c>
      <c r="J5" s="25">
        <v>5004</v>
      </c>
      <c r="K5" s="25">
        <v>6004</v>
      </c>
      <c r="L5" s="25">
        <v>7004</v>
      </c>
      <c r="M5" s="25">
        <v>8004</v>
      </c>
      <c r="N5" s="25">
        <v>9004</v>
      </c>
      <c r="O5" s="25">
        <v>10004</v>
      </c>
      <c r="P5" s="25">
        <v>11004</v>
      </c>
      <c r="Q5" s="25">
        <v>12004</v>
      </c>
      <c r="R5" s="25">
        <v>13004</v>
      </c>
      <c r="S5" s="25">
        <v>14004</v>
      </c>
      <c r="T5" s="25">
        <v>15004</v>
      </c>
      <c r="U5" s="25">
        <v>16004</v>
      </c>
      <c r="V5" s="25">
        <v>17004</v>
      </c>
      <c r="W5" s="38">
        <v>18004</v>
      </c>
      <c r="X5" s="25">
        <v>19004</v>
      </c>
      <c r="Y5" s="25">
        <v>20004</v>
      </c>
      <c r="Z5" s="25">
        <v>21004</v>
      </c>
      <c r="AA5" s="25">
        <v>22004</v>
      </c>
      <c r="AB5" s="25">
        <v>23004</v>
      </c>
      <c r="AC5" s="25">
        <v>24004</v>
      </c>
      <c r="AD5" s="25">
        <v>25004</v>
      </c>
      <c r="AE5" s="25">
        <v>26004</v>
      </c>
      <c r="AF5" s="25">
        <v>27004</v>
      </c>
      <c r="AG5" s="25">
        <v>28004</v>
      </c>
      <c r="AH5" s="25">
        <v>29004</v>
      </c>
      <c r="AI5" s="25">
        <v>30004</v>
      </c>
      <c r="AJ5" s="25">
        <v>31004</v>
      </c>
      <c r="AK5" s="25">
        <v>32004</v>
      </c>
      <c r="AL5" s="25">
        <v>33004</v>
      </c>
      <c r="AM5" s="25">
        <v>34004</v>
      </c>
      <c r="AN5" s="25">
        <v>35004</v>
      </c>
      <c r="AO5" s="25">
        <v>36004</v>
      </c>
      <c r="AP5" s="25">
        <v>37004</v>
      </c>
      <c r="AQ5" s="25">
        <v>38004</v>
      </c>
      <c r="AR5" s="25">
        <v>39004</v>
      </c>
      <c r="AS5" s="25">
        <v>40004</v>
      </c>
      <c r="AX5" s="244">
        <v>92</v>
      </c>
      <c r="AY5" s="245" t="s">
        <v>4183</v>
      </c>
      <c r="AZ5" s="216" t="b">
        <f t="shared" si="15"/>
        <v>0</v>
      </c>
      <c r="BA5" s="245" t="str">
        <f t="shared" si="16"/>
        <v/>
      </c>
      <c r="BB5" s="245" t="s">
        <v>4189</v>
      </c>
      <c r="BC5" s="216" t="b">
        <f t="shared" si="17"/>
        <v>0</v>
      </c>
      <c r="BD5" s="245" t="str">
        <f t="shared" si="0"/>
        <v/>
      </c>
      <c r="BE5" s="245" t="s">
        <v>4190</v>
      </c>
      <c r="BF5" s="216" t="b">
        <f t="shared" si="18"/>
        <v>0</v>
      </c>
      <c r="BG5" s="245" t="str">
        <f t="shared" si="1"/>
        <v/>
      </c>
      <c r="BH5" s="245" t="s">
        <v>4193</v>
      </c>
      <c r="BI5" s="216" t="b">
        <f t="shared" si="19"/>
        <v>0</v>
      </c>
      <c r="BJ5" s="245" t="str">
        <f t="shared" si="2"/>
        <v/>
      </c>
      <c r="BK5" s="245">
        <v>90</v>
      </c>
      <c r="BL5" s="245" t="s">
        <v>3912</v>
      </c>
      <c r="BM5" s="216" t="b">
        <f t="shared" si="3"/>
        <v>0</v>
      </c>
      <c r="BN5" s="245" t="str">
        <f t="shared" si="4"/>
        <v/>
      </c>
      <c r="BO5" s="245" t="s">
        <v>3914</v>
      </c>
      <c r="BP5" s="216" t="b">
        <f t="shared" si="5"/>
        <v>0</v>
      </c>
      <c r="BQ5" s="245" t="str">
        <f t="shared" si="6"/>
        <v/>
      </c>
      <c r="BR5" s="245" t="s">
        <v>3916</v>
      </c>
      <c r="BS5" s="216" t="b">
        <f t="shared" si="7"/>
        <v>0</v>
      </c>
      <c r="BT5" s="245" t="str">
        <f t="shared" si="8"/>
        <v/>
      </c>
      <c r="BU5" s="245" t="s">
        <v>3922</v>
      </c>
      <c r="BV5" s="216" t="b">
        <f t="shared" si="9"/>
        <v>0</v>
      </c>
      <c r="BW5" s="245" t="str">
        <f t="shared" si="10"/>
        <v/>
      </c>
      <c r="BX5" s="245" t="s">
        <v>3927</v>
      </c>
      <c r="BY5" s="216" t="b">
        <f t="shared" si="11"/>
        <v>0</v>
      </c>
      <c r="BZ5" s="245" t="str">
        <f t="shared" si="12"/>
        <v/>
      </c>
      <c r="CA5" s="245" t="s">
        <v>3932</v>
      </c>
      <c r="CB5" s="216" t="b">
        <f t="shared" si="13"/>
        <v>0</v>
      </c>
      <c r="CC5" s="245" t="str">
        <f t="shared" si="14"/>
        <v/>
      </c>
      <c r="CD5" s="245" t="s">
        <v>4199</v>
      </c>
      <c r="CE5" s="216" t="b">
        <f t="shared" si="20"/>
        <v>0</v>
      </c>
      <c r="CF5" s="245" t="str">
        <f t="shared" si="21"/>
        <v/>
      </c>
    </row>
    <row r="6" spans="1:84" x14ac:dyDescent="0.2">
      <c r="A6" s="25">
        <v>5</v>
      </c>
      <c r="B6" s="25">
        <v>0</v>
      </c>
      <c r="D6" s="25">
        <v>5</v>
      </c>
      <c r="E6" s="25" t="s">
        <v>70</v>
      </c>
      <c r="F6" s="25">
        <v>1005</v>
      </c>
      <c r="G6" s="25">
        <v>2005</v>
      </c>
      <c r="H6" s="25">
        <v>3005</v>
      </c>
      <c r="I6" s="25">
        <v>4005</v>
      </c>
      <c r="J6" s="25">
        <v>5005</v>
      </c>
      <c r="K6" s="25">
        <v>6005</v>
      </c>
      <c r="L6" s="25">
        <v>7005</v>
      </c>
      <c r="M6" s="25">
        <v>8005</v>
      </c>
      <c r="N6" s="25">
        <v>9005</v>
      </c>
      <c r="O6" s="25">
        <v>10005</v>
      </c>
      <c r="P6" s="25">
        <v>11005</v>
      </c>
      <c r="Q6" s="25">
        <v>12005</v>
      </c>
      <c r="R6" s="25">
        <v>13005</v>
      </c>
      <c r="S6" s="25">
        <v>14005</v>
      </c>
      <c r="T6" s="25">
        <v>15005</v>
      </c>
      <c r="U6" s="25">
        <v>16005</v>
      </c>
      <c r="V6" s="25">
        <v>17005</v>
      </c>
      <c r="W6" s="38">
        <v>18005</v>
      </c>
      <c r="X6" s="25">
        <v>19005</v>
      </c>
      <c r="Y6" s="25">
        <v>20005</v>
      </c>
      <c r="Z6" s="25">
        <v>21005</v>
      </c>
      <c r="AA6" s="25">
        <v>22005</v>
      </c>
      <c r="AB6" s="25">
        <v>23005</v>
      </c>
      <c r="AC6" s="25">
        <v>24005</v>
      </c>
      <c r="AD6" s="25">
        <v>25005</v>
      </c>
      <c r="AE6" s="25">
        <v>26005</v>
      </c>
      <c r="AF6" s="25">
        <v>27005</v>
      </c>
      <c r="AG6" s="25">
        <v>28005</v>
      </c>
      <c r="AH6" s="25">
        <v>29005</v>
      </c>
      <c r="AI6" s="25">
        <v>30005</v>
      </c>
      <c r="AJ6" s="25" t="s">
        <v>244</v>
      </c>
      <c r="AK6" s="25" t="s">
        <v>244</v>
      </c>
      <c r="AL6" s="25" t="s">
        <v>244</v>
      </c>
      <c r="AM6" s="25" t="s">
        <v>244</v>
      </c>
      <c r="AN6" s="25" t="s">
        <v>244</v>
      </c>
      <c r="AO6" s="25" t="s">
        <v>244</v>
      </c>
      <c r="AP6" s="25" t="s">
        <v>244</v>
      </c>
      <c r="AQ6" s="25" t="s">
        <v>244</v>
      </c>
      <c r="AR6" s="25" t="s">
        <v>244</v>
      </c>
      <c r="AS6" s="25" t="s">
        <v>244</v>
      </c>
      <c r="AX6" s="244">
        <v>90</v>
      </c>
      <c r="AY6" s="245" t="s">
        <v>4157</v>
      </c>
      <c r="AZ6" s="216" t="b">
        <f t="shared" si="15"/>
        <v>0</v>
      </c>
      <c r="BA6" s="245" t="str">
        <f t="shared" si="16"/>
        <v/>
      </c>
      <c r="BB6" s="245" t="s">
        <v>4163</v>
      </c>
      <c r="BC6" s="216" t="b">
        <f t="shared" si="17"/>
        <v>0</v>
      </c>
      <c r="BD6" s="245" t="str">
        <f t="shared" si="0"/>
        <v/>
      </c>
      <c r="BE6" s="245" t="s">
        <v>4168</v>
      </c>
      <c r="BF6" s="216" t="b">
        <f t="shared" si="18"/>
        <v>0</v>
      </c>
      <c r="BG6" s="245" t="str">
        <f t="shared" si="1"/>
        <v/>
      </c>
      <c r="BH6" s="245" t="s">
        <v>4173</v>
      </c>
      <c r="BI6" s="216" t="b">
        <f t="shared" si="19"/>
        <v>0</v>
      </c>
      <c r="BJ6" s="245" t="str">
        <f t="shared" si="2"/>
        <v/>
      </c>
      <c r="BK6" s="245">
        <v>86</v>
      </c>
      <c r="BL6" s="245" t="s">
        <v>3861</v>
      </c>
      <c r="BM6" s="216" t="b">
        <f t="shared" si="3"/>
        <v>0</v>
      </c>
      <c r="BN6" s="245" t="str">
        <f t="shared" si="4"/>
        <v/>
      </c>
      <c r="BO6" s="245" t="s">
        <v>3866</v>
      </c>
      <c r="BP6" s="216" t="b">
        <f t="shared" si="5"/>
        <v>0</v>
      </c>
      <c r="BQ6" s="245" t="str">
        <f t="shared" si="6"/>
        <v/>
      </c>
      <c r="BR6" s="245" t="s">
        <v>3870</v>
      </c>
      <c r="BS6" s="216" t="b">
        <f t="shared" si="7"/>
        <v>0</v>
      </c>
      <c r="BT6" s="245" t="str">
        <f t="shared" si="8"/>
        <v/>
      </c>
      <c r="BU6" s="245" t="s">
        <v>3875</v>
      </c>
      <c r="BV6" s="216" t="b">
        <f t="shared" si="9"/>
        <v>0</v>
      </c>
      <c r="BW6" s="245" t="str">
        <f t="shared" si="10"/>
        <v/>
      </c>
      <c r="BX6" s="245" t="s">
        <v>3880</v>
      </c>
      <c r="BY6" s="216" t="b">
        <f t="shared" si="11"/>
        <v>0</v>
      </c>
      <c r="BZ6" s="245" t="str">
        <f t="shared" si="12"/>
        <v/>
      </c>
      <c r="CA6" s="245" t="s">
        <v>3886</v>
      </c>
      <c r="CB6" s="216" t="b">
        <f t="shared" si="13"/>
        <v>0</v>
      </c>
      <c r="CC6" s="245" t="str">
        <f t="shared" si="14"/>
        <v/>
      </c>
      <c r="CD6" s="245" t="s">
        <v>4179</v>
      </c>
      <c r="CE6" s="216" t="b">
        <f t="shared" si="20"/>
        <v>0</v>
      </c>
      <c r="CF6" s="245" t="str">
        <f t="shared" si="21"/>
        <v/>
      </c>
    </row>
    <row r="7" spans="1:84" x14ac:dyDescent="0.2">
      <c r="A7" s="25">
        <v>6</v>
      </c>
      <c r="B7" s="25">
        <v>10</v>
      </c>
      <c r="D7" s="25">
        <v>6</v>
      </c>
      <c r="E7" s="25" t="s">
        <v>65</v>
      </c>
      <c r="F7" s="25">
        <v>1006</v>
      </c>
      <c r="G7" s="25">
        <v>2006</v>
      </c>
      <c r="H7" s="25">
        <v>3006</v>
      </c>
      <c r="I7" s="25">
        <v>4006</v>
      </c>
      <c r="J7" s="25">
        <v>5006</v>
      </c>
      <c r="K7" s="25">
        <v>6006</v>
      </c>
      <c r="L7" s="25">
        <v>7006</v>
      </c>
      <c r="M7" s="25">
        <v>8006</v>
      </c>
      <c r="N7" s="25">
        <v>9006</v>
      </c>
      <c r="O7" s="25">
        <v>10006</v>
      </c>
      <c r="P7" s="25">
        <v>11006</v>
      </c>
      <c r="Q7" s="25">
        <v>12006</v>
      </c>
      <c r="R7" s="25">
        <v>13006</v>
      </c>
      <c r="S7" s="25">
        <v>14006</v>
      </c>
      <c r="T7" s="25">
        <v>15006</v>
      </c>
      <c r="U7" s="25">
        <v>16006</v>
      </c>
      <c r="V7" s="25">
        <v>17006</v>
      </c>
      <c r="W7" s="38">
        <v>18006</v>
      </c>
      <c r="X7" s="25">
        <v>19006</v>
      </c>
      <c r="Y7" s="25">
        <v>20006</v>
      </c>
      <c r="Z7" s="25">
        <v>21006</v>
      </c>
      <c r="AA7" s="25">
        <v>22006</v>
      </c>
      <c r="AB7" s="25">
        <v>23006</v>
      </c>
      <c r="AC7" s="25">
        <v>24006</v>
      </c>
      <c r="AD7" s="25">
        <v>25006</v>
      </c>
      <c r="AE7" s="25">
        <v>26006</v>
      </c>
      <c r="AF7" s="25">
        <v>27006</v>
      </c>
      <c r="AG7" s="25">
        <v>28006</v>
      </c>
      <c r="AH7" s="25">
        <v>29006</v>
      </c>
      <c r="AI7" s="25">
        <v>30006</v>
      </c>
      <c r="AJ7" s="25" t="s">
        <v>244</v>
      </c>
      <c r="AK7" s="25" t="s">
        <v>244</v>
      </c>
      <c r="AL7" s="25" t="s">
        <v>244</v>
      </c>
      <c r="AM7" s="25" t="s">
        <v>244</v>
      </c>
      <c r="AN7" s="25" t="s">
        <v>244</v>
      </c>
      <c r="AO7" s="25" t="s">
        <v>244</v>
      </c>
      <c r="AP7" s="25" t="s">
        <v>244</v>
      </c>
      <c r="AQ7" s="25" t="s">
        <v>244</v>
      </c>
      <c r="AR7" s="25" t="s">
        <v>244</v>
      </c>
      <c r="AS7" s="25" t="s">
        <v>244</v>
      </c>
      <c r="AX7" s="244">
        <v>88</v>
      </c>
      <c r="AY7" s="245" t="s">
        <v>4137</v>
      </c>
      <c r="AZ7" s="216" t="b">
        <f t="shared" si="15"/>
        <v>0</v>
      </c>
      <c r="BA7" s="245" t="str">
        <f t="shared" si="16"/>
        <v/>
      </c>
      <c r="BB7" s="245" t="s">
        <v>4143</v>
      </c>
      <c r="BC7" s="216" t="b">
        <f t="shared" si="17"/>
        <v>0</v>
      </c>
      <c r="BD7" s="245" t="str">
        <f t="shared" si="0"/>
        <v/>
      </c>
      <c r="BE7" s="245" t="s">
        <v>4148</v>
      </c>
      <c r="BF7" s="216" t="b">
        <f t="shared" si="18"/>
        <v>0</v>
      </c>
      <c r="BG7" s="245" t="str">
        <f t="shared" si="1"/>
        <v/>
      </c>
      <c r="BH7" s="245" t="s">
        <v>4150</v>
      </c>
      <c r="BI7" s="216" t="b">
        <f t="shared" si="19"/>
        <v>0</v>
      </c>
      <c r="BJ7" s="245" t="str">
        <f t="shared" si="2"/>
        <v/>
      </c>
      <c r="BK7" s="245">
        <v>82</v>
      </c>
      <c r="BL7" s="245" t="s">
        <v>3834</v>
      </c>
      <c r="BM7" s="216" t="b">
        <f t="shared" si="3"/>
        <v>0</v>
      </c>
      <c r="BN7" s="245" t="str">
        <f t="shared" si="4"/>
        <v/>
      </c>
      <c r="BO7" s="245" t="s">
        <v>3837</v>
      </c>
      <c r="BP7" s="216" t="b">
        <f t="shared" si="5"/>
        <v>0</v>
      </c>
      <c r="BQ7" s="245" t="str">
        <f t="shared" si="6"/>
        <v/>
      </c>
      <c r="BR7" s="245" t="s">
        <v>3838</v>
      </c>
      <c r="BS7" s="216" t="b">
        <f t="shared" si="7"/>
        <v>0</v>
      </c>
      <c r="BT7" s="245" t="str">
        <f t="shared" si="8"/>
        <v/>
      </c>
      <c r="BU7" s="245" t="s">
        <v>3839</v>
      </c>
      <c r="BV7" s="216" t="b">
        <f t="shared" si="9"/>
        <v>0</v>
      </c>
      <c r="BW7" s="245" t="str">
        <f t="shared" si="10"/>
        <v/>
      </c>
      <c r="BX7" s="245" t="s">
        <v>3840</v>
      </c>
      <c r="BY7" s="216" t="b">
        <f t="shared" si="11"/>
        <v>0</v>
      </c>
      <c r="BZ7" s="245" t="str">
        <f t="shared" si="12"/>
        <v/>
      </c>
      <c r="CA7" s="245" t="s">
        <v>3841</v>
      </c>
      <c r="CB7" s="216" t="b">
        <f t="shared" si="13"/>
        <v>0</v>
      </c>
      <c r="CC7" s="245" t="str">
        <f t="shared" si="14"/>
        <v/>
      </c>
      <c r="CD7" s="245" t="s">
        <v>4155</v>
      </c>
      <c r="CE7" s="216" t="b">
        <f t="shared" si="20"/>
        <v>0</v>
      </c>
      <c r="CF7" s="245" t="str">
        <f t="shared" si="21"/>
        <v/>
      </c>
    </row>
    <row r="8" spans="1:84" x14ac:dyDescent="0.2">
      <c r="A8" s="25">
        <v>7</v>
      </c>
      <c r="B8" s="25">
        <v>20</v>
      </c>
      <c r="D8" s="25">
        <v>7</v>
      </c>
      <c r="E8" s="25" t="s">
        <v>35</v>
      </c>
      <c r="F8" s="25">
        <v>1007</v>
      </c>
      <c r="G8" s="25">
        <v>2007</v>
      </c>
      <c r="H8" s="25">
        <v>3007</v>
      </c>
      <c r="I8" s="25">
        <v>4007</v>
      </c>
      <c r="J8" s="25">
        <v>5007</v>
      </c>
      <c r="K8" s="25">
        <v>6007</v>
      </c>
      <c r="L8" s="25">
        <v>7007</v>
      </c>
      <c r="M8" s="25">
        <v>8007</v>
      </c>
      <c r="N8" s="25">
        <v>9007</v>
      </c>
      <c r="O8" s="25">
        <v>10007</v>
      </c>
      <c r="P8" s="25">
        <v>11007</v>
      </c>
      <c r="Q8" s="25">
        <v>12007</v>
      </c>
      <c r="R8" s="25">
        <v>13007</v>
      </c>
      <c r="S8" s="25">
        <v>14007</v>
      </c>
      <c r="T8" s="25">
        <v>15007</v>
      </c>
      <c r="U8" s="25">
        <v>16007</v>
      </c>
      <c r="V8" s="25">
        <v>17007</v>
      </c>
      <c r="W8" s="38">
        <v>18007</v>
      </c>
      <c r="X8" s="25">
        <v>19007</v>
      </c>
      <c r="Y8" s="25">
        <v>20007</v>
      </c>
      <c r="Z8" s="25">
        <v>21007</v>
      </c>
      <c r="AA8" s="25">
        <v>22007</v>
      </c>
      <c r="AB8" s="25">
        <v>23007</v>
      </c>
      <c r="AC8" s="25">
        <v>24007</v>
      </c>
      <c r="AD8" s="25">
        <v>25007</v>
      </c>
      <c r="AE8" s="25">
        <v>26007</v>
      </c>
      <c r="AF8" s="25">
        <v>27007</v>
      </c>
      <c r="AG8" s="25">
        <v>28007</v>
      </c>
      <c r="AH8" s="25">
        <v>29007</v>
      </c>
      <c r="AI8" s="25">
        <v>30007</v>
      </c>
      <c r="AJ8" s="25" t="s">
        <v>244</v>
      </c>
      <c r="AK8" s="25" t="s">
        <v>244</v>
      </c>
      <c r="AL8" s="25" t="s">
        <v>244</v>
      </c>
      <c r="AM8" s="25" t="s">
        <v>244</v>
      </c>
      <c r="AN8" s="25" t="s">
        <v>244</v>
      </c>
      <c r="AO8" s="25" t="s">
        <v>244</v>
      </c>
      <c r="AP8" s="25" t="s">
        <v>244</v>
      </c>
      <c r="AQ8" s="25" t="s">
        <v>244</v>
      </c>
      <c r="AR8" s="25" t="s">
        <v>244</v>
      </c>
      <c r="AS8" s="25" t="s">
        <v>244</v>
      </c>
      <c r="AX8" s="244">
        <v>86</v>
      </c>
      <c r="AY8" s="245" t="s">
        <v>4119</v>
      </c>
      <c r="AZ8" s="216" t="b">
        <f t="shared" si="15"/>
        <v>0</v>
      </c>
      <c r="BA8" s="245" t="str">
        <f t="shared" si="16"/>
        <v/>
      </c>
      <c r="BB8" s="245" t="s">
        <v>4124</v>
      </c>
      <c r="BC8" s="216" t="b">
        <f t="shared" si="17"/>
        <v>0</v>
      </c>
      <c r="BD8" s="245" t="str">
        <f t="shared" si="0"/>
        <v/>
      </c>
      <c r="BE8" s="245" t="s">
        <v>177</v>
      </c>
      <c r="BF8" s="216" t="b">
        <f t="shared" si="18"/>
        <v>0</v>
      </c>
      <c r="BG8" s="245" t="str">
        <f t="shared" si="1"/>
        <v/>
      </c>
      <c r="BH8" s="245" t="s">
        <v>4129</v>
      </c>
      <c r="BI8" s="216" t="b">
        <f t="shared" si="19"/>
        <v>0</v>
      </c>
      <c r="BJ8" s="245" t="str">
        <f t="shared" si="2"/>
        <v/>
      </c>
      <c r="BK8" s="245">
        <v>80</v>
      </c>
      <c r="BL8" s="245" t="s">
        <v>3793</v>
      </c>
      <c r="BM8" s="216" t="b">
        <f t="shared" si="3"/>
        <v>0</v>
      </c>
      <c r="BN8" s="245" t="str">
        <f t="shared" si="4"/>
        <v/>
      </c>
      <c r="BO8" s="245" t="s">
        <v>3798</v>
      </c>
      <c r="BP8" s="216" t="b">
        <f t="shared" si="5"/>
        <v>0</v>
      </c>
      <c r="BQ8" s="245" t="str">
        <f t="shared" si="6"/>
        <v/>
      </c>
      <c r="BR8" s="245" t="s">
        <v>3804</v>
      </c>
      <c r="BS8" s="216" t="b">
        <f t="shared" si="7"/>
        <v>0</v>
      </c>
      <c r="BT8" s="245" t="str">
        <f t="shared" si="8"/>
        <v/>
      </c>
      <c r="BU8" s="245" t="s">
        <v>3806</v>
      </c>
      <c r="BV8" s="216" t="b">
        <f t="shared" si="9"/>
        <v>0</v>
      </c>
      <c r="BW8" s="245" t="str">
        <f t="shared" si="10"/>
        <v/>
      </c>
      <c r="BX8" s="245" t="s">
        <v>3807</v>
      </c>
      <c r="BY8" s="216" t="b">
        <f t="shared" si="11"/>
        <v>0</v>
      </c>
      <c r="BZ8" s="245" t="str">
        <f t="shared" si="12"/>
        <v/>
      </c>
      <c r="CA8" s="245" t="s">
        <v>3813</v>
      </c>
      <c r="CB8" s="216" t="b">
        <f t="shared" si="13"/>
        <v>0</v>
      </c>
      <c r="CC8" s="245" t="str">
        <f t="shared" si="14"/>
        <v/>
      </c>
      <c r="CD8" s="245" t="s">
        <v>4135</v>
      </c>
      <c r="CE8" s="216" t="b">
        <f t="shared" si="20"/>
        <v>0</v>
      </c>
      <c r="CF8" s="245" t="str">
        <f t="shared" si="21"/>
        <v/>
      </c>
    </row>
    <row r="9" spans="1:84" x14ac:dyDescent="0.2">
      <c r="A9" s="25">
        <v>8</v>
      </c>
      <c r="B9" s="25">
        <v>30</v>
      </c>
      <c r="D9" s="25">
        <v>8</v>
      </c>
      <c r="E9" s="25" t="s">
        <v>60</v>
      </c>
      <c r="F9" s="25">
        <v>1008</v>
      </c>
      <c r="G9" s="25">
        <v>2008</v>
      </c>
      <c r="H9" s="25">
        <v>3008</v>
      </c>
      <c r="I9" s="25">
        <v>4008</v>
      </c>
      <c r="J9" s="25">
        <v>5008</v>
      </c>
      <c r="K9" s="25">
        <v>6008</v>
      </c>
      <c r="L9" s="25">
        <v>7008</v>
      </c>
      <c r="M9" s="25">
        <v>8008</v>
      </c>
      <c r="N9" s="25">
        <v>9008</v>
      </c>
      <c r="O9" s="25">
        <v>10008</v>
      </c>
      <c r="P9" s="25">
        <v>11008</v>
      </c>
      <c r="Q9" s="25">
        <v>12008</v>
      </c>
      <c r="R9" s="25">
        <v>13008</v>
      </c>
      <c r="S9" s="25">
        <v>14008</v>
      </c>
      <c r="T9" s="25">
        <v>15008</v>
      </c>
      <c r="U9" s="25">
        <v>16008</v>
      </c>
      <c r="V9" s="25">
        <v>17008</v>
      </c>
      <c r="W9" s="38">
        <v>18008</v>
      </c>
      <c r="X9" s="25">
        <v>19008</v>
      </c>
      <c r="Y9" s="25">
        <v>20008</v>
      </c>
      <c r="Z9" s="25">
        <v>21008</v>
      </c>
      <c r="AA9" s="25">
        <v>22008</v>
      </c>
      <c r="AB9" s="25">
        <v>23008</v>
      </c>
      <c r="AC9" s="25">
        <v>24008</v>
      </c>
      <c r="AD9" s="25">
        <v>25008</v>
      </c>
      <c r="AE9" s="25">
        <v>26008</v>
      </c>
      <c r="AF9" s="25">
        <v>27008</v>
      </c>
      <c r="AG9" s="25">
        <v>28008</v>
      </c>
      <c r="AH9" s="25">
        <v>29008</v>
      </c>
      <c r="AI9" s="25">
        <v>30008</v>
      </c>
      <c r="AJ9" s="25" t="s">
        <v>244</v>
      </c>
      <c r="AK9" s="25" t="s">
        <v>244</v>
      </c>
      <c r="AL9" s="25" t="s">
        <v>244</v>
      </c>
      <c r="AM9" s="25" t="s">
        <v>244</v>
      </c>
      <c r="AN9" s="25" t="s">
        <v>244</v>
      </c>
      <c r="AO9" s="25" t="s">
        <v>244</v>
      </c>
      <c r="AP9" s="25" t="s">
        <v>244</v>
      </c>
      <c r="AQ9" s="25" t="s">
        <v>244</v>
      </c>
      <c r="AR9" s="25" t="s">
        <v>244</v>
      </c>
      <c r="AS9" s="25" t="s">
        <v>244</v>
      </c>
      <c r="AX9" s="244">
        <v>82</v>
      </c>
      <c r="AY9" s="245" t="s">
        <v>4106</v>
      </c>
      <c r="AZ9" s="216" t="b">
        <f t="shared" si="15"/>
        <v>0</v>
      </c>
      <c r="BA9" s="245" t="str">
        <f t="shared" si="16"/>
        <v/>
      </c>
      <c r="BB9" s="245" t="s">
        <v>4107</v>
      </c>
      <c r="BC9" s="216" t="b">
        <f t="shared" si="17"/>
        <v>0</v>
      </c>
      <c r="BD9" s="245" t="str">
        <f t="shared" si="0"/>
        <v/>
      </c>
      <c r="BE9" s="245" t="s">
        <v>4108</v>
      </c>
      <c r="BF9" s="216" t="b">
        <f t="shared" si="18"/>
        <v>0</v>
      </c>
      <c r="BG9" s="245" t="str">
        <f t="shared" si="1"/>
        <v/>
      </c>
      <c r="BH9" s="245" t="s">
        <v>4111</v>
      </c>
      <c r="BI9" s="216" t="b">
        <f t="shared" si="19"/>
        <v>0</v>
      </c>
      <c r="BJ9" s="245" t="str">
        <f t="shared" si="2"/>
        <v/>
      </c>
      <c r="BK9" s="245">
        <v>76</v>
      </c>
      <c r="BL9" s="245" t="s">
        <v>3750</v>
      </c>
      <c r="BM9" s="216" t="b">
        <f t="shared" si="3"/>
        <v>0</v>
      </c>
      <c r="BN9" s="245" t="str">
        <f t="shared" si="4"/>
        <v/>
      </c>
      <c r="BO9" s="245" t="s">
        <v>3756</v>
      </c>
      <c r="BP9" s="216" t="b">
        <f t="shared" si="5"/>
        <v>0</v>
      </c>
      <c r="BQ9" s="245" t="str">
        <f t="shared" si="6"/>
        <v/>
      </c>
      <c r="BR9" s="245" t="s">
        <v>3762</v>
      </c>
      <c r="BS9" s="216" t="b">
        <f t="shared" si="7"/>
        <v>0</v>
      </c>
      <c r="BT9" s="245" t="str">
        <f t="shared" si="8"/>
        <v/>
      </c>
      <c r="BU9" s="245" t="s">
        <v>3764</v>
      </c>
      <c r="BV9" s="216" t="b">
        <f t="shared" si="9"/>
        <v>0</v>
      </c>
      <c r="BW9" s="245" t="str">
        <f t="shared" si="10"/>
        <v/>
      </c>
      <c r="BX9" s="245" t="s">
        <v>3769</v>
      </c>
      <c r="BY9" s="216" t="b">
        <f t="shared" si="11"/>
        <v>0</v>
      </c>
      <c r="BZ9" s="245" t="str">
        <f t="shared" si="12"/>
        <v/>
      </c>
      <c r="CA9" s="245" t="s">
        <v>3775</v>
      </c>
      <c r="CB9" s="216" t="b">
        <f t="shared" si="13"/>
        <v>0</v>
      </c>
      <c r="CC9" s="245" t="str">
        <f t="shared" si="14"/>
        <v/>
      </c>
      <c r="CD9" s="245" t="s">
        <v>4117</v>
      </c>
      <c r="CE9" s="216" t="b">
        <f t="shared" si="20"/>
        <v>0</v>
      </c>
      <c r="CF9" s="245" t="str">
        <f t="shared" si="21"/>
        <v/>
      </c>
    </row>
    <row r="10" spans="1:84" x14ac:dyDescent="0.2">
      <c r="A10" s="25">
        <v>9</v>
      </c>
      <c r="B10" s="25">
        <v>40</v>
      </c>
      <c r="D10" s="25">
        <v>9</v>
      </c>
      <c r="E10" s="25" t="s">
        <v>90</v>
      </c>
      <c r="F10" s="25">
        <v>1009</v>
      </c>
      <c r="G10" s="25">
        <v>2009</v>
      </c>
      <c r="H10" s="25">
        <v>3009</v>
      </c>
      <c r="I10" s="25">
        <v>4009</v>
      </c>
      <c r="J10" s="25">
        <v>5009</v>
      </c>
      <c r="K10" s="25">
        <v>6009</v>
      </c>
      <c r="L10" s="25">
        <v>7009</v>
      </c>
      <c r="M10" s="25">
        <v>8009</v>
      </c>
      <c r="N10" s="25">
        <v>9009</v>
      </c>
      <c r="O10" s="25">
        <v>10009</v>
      </c>
      <c r="P10" s="25">
        <v>11009</v>
      </c>
      <c r="Q10" s="25">
        <v>12009</v>
      </c>
      <c r="R10" s="25">
        <v>13009</v>
      </c>
      <c r="S10" s="25">
        <v>14009</v>
      </c>
      <c r="T10" s="25">
        <v>15009</v>
      </c>
      <c r="U10" s="25">
        <v>16009</v>
      </c>
      <c r="V10" s="25">
        <v>17009</v>
      </c>
      <c r="W10" s="38">
        <v>18009</v>
      </c>
      <c r="X10" s="25">
        <v>19009</v>
      </c>
      <c r="Y10" s="25">
        <v>20009</v>
      </c>
      <c r="Z10" s="25">
        <v>21009</v>
      </c>
      <c r="AA10" s="25">
        <v>22009</v>
      </c>
      <c r="AB10" s="25">
        <v>23009</v>
      </c>
      <c r="AC10" s="25">
        <v>24009</v>
      </c>
      <c r="AD10" s="25">
        <v>25009</v>
      </c>
      <c r="AE10" s="25">
        <v>26009</v>
      </c>
      <c r="AF10" s="25">
        <v>27009</v>
      </c>
      <c r="AG10" s="25">
        <v>28009</v>
      </c>
      <c r="AH10" s="25">
        <v>29009</v>
      </c>
      <c r="AI10" s="25">
        <v>30009</v>
      </c>
      <c r="AJ10" s="25" t="s">
        <v>244</v>
      </c>
      <c r="AK10" s="25" t="s">
        <v>244</v>
      </c>
      <c r="AL10" s="25" t="s">
        <v>244</v>
      </c>
      <c r="AM10" s="25" t="s">
        <v>244</v>
      </c>
      <c r="AN10" s="25" t="s">
        <v>244</v>
      </c>
      <c r="AO10" s="25" t="s">
        <v>244</v>
      </c>
      <c r="AP10" s="25" t="s">
        <v>244</v>
      </c>
      <c r="AQ10" s="25" t="s">
        <v>244</v>
      </c>
      <c r="AR10" s="25" t="s">
        <v>244</v>
      </c>
      <c r="AS10" s="25" t="s">
        <v>244</v>
      </c>
      <c r="AX10" s="244">
        <v>80</v>
      </c>
      <c r="AY10" s="245" t="s">
        <v>4081</v>
      </c>
      <c r="AZ10" s="216" t="b">
        <f t="shared" si="15"/>
        <v>0</v>
      </c>
      <c r="BA10" s="245" t="str">
        <f t="shared" si="16"/>
        <v/>
      </c>
      <c r="BB10" s="245" t="s">
        <v>4086</v>
      </c>
      <c r="BC10" s="216" t="b">
        <f t="shared" si="17"/>
        <v>0</v>
      </c>
      <c r="BD10" s="245" t="str">
        <f t="shared" si="0"/>
        <v/>
      </c>
      <c r="BE10" s="245" t="s">
        <v>4088</v>
      </c>
      <c r="BF10" s="216" t="b">
        <f t="shared" si="18"/>
        <v>0</v>
      </c>
      <c r="BG10" s="245" t="str">
        <f t="shared" si="1"/>
        <v/>
      </c>
      <c r="BH10" s="245" t="s">
        <v>4094</v>
      </c>
      <c r="BI10" s="216" t="b">
        <f t="shared" si="19"/>
        <v>0</v>
      </c>
      <c r="BJ10" s="245" t="str">
        <f t="shared" si="2"/>
        <v/>
      </c>
      <c r="BK10" s="245">
        <v>72</v>
      </c>
      <c r="BL10" s="245" t="s">
        <v>3715</v>
      </c>
      <c r="BM10" s="216" t="b">
        <f t="shared" si="3"/>
        <v>0</v>
      </c>
      <c r="BN10" s="245" t="str">
        <f t="shared" si="4"/>
        <v/>
      </c>
      <c r="BO10" s="245" t="s">
        <v>3720</v>
      </c>
      <c r="BP10" s="216" t="b">
        <f t="shared" si="5"/>
        <v>0</v>
      </c>
      <c r="BQ10" s="245" t="str">
        <f t="shared" si="6"/>
        <v/>
      </c>
      <c r="BR10" s="245" t="s">
        <v>3724</v>
      </c>
      <c r="BS10" s="216" t="b">
        <f t="shared" si="7"/>
        <v>0</v>
      </c>
      <c r="BT10" s="245" t="str">
        <f t="shared" si="8"/>
        <v/>
      </c>
      <c r="BU10" s="245" t="s">
        <v>3727</v>
      </c>
      <c r="BV10" s="216" t="b">
        <f t="shared" si="9"/>
        <v>0</v>
      </c>
      <c r="BW10" s="245" t="str">
        <f t="shared" si="10"/>
        <v/>
      </c>
      <c r="BX10" s="245" t="s">
        <v>3730</v>
      </c>
      <c r="BY10" s="216" t="b">
        <f t="shared" si="11"/>
        <v>0</v>
      </c>
      <c r="BZ10" s="245" t="str">
        <f t="shared" si="12"/>
        <v/>
      </c>
      <c r="CA10" s="245" t="s">
        <v>3736</v>
      </c>
      <c r="CB10" s="216" t="b">
        <f t="shared" si="13"/>
        <v>0</v>
      </c>
      <c r="CC10" s="245" t="str">
        <f t="shared" si="14"/>
        <v/>
      </c>
      <c r="CD10" s="245" t="s">
        <v>4100</v>
      </c>
      <c r="CE10" s="216" t="b">
        <f t="shared" si="20"/>
        <v>0</v>
      </c>
      <c r="CF10" s="245" t="str">
        <f t="shared" si="21"/>
        <v/>
      </c>
    </row>
    <row r="11" spans="1:84" x14ac:dyDescent="0.2">
      <c r="A11" s="25">
        <v>10</v>
      </c>
      <c r="B11" s="25">
        <v>50</v>
      </c>
      <c r="D11" s="25">
        <v>10</v>
      </c>
      <c r="E11" s="25" t="s">
        <v>94</v>
      </c>
      <c r="F11" s="25">
        <v>1010</v>
      </c>
      <c r="G11" s="25">
        <v>2010</v>
      </c>
      <c r="H11" s="25">
        <v>3010</v>
      </c>
      <c r="I11" s="25">
        <v>4010</v>
      </c>
      <c r="J11" s="25">
        <v>5010</v>
      </c>
      <c r="K11" s="25">
        <v>6010</v>
      </c>
      <c r="L11" s="25">
        <v>7010</v>
      </c>
      <c r="M11" s="25">
        <v>8010</v>
      </c>
      <c r="N11" s="25">
        <v>9010</v>
      </c>
      <c r="O11" s="25">
        <v>10010</v>
      </c>
      <c r="P11" s="25">
        <v>11010</v>
      </c>
      <c r="Q11" s="25">
        <v>12010</v>
      </c>
      <c r="R11" s="25">
        <v>13010</v>
      </c>
      <c r="S11" s="25">
        <v>14010</v>
      </c>
      <c r="T11" s="25">
        <v>15010</v>
      </c>
      <c r="U11" s="25">
        <v>16010</v>
      </c>
      <c r="V11" s="25">
        <v>17010</v>
      </c>
      <c r="W11" s="38">
        <v>18010</v>
      </c>
      <c r="X11" s="25">
        <v>19010</v>
      </c>
      <c r="Y11" s="25">
        <v>20010</v>
      </c>
      <c r="Z11" s="25">
        <v>21010</v>
      </c>
      <c r="AA11" s="25">
        <v>22010</v>
      </c>
      <c r="AB11" s="25">
        <v>23010</v>
      </c>
      <c r="AC11" s="25">
        <v>24010</v>
      </c>
      <c r="AD11" s="25">
        <v>25010</v>
      </c>
      <c r="AE11" s="25">
        <v>26010</v>
      </c>
      <c r="AF11" s="25">
        <v>27010</v>
      </c>
      <c r="AG11" s="25">
        <v>28010</v>
      </c>
      <c r="AH11" s="25">
        <v>29010</v>
      </c>
      <c r="AI11" s="25">
        <v>30010</v>
      </c>
      <c r="AJ11" s="25" t="s">
        <v>244</v>
      </c>
      <c r="AK11" s="25" t="s">
        <v>244</v>
      </c>
      <c r="AL11" s="25" t="s">
        <v>244</v>
      </c>
      <c r="AM11" s="25" t="s">
        <v>244</v>
      </c>
      <c r="AN11" s="25" t="s">
        <v>244</v>
      </c>
      <c r="AO11" s="25" t="s">
        <v>244</v>
      </c>
      <c r="AP11" s="25" t="s">
        <v>244</v>
      </c>
      <c r="AQ11" s="25" t="s">
        <v>244</v>
      </c>
      <c r="AR11" s="25" t="s">
        <v>244</v>
      </c>
      <c r="AS11" s="25" t="s">
        <v>244</v>
      </c>
      <c r="AX11" s="244">
        <v>78</v>
      </c>
      <c r="AY11" s="245" t="s">
        <v>4062</v>
      </c>
      <c r="AZ11" s="216" t="b">
        <f t="shared" si="15"/>
        <v>0</v>
      </c>
      <c r="BA11" s="245" t="str">
        <f t="shared" si="16"/>
        <v/>
      </c>
      <c r="BB11" s="245" t="s">
        <v>4068</v>
      </c>
      <c r="BC11" s="216" t="b">
        <f t="shared" si="17"/>
        <v>0</v>
      </c>
      <c r="BD11" s="245" t="str">
        <f t="shared" si="0"/>
        <v/>
      </c>
      <c r="BE11" s="245" t="s">
        <v>4070</v>
      </c>
      <c r="BF11" s="216" t="b">
        <f t="shared" si="18"/>
        <v>0</v>
      </c>
      <c r="BG11" s="245" t="str">
        <f t="shared" si="1"/>
        <v/>
      </c>
      <c r="BH11" s="245" t="s">
        <v>4073</v>
      </c>
      <c r="BI11" s="216" t="b">
        <f t="shared" si="19"/>
        <v>0</v>
      </c>
      <c r="BJ11" s="245" t="str">
        <f t="shared" si="2"/>
        <v/>
      </c>
      <c r="BK11" s="245">
        <v>70</v>
      </c>
      <c r="BL11" s="245" t="s">
        <v>3670</v>
      </c>
      <c r="BM11" s="216" t="b">
        <f t="shared" si="3"/>
        <v>0</v>
      </c>
      <c r="BN11" s="245" t="str">
        <f t="shared" si="4"/>
        <v/>
      </c>
      <c r="BO11" s="245" t="s">
        <v>3676</v>
      </c>
      <c r="BP11" s="216" t="b">
        <f t="shared" si="5"/>
        <v>0</v>
      </c>
      <c r="BQ11" s="245" t="str">
        <f t="shared" si="6"/>
        <v/>
      </c>
      <c r="BR11" s="245" t="s">
        <v>3677</v>
      </c>
      <c r="BS11" s="216" t="b">
        <f t="shared" si="7"/>
        <v>0</v>
      </c>
      <c r="BT11" s="245" t="str">
        <f t="shared" si="8"/>
        <v/>
      </c>
      <c r="BU11" s="245" t="s">
        <v>3680</v>
      </c>
      <c r="BV11" s="216" t="b">
        <f t="shared" si="9"/>
        <v>0</v>
      </c>
      <c r="BW11" s="245" t="str">
        <f t="shared" si="10"/>
        <v/>
      </c>
      <c r="BX11" s="245" t="s">
        <v>3684</v>
      </c>
      <c r="BY11" s="216" t="b">
        <f t="shared" si="11"/>
        <v>0</v>
      </c>
      <c r="BZ11" s="245" t="str">
        <f t="shared" si="12"/>
        <v/>
      </c>
      <c r="CA11" s="245" t="s">
        <v>3685</v>
      </c>
      <c r="CB11" s="216" t="b">
        <f t="shared" si="13"/>
        <v>0</v>
      </c>
      <c r="CC11" s="245" t="str">
        <f t="shared" si="14"/>
        <v/>
      </c>
      <c r="CD11" s="245" t="s">
        <v>4079</v>
      </c>
      <c r="CE11" s="216" t="b">
        <f t="shared" si="20"/>
        <v>0</v>
      </c>
      <c r="CF11" s="245" t="str">
        <f t="shared" si="21"/>
        <v/>
      </c>
    </row>
    <row r="12" spans="1:84" x14ac:dyDescent="0.2">
      <c r="A12" s="25">
        <v>11</v>
      </c>
      <c r="B12" s="25">
        <v>75</v>
      </c>
      <c r="D12" s="25">
        <v>11</v>
      </c>
      <c r="E12" s="25" t="s">
        <v>101</v>
      </c>
      <c r="F12" s="25">
        <v>1011</v>
      </c>
      <c r="G12" s="25">
        <v>2011</v>
      </c>
      <c r="H12" s="25">
        <v>3011</v>
      </c>
      <c r="I12" s="25">
        <v>4011</v>
      </c>
      <c r="J12" s="25">
        <v>5011</v>
      </c>
      <c r="K12" s="25">
        <v>6011</v>
      </c>
      <c r="L12" s="25">
        <v>7011</v>
      </c>
      <c r="M12" s="25">
        <v>8011</v>
      </c>
      <c r="N12" s="25">
        <v>9011</v>
      </c>
      <c r="O12" s="25">
        <v>10011</v>
      </c>
      <c r="P12" s="25">
        <v>11011</v>
      </c>
      <c r="Q12" s="25">
        <v>12011</v>
      </c>
      <c r="R12" s="25">
        <v>13011</v>
      </c>
      <c r="S12" s="25">
        <v>14011</v>
      </c>
      <c r="T12" s="25">
        <v>15011</v>
      </c>
      <c r="U12" s="25">
        <v>16011</v>
      </c>
      <c r="V12" s="25">
        <v>17011</v>
      </c>
      <c r="W12" s="38">
        <v>18011</v>
      </c>
      <c r="X12" s="25">
        <v>19011</v>
      </c>
      <c r="Y12" s="25">
        <v>20011</v>
      </c>
      <c r="Z12" s="25">
        <v>21011</v>
      </c>
      <c r="AA12" s="25">
        <v>22011</v>
      </c>
      <c r="AB12" s="25">
        <v>23011</v>
      </c>
      <c r="AC12" s="25">
        <v>24011</v>
      </c>
      <c r="AD12" s="25">
        <v>25011</v>
      </c>
      <c r="AE12" s="25">
        <v>26011</v>
      </c>
      <c r="AF12" s="25">
        <v>27011</v>
      </c>
      <c r="AG12" s="25">
        <v>28011</v>
      </c>
      <c r="AH12" s="25">
        <v>29011</v>
      </c>
      <c r="AI12" s="25">
        <v>30011</v>
      </c>
      <c r="AJ12" s="25">
        <v>31011</v>
      </c>
      <c r="AK12" s="25">
        <v>32011</v>
      </c>
      <c r="AL12" s="25">
        <v>33011</v>
      </c>
      <c r="AM12" s="25">
        <v>34011</v>
      </c>
      <c r="AN12" s="25">
        <v>35011</v>
      </c>
      <c r="AO12" s="25">
        <v>36011</v>
      </c>
      <c r="AP12" s="25">
        <v>37011</v>
      </c>
      <c r="AQ12" s="25">
        <v>38011</v>
      </c>
      <c r="AR12" s="25">
        <v>39011</v>
      </c>
      <c r="AS12" s="25">
        <v>40011</v>
      </c>
      <c r="AX12" s="244">
        <v>76</v>
      </c>
      <c r="AY12" s="245" t="s">
        <v>4017</v>
      </c>
      <c r="AZ12" s="216" t="b">
        <f t="shared" si="15"/>
        <v>0</v>
      </c>
      <c r="BA12" s="245" t="str">
        <f t="shared" si="16"/>
        <v/>
      </c>
      <c r="BB12" s="245" t="s">
        <v>4023</v>
      </c>
      <c r="BC12" s="216" t="b">
        <f t="shared" si="17"/>
        <v>0</v>
      </c>
      <c r="BD12" s="245" t="str">
        <f t="shared" si="0"/>
        <v/>
      </c>
      <c r="BE12" s="245" t="s">
        <v>4025</v>
      </c>
      <c r="BF12" s="216" t="b">
        <f t="shared" si="18"/>
        <v>0</v>
      </c>
      <c r="BG12" s="245" t="str">
        <f t="shared" si="1"/>
        <v/>
      </c>
      <c r="BH12" s="245" t="s">
        <v>4029</v>
      </c>
      <c r="BI12" s="216" t="b">
        <f t="shared" si="19"/>
        <v>0</v>
      </c>
      <c r="BJ12" s="245" t="str">
        <f t="shared" si="2"/>
        <v/>
      </c>
      <c r="BK12" s="245">
        <v>66</v>
      </c>
      <c r="BL12" s="245" t="s">
        <v>3625</v>
      </c>
      <c r="BM12" s="216" t="b">
        <f t="shared" si="3"/>
        <v>0</v>
      </c>
      <c r="BN12" s="245" t="str">
        <f t="shared" si="4"/>
        <v/>
      </c>
      <c r="BO12" s="245" t="s">
        <v>3630</v>
      </c>
      <c r="BP12" s="216" t="b">
        <f t="shared" si="5"/>
        <v>0</v>
      </c>
      <c r="BQ12" s="245" t="str">
        <f t="shared" si="6"/>
        <v/>
      </c>
      <c r="BR12" s="245" t="s">
        <v>3636</v>
      </c>
      <c r="BS12" s="216" t="b">
        <f t="shared" si="7"/>
        <v>0</v>
      </c>
      <c r="BT12" s="245" t="str">
        <f t="shared" si="8"/>
        <v/>
      </c>
      <c r="BU12" s="245" t="s">
        <v>3641</v>
      </c>
      <c r="BV12" s="216" t="b">
        <f t="shared" si="9"/>
        <v>0</v>
      </c>
      <c r="BW12" s="245" t="str">
        <f t="shared" si="10"/>
        <v/>
      </c>
      <c r="BX12" s="245" t="s">
        <v>3647</v>
      </c>
      <c r="BY12" s="216" t="b">
        <f t="shared" si="11"/>
        <v>0</v>
      </c>
      <c r="BZ12" s="245" t="str">
        <f t="shared" si="12"/>
        <v/>
      </c>
      <c r="CA12" s="245" t="s">
        <v>3652</v>
      </c>
      <c r="CB12" s="216" t="b">
        <f t="shared" si="13"/>
        <v>0</v>
      </c>
      <c r="CC12" s="245" t="str">
        <f t="shared" si="14"/>
        <v/>
      </c>
      <c r="CD12" s="245" t="s">
        <v>4060</v>
      </c>
      <c r="CE12" s="216" t="b">
        <f t="shared" si="20"/>
        <v>0</v>
      </c>
      <c r="CF12" s="245" t="str">
        <f t="shared" si="21"/>
        <v/>
      </c>
    </row>
    <row r="13" spans="1:84" x14ac:dyDescent="0.2">
      <c r="A13" s="25">
        <v>12</v>
      </c>
      <c r="B13" s="25">
        <v>100</v>
      </c>
      <c r="D13" s="25" t="s">
        <v>9</v>
      </c>
      <c r="AX13" s="244">
        <v>72</v>
      </c>
      <c r="AY13" s="245" t="s">
        <v>3986</v>
      </c>
      <c r="AZ13" s="216" t="b">
        <f t="shared" si="15"/>
        <v>0</v>
      </c>
      <c r="BA13" s="245" t="str">
        <f t="shared" si="16"/>
        <v/>
      </c>
      <c r="BB13" s="245" t="s">
        <v>3991</v>
      </c>
      <c r="BC13" s="216" t="b">
        <f t="shared" si="17"/>
        <v>0</v>
      </c>
      <c r="BD13" s="245" t="str">
        <f t="shared" si="0"/>
        <v/>
      </c>
      <c r="BE13" s="245" t="s">
        <v>3992</v>
      </c>
      <c r="BF13" s="216" t="b">
        <f t="shared" si="18"/>
        <v>0</v>
      </c>
      <c r="BG13" s="245" t="str">
        <f t="shared" si="1"/>
        <v/>
      </c>
      <c r="BH13" s="245" t="s">
        <v>1535</v>
      </c>
      <c r="BI13" s="216" t="b">
        <f t="shared" si="19"/>
        <v>0</v>
      </c>
      <c r="BJ13" s="245" t="str">
        <f t="shared" si="2"/>
        <v/>
      </c>
      <c r="BK13" s="245">
        <v>62</v>
      </c>
      <c r="BL13" s="245" t="s">
        <v>3583</v>
      </c>
      <c r="BM13" s="216" t="b">
        <f t="shared" si="3"/>
        <v>0</v>
      </c>
      <c r="BN13" s="245" t="str">
        <f t="shared" si="4"/>
        <v/>
      </c>
      <c r="BO13" s="245" t="s">
        <v>3588</v>
      </c>
      <c r="BP13" s="216" t="b">
        <f t="shared" si="5"/>
        <v>0</v>
      </c>
      <c r="BQ13" s="245" t="str">
        <f t="shared" si="6"/>
        <v/>
      </c>
      <c r="BR13" s="245" t="s">
        <v>3591</v>
      </c>
      <c r="BS13" s="216" t="b">
        <f t="shared" si="7"/>
        <v>0</v>
      </c>
      <c r="BT13" s="245" t="str">
        <f t="shared" si="8"/>
        <v/>
      </c>
      <c r="BU13" s="245" t="s">
        <v>3597</v>
      </c>
      <c r="BV13" s="216" t="b">
        <f t="shared" si="9"/>
        <v>0</v>
      </c>
      <c r="BW13" s="245" t="str">
        <f t="shared" si="10"/>
        <v/>
      </c>
      <c r="BX13" s="245" t="s">
        <v>3603</v>
      </c>
      <c r="BY13" s="216" t="b">
        <f t="shared" si="11"/>
        <v>0</v>
      </c>
      <c r="BZ13" s="245" t="str">
        <f t="shared" si="12"/>
        <v/>
      </c>
      <c r="CA13" s="245" t="s">
        <v>3605</v>
      </c>
      <c r="CB13" s="216" t="b">
        <f t="shared" si="13"/>
        <v>0</v>
      </c>
      <c r="CC13" s="245" t="str">
        <f t="shared" si="14"/>
        <v/>
      </c>
      <c r="CD13" s="245" t="s">
        <v>4013</v>
      </c>
      <c r="CE13" s="216" t="b">
        <f t="shared" si="20"/>
        <v>0</v>
      </c>
      <c r="CF13" s="245" t="str">
        <f t="shared" si="21"/>
        <v/>
      </c>
    </row>
    <row r="14" spans="1:84" x14ac:dyDescent="0.2">
      <c r="A14" s="25">
        <v>13</v>
      </c>
      <c r="B14" s="25">
        <v>150</v>
      </c>
      <c r="D14" s="25">
        <v>5</v>
      </c>
      <c r="E14" s="25">
        <v>0</v>
      </c>
      <c r="G14" s="25">
        <v>1</v>
      </c>
      <c r="H14" s="25">
        <v>2</v>
      </c>
      <c r="I14" s="25">
        <v>3</v>
      </c>
      <c r="J14" s="25">
        <v>4</v>
      </c>
      <c r="K14" s="25">
        <v>5</v>
      </c>
      <c r="L14" s="25">
        <v>6</v>
      </c>
      <c r="M14" s="25">
        <v>7</v>
      </c>
      <c r="N14" s="25">
        <v>8</v>
      </c>
      <c r="O14" s="25">
        <v>9</v>
      </c>
      <c r="P14" s="25">
        <v>10</v>
      </c>
      <c r="Q14" s="25">
        <v>11</v>
      </c>
      <c r="T14" s="25" t="s">
        <v>1430</v>
      </c>
      <c r="U14" s="25" t="s">
        <v>169</v>
      </c>
      <c r="V14" s="25" t="s">
        <v>0</v>
      </c>
      <c r="W14" s="38" t="s">
        <v>164</v>
      </c>
      <c r="X14" s="25" t="s">
        <v>14</v>
      </c>
      <c r="Y14" s="25" t="s">
        <v>26</v>
      </c>
      <c r="Z14" s="25" t="s">
        <v>175</v>
      </c>
      <c r="AA14" s="25" t="s">
        <v>1434</v>
      </c>
      <c r="AB14" s="39" t="s">
        <v>1435</v>
      </c>
      <c r="AC14" s="39" t="s">
        <v>1436</v>
      </c>
      <c r="AD14" s="39" t="s">
        <v>1437</v>
      </c>
      <c r="AE14" s="25" t="s">
        <v>1438</v>
      </c>
      <c r="AF14" s="39" t="s">
        <v>1439</v>
      </c>
      <c r="AG14" s="39" t="s">
        <v>1440</v>
      </c>
      <c r="AH14" s="39" t="s">
        <v>1441</v>
      </c>
      <c r="AI14" s="25" t="s">
        <v>1442</v>
      </c>
      <c r="AJ14" s="39" t="s">
        <v>1443</v>
      </c>
      <c r="AK14" s="39" t="s">
        <v>1444</v>
      </c>
      <c r="AL14" s="39" t="s">
        <v>1445</v>
      </c>
      <c r="AM14" s="25" t="s">
        <v>1446</v>
      </c>
      <c r="AN14" s="39" t="s">
        <v>1447</v>
      </c>
      <c r="AO14" s="39" t="s">
        <v>1448</v>
      </c>
      <c r="AP14" s="39" t="s">
        <v>1449</v>
      </c>
      <c r="AQ14" s="25" t="s">
        <v>1431</v>
      </c>
      <c r="AR14" s="39" t="s">
        <v>6455</v>
      </c>
      <c r="AX14" s="244">
        <v>70</v>
      </c>
      <c r="AY14" s="245" t="s">
        <v>3937</v>
      </c>
      <c r="AZ14" s="216" t="b">
        <f t="shared" si="15"/>
        <v>0</v>
      </c>
      <c r="BA14" s="245" t="str">
        <f t="shared" si="16"/>
        <v/>
      </c>
      <c r="BB14" s="245" t="s">
        <v>3943</v>
      </c>
      <c r="BC14" s="216" t="b">
        <f t="shared" si="17"/>
        <v>0</v>
      </c>
      <c r="BD14" s="245" t="str">
        <f t="shared" si="0"/>
        <v/>
      </c>
      <c r="BE14" s="245" t="s">
        <v>3945</v>
      </c>
      <c r="BF14" s="216" t="b">
        <f t="shared" si="18"/>
        <v>0</v>
      </c>
      <c r="BG14" s="245" t="str">
        <f t="shared" si="1"/>
        <v/>
      </c>
      <c r="BH14" s="245" t="s">
        <v>3951</v>
      </c>
      <c r="BI14" s="216" t="b">
        <f t="shared" si="19"/>
        <v>0</v>
      </c>
      <c r="BJ14" s="245" t="str">
        <f t="shared" si="2"/>
        <v/>
      </c>
      <c r="BK14" s="245">
        <v>60</v>
      </c>
      <c r="BL14" s="245" t="s">
        <v>3537</v>
      </c>
      <c r="BM14" s="216" t="b">
        <f t="shared" si="3"/>
        <v>0</v>
      </c>
      <c r="BN14" s="245" t="str">
        <f t="shared" si="4"/>
        <v/>
      </c>
      <c r="BO14" s="245" t="s">
        <v>3543</v>
      </c>
      <c r="BP14" s="216" t="b">
        <f t="shared" si="5"/>
        <v>0</v>
      </c>
      <c r="BQ14" s="245" t="str">
        <f t="shared" si="6"/>
        <v/>
      </c>
      <c r="BR14" s="245" t="s">
        <v>3547</v>
      </c>
      <c r="BS14" s="216" t="b">
        <f t="shared" si="7"/>
        <v>0</v>
      </c>
      <c r="BT14" s="245" t="str">
        <f t="shared" si="8"/>
        <v/>
      </c>
      <c r="BU14" s="245" t="s">
        <v>3548</v>
      </c>
      <c r="BV14" s="216" t="b">
        <f t="shared" si="9"/>
        <v>0</v>
      </c>
      <c r="BW14" s="245" t="str">
        <f t="shared" si="10"/>
        <v/>
      </c>
      <c r="BX14" s="245" t="s">
        <v>3553</v>
      </c>
      <c r="BY14" s="216" t="b">
        <f t="shared" si="11"/>
        <v>0</v>
      </c>
      <c r="BZ14" s="245" t="str">
        <f t="shared" si="12"/>
        <v/>
      </c>
      <c r="CA14" s="245" t="s">
        <v>3555</v>
      </c>
      <c r="CB14" s="216" t="b">
        <f t="shared" si="13"/>
        <v>0</v>
      </c>
      <c r="CC14" s="245" t="str">
        <f t="shared" si="14"/>
        <v/>
      </c>
      <c r="CD14" s="245" t="s">
        <v>3984</v>
      </c>
      <c r="CE14" s="216" t="b">
        <f t="shared" si="20"/>
        <v>0</v>
      </c>
      <c r="CF14" s="245" t="str">
        <f t="shared" si="21"/>
        <v/>
      </c>
    </row>
    <row r="15" spans="1:84" x14ac:dyDescent="0.2">
      <c r="A15" s="25">
        <v>14</v>
      </c>
      <c r="B15" s="25">
        <v>200</v>
      </c>
      <c r="D15" s="25">
        <v>10</v>
      </c>
      <c r="E15" s="25">
        <v>10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2</v>
      </c>
      <c r="M15" s="25">
        <v>2</v>
      </c>
      <c r="N15" s="25">
        <v>2</v>
      </c>
      <c r="O15" s="25">
        <v>2</v>
      </c>
      <c r="P15" s="25">
        <v>2</v>
      </c>
      <c r="Q15" s="25">
        <v>2</v>
      </c>
      <c r="T15" s="25">
        <v>0</v>
      </c>
      <c r="U15" s="25" t="s">
        <v>744</v>
      </c>
      <c r="V15" s="45">
        <v>0</v>
      </c>
      <c r="W15" s="137" t="s">
        <v>5703</v>
      </c>
      <c r="X15" s="45" t="s">
        <v>5703</v>
      </c>
      <c r="Y15" s="45" t="s">
        <v>5703</v>
      </c>
      <c r="Z15" s="45" t="s">
        <v>5703</v>
      </c>
      <c r="AA15" s="45" t="s">
        <v>5703</v>
      </c>
      <c r="AB15" s="138" t="s">
        <v>5703</v>
      </c>
      <c r="AC15" s="138" t="s">
        <v>5703</v>
      </c>
      <c r="AD15" s="138" t="s">
        <v>5703</v>
      </c>
      <c r="AE15" s="45" t="s">
        <v>5703</v>
      </c>
      <c r="AF15" s="138" t="s">
        <v>5703</v>
      </c>
      <c r="AG15" s="138" t="s">
        <v>5703</v>
      </c>
      <c r="AH15" s="138" t="s">
        <v>5703</v>
      </c>
      <c r="AI15" s="45" t="s">
        <v>5703</v>
      </c>
      <c r="AJ15" s="138" t="s">
        <v>5703</v>
      </c>
      <c r="AK15" s="138" t="s">
        <v>5703</v>
      </c>
      <c r="AL15" s="138" t="s">
        <v>5703</v>
      </c>
      <c r="AM15" s="45" t="s">
        <v>5703</v>
      </c>
      <c r="AN15" s="138" t="s">
        <v>5703</v>
      </c>
      <c r="AO15" s="138" t="s">
        <v>5703</v>
      </c>
      <c r="AP15" s="138" t="s">
        <v>5703</v>
      </c>
      <c r="AQ15" s="45" t="s">
        <v>5703</v>
      </c>
      <c r="AR15" s="39"/>
      <c r="AX15" s="244">
        <v>68</v>
      </c>
      <c r="AY15" s="245" t="s">
        <v>3897</v>
      </c>
      <c r="AZ15" s="216" t="b">
        <f t="shared" si="15"/>
        <v>0</v>
      </c>
      <c r="BA15" s="245" t="str">
        <f t="shared" si="16"/>
        <v/>
      </c>
      <c r="BB15" s="245" t="s">
        <v>3903</v>
      </c>
      <c r="BC15" s="216" t="b">
        <f t="shared" si="17"/>
        <v>0</v>
      </c>
      <c r="BD15" s="245" t="str">
        <f t="shared" si="0"/>
        <v/>
      </c>
      <c r="BE15" s="245" t="s">
        <v>3905</v>
      </c>
      <c r="BF15" s="216" t="b">
        <f t="shared" si="18"/>
        <v>0</v>
      </c>
      <c r="BG15" s="245" t="str">
        <f t="shared" si="1"/>
        <v/>
      </c>
      <c r="BH15" s="245" t="s">
        <v>3909</v>
      </c>
      <c r="BI15" s="216" t="b">
        <f t="shared" si="19"/>
        <v>0</v>
      </c>
      <c r="BJ15" s="245" t="str">
        <f t="shared" si="2"/>
        <v/>
      </c>
      <c r="BK15" s="245">
        <v>56</v>
      </c>
      <c r="BL15" s="245" t="s">
        <v>3505</v>
      </c>
      <c r="BM15" s="216" t="b">
        <f t="shared" si="3"/>
        <v>0</v>
      </c>
      <c r="BN15" s="245" t="str">
        <f t="shared" si="4"/>
        <v/>
      </c>
      <c r="BO15" s="245" t="s">
        <v>3510</v>
      </c>
      <c r="BP15" s="216" t="b">
        <f t="shared" si="5"/>
        <v>0</v>
      </c>
      <c r="BQ15" s="245" t="str">
        <f t="shared" si="6"/>
        <v/>
      </c>
      <c r="BR15" s="245" t="s">
        <v>3513</v>
      </c>
      <c r="BS15" s="216" t="b">
        <f t="shared" si="7"/>
        <v>0</v>
      </c>
      <c r="BT15" s="245" t="str">
        <f t="shared" si="8"/>
        <v/>
      </c>
      <c r="BU15" s="245" t="s">
        <v>3515</v>
      </c>
      <c r="BV15" s="216" t="b">
        <f t="shared" si="9"/>
        <v>0</v>
      </c>
      <c r="BW15" s="245" t="str">
        <f t="shared" si="10"/>
        <v/>
      </c>
      <c r="BX15" s="245" t="s">
        <v>3519</v>
      </c>
      <c r="BY15" s="216" t="b">
        <f t="shared" si="11"/>
        <v>0</v>
      </c>
      <c r="BZ15" s="245" t="str">
        <f t="shared" si="12"/>
        <v/>
      </c>
      <c r="CA15" s="245" t="s">
        <v>3520</v>
      </c>
      <c r="CB15" s="216" t="b">
        <f t="shared" si="13"/>
        <v>0</v>
      </c>
      <c r="CC15" s="245" t="str">
        <f t="shared" si="14"/>
        <v/>
      </c>
      <c r="CD15" s="245" t="s">
        <v>3933</v>
      </c>
      <c r="CE15" s="216" t="b">
        <f t="shared" si="20"/>
        <v>0</v>
      </c>
      <c r="CF15" s="245" t="str">
        <f t="shared" si="21"/>
        <v/>
      </c>
    </row>
    <row r="16" spans="1:84" x14ac:dyDescent="0.2">
      <c r="A16" s="25">
        <v>15</v>
      </c>
      <c r="B16" s="25">
        <v>300</v>
      </c>
      <c r="D16" s="25">
        <v>15</v>
      </c>
      <c r="E16" s="25">
        <v>10</v>
      </c>
      <c r="G16" s="25">
        <v>6</v>
      </c>
      <c r="H16" s="25">
        <v>6</v>
      </c>
      <c r="I16" s="25">
        <v>6</v>
      </c>
      <c r="J16" s="25">
        <v>6</v>
      </c>
      <c r="K16" s="25">
        <v>6</v>
      </c>
      <c r="L16" s="25">
        <v>6</v>
      </c>
      <c r="M16" s="25">
        <v>6</v>
      </c>
      <c r="N16" s="25">
        <v>6</v>
      </c>
      <c r="O16" s="25">
        <v>6</v>
      </c>
      <c r="P16" s="25">
        <v>6</v>
      </c>
      <c r="Q16" s="25">
        <v>6</v>
      </c>
      <c r="T16" s="25" t="s">
        <v>1516</v>
      </c>
      <c r="U16" s="25">
        <v>6016</v>
      </c>
      <c r="V16" s="25" t="s">
        <v>2397</v>
      </c>
      <c r="W16" s="38" t="s">
        <v>6454</v>
      </c>
      <c r="X16" s="25">
        <v>54</v>
      </c>
      <c r="Y16" s="25" t="s">
        <v>164</v>
      </c>
      <c r="Z16" s="25" t="s">
        <v>1451</v>
      </c>
      <c r="AA16" s="25" t="s">
        <v>2398</v>
      </c>
      <c r="AB16" s="39">
        <v>120</v>
      </c>
      <c r="AC16" s="39" t="s">
        <v>744</v>
      </c>
      <c r="AD16" s="39">
        <v>8</v>
      </c>
      <c r="AE16" s="25" t="s">
        <v>2399</v>
      </c>
      <c r="AF16" s="39">
        <v>200</v>
      </c>
      <c r="AG16" s="39" t="s">
        <v>744</v>
      </c>
      <c r="AH16" s="39">
        <v>10</v>
      </c>
      <c r="AI16" s="25" t="s">
        <v>2400</v>
      </c>
      <c r="AJ16" s="39">
        <v>300</v>
      </c>
      <c r="AK16" s="39" t="s">
        <v>744</v>
      </c>
      <c r="AL16" s="39">
        <v>12</v>
      </c>
      <c r="AM16" s="25" t="s">
        <v>2401</v>
      </c>
      <c r="AN16" s="39">
        <v>700</v>
      </c>
      <c r="AO16" s="39" t="s">
        <v>744</v>
      </c>
      <c r="AP16" s="39">
        <v>15</v>
      </c>
      <c r="AQ16" s="25" t="s">
        <v>6453</v>
      </c>
      <c r="AR16" s="39"/>
      <c r="AX16" s="244">
        <v>66</v>
      </c>
      <c r="AY16" s="245" t="s">
        <v>3848</v>
      </c>
      <c r="AZ16" s="216" t="b">
        <f t="shared" si="15"/>
        <v>0</v>
      </c>
      <c r="BA16" s="245" t="str">
        <f t="shared" si="16"/>
        <v/>
      </c>
      <c r="BB16" s="245" t="s">
        <v>3850</v>
      </c>
      <c r="BC16" s="216" t="b">
        <f t="shared" si="17"/>
        <v>0</v>
      </c>
      <c r="BD16" s="245" t="str">
        <f t="shared" si="0"/>
        <v/>
      </c>
      <c r="BE16" s="245" t="s">
        <v>3856</v>
      </c>
      <c r="BF16" s="216" t="b">
        <f t="shared" si="18"/>
        <v>0</v>
      </c>
      <c r="BG16" s="245" t="str">
        <f t="shared" si="1"/>
        <v/>
      </c>
      <c r="BH16" s="245" t="s">
        <v>3858</v>
      </c>
      <c r="BI16" s="216" t="b">
        <f t="shared" si="19"/>
        <v>0</v>
      </c>
      <c r="BJ16" s="245" t="str">
        <f t="shared" si="2"/>
        <v/>
      </c>
      <c r="BK16" s="245">
        <v>52</v>
      </c>
      <c r="BL16" s="245" t="s">
        <v>3455</v>
      </c>
      <c r="BM16" s="216" t="b">
        <f t="shared" si="3"/>
        <v>0</v>
      </c>
      <c r="BN16" s="245" t="str">
        <f t="shared" si="4"/>
        <v/>
      </c>
      <c r="BO16" s="245" t="s">
        <v>3460</v>
      </c>
      <c r="BP16" s="216" t="b">
        <f t="shared" si="5"/>
        <v>0</v>
      </c>
      <c r="BQ16" s="245" t="str">
        <f t="shared" si="6"/>
        <v/>
      </c>
      <c r="BR16" s="245" t="s">
        <v>3465</v>
      </c>
      <c r="BS16" s="216" t="b">
        <f t="shared" si="7"/>
        <v>0</v>
      </c>
      <c r="BT16" s="245" t="str">
        <f t="shared" si="8"/>
        <v/>
      </c>
      <c r="BU16" s="245" t="s">
        <v>3471</v>
      </c>
      <c r="BV16" s="216" t="b">
        <f t="shared" si="9"/>
        <v>0</v>
      </c>
      <c r="BW16" s="245" t="str">
        <f t="shared" si="10"/>
        <v/>
      </c>
      <c r="BX16" s="245" t="s">
        <v>3476</v>
      </c>
      <c r="BY16" s="216" t="b">
        <f t="shared" si="11"/>
        <v>0</v>
      </c>
      <c r="BZ16" s="245" t="str">
        <f t="shared" si="12"/>
        <v/>
      </c>
      <c r="CA16" s="245" t="s">
        <v>3482</v>
      </c>
      <c r="CB16" s="216" t="b">
        <f t="shared" si="13"/>
        <v>0</v>
      </c>
      <c r="CC16" s="245" t="str">
        <f t="shared" si="14"/>
        <v/>
      </c>
      <c r="CD16" s="245" t="s">
        <v>3891</v>
      </c>
      <c r="CE16" s="216" t="b">
        <f t="shared" si="20"/>
        <v>0</v>
      </c>
      <c r="CF16" s="245" t="str">
        <f t="shared" si="21"/>
        <v/>
      </c>
    </row>
    <row r="17" spans="1:84" x14ac:dyDescent="0.2">
      <c r="A17" s="25">
        <v>16</v>
      </c>
      <c r="B17" s="25">
        <v>400</v>
      </c>
      <c r="D17" s="25">
        <v>20</v>
      </c>
      <c r="E17" s="25">
        <v>10</v>
      </c>
      <c r="G17" s="25">
        <v>8</v>
      </c>
      <c r="H17" s="25">
        <v>8</v>
      </c>
      <c r="I17" s="25">
        <v>8</v>
      </c>
      <c r="J17" s="25">
        <v>8</v>
      </c>
      <c r="K17" s="25">
        <v>8</v>
      </c>
      <c r="L17" s="25">
        <v>8</v>
      </c>
      <c r="M17" s="25">
        <v>8</v>
      </c>
      <c r="N17" s="25">
        <v>8</v>
      </c>
      <c r="O17" s="25">
        <v>8</v>
      </c>
      <c r="P17" s="25">
        <v>8</v>
      </c>
      <c r="Q17" s="25">
        <v>8</v>
      </c>
      <c r="T17" s="25" t="s">
        <v>1638</v>
      </c>
      <c r="U17" s="25">
        <v>7415</v>
      </c>
      <c r="V17" s="25" t="s">
        <v>2634</v>
      </c>
      <c r="W17" s="38" t="s">
        <v>2635</v>
      </c>
      <c r="X17" s="25" t="s">
        <v>1641</v>
      </c>
      <c r="Y17" s="25" t="s">
        <v>164</v>
      </c>
      <c r="Z17" s="25" t="s">
        <v>1451</v>
      </c>
      <c r="AA17" s="25" t="s">
        <v>2636</v>
      </c>
      <c r="AB17" s="39">
        <v>80</v>
      </c>
      <c r="AC17" s="39" t="s">
        <v>244</v>
      </c>
      <c r="AD17" s="39">
        <v>8</v>
      </c>
      <c r="AE17" s="25" t="s">
        <v>2637</v>
      </c>
      <c r="AF17" s="39">
        <v>180</v>
      </c>
      <c r="AG17" s="39" t="s">
        <v>244</v>
      </c>
      <c r="AH17" s="39">
        <v>10</v>
      </c>
      <c r="AI17" s="25" t="s">
        <v>2638</v>
      </c>
      <c r="AJ17" s="39">
        <v>320</v>
      </c>
      <c r="AK17" s="39" t="s">
        <v>244</v>
      </c>
      <c r="AL17" s="39">
        <v>12</v>
      </c>
      <c r="AM17" s="25" t="s">
        <v>2639</v>
      </c>
      <c r="AN17" s="39">
        <v>500</v>
      </c>
      <c r="AO17" s="39" t="s">
        <v>244</v>
      </c>
      <c r="AP17" s="39">
        <v>16</v>
      </c>
      <c r="AQ17" s="25" t="s">
        <v>698</v>
      </c>
      <c r="AR17" s="39"/>
      <c r="AX17" s="244">
        <v>62</v>
      </c>
      <c r="AY17" s="245" t="s">
        <v>3822</v>
      </c>
      <c r="AZ17" s="216" t="b">
        <f t="shared" si="15"/>
        <v>0</v>
      </c>
      <c r="BA17" s="245" t="str">
        <f t="shared" si="16"/>
        <v/>
      </c>
      <c r="BB17" s="245" t="s">
        <v>3825</v>
      </c>
      <c r="BC17" s="216" t="b">
        <f t="shared" si="17"/>
        <v>0</v>
      </c>
      <c r="BD17" s="245" t="str">
        <f t="shared" si="0"/>
        <v/>
      </c>
      <c r="BE17" s="245" t="s">
        <v>3826</v>
      </c>
      <c r="BF17" s="216" t="b">
        <f t="shared" si="18"/>
        <v>0</v>
      </c>
      <c r="BG17" s="245" t="str">
        <f t="shared" si="1"/>
        <v/>
      </c>
      <c r="BH17" s="245" t="s">
        <v>3829</v>
      </c>
      <c r="BI17" s="216" t="b">
        <f t="shared" si="19"/>
        <v>0</v>
      </c>
      <c r="BJ17" s="245" t="str">
        <f t="shared" si="2"/>
        <v/>
      </c>
      <c r="BK17" s="245">
        <v>50</v>
      </c>
      <c r="BL17" s="245" t="s">
        <v>3413</v>
      </c>
      <c r="BM17" s="216" t="b">
        <f t="shared" si="3"/>
        <v>0</v>
      </c>
      <c r="BN17" s="245" t="str">
        <f t="shared" si="4"/>
        <v/>
      </c>
      <c r="BO17" s="245" t="s">
        <v>3419</v>
      </c>
      <c r="BP17" s="216" t="b">
        <f t="shared" si="5"/>
        <v>0</v>
      </c>
      <c r="BQ17" s="245" t="str">
        <f t="shared" si="6"/>
        <v/>
      </c>
      <c r="BR17" s="245" t="s">
        <v>648</v>
      </c>
      <c r="BS17" s="216" t="b">
        <f t="shared" si="7"/>
        <v>0</v>
      </c>
      <c r="BT17" s="245" t="str">
        <f t="shared" si="8"/>
        <v/>
      </c>
      <c r="BU17" s="245" t="s">
        <v>3426</v>
      </c>
      <c r="BV17" s="216" t="b">
        <f t="shared" si="9"/>
        <v>0</v>
      </c>
      <c r="BW17" s="245" t="str">
        <f t="shared" si="10"/>
        <v/>
      </c>
      <c r="BX17" s="245" t="s">
        <v>3429</v>
      </c>
      <c r="BY17" s="216" t="b">
        <f t="shared" si="11"/>
        <v>0</v>
      </c>
      <c r="BZ17" s="245" t="str">
        <f t="shared" si="12"/>
        <v/>
      </c>
      <c r="CA17" s="245" t="s">
        <v>3435</v>
      </c>
      <c r="CB17" s="216" t="b">
        <f t="shared" si="13"/>
        <v>0</v>
      </c>
      <c r="CC17" s="245" t="str">
        <f t="shared" si="14"/>
        <v/>
      </c>
      <c r="CD17" s="245" t="s">
        <v>3845</v>
      </c>
      <c r="CE17" s="216" t="b">
        <f t="shared" si="20"/>
        <v>0</v>
      </c>
      <c r="CF17" s="245" t="str">
        <f t="shared" si="21"/>
        <v/>
      </c>
    </row>
    <row r="18" spans="1:84" x14ac:dyDescent="0.2">
      <c r="A18" s="25">
        <v>17</v>
      </c>
      <c r="B18" s="25">
        <v>500</v>
      </c>
      <c r="D18" s="25">
        <v>25</v>
      </c>
      <c r="E18" s="25">
        <v>10</v>
      </c>
      <c r="G18" s="25">
        <v>10</v>
      </c>
      <c r="H18" s="25">
        <v>10</v>
      </c>
      <c r="I18" s="25">
        <v>10</v>
      </c>
      <c r="J18" s="25">
        <v>10</v>
      </c>
      <c r="K18" s="25">
        <v>10</v>
      </c>
      <c r="L18" s="25">
        <v>10</v>
      </c>
      <c r="M18" s="25">
        <v>10</v>
      </c>
      <c r="N18" s="25">
        <v>10</v>
      </c>
      <c r="O18" s="25">
        <v>10</v>
      </c>
      <c r="P18" s="25">
        <v>10</v>
      </c>
      <c r="Q18" s="25">
        <v>10</v>
      </c>
      <c r="T18" s="25" t="s">
        <v>264</v>
      </c>
      <c r="U18" s="25">
        <v>5028</v>
      </c>
      <c r="V18" s="25" t="s">
        <v>2285</v>
      </c>
      <c r="W18" s="38" t="s">
        <v>6464</v>
      </c>
      <c r="X18" s="25">
        <v>44</v>
      </c>
      <c r="Y18" s="25" t="s">
        <v>1582</v>
      </c>
      <c r="Z18" s="25" t="s">
        <v>1451</v>
      </c>
      <c r="AA18" s="25" t="s">
        <v>2124</v>
      </c>
      <c r="AB18" s="39">
        <v>100</v>
      </c>
      <c r="AC18" s="39">
        <v>10</v>
      </c>
      <c r="AD18" s="39">
        <v>7</v>
      </c>
      <c r="AE18" s="25" t="s">
        <v>2126</v>
      </c>
      <c r="AF18" s="39">
        <v>140</v>
      </c>
      <c r="AG18" s="39">
        <v>15</v>
      </c>
      <c r="AH18" s="39">
        <v>10</v>
      </c>
      <c r="AI18" s="25" t="s">
        <v>2286</v>
      </c>
      <c r="AJ18" s="39">
        <v>180</v>
      </c>
      <c r="AK18" s="39">
        <v>20</v>
      </c>
      <c r="AL18" s="39">
        <v>13</v>
      </c>
      <c r="AM18" s="25" t="s">
        <v>2287</v>
      </c>
      <c r="AN18" s="39">
        <v>240</v>
      </c>
      <c r="AO18" s="39">
        <v>25</v>
      </c>
      <c r="AP18" s="39">
        <v>15</v>
      </c>
      <c r="AQ18" s="25" t="s">
        <v>1610</v>
      </c>
      <c r="AR18" s="39" t="s">
        <v>6456</v>
      </c>
      <c r="AX18" s="244">
        <v>60</v>
      </c>
      <c r="AY18" s="245" t="s">
        <v>3782</v>
      </c>
      <c r="AZ18" s="216" t="b">
        <f t="shared" si="15"/>
        <v>0</v>
      </c>
      <c r="BA18" s="245" t="str">
        <f t="shared" si="16"/>
        <v/>
      </c>
      <c r="BB18" s="245" t="s">
        <v>3787</v>
      </c>
      <c r="BC18" s="216" t="b">
        <f t="shared" si="17"/>
        <v>0</v>
      </c>
      <c r="BD18" s="245" t="str">
        <f t="shared" si="0"/>
        <v/>
      </c>
      <c r="BE18" s="245" t="s">
        <v>3791</v>
      </c>
      <c r="BF18" s="216" t="b">
        <f t="shared" si="18"/>
        <v>0</v>
      </c>
      <c r="BG18" s="245" t="str">
        <f t="shared" si="1"/>
        <v/>
      </c>
      <c r="BH18" s="245" t="s">
        <v>3792</v>
      </c>
      <c r="BI18" s="216" t="b">
        <f t="shared" si="19"/>
        <v>0</v>
      </c>
      <c r="BJ18" s="245" t="str">
        <f t="shared" si="2"/>
        <v/>
      </c>
      <c r="BK18" s="245">
        <v>46</v>
      </c>
      <c r="BL18" s="245" t="s">
        <v>3365</v>
      </c>
      <c r="BM18" s="216" t="b">
        <f t="shared" si="3"/>
        <v>0</v>
      </c>
      <c r="BN18" s="245" t="str">
        <f t="shared" si="4"/>
        <v/>
      </c>
      <c r="BO18" s="245" t="s">
        <v>3371</v>
      </c>
      <c r="BP18" s="216" t="b">
        <f t="shared" si="5"/>
        <v>0</v>
      </c>
      <c r="BQ18" s="245" t="str">
        <f t="shared" si="6"/>
        <v/>
      </c>
      <c r="BR18" s="245" t="s">
        <v>3377</v>
      </c>
      <c r="BS18" s="216" t="b">
        <f t="shared" si="7"/>
        <v>0</v>
      </c>
      <c r="BT18" s="245" t="str">
        <f t="shared" si="8"/>
        <v/>
      </c>
      <c r="BU18" s="245" t="s">
        <v>3383</v>
      </c>
      <c r="BV18" s="216" t="b">
        <f t="shared" si="9"/>
        <v>0</v>
      </c>
      <c r="BW18" s="245" t="str">
        <f t="shared" si="10"/>
        <v/>
      </c>
      <c r="BX18" s="245" t="s">
        <v>3389</v>
      </c>
      <c r="BY18" s="216" t="b">
        <f t="shared" si="11"/>
        <v>0</v>
      </c>
      <c r="BZ18" s="245" t="str">
        <f t="shared" si="12"/>
        <v/>
      </c>
      <c r="CA18" s="245" t="s">
        <v>3394</v>
      </c>
      <c r="CB18" s="216" t="b">
        <f t="shared" si="13"/>
        <v>0</v>
      </c>
      <c r="CC18" s="245" t="str">
        <f t="shared" si="14"/>
        <v/>
      </c>
      <c r="CD18" s="245" t="s">
        <v>3817</v>
      </c>
      <c r="CE18" s="216" t="b">
        <f t="shared" si="20"/>
        <v>0</v>
      </c>
      <c r="CF18" s="245" t="str">
        <f t="shared" si="21"/>
        <v/>
      </c>
    </row>
    <row r="19" spans="1:84" x14ac:dyDescent="0.2">
      <c r="A19" s="25">
        <v>18</v>
      </c>
      <c r="B19" s="25">
        <v>600</v>
      </c>
      <c r="D19" s="25">
        <v>30</v>
      </c>
      <c r="E19" s="25">
        <v>10</v>
      </c>
      <c r="G19" s="25">
        <v>12</v>
      </c>
      <c r="H19" s="25">
        <v>12</v>
      </c>
      <c r="I19" s="25">
        <v>12</v>
      </c>
      <c r="J19" s="25">
        <v>12</v>
      </c>
      <c r="K19" s="25">
        <v>12</v>
      </c>
      <c r="L19" s="25">
        <v>12</v>
      </c>
      <c r="M19" s="25">
        <v>12</v>
      </c>
      <c r="N19" s="25">
        <v>12</v>
      </c>
      <c r="O19" s="25">
        <v>12</v>
      </c>
      <c r="P19" s="25">
        <v>12</v>
      </c>
      <c r="Q19" s="25">
        <v>12</v>
      </c>
      <c r="T19" s="25" t="s">
        <v>1596</v>
      </c>
      <c r="U19" s="25">
        <v>2027</v>
      </c>
      <c r="V19" s="25" t="s">
        <v>1802</v>
      </c>
      <c r="W19" s="38" t="s">
        <v>1803</v>
      </c>
      <c r="X19" s="25">
        <v>14</v>
      </c>
      <c r="Y19" s="25" t="s">
        <v>164</v>
      </c>
      <c r="Z19" s="25" t="s">
        <v>1451</v>
      </c>
      <c r="AA19" s="25" t="s">
        <v>1804</v>
      </c>
      <c r="AB19" s="39">
        <v>100</v>
      </c>
      <c r="AC19" s="39">
        <v>10</v>
      </c>
      <c r="AD19" s="39">
        <v>7</v>
      </c>
      <c r="AE19" s="25" t="s">
        <v>1805</v>
      </c>
      <c r="AF19" s="39">
        <v>140</v>
      </c>
      <c r="AG19" s="39">
        <v>15</v>
      </c>
      <c r="AH19" s="39">
        <v>10</v>
      </c>
      <c r="AI19" s="25" t="s">
        <v>1806</v>
      </c>
      <c r="AJ19" s="39">
        <v>180</v>
      </c>
      <c r="AK19" s="39">
        <v>20</v>
      </c>
      <c r="AL19" s="39">
        <v>12</v>
      </c>
      <c r="AM19" s="25" t="s">
        <v>1807</v>
      </c>
      <c r="AN19" s="39">
        <v>240</v>
      </c>
      <c r="AO19" s="39">
        <v>25</v>
      </c>
      <c r="AP19" s="39">
        <v>15</v>
      </c>
      <c r="AQ19" s="25" t="s">
        <v>1603</v>
      </c>
      <c r="AR19" s="39"/>
      <c r="AX19" s="244">
        <v>58</v>
      </c>
      <c r="AY19" s="245" t="s">
        <v>3740</v>
      </c>
      <c r="AZ19" s="216" t="b">
        <f t="shared" si="15"/>
        <v>0</v>
      </c>
      <c r="BA19" s="245" t="str">
        <f t="shared" si="16"/>
        <v/>
      </c>
      <c r="BB19" s="245" t="s">
        <v>3745</v>
      </c>
      <c r="BC19" s="216" t="b">
        <f t="shared" si="17"/>
        <v>0</v>
      </c>
      <c r="BD19" s="245" t="str">
        <f t="shared" si="0"/>
        <v/>
      </c>
      <c r="BE19" s="245" t="s">
        <v>3746</v>
      </c>
      <c r="BF19" s="216" t="b">
        <f t="shared" si="18"/>
        <v>0</v>
      </c>
      <c r="BG19" s="245" t="str">
        <f t="shared" si="1"/>
        <v/>
      </c>
      <c r="BH19" s="245" t="s">
        <v>3748</v>
      </c>
      <c r="BI19" s="216" t="b">
        <f t="shared" si="19"/>
        <v>0</v>
      </c>
      <c r="BJ19" s="245" t="str">
        <f t="shared" si="2"/>
        <v/>
      </c>
      <c r="BK19" s="245">
        <v>42</v>
      </c>
      <c r="BL19" s="245" t="s">
        <v>3310</v>
      </c>
      <c r="BM19" s="216" t="b">
        <f t="shared" si="3"/>
        <v>0</v>
      </c>
      <c r="BN19" s="245" t="str">
        <f t="shared" si="4"/>
        <v/>
      </c>
      <c r="BO19" s="245" t="s">
        <v>3316</v>
      </c>
      <c r="BP19" s="216" t="b">
        <f t="shared" si="5"/>
        <v>0</v>
      </c>
      <c r="BQ19" s="245" t="str">
        <f t="shared" si="6"/>
        <v/>
      </c>
      <c r="BR19" s="245" t="s">
        <v>3321</v>
      </c>
      <c r="BS19" s="216" t="b">
        <f t="shared" si="7"/>
        <v>0</v>
      </c>
      <c r="BT19" s="245" t="str">
        <f t="shared" si="8"/>
        <v/>
      </c>
      <c r="BU19" s="245" t="s">
        <v>3327</v>
      </c>
      <c r="BV19" s="216" t="b">
        <f t="shared" si="9"/>
        <v>0</v>
      </c>
      <c r="BW19" s="245" t="str">
        <f t="shared" si="10"/>
        <v/>
      </c>
      <c r="BX19" s="245" t="s">
        <v>3329</v>
      </c>
      <c r="BY19" s="216" t="b">
        <f t="shared" si="11"/>
        <v>0</v>
      </c>
      <c r="BZ19" s="245" t="str">
        <f t="shared" si="12"/>
        <v/>
      </c>
      <c r="CA19" s="245" t="s">
        <v>3335</v>
      </c>
      <c r="CB19" s="216" t="b">
        <f t="shared" si="13"/>
        <v>0</v>
      </c>
      <c r="CC19" s="245" t="str">
        <f t="shared" si="14"/>
        <v/>
      </c>
      <c r="CD19" s="245" t="s">
        <v>3776</v>
      </c>
      <c r="CE19" s="216" t="b">
        <f t="shared" si="20"/>
        <v>0</v>
      </c>
      <c r="CF19" s="245" t="str">
        <f t="shared" si="21"/>
        <v/>
      </c>
    </row>
    <row r="20" spans="1:84" x14ac:dyDescent="0.2">
      <c r="A20" s="25">
        <v>19</v>
      </c>
      <c r="B20" s="25">
        <v>700</v>
      </c>
      <c r="D20" s="25">
        <v>35</v>
      </c>
      <c r="E20" s="25">
        <v>10</v>
      </c>
      <c r="G20" s="25">
        <v>16</v>
      </c>
      <c r="H20" s="25">
        <v>16</v>
      </c>
      <c r="I20" s="25">
        <v>16</v>
      </c>
      <c r="J20" s="25">
        <v>16</v>
      </c>
      <c r="K20" s="25">
        <v>16</v>
      </c>
      <c r="L20" s="25">
        <v>16</v>
      </c>
      <c r="M20" s="25">
        <v>16</v>
      </c>
      <c r="N20" s="25">
        <v>16</v>
      </c>
      <c r="O20" s="25">
        <v>16</v>
      </c>
      <c r="P20" s="25">
        <v>16</v>
      </c>
      <c r="Q20" s="25">
        <v>16</v>
      </c>
      <c r="T20" s="25" t="s">
        <v>1543</v>
      </c>
      <c r="U20" s="25">
        <v>5020</v>
      </c>
      <c r="V20" s="25" t="s">
        <v>2250</v>
      </c>
      <c r="W20" s="38" t="s">
        <v>2251</v>
      </c>
      <c r="X20" s="25">
        <v>44</v>
      </c>
      <c r="Y20" s="25" t="s">
        <v>2084</v>
      </c>
      <c r="Z20" s="25" t="s">
        <v>1451</v>
      </c>
      <c r="AA20" s="25" t="s">
        <v>2252</v>
      </c>
      <c r="AB20" s="39">
        <v>100</v>
      </c>
      <c r="AC20" s="39">
        <v>5</v>
      </c>
      <c r="AD20" s="39">
        <v>7</v>
      </c>
      <c r="AE20" s="25" t="s">
        <v>2253</v>
      </c>
      <c r="AF20" s="39">
        <v>160</v>
      </c>
      <c r="AG20" s="39">
        <v>10</v>
      </c>
      <c r="AH20" s="39">
        <v>9</v>
      </c>
      <c r="AI20" s="25" t="s">
        <v>2254</v>
      </c>
      <c r="AJ20" s="39">
        <v>220</v>
      </c>
      <c r="AK20" s="39">
        <v>15</v>
      </c>
      <c r="AL20" s="39">
        <v>11</v>
      </c>
      <c r="AM20" s="25" t="s">
        <v>2255</v>
      </c>
      <c r="AN20" s="39">
        <v>280</v>
      </c>
      <c r="AO20" s="39">
        <v>20</v>
      </c>
      <c r="AP20" s="39">
        <v>13</v>
      </c>
      <c r="AQ20" s="25" t="s">
        <v>1547</v>
      </c>
      <c r="AR20" s="39"/>
      <c r="AX20" s="244">
        <v>56</v>
      </c>
      <c r="AY20" s="245" t="s">
        <v>3698</v>
      </c>
      <c r="AZ20" s="216" t="b">
        <f t="shared" si="15"/>
        <v>0</v>
      </c>
      <c r="BA20" s="245" t="str">
        <f t="shared" si="16"/>
        <v/>
      </c>
      <c r="BB20" s="245" t="s">
        <v>3704</v>
      </c>
      <c r="BC20" s="216" t="b">
        <f t="shared" si="17"/>
        <v>0</v>
      </c>
      <c r="BD20" s="245" t="str">
        <f t="shared" si="0"/>
        <v/>
      </c>
      <c r="BE20" s="245" t="s">
        <v>3708</v>
      </c>
      <c r="BF20" s="216" t="b">
        <f t="shared" si="18"/>
        <v>0</v>
      </c>
      <c r="BG20" s="245" t="str">
        <f t="shared" si="1"/>
        <v/>
      </c>
      <c r="BH20" s="245" t="s">
        <v>3714</v>
      </c>
      <c r="BI20" s="216" t="b">
        <f t="shared" si="19"/>
        <v>0</v>
      </c>
      <c r="BJ20" s="245" t="str">
        <f t="shared" si="2"/>
        <v/>
      </c>
      <c r="BK20" s="245">
        <v>40</v>
      </c>
      <c r="BL20" s="245" t="s">
        <v>3217</v>
      </c>
      <c r="BM20" s="216" t="b">
        <f t="shared" si="3"/>
        <v>0</v>
      </c>
      <c r="BN20" s="245" t="str">
        <f t="shared" si="4"/>
        <v/>
      </c>
      <c r="BO20" s="245" t="s">
        <v>3222</v>
      </c>
      <c r="BP20" s="216" t="b">
        <f t="shared" si="5"/>
        <v>0</v>
      </c>
      <c r="BQ20" s="245" t="str">
        <f t="shared" si="6"/>
        <v/>
      </c>
      <c r="BR20" s="245" t="s">
        <v>288</v>
      </c>
      <c r="BS20" s="216" t="b">
        <f t="shared" si="7"/>
        <v>0</v>
      </c>
      <c r="BT20" s="245" t="str">
        <f t="shared" si="8"/>
        <v/>
      </c>
      <c r="BU20" s="245" t="s">
        <v>3232</v>
      </c>
      <c r="BV20" s="216" t="b">
        <f t="shared" si="9"/>
        <v>0</v>
      </c>
      <c r="BW20" s="245" t="str">
        <f t="shared" si="10"/>
        <v/>
      </c>
      <c r="BX20" s="245" t="s">
        <v>3236</v>
      </c>
      <c r="BY20" s="216" t="b">
        <f t="shared" si="11"/>
        <v>0</v>
      </c>
      <c r="BZ20" s="245" t="str">
        <f t="shared" si="12"/>
        <v/>
      </c>
      <c r="CA20" s="245" t="s">
        <v>3238</v>
      </c>
      <c r="CB20" s="216" t="b">
        <f t="shared" si="13"/>
        <v>0</v>
      </c>
      <c r="CC20" s="245" t="str">
        <f t="shared" si="14"/>
        <v/>
      </c>
      <c r="CD20" s="245" t="s">
        <v>3737</v>
      </c>
      <c r="CE20" s="216" t="b">
        <f t="shared" si="20"/>
        <v>0</v>
      </c>
      <c r="CF20" s="245" t="str">
        <f t="shared" si="21"/>
        <v/>
      </c>
    </row>
    <row r="21" spans="1:84" x14ac:dyDescent="0.2">
      <c r="A21" s="25">
        <v>20</v>
      </c>
      <c r="B21" s="25">
        <v>800</v>
      </c>
      <c r="D21" s="25">
        <v>40</v>
      </c>
      <c r="E21" s="25">
        <v>10</v>
      </c>
      <c r="G21" s="25">
        <v>18</v>
      </c>
      <c r="H21" s="25">
        <v>18</v>
      </c>
      <c r="I21" s="25">
        <v>18</v>
      </c>
      <c r="J21" s="25">
        <v>18</v>
      </c>
      <c r="K21" s="25">
        <v>18</v>
      </c>
      <c r="L21" s="25">
        <v>18</v>
      </c>
      <c r="M21" s="25">
        <v>18</v>
      </c>
      <c r="N21" s="25">
        <v>18</v>
      </c>
      <c r="O21" s="25">
        <v>18</v>
      </c>
      <c r="P21" s="25">
        <v>18</v>
      </c>
      <c r="Q21" s="25">
        <v>18</v>
      </c>
      <c r="T21" s="25" t="s">
        <v>90</v>
      </c>
      <c r="U21" s="25">
        <v>11009</v>
      </c>
      <c r="V21" s="25" t="s">
        <v>3144</v>
      </c>
      <c r="W21" s="38" t="s">
        <v>6569</v>
      </c>
      <c r="X21" s="25">
        <v>36</v>
      </c>
      <c r="Y21" s="25" t="s">
        <v>164</v>
      </c>
      <c r="Z21" s="25" t="s">
        <v>1451</v>
      </c>
      <c r="AA21" s="25" t="s">
        <v>3145</v>
      </c>
      <c r="AB21" s="39">
        <v>120</v>
      </c>
      <c r="AC21" s="39">
        <v>25</v>
      </c>
      <c r="AD21" s="39">
        <v>7</v>
      </c>
      <c r="AE21" s="25" t="s">
        <v>3146</v>
      </c>
      <c r="AF21" s="39">
        <v>200</v>
      </c>
      <c r="AG21" s="39">
        <v>40</v>
      </c>
      <c r="AH21" s="39">
        <v>10</v>
      </c>
      <c r="AI21" s="25" t="s">
        <v>3147</v>
      </c>
      <c r="AJ21" s="39">
        <v>280</v>
      </c>
      <c r="AK21" s="39">
        <v>60</v>
      </c>
      <c r="AL21" s="39">
        <v>13</v>
      </c>
      <c r="AM21" s="25" t="s">
        <v>3148</v>
      </c>
      <c r="AN21" s="39">
        <v>360</v>
      </c>
      <c r="AO21" s="39">
        <v>80</v>
      </c>
      <c r="AP21" s="39">
        <v>15</v>
      </c>
      <c r="AR21" s="39" t="s">
        <v>6456</v>
      </c>
      <c r="AX21" s="244">
        <v>52</v>
      </c>
      <c r="AY21" s="245" t="s">
        <v>3656</v>
      </c>
      <c r="AZ21" s="216" t="b">
        <f t="shared" si="15"/>
        <v>0</v>
      </c>
      <c r="BA21" s="245" t="str">
        <f t="shared" si="16"/>
        <v/>
      </c>
      <c r="BB21" s="245" t="s">
        <v>3662</v>
      </c>
      <c r="BC21" s="216" t="b">
        <f t="shared" si="17"/>
        <v>0</v>
      </c>
      <c r="BD21" s="245" t="str">
        <f t="shared" si="0"/>
        <v/>
      </c>
      <c r="BE21" s="245" t="s">
        <v>3666</v>
      </c>
      <c r="BF21" s="216" t="b">
        <f t="shared" si="18"/>
        <v>0</v>
      </c>
      <c r="BG21" s="245" t="str">
        <f t="shared" si="1"/>
        <v/>
      </c>
      <c r="BH21" s="245" t="s">
        <v>3668</v>
      </c>
      <c r="BI21" s="216" t="b">
        <f t="shared" si="19"/>
        <v>0</v>
      </c>
      <c r="BJ21" s="245" t="str">
        <f t="shared" si="2"/>
        <v/>
      </c>
      <c r="BK21" s="245">
        <v>36</v>
      </c>
      <c r="BL21" s="245" t="s">
        <v>3123</v>
      </c>
      <c r="BM21" s="216" t="b">
        <f t="shared" si="3"/>
        <v>0</v>
      </c>
      <c r="BN21" s="245" t="str">
        <f t="shared" si="4"/>
        <v/>
      </c>
      <c r="BO21" s="245" t="s">
        <v>3128</v>
      </c>
      <c r="BP21" s="216" t="b">
        <f t="shared" si="5"/>
        <v>0</v>
      </c>
      <c r="BQ21" s="245" t="str">
        <f t="shared" si="6"/>
        <v/>
      </c>
      <c r="BR21" s="245" t="s">
        <v>3133</v>
      </c>
      <c r="BS21" s="216" t="b">
        <f t="shared" si="7"/>
        <v>0</v>
      </c>
      <c r="BT21" s="245" t="str">
        <f t="shared" si="8"/>
        <v/>
      </c>
      <c r="BU21" s="245" t="s">
        <v>3139</v>
      </c>
      <c r="BV21" s="216" t="b">
        <f t="shared" si="9"/>
        <v>0</v>
      </c>
      <c r="BW21" s="245" t="str">
        <f t="shared" si="10"/>
        <v/>
      </c>
      <c r="BX21" s="245" t="s">
        <v>3144</v>
      </c>
      <c r="BY21" s="216" t="b">
        <f t="shared" si="11"/>
        <v>0</v>
      </c>
      <c r="BZ21" s="245" t="str">
        <f t="shared" si="12"/>
        <v/>
      </c>
      <c r="CA21" s="245" t="s">
        <v>3149</v>
      </c>
      <c r="CB21" s="216" t="b">
        <f t="shared" si="13"/>
        <v>0</v>
      </c>
      <c r="CC21" s="245" t="str">
        <f t="shared" si="14"/>
        <v/>
      </c>
      <c r="CD21" s="245" t="s">
        <v>3692</v>
      </c>
      <c r="CE21" s="216" t="b">
        <f t="shared" si="20"/>
        <v>0</v>
      </c>
      <c r="CF21" s="245" t="str">
        <f t="shared" si="21"/>
        <v/>
      </c>
    </row>
    <row r="22" spans="1:84" x14ac:dyDescent="0.2">
      <c r="D22" s="25">
        <v>45</v>
      </c>
      <c r="E22" s="25">
        <v>10</v>
      </c>
      <c r="G22" s="25">
        <v>20</v>
      </c>
      <c r="H22" s="25">
        <v>20</v>
      </c>
      <c r="I22" s="25">
        <v>20</v>
      </c>
      <c r="J22" s="25">
        <v>20</v>
      </c>
      <c r="K22" s="25">
        <v>20</v>
      </c>
      <c r="L22" s="25">
        <v>20</v>
      </c>
      <c r="M22" s="25">
        <v>20</v>
      </c>
      <c r="N22" s="25">
        <v>20</v>
      </c>
      <c r="O22" s="25">
        <v>20</v>
      </c>
      <c r="P22" s="25">
        <v>20</v>
      </c>
      <c r="Q22" s="25">
        <v>20</v>
      </c>
      <c r="T22" s="25" t="s">
        <v>49</v>
      </c>
      <c r="U22" s="25">
        <v>16003</v>
      </c>
      <c r="V22" s="25" t="s">
        <v>3451</v>
      </c>
      <c r="W22" s="38" t="s">
        <v>3452</v>
      </c>
      <c r="X22" s="25">
        <v>40</v>
      </c>
      <c r="Y22" s="25" t="s">
        <v>164</v>
      </c>
      <c r="Z22" s="25" t="s">
        <v>1451</v>
      </c>
      <c r="AA22" s="25">
        <v>50</v>
      </c>
      <c r="AB22" s="39">
        <v>80</v>
      </c>
      <c r="AC22" s="39">
        <v>5</v>
      </c>
      <c r="AD22" s="39">
        <v>6</v>
      </c>
      <c r="AE22" s="25">
        <v>150</v>
      </c>
      <c r="AF22" s="39">
        <v>180</v>
      </c>
      <c r="AG22" s="39">
        <v>10</v>
      </c>
      <c r="AH22" s="39">
        <v>9</v>
      </c>
      <c r="AI22" s="25">
        <v>250</v>
      </c>
      <c r="AJ22" s="39">
        <v>280</v>
      </c>
      <c r="AK22" s="39">
        <v>15</v>
      </c>
      <c r="AL22" s="39">
        <v>12</v>
      </c>
      <c r="AM22" s="25">
        <v>400</v>
      </c>
      <c r="AN22" s="39">
        <v>350</v>
      </c>
      <c r="AO22" s="39">
        <v>20</v>
      </c>
      <c r="AP22" s="39">
        <v>15</v>
      </c>
      <c r="AR22" s="39"/>
      <c r="AX22" s="244">
        <v>50</v>
      </c>
      <c r="AY22" s="245" t="s">
        <v>3608</v>
      </c>
      <c r="AZ22" s="216" t="b">
        <f t="shared" si="15"/>
        <v>0</v>
      </c>
      <c r="BA22" s="245" t="str">
        <f t="shared" si="16"/>
        <v/>
      </c>
      <c r="BB22" s="245" t="s">
        <v>3613</v>
      </c>
      <c r="BC22" s="216" t="b">
        <f t="shared" si="17"/>
        <v>0</v>
      </c>
      <c r="BD22" s="245" t="str">
        <f t="shared" si="0"/>
        <v/>
      </c>
      <c r="BE22" s="245" t="s">
        <v>3614</v>
      </c>
      <c r="BF22" s="216" t="b">
        <f t="shared" si="18"/>
        <v>0</v>
      </c>
      <c r="BG22" s="245" t="str">
        <f t="shared" si="1"/>
        <v/>
      </c>
      <c r="BH22" s="245" t="s">
        <v>3620</v>
      </c>
      <c r="BI22" s="216" t="b">
        <f t="shared" si="19"/>
        <v>0</v>
      </c>
      <c r="BJ22" s="245" t="str">
        <f t="shared" si="2"/>
        <v/>
      </c>
      <c r="BK22" s="245">
        <v>32</v>
      </c>
      <c r="BL22" s="245" t="s">
        <v>2982</v>
      </c>
      <c r="BM22" s="216" t="b">
        <f t="shared" si="3"/>
        <v>0</v>
      </c>
      <c r="BN22" s="245" t="str">
        <f t="shared" si="4"/>
        <v/>
      </c>
      <c r="BO22" s="245" t="s">
        <v>2988</v>
      </c>
      <c r="BP22" s="216" t="b">
        <f t="shared" si="5"/>
        <v>0</v>
      </c>
      <c r="BQ22" s="245" t="str">
        <f t="shared" si="6"/>
        <v/>
      </c>
      <c r="BR22" s="245" t="s">
        <v>2993</v>
      </c>
      <c r="BS22" s="216" t="b">
        <f t="shared" si="7"/>
        <v>0</v>
      </c>
      <c r="BT22" s="245" t="str">
        <f t="shared" si="8"/>
        <v/>
      </c>
      <c r="BU22" s="245" t="s">
        <v>2998</v>
      </c>
      <c r="BV22" s="216" t="b">
        <f t="shared" si="9"/>
        <v>0</v>
      </c>
      <c r="BW22" s="245" t="str">
        <f t="shared" si="10"/>
        <v/>
      </c>
      <c r="BX22" s="245" t="s">
        <v>3004</v>
      </c>
      <c r="BY22" s="216" t="b">
        <f t="shared" si="11"/>
        <v>0</v>
      </c>
      <c r="BZ22" s="245" t="str">
        <f t="shared" si="12"/>
        <v/>
      </c>
      <c r="CA22" s="245" t="s">
        <v>3006</v>
      </c>
      <c r="CB22" s="216" t="b">
        <f t="shared" si="13"/>
        <v>0</v>
      </c>
      <c r="CC22" s="245" t="str">
        <f t="shared" si="14"/>
        <v/>
      </c>
      <c r="CD22" s="245" t="s">
        <v>3654</v>
      </c>
      <c r="CE22" s="216" t="b">
        <f t="shared" si="20"/>
        <v>0</v>
      </c>
      <c r="CF22" s="245" t="str">
        <f t="shared" si="21"/>
        <v/>
      </c>
    </row>
    <row r="23" spans="1:84" x14ac:dyDescent="0.2">
      <c r="D23" s="25">
        <v>50</v>
      </c>
      <c r="E23" s="25">
        <v>10</v>
      </c>
      <c r="G23" s="25">
        <v>22</v>
      </c>
      <c r="H23" s="25">
        <v>22</v>
      </c>
      <c r="I23" s="25">
        <v>22</v>
      </c>
      <c r="J23" s="25">
        <v>22</v>
      </c>
      <c r="K23" s="25">
        <v>22</v>
      </c>
      <c r="L23" s="25">
        <v>22</v>
      </c>
      <c r="M23" s="25">
        <v>22</v>
      </c>
      <c r="N23" s="25">
        <v>22</v>
      </c>
      <c r="O23" s="25">
        <v>22</v>
      </c>
      <c r="P23" s="25">
        <v>22</v>
      </c>
      <c r="Q23" s="25">
        <v>22</v>
      </c>
      <c r="T23" s="25" t="s">
        <v>49</v>
      </c>
      <c r="U23" s="25">
        <v>20003</v>
      </c>
      <c r="V23" s="25" t="s">
        <v>3614</v>
      </c>
      <c r="W23" s="38" t="s">
        <v>3615</v>
      </c>
      <c r="X23" s="25">
        <v>50</v>
      </c>
      <c r="Y23" s="25" t="s">
        <v>164</v>
      </c>
      <c r="Z23" s="25" t="s">
        <v>1451</v>
      </c>
      <c r="AA23" s="25" t="s">
        <v>3616</v>
      </c>
      <c r="AB23" s="39">
        <v>100</v>
      </c>
      <c r="AC23" s="39">
        <v>20</v>
      </c>
      <c r="AD23" s="39">
        <v>7</v>
      </c>
      <c r="AE23" s="25" t="s">
        <v>3617</v>
      </c>
      <c r="AF23" s="39">
        <v>200</v>
      </c>
      <c r="AG23" s="39">
        <v>40</v>
      </c>
      <c r="AH23" s="39">
        <v>10</v>
      </c>
      <c r="AI23" s="25" t="s">
        <v>3618</v>
      </c>
      <c r="AJ23" s="39">
        <v>300</v>
      </c>
      <c r="AK23" s="39">
        <v>50</v>
      </c>
      <c r="AL23" s="39">
        <v>13</v>
      </c>
      <c r="AM23" s="25" t="s">
        <v>3619</v>
      </c>
      <c r="AN23" s="39">
        <v>400</v>
      </c>
      <c r="AO23" s="39">
        <v>60</v>
      </c>
      <c r="AP23" s="39">
        <v>16</v>
      </c>
      <c r="AR23" s="39"/>
      <c r="AX23" s="244">
        <v>48</v>
      </c>
      <c r="AY23" s="245" t="s">
        <v>3564</v>
      </c>
      <c r="AZ23" s="216" t="b">
        <f t="shared" si="15"/>
        <v>0</v>
      </c>
      <c r="BA23" s="245" t="str">
        <f t="shared" si="16"/>
        <v/>
      </c>
      <c r="BB23" s="245" t="s">
        <v>3569</v>
      </c>
      <c r="BC23" s="216" t="b">
        <f t="shared" si="17"/>
        <v>0</v>
      </c>
      <c r="BD23" s="245" t="str">
        <f t="shared" si="0"/>
        <v/>
      </c>
      <c r="BE23" s="245" t="s">
        <v>3574</v>
      </c>
      <c r="BF23" s="216" t="b">
        <f t="shared" si="18"/>
        <v>0</v>
      </c>
      <c r="BG23" s="245" t="str">
        <f t="shared" si="1"/>
        <v/>
      </c>
      <c r="BH23" s="245" t="s">
        <v>3578</v>
      </c>
      <c r="BI23" s="216" t="b">
        <f t="shared" si="19"/>
        <v>0</v>
      </c>
      <c r="BJ23" s="245" t="str">
        <f t="shared" si="2"/>
        <v/>
      </c>
      <c r="BK23" s="245">
        <v>30</v>
      </c>
      <c r="BL23" s="245" t="s">
        <v>2830</v>
      </c>
      <c r="BM23" s="216" t="b">
        <f t="shared" si="3"/>
        <v>0</v>
      </c>
      <c r="BN23" s="245" t="str">
        <f t="shared" si="4"/>
        <v/>
      </c>
      <c r="BO23" s="245" t="s">
        <v>2836</v>
      </c>
      <c r="BP23" s="216" t="b">
        <f t="shared" si="5"/>
        <v>0</v>
      </c>
      <c r="BQ23" s="245" t="str">
        <f t="shared" si="6"/>
        <v/>
      </c>
      <c r="BR23" s="245" t="s">
        <v>2837</v>
      </c>
      <c r="BS23" s="216" t="b">
        <f t="shared" si="7"/>
        <v>0</v>
      </c>
      <c r="BT23" s="245" t="str">
        <f t="shared" si="8"/>
        <v/>
      </c>
      <c r="BU23" s="245" t="s">
        <v>2006</v>
      </c>
      <c r="BV23" s="216" t="b">
        <f t="shared" si="9"/>
        <v>0</v>
      </c>
      <c r="BW23" s="245" t="str">
        <f t="shared" si="10"/>
        <v/>
      </c>
      <c r="BX23" s="245" t="s">
        <v>2846</v>
      </c>
      <c r="BY23" s="216" t="b">
        <f t="shared" si="11"/>
        <v>0</v>
      </c>
      <c r="BZ23" s="245" t="str">
        <f t="shared" si="12"/>
        <v/>
      </c>
      <c r="CA23" s="245" t="s">
        <v>2850</v>
      </c>
      <c r="CB23" s="216" t="b">
        <f t="shared" si="13"/>
        <v>0</v>
      </c>
      <c r="CC23" s="245" t="str">
        <f t="shared" si="14"/>
        <v/>
      </c>
      <c r="CD23" s="245" t="s">
        <v>3607</v>
      </c>
      <c r="CE23" s="216" t="b">
        <f t="shared" si="20"/>
        <v>0</v>
      </c>
      <c r="CF23" s="245" t="str">
        <f t="shared" si="21"/>
        <v/>
      </c>
    </row>
    <row r="24" spans="1:84" x14ac:dyDescent="0.2">
      <c r="D24" s="25">
        <v>55</v>
      </c>
      <c r="E24" s="25">
        <v>20</v>
      </c>
      <c r="G24" s="25">
        <v>26</v>
      </c>
      <c r="H24" s="25">
        <v>26</v>
      </c>
      <c r="I24" s="25">
        <v>26</v>
      </c>
      <c r="J24" s="25">
        <v>26</v>
      </c>
      <c r="K24" s="25">
        <v>26</v>
      </c>
      <c r="L24" s="25">
        <v>26</v>
      </c>
      <c r="M24" s="25">
        <v>26</v>
      </c>
      <c r="N24" s="25">
        <v>26</v>
      </c>
      <c r="O24" s="25">
        <v>26</v>
      </c>
      <c r="P24" s="25">
        <v>26</v>
      </c>
      <c r="Q24" s="25">
        <v>26</v>
      </c>
      <c r="T24" s="25" t="s">
        <v>90</v>
      </c>
      <c r="U24" s="25">
        <v>1009</v>
      </c>
      <c r="V24" s="25" t="s">
        <v>1491</v>
      </c>
      <c r="W24" s="38" t="s">
        <v>6533</v>
      </c>
      <c r="X24" s="25">
        <v>2</v>
      </c>
      <c r="Y24" s="25" t="s">
        <v>164</v>
      </c>
      <c r="Z24" s="25" t="s">
        <v>1451</v>
      </c>
      <c r="AA24" s="25" t="s">
        <v>1492</v>
      </c>
      <c r="AB24" s="39">
        <v>30</v>
      </c>
      <c r="AC24" s="39">
        <v>5</v>
      </c>
      <c r="AD24" s="39">
        <v>5</v>
      </c>
      <c r="AE24" s="25" t="s">
        <v>1493</v>
      </c>
      <c r="AF24" s="39">
        <v>80</v>
      </c>
      <c r="AG24" s="39">
        <v>10</v>
      </c>
      <c r="AH24" s="39">
        <v>8</v>
      </c>
      <c r="AI24" s="25" t="s">
        <v>1494</v>
      </c>
      <c r="AJ24" s="39">
        <v>100</v>
      </c>
      <c r="AK24" s="39">
        <v>10</v>
      </c>
      <c r="AL24" s="39">
        <v>10</v>
      </c>
      <c r="AM24" s="25" t="s">
        <v>1495</v>
      </c>
      <c r="AN24" s="39">
        <v>120</v>
      </c>
      <c r="AO24" s="39">
        <v>15</v>
      </c>
      <c r="AP24" s="39">
        <v>12</v>
      </c>
      <c r="AR24" s="39" t="s">
        <v>6456</v>
      </c>
      <c r="AX24" s="244">
        <v>46</v>
      </c>
      <c r="AY24" s="245" t="s">
        <v>3523</v>
      </c>
      <c r="AZ24" s="216" t="b">
        <f t="shared" si="15"/>
        <v>0</v>
      </c>
      <c r="BA24" s="245" t="str">
        <f t="shared" si="16"/>
        <v/>
      </c>
      <c r="BB24" s="245" t="s">
        <v>3529</v>
      </c>
      <c r="BC24" s="216" t="b">
        <f t="shared" si="17"/>
        <v>0</v>
      </c>
      <c r="BD24" s="245" t="str">
        <f t="shared" si="0"/>
        <v/>
      </c>
      <c r="BE24" s="245" t="s">
        <v>3530</v>
      </c>
      <c r="BF24" s="216" t="b">
        <f t="shared" si="18"/>
        <v>0</v>
      </c>
      <c r="BG24" s="245" t="str">
        <f t="shared" si="1"/>
        <v/>
      </c>
      <c r="BH24" s="245" t="s">
        <v>3533</v>
      </c>
      <c r="BI24" s="216" t="b">
        <f t="shared" si="19"/>
        <v>0</v>
      </c>
      <c r="BJ24" s="245" t="str">
        <f t="shared" si="2"/>
        <v/>
      </c>
      <c r="BK24" s="245">
        <v>26</v>
      </c>
      <c r="BL24" s="245" t="s">
        <v>2676</v>
      </c>
      <c r="BM24" s="216" t="b">
        <f t="shared" si="3"/>
        <v>0</v>
      </c>
      <c r="BN24" s="245" t="str">
        <f t="shared" si="4"/>
        <v/>
      </c>
      <c r="BO24" s="245" t="s">
        <v>2682</v>
      </c>
      <c r="BP24" s="216" t="b">
        <f t="shared" si="5"/>
        <v>0</v>
      </c>
      <c r="BQ24" s="245" t="str">
        <f t="shared" si="6"/>
        <v/>
      </c>
      <c r="BR24" s="245" t="s">
        <v>2688</v>
      </c>
      <c r="BS24" s="216" t="b">
        <f t="shared" si="7"/>
        <v>0</v>
      </c>
      <c r="BT24" s="245" t="str">
        <f t="shared" si="8"/>
        <v/>
      </c>
      <c r="BU24" s="245" t="s">
        <v>2689</v>
      </c>
      <c r="BV24" s="216" t="b">
        <f t="shared" si="9"/>
        <v>0</v>
      </c>
      <c r="BW24" s="245" t="str">
        <f t="shared" si="10"/>
        <v/>
      </c>
      <c r="BX24" s="245" t="s">
        <v>2695</v>
      </c>
      <c r="BY24" s="216" t="b">
        <f t="shared" si="11"/>
        <v>0</v>
      </c>
      <c r="BZ24" s="245" t="str">
        <f t="shared" si="12"/>
        <v/>
      </c>
      <c r="CA24" s="245" t="s">
        <v>2697</v>
      </c>
      <c r="CB24" s="216" t="b">
        <f t="shared" si="13"/>
        <v>0</v>
      </c>
      <c r="CC24" s="245" t="str">
        <f t="shared" si="14"/>
        <v/>
      </c>
      <c r="CD24" s="245" t="s">
        <v>3561</v>
      </c>
      <c r="CE24" s="216" t="b">
        <f t="shared" si="20"/>
        <v>0</v>
      </c>
      <c r="CF24" s="245" t="str">
        <f t="shared" si="21"/>
        <v/>
      </c>
    </row>
    <row r="25" spans="1:84" x14ac:dyDescent="0.2">
      <c r="D25" s="25">
        <v>60</v>
      </c>
      <c r="E25" s="25">
        <v>20</v>
      </c>
      <c r="G25" s="25">
        <v>28</v>
      </c>
      <c r="H25" s="25">
        <v>28</v>
      </c>
      <c r="I25" s="25">
        <v>28</v>
      </c>
      <c r="J25" s="25">
        <v>28</v>
      </c>
      <c r="K25" s="25">
        <v>28</v>
      </c>
      <c r="L25" s="25">
        <v>28</v>
      </c>
      <c r="M25" s="25">
        <v>28</v>
      </c>
      <c r="N25" s="25">
        <v>28</v>
      </c>
      <c r="O25" s="25">
        <v>28</v>
      </c>
      <c r="P25" s="25">
        <v>28</v>
      </c>
      <c r="Q25" s="25">
        <v>28</v>
      </c>
      <c r="T25" s="25" t="s">
        <v>61</v>
      </c>
      <c r="U25" s="25">
        <v>8004</v>
      </c>
      <c r="V25" s="25" t="s">
        <v>2673</v>
      </c>
      <c r="W25" s="38" t="s">
        <v>2674</v>
      </c>
      <c r="X25" s="25">
        <v>20</v>
      </c>
      <c r="Y25" s="25" t="s">
        <v>164</v>
      </c>
      <c r="Z25" s="25" t="s">
        <v>1451</v>
      </c>
      <c r="AA25" s="25" t="s">
        <v>2348</v>
      </c>
      <c r="AB25" s="39">
        <v>60</v>
      </c>
      <c r="AC25" s="39" t="s">
        <v>244</v>
      </c>
      <c r="AD25" s="39">
        <v>6</v>
      </c>
      <c r="AE25" s="25" t="s">
        <v>2178</v>
      </c>
      <c r="AF25" s="39">
        <v>100</v>
      </c>
      <c r="AG25" s="39" t="s">
        <v>244</v>
      </c>
      <c r="AH25" s="39">
        <v>9</v>
      </c>
      <c r="AI25" s="25" t="s">
        <v>2675</v>
      </c>
      <c r="AJ25" s="39">
        <v>150</v>
      </c>
      <c r="AK25" s="39" t="s">
        <v>244</v>
      </c>
      <c r="AL25" s="39">
        <v>12</v>
      </c>
      <c r="AM25" s="25">
        <v>120</v>
      </c>
      <c r="AN25" s="39">
        <v>220</v>
      </c>
      <c r="AO25" s="39" t="s">
        <v>244</v>
      </c>
      <c r="AP25" s="39">
        <v>15</v>
      </c>
      <c r="AR25" s="39"/>
      <c r="AX25" s="244">
        <v>42</v>
      </c>
      <c r="AY25" s="245" t="s">
        <v>3487</v>
      </c>
      <c r="AZ25" s="216" t="b">
        <f t="shared" si="15"/>
        <v>0</v>
      </c>
      <c r="BA25" s="245" t="str">
        <f t="shared" si="16"/>
        <v/>
      </c>
      <c r="BB25" s="245" t="s">
        <v>3490</v>
      </c>
      <c r="BC25" s="216" t="b">
        <f t="shared" si="17"/>
        <v>0</v>
      </c>
      <c r="BD25" s="245" t="str">
        <f t="shared" si="0"/>
        <v/>
      </c>
      <c r="BE25" s="245" t="s">
        <v>3493</v>
      </c>
      <c r="BF25" s="216" t="b">
        <f t="shared" si="18"/>
        <v>0</v>
      </c>
      <c r="BG25" s="245" t="str">
        <f t="shared" si="1"/>
        <v/>
      </c>
      <c r="BH25" s="245" t="s">
        <v>3499</v>
      </c>
      <c r="BI25" s="216" t="b">
        <f t="shared" si="19"/>
        <v>0</v>
      </c>
      <c r="BJ25" s="245" t="str">
        <f t="shared" si="2"/>
        <v/>
      </c>
      <c r="BK25" s="245">
        <v>22</v>
      </c>
      <c r="BL25" s="245" t="s">
        <v>2515</v>
      </c>
      <c r="BM25" s="216" t="b">
        <f t="shared" si="3"/>
        <v>0</v>
      </c>
      <c r="BN25" s="245" t="str">
        <f t="shared" si="4"/>
        <v/>
      </c>
      <c r="BO25" s="245" t="s">
        <v>2522</v>
      </c>
      <c r="BP25" s="216" t="b">
        <f t="shared" si="5"/>
        <v>0</v>
      </c>
      <c r="BQ25" s="245" t="str">
        <f t="shared" si="6"/>
        <v/>
      </c>
      <c r="BR25" s="245" t="s">
        <v>2527</v>
      </c>
      <c r="BS25" s="216" t="b">
        <f t="shared" si="7"/>
        <v>0</v>
      </c>
      <c r="BT25" s="245" t="str">
        <f t="shared" si="8"/>
        <v/>
      </c>
      <c r="BU25" s="245" t="s">
        <v>2533</v>
      </c>
      <c r="BV25" s="216" t="b">
        <f t="shared" si="9"/>
        <v>0</v>
      </c>
      <c r="BW25" s="245" t="str">
        <f t="shared" si="10"/>
        <v/>
      </c>
      <c r="BX25" s="245" t="s">
        <v>2538</v>
      </c>
      <c r="BY25" s="216" t="b">
        <f t="shared" si="11"/>
        <v>0</v>
      </c>
      <c r="BZ25" s="245" t="str">
        <f t="shared" si="12"/>
        <v/>
      </c>
      <c r="CA25" s="245" t="s">
        <v>2543</v>
      </c>
      <c r="CB25" s="216" t="b">
        <f t="shared" si="13"/>
        <v>0</v>
      </c>
      <c r="CC25" s="245" t="str">
        <f t="shared" si="14"/>
        <v/>
      </c>
      <c r="CD25" s="245" t="s">
        <v>3521</v>
      </c>
      <c r="CE25" s="216" t="b">
        <f t="shared" si="20"/>
        <v>0</v>
      </c>
      <c r="CF25" s="245" t="str">
        <f t="shared" si="21"/>
        <v/>
      </c>
    </row>
    <row r="26" spans="1:84" x14ac:dyDescent="0.2">
      <c r="D26" s="25">
        <v>65</v>
      </c>
      <c r="E26" s="25">
        <v>20</v>
      </c>
      <c r="G26" s="25">
        <v>30</v>
      </c>
      <c r="H26" s="25">
        <v>30</v>
      </c>
      <c r="I26" s="25">
        <v>30</v>
      </c>
      <c r="J26" s="25">
        <v>30</v>
      </c>
      <c r="K26" s="25">
        <v>30</v>
      </c>
      <c r="L26" s="25">
        <v>30</v>
      </c>
      <c r="M26" s="25">
        <v>30</v>
      </c>
      <c r="N26" s="25">
        <v>30</v>
      </c>
      <c r="O26" s="25">
        <v>30</v>
      </c>
      <c r="P26" s="25">
        <v>30</v>
      </c>
      <c r="Q26" s="25">
        <v>30</v>
      </c>
      <c r="T26" s="25" t="s">
        <v>264</v>
      </c>
      <c r="U26" s="25">
        <v>6028</v>
      </c>
      <c r="V26" s="25" t="s">
        <v>2445</v>
      </c>
      <c r="W26" s="38" t="s">
        <v>6460</v>
      </c>
      <c r="X26" s="25">
        <v>54</v>
      </c>
      <c r="Y26" s="25" t="s">
        <v>1582</v>
      </c>
      <c r="Z26" s="25" t="s">
        <v>1451</v>
      </c>
      <c r="AA26" s="25" t="s">
        <v>2446</v>
      </c>
      <c r="AB26" s="39">
        <v>120</v>
      </c>
      <c r="AC26" s="39">
        <v>15</v>
      </c>
      <c r="AD26" s="39">
        <v>6</v>
      </c>
      <c r="AE26" s="25" t="s">
        <v>2447</v>
      </c>
      <c r="AF26" s="39">
        <v>180</v>
      </c>
      <c r="AG26" s="39">
        <v>20</v>
      </c>
      <c r="AH26" s="39">
        <v>9</v>
      </c>
      <c r="AI26" s="25" t="s">
        <v>2448</v>
      </c>
      <c r="AJ26" s="39">
        <v>240</v>
      </c>
      <c r="AK26" s="39">
        <v>25</v>
      </c>
      <c r="AL26" s="39">
        <v>12</v>
      </c>
      <c r="AM26" s="25" t="s">
        <v>2449</v>
      </c>
      <c r="AN26" s="39">
        <v>300</v>
      </c>
      <c r="AO26" s="39">
        <v>30</v>
      </c>
      <c r="AP26" s="39">
        <v>15</v>
      </c>
      <c r="AQ26" s="25" t="s">
        <v>1610</v>
      </c>
      <c r="AR26" s="39" t="s">
        <v>6456</v>
      </c>
      <c r="AX26" s="244">
        <v>40</v>
      </c>
      <c r="AY26" s="245" t="s">
        <v>3443</v>
      </c>
      <c r="AZ26" s="216" t="b">
        <f t="shared" si="15"/>
        <v>0</v>
      </c>
      <c r="BA26" s="245" t="str">
        <f t="shared" si="16"/>
        <v/>
      </c>
      <c r="BB26" s="245" t="s">
        <v>3449</v>
      </c>
      <c r="BC26" s="216" t="b">
        <f t="shared" si="17"/>
        <v>0</v>
      </c>
      <c r="BD26" s="245" t="str">
        <f t="shared" si="0"/>
        <v/>
      </c>
      <c r="BE26" s="245" t="s">
        <v>3451</v>
      </c>
      <c r="BF26" s="216" t="b">
        <f t="shared" si="18"/>
        <v>0</v>
      </c>
      <c r="BG26" s="245" t="str">
        <f t="shared" si="1"/>
        <v/>
      </c>
      <c r="BH26" s="245" t="s">
        <v>3453</v>
      </c>
      <c r="BI26" s="216" t="b">
        <f t="shared" si="19"/>
        <v>0</v>
      </c>
      <c r="BJ26" s="245" t="str">
        <f t="shared" si="2"/>
        <v/>
      </c>
      <c r="BK26" s="245">
        <v>20</v>
      </c>
      <c r="BL26" s="245" t="s">
        <v>2351</v>
      </c>
      <c r="BM26" s="216" t="b">
        <f t="shared" si="3"/>
        <v>0</v>
      </c>
      <c r="BN26" s="245" t="str">
        <f t="shared" si="4"/>
        <v/>
      </c>
      <c r="BO26" s="245" t="s">
        <v>2357</v>
      </c>
      <c r="BP26" s="216" t="b">
        <f t="shared" si="5"/>
        <v>0</v>
      </c>
      <c r="BQ26" s="245" t="str">
        <f t="shared" si="6"/>
        <v/>
      </c>
      <c r="BR26" s="245" t="s">
        <v>2363</v>
      </c>
      <c r="BS26" s="216" t="b">
        <f t="shared" si="7"/>
        <v>0</v>
      </c>
      <c r="BT26" s="245" t="str">
        <f t="shared" si="8"/>
        <v/>
      </c>
      <c r="BU26" s="245" t="s">
        <v>2369</v>
      </c>
      <c r="BV26" s="216" t="b">
        <f t="shared" si="9"/>
        <v>0</v>
      </c>
      <c r="BW26" s="245" t="str">
        <f t="shared" si="10"/>
        <v/>
      </c>
      <c r="BX26" s="245" t="s">
        <v>2375</v>
      </c>
      <c r="BY26" s="216" t="b">
        <f t="shared" si="11"/>
        <v>0</v>
      </c>
      <c r="BZ26" s="245" t="str">
        <f t="shared" si="12"/>
        <v/>
      </c>
      <c r="CA26" s="245" t="s">
        <v>2379</v>
      </c>
      <c r="CB26" s="216" t="b">
        <f t="shared" si="13"/>
        <v>0</v>
      </c>
      <c r="CC26" s="245" t="str">
        <f t="shared" si="14"/>
        <v/>
      </c>
      <c r="CD26" s="245" t="s">
        <v>3485</v>
      </c>
      <c r="CE26" s="216" t="b">
        <f t="shared" si="20"/>
        <v>0</v>
      </c>
      <c r="CF26" s="245" t="str">
        <f t="shared" si="21"/>
        <v/>
      </c>
    </row>
    <row r="27" spans="1:84" x14ac:dyDescent="0.2">
      <c r="D27" s="25">
        <v>70</v>
      </c>
      <c r="E27" s="25">
        <v>20</v>
      </c>
      <c r="G27" s="25">
        <v>32</v>
      </c>
      <c r="H27" s="25">
        <v>32</v>
      </c>
      <c r="I27" s="25">
        <v>32</v>
      </c>
      <c r="J27" s="25">
        <v>32</v>
      </c>
      <c r="K27" s="25">
        <v>32</v>
      </c>
      <c r="L27" s="25">
        <v>32</v>
      </c>
      <c r="M27" s="25">
        <v>32</v>
      </c>
      <c r="N27" s="25">
        <v>32</v>
      </c>
      <c r="O27" s="25">
        <v>32</v>
      </c>
      <c r="P27" s="25">
        <v>32</v>
      </c>
      <c r="Q27" s="25">
        <v>32</v>
      </c>
      <c r="T27" s="25" t="s">
        <v>60</v>
      </c>
      <c r="U27" s="25">
        <v>23008</v>
      </c>
      <c r="V27" s="25" t="s">
        <v>3764</v>
      </c>
      <c r="W27" s="38" t="s">
        <v>3765</v>
      </c>
      <c r="X27" s="25">
        <v>76</v>
      </c>
      <c r="Y27" s="25" t="s">
        <v>3766</v>
      </c>
      <c r="Z27" s="25" t="s">
        <v>1451</v>
      </c>
      <c r="AA27" s="25" t="s">
        <v>2121</v>
      </c>
      <c r="AB27" s="39">
        <v>140</v>
      </c>
      <c r="AC27" s="39">
        <v>10</v>
      </c>
      <c r="AD27" s="39">
        <v>9</v>
      </c>
      <c r="AE27" s="25" t="s">
        <v>1907</v>
      </c>
      <c r="AF27" s="39">
        <v>200</v>
      </c>
      <c r="AG27" s="39">
        <v>10</v>
      </c>
      <c r="AH27" s="39">
        <v>11</v>
      </c>
      <c r="AI27" s="25" t="s">
        <v>3767</v>
      </c>
      <c r="AJ27" s="39">
        <v>260</v>
      </c>
      <c r="AK27" s="39">
        <v>15</v>
      </c>
      <c r="AL27" s="39">
        <v>13</v>
      </c>
      <c r="AM27" s="25" t="s">
        <v>3768</v>
      </c>
      <c r="AN27" s="39">
        <v>350</v>
      </c>
      <c r="AO27" s="39">
        <v>25</v>
      </c>
      <c r="AP27" s="39">
        <v>16</v>
      </c>
      <c r="AR27" s="39"/>
      <c r="AX27" s="244">
        <v>38</v>
      </c>
      <c r="AY27" s="245" t="s">
        <v>3397</v>
      </c>
      <c r="AZ27" s="216" t="b">
        <f t="shared" si="15"/>
        <v>0</v>
      </c>
      <c r="BA27" s="245" t="str">
        <f t="shared" si="16"/>
        <v/>
      </c>
      <c r="BB27" s="245" t="s">
        <v>3403</v>
      </c>
      <c r="BC27" s="216" t="b">
        <f t="shared" si="17"/>
        <v>0</v>
      </c>
      <c r="BD27" s="245" t="str">
        <f t="shared" si="0"/>
        <v/>
      </c>
      <c r="BE27" s="245" t="s">
        <v>3409</v>
      </c>
      <c r="BF27" s="216" t="b">
        <f t="shared" si="18"/>
        <v>0</v>
      </c>
      <c r="BG27" s="245" t="str">
        <f t="shared" si="1"/>
        <v/>
      </c>
      <c r="BH27" s="245" t="s">
        <v>3411</v>
      </c>
      <c r="BI27" s="216" t="b">
        <f t="shared" si="19"/>
        <v>0</v>
      </c>
      <c r="BJ27" s="245" t="str">
        <f t="shared" si="2"/>
        <v/>
      </c>
      <c r="BK27" s="245">
        <v>16</v>
      </c>
      <c r="BL27" s="245" t="s">
        <v>2191</v>
      </c>
      <c r="BM27" s="216" t="b">
        <f t="shared" si="3"/>
        <v>0</v>
      </c>
      <c r="BN27" s="245" t="str">
        <f t="shared" si="4"/>
        <v/>
      </c>
      <c r="BO27" s="245" t="s">
        <v>2197</v>
      </c>
      <c r="BP27" s="216" t="b">
        <f t="shared" si="5"/>
        <v>0</v>
      </c>
      <c r="BQ27" s="245" t="str">
        <f t="shared" si="6"/>
        <v/>
      </c>
      <c r="BR27" s="245" t="s">
        <v>2203</v>
      </c>
      <c r="BS27" s="216" t="b">
        <f t="shared" si="7"/>
        <v>0</v>
      </c>
      <c r="BT27" s="245" t="str">
        <f t="shared" si="8"/>
        <v/>
      </c>
      <c r="BU27" s="245" t="s">
        <v>2208</v>
      </c>
      <c r="BV27" s="216" t="b">
        <f t="shared" si="9"/>
        <v>0</v>
      </c>
      <c r="BW27" s="245" t="str">
        <f t="shared" si="10"/>
        <v/>
      </c>
      <c r="BX27" s="245" t="s">
        <v>2213</v>
      </c>
      <c r="BY27" s="216" t="b">
        <f t="shared" si="11"/>
        <v>0</v>
      </c>
      <c r="BZ27" s="245" t="str">
        <f t="shared" si="12"/>
        <v/>
      </c>
      <c r="CA27" s="245" t="s">
        <v>2215</v>
      </c>
      <c r="CB27" s="216" t="b">
        <f t="shared" si="13"/>
        <v>0</v>
      </c>
      <c r="CC27" s="245" t="str">
        <f t="shared" si="14"/>
        <v/>
      </c>
      <c r="CD27" s="245" t="s">
        <v>3441</v>
      </c>
      <c r="CE27" s="216" t="b">
        <f t="shared" si="20"/>
        <v>0</v>
      </c>
      <c r="CF27" s="245" t="str">
        <f t="shared" si="21"/>
        <v/>
      </c>
    </row>
    <row r="28" spans="1:84" x14ac:dyDescent="0.2">
      <c r="D28" s="25">
        <v>75</v>
      </c>
      <c r="E28" s="25">
        <v>30</v>
      </c>
      <c r="G28" s="25">
        <v>36</v>
      </c>
      <c r="H28" s="25">
        <v>36</v>
      </c>
      <c r="I28" s="25">
        <v>36</v>
      </c>
      <c r="J28" s="25">
        <v>36</v>
      </c>
      <c r="K28" s="25">
        <v>36</v>
      </c>
      <c r="L28" s="25">
        <v>36</v>
      </c>
      <c r="M28" s="25">
        <v>36</v>
      </c>
      <c r="N28" s="25">
        <v>36</v>
      </c>
      <c r="O28" s="25">
        <v>36</v>
      </c>
      <c r="P28" s="25">
        <v>36</v>
      </c>
      <c r="Q28" s="25">
        <v>36</v>
      </c>
      <c r="T28" s="25" t="s">
        <v>1554</v>
      </c>
      <c r="U28" s="25">
        <v>8022</v>
      </c>
      <c r="V28" s="25" t="s">
        <v>2733</v>
      </c>
      <c r="W28" s="38" t="s">
        <v>2734</v>
      </c>
      <c r="X28" s="25">
        <v>74</v>
      </c>
      <c r="Y28" s="25" t="s">
        <v>117</v>
      </c>
      <c r="Z28" s="25" t="s">
        <v>1557</v>
      </c>
      <c r="AA28" s="25" t="s">
        <v>2735</v>
      </c>
      <c r="AB28" s="39">
        <v>150</v>
      </c>
      <c r="AC28" s="39">
        <v>15</v>
      </c>
      <c r="AD28" s="39">
        <v>9</v>
      </c>
      <c r="AE28" s="25" t="s">
        <v>2736</v>
      </c>
      <c r="AF28" s="39">
        <v>250</v>
      </c>
      <c r="AG28" s="39">
        <v>25</v>
      </c>
      <c r="AH28" s="39">
        <v>1</v>
      </c>
      <c r="AI28" s="25" t="s">
        <v>2737</v>
      </c>
      <c r="AJ28" s="39">
        <v>350</v>
      </c>
      <c r="AK28" s="39">
        <v>35</v>
      </c>
      <c r="AL28" s="39">
        <v>13</v>
      </c>
      <c r="AM28" s="25" t="s">
        <v>2738</v>
      </c>
      <c r="AN28" s="39">
        <v>450</v>
      </c>
      <c r="AO28" s="39">
        <v>45</v>
      </c>
      <c r="AP28" s="39">
        <v>14</v>
      </c>
      <c r="AQ28" s="25" t="s">
        <v>1562</v>
      </c>
      <c r="AR28" s="39"/>
      <c r="AX28" s="244">
        <v>36</v>
      </c>
      <c r="AY28" s="245" t="s">
        <v>3343</v>
      </c>
      <c r="AZ28" s="216" t="b">
        <f t="shared" si="15"/>
        <v>0</v>
      </c>
      <c r="BA28" s="245" t="str">
        <f t="shared" si="16"/>
        <v/>
      </c>
      <c r="BB28" s="245" t="s">
        <v>3348</v>
      </c>
      <c r="BC28" s="216" t="b">
        <f t="shared" si="17"/>
        <v>0</v>
      </c>
      <c r="BD28" s="245" t="str">
        <f t="shared" si="0"/>
        <v/>
      </c>
      <c r="BE28" s="245" t="s">
        <v>3353</v>
      </c>
      <c r="BF28" s="216" t="b">
        <f t="shared" si="18"/>
        <v>0</v>
      </c>
      <c r="BG28" s="245" t="str">
        <f t="shared" si="1"/>
        <v/>
      </c>
      <c r="BH28" s="245" t="s">
        <v>3359</v>
      </c>
      <c r="BI28" s="216" t="b">
        <f t="shared" si="19"/>
        <v>0</v>
      </c>
      <c r="BJ28" s="245" t="str">
        <f t="shared" si="2"/>
        <v/>
      </c>
      <c r="BK28" s="245">
        <v>12</v>
      </c>
      <c r="BL28" s="245" t="s">
        <v>2036</v>
      </c>
      <c r="BM28" s="216" t="b">
        <f t="shared" si="3"/>
        <v>0</v>
      </c>
      <c r="BN28" s="245" t="str">
        <f t="shared" si="4"/>
        <v/>
      </c>
      <c r="BO28" s="245" t="s">
        <v>2040</v>
      </c>
      <c r="BP28" s="216" t="b">
        <f t="shared" si="5"/>
        <v>0</v>
      </c>
      <c r="BQ28" s="245" t="str">
        <f t="shared" si="6"/>
        <v/>
      </c>
      <c r="BR28" s="245" t="s">
        <v>2041</v>
      </c>
      <c r="BS28" s="216" t="b">
        <f t="shared" si="7"/>
        <v>0</v>
      </c>
      <c r="BT28" s="245" t="str">
        <f t="shared" si="8"/>
        <v/>
      </c>
      <c r="BU28" s="245" t="s">
        <v>2047</v>
      </c>
      <c r="BV28" s="216" t="b">
        <f t="shared" si="9"/>
        <v>0</v>
      </c>
      <c r="BW28" s="245" t="str">
        <f t="shared" si="10"/>
        <v/>
      </c>
      <c r="BX28" s="245" t="s">
        <v>2052</v>
      </c>
      <c r="BY28" s="216" t="b">
        <f t="shared" si="11"/>
        <v>0</v>
      </c>
      <c r="BZ28" s="245" t="str">
        <f t="shared" si="12"/>
        <v/>
      </c>
      <c r="CA28" s="245" t="s">
        <v>2058</v>
      </c>
      <c r="CB28" s="216" t="b">
        <f t="shared" si="13"/>
        <v>0</v>
      </c>
      <c r="CC28" s="245" t="str">
        <f t="shared" si="14"/>
        <v/>
      </c>
      <c r="CD28" s="245" t="s">
        <v>3395</v>
      </c>
      <c r="CE28" s="216" t="b">
        <f t="shared" si="20"/>
        <v>0</v>
      </c>
      <c r="CF28" s="245" t="str">
        <f t="shared" si="21"/>
        <v/>
      </c>
    </row>
    <row r="29" spans="1:84" x14ac:dyDescent="0.2">
      <c r="D29" s="25">
        <v>80</v>
      </c>
      <c r="E29" s="25">
        <v>30</v>
      </c>
      <c r="G29" s="25">
        <v>38</v>
      </c>
      <c r="H29" s="25">
        <v>38</v>
      </c>
      <c r="I29" s="25">
        <v>38</v>
      </c>
      <c r="J29" s="25">
        <v>38</v>
      </c>
      <c r="K29" s="25">
        <v>38</v>
      </c>
      <c r="L29" s="25">
        <v>38</v>
      </c>
      <c r="M29" s="25">
        <v>38</v>
      </c>
      <c r="N29" s="25">
        <v>38</v>
      </c>
      <c r="O29" s="25">
        <v>38</v>
      </c>
      <c r="P29" s="25">
        <v>38</v>
      </c>
      <c r="Q29" s="25">
        <v>38</v>
      </c>
      <c r="T29" s="25" t="s">
        <v>1543</v>
      </c>
      <c r="U29" s="25">
        <v>6020</v>
      </c>
      <c r="V29" s="25" t="s">
        <v>2414</v>
      </c>
      <c r="W29" s="38" t="s">
        <v>2415</v>
      </c>
      <c r="X29" s="25">
        <v>54</v>
      </c>
      <c r="Y29" s="25" t="s">
        <v>2084</v>
      </c>
      <c r="Z29" s="25" t="s">
        <v>1451</v>
      </c>
      <c r="AA29" s="25" t="s">
        <v>2416</v>
      </c>
      <c r="AB29" s="39">
        <v>100</v>
      </c>
      <c r="AC29" s="39">
        <v>5</v>
      </c>
      <c r="AD29" s="39">
        <v>7</v>
      </c>
      <c r="AE29" s="25" t="s">
        <v>2417</v>
      </c>
      <c r="AF29" s="39">
        <v>160</v>
      </c>
      <c r="AG29" s="39">
        <v>10</v>
      </c>
      <c r="AH29" s="39">
        <v>9</v>
      </c>
      <c r="AI29" s="25" t="s">
        <v>2418</v>
      </c>
      <c r="AJ29" s="39">
        <v>220</v>
      </c>
      <c r="AK29" s="39">
        <v>15</v>
      </c>
      <c r="AL29" s="39">
        <v>11</v>
      </c>
      <c r="AM29" s="25" t="s">
        <v>2419</v>
      </c>
      <c r="AN29" s="39">
        <v>280</v>
      </c>
      <c r="AO29" s="39">
        <v>20</v>
      </c>
      <c r="AP29" s="39">
        <v>13</v>
      </c>
      <c r="AQ29" s="25" t="s">
        <v>1547</v>
      </c>
      <c r="AR29" s="39"/>
      <c r="AX29" s="244">
        <v>32</v>
      </c>
      <c r="AY29" s="245" t="s">
        <v>3293</v>
      </c>
      <c r="AZ29" s="216" t="b">
        <f t="shared" si="15"/>
        <v>0</v>
      </c>
      <c r="BA29" s="245" t="str">
        <f t="shared" si="16"/>
        <v/>
      </c>
      <c r="BB29" s="245" t="s">
        <v>3298</v>
      </c>
      <c r="BC29" s="216" t="b">
        <f t="shared" si="17"/>
        <v>0</v>
      </c>
      <c r="BD29" s="245" t="str">
        <f t="shared" si="0"/>
        <v/>
      </c>
      <c r="BE29" s="245" t="s">
        <v>3303</v>
      </c>
      <c r="BF29" s="216" t="b">
        <f t="shared" si="18"/>
        <v>0</v>
      </c>
      <c r="BG29" s="245" t="str">
        <f t="shared" si="1"/>
        <v/>
      </c>
      <c r="BH29" s="245" t="s">
        <v>3308</v>
      </c>
      <c r="BI29" s="216" t="b">
        <f t="shared" si="19"/>
        <v>0</v>
      </c>
      <c r="BJ29" s="245" t="str">
        <f t="shared" si="2"/>
        <v/>
      </c>
      <c r="BK29" s="245">
        <v>10</v>
      </c>
      <c r="BL29" s="245" t="s">
        <v>1882</v>
      </c>
      <c r="BM29" s="216" t="b">
        <f t="shared" si="3"/>
        <v>0</v>
      </c>
      <c r="BN29" s="245" t="str">
        <f t="shared" si="4"/>
        <v/>
      </c>
      <c r="BO29" s="245" t="s">
        <v>1885</v>
      </c>
      <c r="BP29" s="216" t="b">
        <f t="shared" si="5"/>
        <v>0</v>
      </c>
      <c r="BQ29" s="245" t="str">
        <f t="shared" si="6"/>
        <v/>
      </c>
      <c r="BR29" s="245" t="s">
        <v>1888</v>
      </c>
      <c r="BS29" s="216" t="b">
        <f t="shared" si="7"/>
        <v>0</v>
      </c>
      <c r="BT29" s="245" t="str">
        <f t="shared" si="8"/>
        <v/>
      </c>
      <c r="BU29" s="245" t="s">
        <v>1893</v>
      </c>
      <c r="BV29" s="216" t="b">
        <f t="shared" si="9"/>
        <v>0</v>
      </c>
      <c r="BW29" s="245" t="str">
        <f t="shared" si="10"/>
        <v/>
      </c>
      <c r="BX29" s="245" t="s">
        <v>1898</v>
      </c>
      <c r="BY29" s="216" t="b">
        <f t="shared" si="11"/>
        <v>0</v>
      </c>
      <c r="BZ29" s="245" t="str">
        <f t="shared" si="12"/>
        <v/>
      </c>
      <c r="CA29" s="245" t="s">
        <v>1903</v>
      </c>
      <c r="CB29" s="216" t="b">
        <f t="shared" si="13"/>
        <v>0</v>
      </c>
      <c r="CC29" s="245" t="str">
        <f t="shared" si="14"/>
        <v/>
      </c>
      <c r="CD29" s="245" t="s">
        <v>3340</v>
      </c>
      <c r="CE29" s="216" t="b">
        <f t="shared" si="20"/>
        <v>0</v>
      </c>
      <c r="CF29" s="245" t="str">
        <f t="shared" si="21"/>
        <v/>
      </c>
    </row>
    <row r="30" spans="1:84" x14ac:dyDescent="0.2">
      <c r="D30" s="25">
        <v>85</v>
      </c>
      <c r="E30" s="25">
        <v>30</v>
      </c>
      <c r="G30" s="25">
        <v>40</v>
      </c>
      <c r="H30" s="25">
        <v>40</v>
      </c>
      <c r="I30" s="25">
        <v>40</v>
      </c>
      <c r="J30" s="25">
        <v>40</v>
      </c>
      <c r="K30" s="25">
        <v>40</v>
      </c>
      <c r="L30" s="25">
        <v>40</v>
      </c>
      <c r="M30" s="25">
        <v>40</v>
      </c>
      <c r="N30" s="25">
        <v>40</v>
      </c>
      <c r="O30" s="25">
        <v>40</v>
      </c>
      <c r="P30" s="25">
        <v>40</v>
      </c>
      <c r="Q30" s="25">
        <v>40</v>
      </c>
      <c r="T30" s="25" t="s">
        <v>1516</v>
      </c>
      <c r="U30" s="25">
        <v>3016</v>
      </c>
      <c r="V30" s="25" t="s">
        <v>1915</v>
      </c>
      <c r="W30" s="38" t="s">
        <v>1916</v>
      </c>
      <c r="X30" s="25">
        <v>24</v>
      </c>
      <c r="Y30" s="25" t="s">
        <v>1582</v>
      </c>
      <c r="Z30" s="25" t="s">
        <v>1451</v>
      </c>
      <c r="AA30" s="25" t="s">
        <v>1917</v>
      </c>
      <c r="AB30" s="39">
        <v>80</v>
      </c>
      <c r="AC30" s="39">
        <v>20</v>
      </c>
      <c r="AD30" s="39">
        <v>8</v>
      </c>
      <c r="AE30" s="25" t="s">
        <v>1918</v>
      </c>
      <c r="AF30" s="39">
        <v>100</v>
      </c>
      <c r="AG30" s="39">
        <v>20</v>
      </c>
      <c r="AH30" s="39">
        <v>10</v>
      </c>
      <c r="AI30" s="25" t="s">
        <v>1919</v>
      </c>
      <c r="AJ30" s="39">
        <v>120</v>
      </c>
      <c r="AK30" s="39">
        <v>25</v>
      </c>
      <c r="AL30" s="39">
        <v>12</v>
      </c>
      <c r="AM30" s="25" t="s">
        <v>1920</v>
      </c>
      <c r="AN30" s="39">
        <v>140</v>
      </c>
      <c r="AO30" s="39">
        <v>30</v>
      </c>
      <c r="AP30" s="39">
        <v>14</v>
      </c>
      <c r="AQ30" s="25" t="s">
        <v>1522</v>
      </c>
      <c r="AR30" s="39"/>
      <c r="AX30" s="244">
        <v>30</v>
      </c>
      <c r="AY30" s="245" t="s">
        <v>3201</v>
      </c>
      <c r="AZ30" s="216" t="b">
        <f t="shared" si="15"/>
        <v>0</v>
      </c>
      <c r="BA30" s="245" t="str">
        <f t="shared" si="16"/>
        <v/>
      </c>
      <c r="BB30" s="245" t="s">
        <v>3206</v>
      </c>
      <c r="BC30" s="216" t="b">
        <f t="shared" si="17"/>
        <v>0</v>
      </c>
      <c r="BD30" s="245" t="str">
        <f t="shared" si="0"/>
        <v/>
      </c>
      <c r="BE30" s="245" t="s">
        <v>3208</v>
      </c>
      <c r="BF30" s="216" t="b">
        <f t="shared" si="18"/>
        <v>0</v>
      </c>
      <c r="BG30" s="245" t="str">
        <f t="shared" si="1"/>
        <v/>
      </c>
      <c r="BH30" s="245" t="s">
        <v>3211</v>
      </c>
      <c r="BI30" s="216" t="b">
        <f t="shared" si="19"/>
        <v>0</v>
      </c>
      <c r="BJ30" s="245" t="str">
        <f t="shared" si="2"/>
        <v/>
      </c>
      <c r="BK30" s="245">
        <v>6</v>
      </c>
      <c r="BL30" s="245" t="s">
        <v>1703</v>
      </c>
      <c r="BM30" s="216" t="b">
        <f t="shared" si="3"/>
        <v>0</v>
      </c>
      <c r="BN30" s="245" t="str">
        <f t="shared" si="4"/>
        <v/>
      </c>
      <c r="BO30" s="245" t="s">
        <v>1710</v>
      </c>
      <c r="BP30" s="216" t="b">
        <f t="shared" si="5"/>
        <v>0</v>
      </c>
      <c r="BQ30" s="245" t="str">
        <f t="shared" si="6"/>
        <v/>
      </c>
      <c r="BR30" s="245" t="s">
        <v>1716</v>
      </c>
      <c r="BS30" s="216" t="b">
        <f t="shared" si="7"/>
        <v>0</v>
      </c>
      <c r="BT30" s="245" t="str">
        <f t="shared" si="8"/>
        <v/>
      </c>
      <c r="BU30" s="245" t="s">
        <v>1721</v>
      </c>
      <c r="BV30" s="216" t="b">
        <f t="shared" si="9"/>
        <v>0</v>
      </c>
      <c r="BW30" s="245" t="str">
        <f t="shared" si="10"/>
        <v/>
      </c>
      <c r="BX30" s="245" t="s">
        <v>1729</v>
      </c>
      <c r="BY30" s="216" t="b">
        <f t="shared" si="11"/>
        <v>0</v>
      </c>
      <c r="BZ30" s="245" t="str">
        <f t="shared" si="12"/>
        <v/>
      </c>
      <c r="CA30" s="245" t="s">
        <v>1735</v>
      </c>
      <c r="CB30" s="216" t="b">
        <f t="shared" si="13"/>
        <v>0</v>
      </c>
      <c r="CC30" s="245" t="str">
        <f t="shared" si="14"/>
        <v/>
      </c>
      <c r="CD30" s="245" t="s">
        <v>3243</v>
      </c>
      <c r="CE30" s="216" t="b">
        <f t="shared" si="20"/>
        <v>0</v>
      </c>
      <c r="CF30" s="245" t="str">
        <f t="shared" si="21"/>
        <v/>
      </c>
    </row>
    <row r="31" spans="1:84" x14ac:dyDescent="0.2">
      <c r="D31" s="25">
        <v>90</v>
      </c>
      <c r="E31" s="25">
        <v>30</v>
      </c>
      <c r="G31" s="25">
        <v>42</v>
      </c>
      <c r="H31" s="25">
        <v>42</v>
      </c>
      <c r="I31" s="25">
        <v>42</v>
      </c>
      <c r="J31" s="25">
        <v>42</v>
      </c>
      <c r="K31" s="25">
        <v>42</v>
      </c>
      <c r="L31" s="25">
        <v>42</v>
      </c>
      <c r="M31" s="25">
        <v>42</v>
      </c>
      <c r="N31" s="25">
        <v>42</v>
      </c>
      <c r="O31" s="25">
        <v>42</v>
      </c>
      <c r="P31" s="25">
        <v>42</v>
      </c>
      <c r="Q31" s="25">
        <v>42</v>
      </c>
      <c r="T31" s="25" t="s">
        <v>1655</v>
      </c>
      <c r="U31" s="25">
        <v>2615</v>
      </c>
      <c r="V31" s="25" t="s">
        <v>1842</v>
      </c>
      <c r="W31" s="38" t="s">
        <v>1843</v>
      </c>
      <c r="X31" s="25" t="s">
        <v>1658</v>
      </c>
      <c r="Y31" s="25" t="s">
        <v>164</v>
      </c>
      <c r="Z31" s="25" t="s">
        <v>1451</v>
      </c>
      <c r="AA31" s="25" t="s">
        <v>1844</v>
      </c>
      <c r="AB31" s="39">
        <v>80</v>
      </c>
      <c r="AC31" s="39">
        <v>5</v>
      </c>
      <c r="AD31" s="39">
        <v>9</v>
      </c>
      <c r="AE31" s="25" t="s">
        <v>1845</v>
      </c>
      <c r="AF31" s="39">
        <v>160</v>
      </c>
      <c r="AG31" s="39">
        <v>10</v>
      </c>
      <c r="AH31" s="39">
        <v>11</v>
      </c>
      <c r="AI31" s="25" t="s">
        <v>1846</v>
      </c>
      <c r="AJ31" s="39">
        <v>240</v>
      </c>
      <c r="AK31" s="39">
        <v>15</v>
      </c>
      <c r="AL31" s="39">
        <v>14</v>
      </c>
      <c r="AM31" s="25" t="s">
        <v>1676</v>
      </c>
      <c r="AN31" s="39">
        <v>320</v>
      </c>
      <c r="AO31" s="39">
        <v>20</v>
      </c>
      <c r="AP31" s="39">
        <v>16</v>
      </c>
      <c r="AQ31" s="25" t="s">
        <v>61</v>
      </c>
      <c r="AR31" s="39"/>
      <c r="AX31" s="244">
        <v>28</v>
      </c>
      <c r="AY31" s="245" t="s">
        <v>3109</v>
      </c>
      <c r="AZ31" s="216" t="b">
        <f t="shared" si="15"/>
        <v>0</v>
      </c>
      <c r="BA31" s="245" t="str">
        <f t="shared" si="16"/>
        <v/>
      </c>
      <c r="BB31" s="245" t="s">
        <v>3115</v>
      </c>
      <c r="BC31" s="216" t="b">
        <f t="shared" si="17"/>
        <v>0</v>
      </c>
      <c r="BD31" s="245" t="str">
        <f t="shared" si="0"/>
        <v/>
      </c>
      <c r="BE31" s="245" t="s">
        <v>3116</v>
      </c>
      <c r="BF31" s="216" t="b">
        <f t="shared" si="18"/>
        <v>0</v>
      </c>
      <c r="BG31" s="245" t="str">
        <f t="shared" si="1"/>
        <v/>
      </c>
      <c r="BH31" s="245" t="s">
        <v>3121</v>
      </c>
      <c r="BI31" s="216" t="b">
        <f t="shared" si="19"/>
        <v>0</v>
      </c>
      <c r="BJ31" s="245" t="str">
        <f t="shared" si="2"/>
        <v/>
      </c>
      <c r="BK31" s="245">
        <v>2</v>
      </c>
      <c r="BL31" s="245" t="s">
        <v>1470</v>
      </c>
      <c r="BM31" s="216" t="b">
        <f>($BK31&lt;=BK$1)</f>
        <v>0</v>
      </c>
      <c r="BN31" s="245" t="str">
        <f>IF(BM31,BL31,"")</f>
        <v/>
      </c>
      <c r="BO31" s="245" t="s">
        <v>1475</v>
      </c>
      <c r="BP31" s="216" t="b">
        <f>($BK31&lt;=BN$1)</f>
        <v>0</v>
      </c>
      <c r="BQ31" s="245" t="str">
        <f>IF(BP31,BO31,"")</f>
        <v/>
      </c>
      <c r="BR31" s="245" t="s">
        <v>1480</v>
      </c>
      <c r="BS31" s="216" t="b">
        <f>($BK31&lt;=BQ$1)</f>
        <v>0</v>
      </c>
      <c r="BT31" s="245" t="str">
        <f>IF(BS31,BR31,"")</f>
        <v/>
      </c>
      <c r="BU31" s="245" t="s">
        <v>1485</v>
      </c>
      <c r="BV31" s="216" t="b">
        <f>($BK31&lt;=BT$1)</f>
        <v>0</v>
      </c>
      <c r="BW31" s="245" t="str">
        <f>IF(BV31,BU31,"")</f>
        <v/>
      </c>
      <c r="BX31" s="245" t="s">
        <v>1491</v>
      </c>
      <c r="BY31" s="216" t="b">
        <f>($BK31&lt;=BW$1)</f>
        <v>0</v>
      </c>
      <c r="BZ31" s="245" t="str">
        <f>IF(BY31,BX31,"")</f>
        <v/>
      </c>
      <c r="CA31" s="245" t="s">
        <v>1496</v>
      </c>
      <c r="CB31" s="216" t="b">
        <f>($BK31&lt;=BZ$1)</f>
        <v>0</v>
      </c>
      <c r="CC31" s="245" t="str">
        <f>IF(CB31,CA31,"")</f>
        <v/>
      </c>
      <c r="CD31" s="245" t="s">
        <v>3151</v>
      </c>
      <c r="CE31" s="216" t="b">
        <f t="shared" si="20"/>
        <v>0</v>
      </c>
      <c r="CF31" s="245" t="str">
        <f t="shared" si="21"/>
        <v/>
      </c>
    </row>
    <row r="32" spans="1:84" x14ac:dyDescent="0.2">
      <c r="D32" s="25">
        <v>95</v>
      </c>
      <c r="E32" s="25">
        <v>40</v>
      </c>
      <c r="G32" s="25">
        <v>46</v>
      </c>
      <c r="H32" s="25">
        <v>46</v>
      </c>
      <c r="I32" s="25">
        <v>46</v>
      </c>
      <c r="J32" s="25">
        <v>46</v>
      </c>
      <c r="K32" s="25">
        <v>46</v>
      </c>
      <c r="L32" s="25">
        <v>46</v>
      </c>
      <c r="M32" s="25">
        <v>46</v>
      </c>
      <c r="N32" s="25">
        <v>46</v>
      </c>
      <c r="O32" s="25">
        <v>46</v>
      </c>
      <c r="P32" s="25">
        <v>46</v>
      </c>
      <c r="Q32" s="25">
        <v>46</v>
      </c>
      <c r="T32" s="25" t="s">
        <v>94</v>
      </c>
      <c r="U32" s="25">
        <v>7010</v>
      </c>
      <c r="V32" s="25" t="s">
        <v>2543</v>
      </c>
      <c r="W32" s="38" t="s">
        <v>6568</v>
      </c>
      <c r="X32" s="25">
        <v>22</v>
      </c>
      <c r="Y32" s="25" t="s">
        <v>1498</v>
      </c>
      <c r="Z32" s="25" t="s">
        <v>1451</v>
      </c>
      <c r="AA32" s="25" t="s">
        <v>1667</v>
      </c>
      <c r="AB32" s="39">
        <v>60</v>
      </c>
      <c r="AC32" s="39">
        <v>10</v>
      </c>
      <c r="AD32" s="39">
        <v>6</v>
      </c>
      <c r="AE32" s="25" t="s">
        <v>1586</v>
      </c>
      <c r="AF32" s="39">
        <v>90</v>
      </c>
      <c r="AG32" s="39">
        <v>10</v>
      </c>
      <c r="AH32" s="39">
        <v>9</v>
      </c>
      <c r="AI32" s="25" t="s">
        <v>2104</v>
      </c>
      <c r="AJ32" s="39">
        <v>120</v>
      </c>
      <c r="AK32" s="39">
        <v>15</v>
      </c>
      <c r="AL32" s="39">
        <v>12</v>
      </c>
      <c r="AM32" s="25" t="s">
        <v>2223</v>
      </c>
      <c r="AN32" s="39">
        <v>150</v>
      </c>
      <c r="AO32" s="39">
        <v>15</v>
      </c>
      <c r="AP32" s="39">
        <v>15</v>
      </c>
      <c r="AR32" s="39" t="s">
        <v>6456</v>
      </c>
      <c r="AX32" s="244">
        <v>26</v>
      </c>
      <c r="AY32" s="245" t="s">
        <v>2960</v>
      </c>
      <c r="AZ32" s="216" t="b">
        <f t="shared" si="15"/>
        <v>0</v>
      </c>
      <c r="BA32" s="245" t="str">
        <f t="shared" si="16"/>
        <v/>
      </c>
      <c r="BB32" s="245" t="s">
        <v>2966</v>
      </c>
      <c r="BC32" s="216" t="b">
        <f t="shared" si="17"/>
        <v>0</v>
      </c>
      <c r="BD32" s="245" t="str">
        <f t="shared" si="0"/>
        <v/>
      </c>
      <c r="BE32" s="245" t="s">
        <v>2971</v>
      </c>
      <c r="BF32" s="216" t="b">
        <f t="shared" si="18"/>
        <v>0</v>
      </c>
      <c r="BG32" s="245" t="str">
        <f t="shared" si="1"/>
        <v/>
      </c>
      <c r="BH32" s="245" t="s">
        <v>2976</v>
      </c>
      <c r="BI32" s="216" t="b">
        <f t="shared" si="19"/>
        <v>0</v>
      </c>
      <c r="BJ32" s="245" t="str">
        <f t="shared" si="2"/>
        <v/>
      </c>
      <c r="BK32" s="245"/>
      <c r="BL32" s="245"/>
      <c r="BM32" s="216"/>
      <c r="BN32" s="245" t="str">
        <f>BL1&amp;": "&amp;BN31&amp;BN30&amp;BN29&amp;BN28&amp;BN27&amp;BN26&amp;BN25&amp;BN24&amp;BN23&amp;BN22&amp;BN21&amp;BN20&amp;BN19&amp;BN18&amp;BN17&amp;BN16&amp;BN15&amp;BN14&amp;BN13&amp;BN12&amp;BN11&amp;BN10&amp;BN9&amp;BN8&amp;BN7&amp;BN6&amp;BN5&amp;BN4&amp;BN3&amp;BN2</f>
        <v xml:space="preserve">FUEGO: </v>
      </c>
      <c r="BO32" s="245"/>
      <c r="BP32" s="216"/>
      <c r="BQ32" s="245" t="str">
        <f>BO1&amp;": "&amp;BQ31&amp;BQ30&amp;BQ29&amp;BQ28&amp;BQ27&amp;BQ26&amp;BQ25&amp;BQ24&amp;BQ23&amp;BQ22&amp;BQ21&amp;BQ20&amp;BQ19&amp;BQ18&amp;BQ17&amp;BQ16&amp;BQ15&amp;BQ14&amp;BQ13&amp;BQ12&amp;BQ11&amp;BQ10&amp;BQ9&amp;BQ8&amp;BQ7&amp;BQ6&amp;BQ5&amp;BQ4&amp;BQ3&amp;BQ2</f>
        <v xml:space="preserve">AGUA: </v>
      </c>
      <c r="BR32" s="245"/>
      <c r="BS32" s="216"/>
      <c r="BT32" s="245" t="str">
        <f>BR1&amp;": "&amp;BT31&amp;BT30&amp;BT29&amp;BT28&amp;BT27&amp;BT26&amp;BT25&amp;BT24&amp;BT23&amp;BT22&amp;BT21&amp;BT20&amp;BT19&amp;BT18&amp;BT17&amp;BT16&amp;BT15&amp;BT14&amp;BT13&amp;BT12&amp;BT11&amp;BT10&amp;BT9&amp;BT8&amp;BT7&amp;BT6&amp;BT5&amp;BT4&amp;BT3&amp;BT2</f>
        <v xml:space="preserve">TIERRA: </v>
      </c>
      <c r="BU32" s="245"/>
      <c r="BV32" s="216"/>
      <c r="BW32" s="245" t="str">
        <f>BU1&amp;": "&amp;BW31&amp;BW30&amp;BW29&amp;BW28&amp;BW27&amp;BW26&amp;BW25&amp;BW24&amp;BW23&amp;BW22&amp;BW21&amp;BW20&amp;BW19&amp;BW18&amp;BW17&amp;BW16&amp;BW15&amp;BW14&amp;BW13&amp;BW12&amp;BW11&amp;BW10&amp;BW9&amp;BW8&amp;BW7&amp;BW6&amp;BW5&amp;BW4&amp;BW3&amp;BW2</f>
        <v xml:space="preserve">AIRE: </v>
      </c>
      <c r="BX32" s="245"/>
      <c r="BY32" s="216"/>
      <c r="BZ32" s="245" t="str">
        <f>BX1&amp;": "&amp;BZ31&amp;BZ30&amp;BZ29&amp;BZ28&amp;BZ27&amp;BZ26&amp;BZ25&amp;BZ24&amp;BZ23&amp;BZ22&amp;BZ21&amp;BZ20&amp;BZ19&amp;BZ18&amp;BZ17&amp;BZ16&amp;BZ15&amp;BZ14&amp;BZ13&amp;BZ12&amp;BZ11&amp;BZ10&amp;BZ9&amp;BZ8&amp;BZ7&amp;BZ6&amp;BZ5&amp;BZ4&amp;BZ3&amp;BZ2</f>
        <v xml:space="preserve">ESENCIA: </v>
      </c>
      <c r="CA32" s="245"/>
      <c r="CB32" s="216"/>
      <c r="CC32" s="245" t="str">
        <f>CA1&amp;": "&amp;CC31&amp;CC30&amp;CC29&amp;CC28&amp;CC27&amp;CC26&amp;CC25&amp;CC24&amp;CC23&amp;CC22&amp;CC21&amp;CC20&amp;CC19&amp;CC18&amp;CC17&amp;CC16&amp;CC15&amp;CC14&amp;CC13&amp;CC12&amp;CC11&amp;CC10&amp;CC9&amp;CC8&amp;CC7&amp;CC6&amp;CC5&amp;CC4&amp;CC3&amp;CC2</f>
        <v xml:space="preserve">ILUSIÓN: </v>
      </c>
      <c r="CD32" s="245" t="s">
        <v>3008</v>
      </c>
      <c r="CE32" s="216" t="b">
        <f t="shared" si="20"/>
        <v>0</v>
      </c>
      <c r="CF32" s="245" t="str">
        <f t="shared" si="21"/>
        <v/>
      </c>
    </row>
    <row r="33" spans="4:92" x14ac:dyDescent="0.2">
      <c r="D33" s="25">
        <v>100</v>
      </c>
      <c r="E33" s="25">
        <v>40</v>
      </c>
      <c r="G33" s="25">
        <v>48</v>
      </c>
      <c r="H33" s="25">
        <v>48</v>
      </c>
      <c r="I33" s="25">
        <v>48</v>
      </c>
      <c r="J33" s="25">
        <v>48</v>
      </c>
      <c r="K33" s="25">
        <v>48</v>
      </c>
      <c r="L33" s="25">
        <v>48</v>
      </c>
      <c r="M33" s="25">
        <v>48</v>
      </c>
      <c r="N33" s="25">
        <v>48</v>
      </c>
      <c r="O33" s="25">
        <v>48</v>
      </c>
      <c r="P33" s="25">
        <v>48</v>
      </c>
      <c r="Q33" s="25">
        <v>48</v>
      </c>
      <c r="T33" s="25" t="s">
        <v>90</v>
      </c>
      <c r="U33" s="25">
        <v>14009</v>
      </c>
      <c r="V33" s="25" t="s">
        <v>3389</v>
      </c>
      <c r="W33" s="38" t="s">
        <v>6564</v>
      </c>
      <c r="X33" s="25">
        <v>46</v>
      </c>
      <c r="Y33" s="25" t="s">
        <v>1582</v>
      </c>
      <c r="Z33" s="25" t="s">
        <v>1451</v>
      </c>
      <c r="AA33" s="25" t="s">
        <v>3390</v>
      </c>
      <c r="AB33" s="39">
        <v>80</v>
      </c>
      <c r="AC33" s="39">
        <v>10</v>
      </c>
      <c r="AD33" s="39">
        <v>9</v>
      </c>
      <c r="AE33" s="25" t="s">
        <v>3391</v>
      </c>
      <c r="AF33" s="39">
        <v>140</v>
      </c>
      <c r="AG33" s="39">
        <v>15</v>
      </c>
      <c r="AH33" s="39">
        <v>11</v>
      </c>
      <c r="AI33" s="25" t="s">
        <v>3392</v>
      </c>
      <c r="AJ33" s="39">
        <v>180</v>
      </c>
      <c r="AK33" s="39">
        <v>15</v>
      </c>
      <c r="AL33" s="39">
        <v>13</v>
      </c>
      <c r="AM33" s="25" t="s">
        <v>3393</v>
      </c>
      <c r="AN33" s="39">
        <v>240</v>
      </c>
      <c r="AO33" s="39">
        <v>20</v>
      </c>
      <c r="AP33" s="39">
        <v>16</v>
      </c>
      <c r="AR33" s="39" t="s">
        <v>6456</v>
      </c>
      <c r="AX33" s="244">
        <v>22</v>
      </c>
      <c r="AY33" s="245" t="s">
        <v>2813</v>
      </c>
      <c r="AZ33" s="216" t="b">
        <f t="shared" si="15"/>
        <v>0</v>
      </c>
      <c r="BA33" s="245" t="str">
        <f t="shared" si="16"/>
        <v/>
      </c>
      <c r="BB33" s="245" t="s">
        <v>2819</v>
      </c>
      <c r="BC33" s="216" t="b">
        <f t="shared" si="17"/>
        <v>0</v>
      </c>
      <c r="BD33" s="245" t="str">
        <f t="shared" si="0"/>
        <v/>
      </c>
      <c r="BE33" s="245" t="s">
        <v>2820</v>
      </c>
      <c r="BF33" s="216" t="b">
        <f t="shared" si="18"/>
        <v>0</v>
      </c>
      <c r="BG33" s="245" t="str">
        <f t="shared" si="1"/>
        <v/>
      </c>
      <c r="BH33" s="245" t="s">
        <v>2825</v>
      </c>
      <c r="BI33" s="216" t="b">
        <f t="shared" si="19"/>
        <v>0</v>
      </c>
      <c r="BJ33" s="245" t="str">
        <f t="shared" si="2"/>
        <v/>
      </c>
      <c r="BK33" s="245"/>
      <c r="BL33" s="245"/>
      <c r="BM33" s="216"/>
      <c r="BN33" s="245"/>
      <c r="BO33" s="245"/>
      <c r="BP33" s="245"/>
      <c r="BQ33" s="245"/>
      <c r="BR33" s="245"/>
      <c r="BS33" s="245"/>
      <c r="BT33" s="245"/>
      <c r="BU33" s="245"/>
      <c r="BV33" s="245"/>
      <c r="BW33" s="245"/>
      <c r="BX33" s="245"/>
      <c r="BY33" s="245"/>
      <c r="BZ33" s="245"/>
      <c r="CA33" s="245"/>
      <c r="CB33" s="245"/>
      <c r="CC33" s="245"/>
      <c r="CD33" s="245" t="s">
        <v>2856</v>
      </c>
      <c r="CE33" s="216" t="b">
        <f t="shared" si="20"/>
        <v>0</v>
      </c>
      <c r="CF33" s="245" t="str">
        <f t="shared" si="21"/>
        <v/>
      </c>
    </row>
    <row r="34" spans="4:92" x14ac:dyDescent="0.2">
      <c r="D34" s="25">
        <v>105</v>
      </c>
      <c r="E34" s="25">
        <v>40</v>
      </c>
      <c r="G34" s="25">
        <v>50</v>
      </c>
      <c r="H34" s="25">
        <v>50</v>
      </c>
      <c r="I34" s="25">
        <v>50</v>
      </c>
      <c r="J34" s="25">
        <v>50</v>
      </c>
      <c r="K34" s="25">
        <v>50</v>
      </c>
      <c r="L34" s="25">
        <v>50</v>
      </c>
      <c r="M34" s="25">
        <v>50</v>
      </c>
      <c r="N34" s="25">
        <v>50</v>
      </c>
      <c r="O34" s="25">
        <v>50</v>
      </c>
      <c r="P34" s="25">
        <v>50</v>
      </c>
      <c r="Q34" s="25">
        <v>50</v>
      </c>
      <c r="T34" s="25" t="s">
        <v>1638</v>
      </c>
      <c r="U34" s="25">
        <v>5415</v>
      </c>
      <c r="V34" s="25" t="s">
        <v>2308</v>
      </c>
      <c r="W34" s="38" t="s">
        <v>6583</v>
      </c>
      <c r="X34" s="25" t="s">
        <v>1641</v>
      </c>
      <c r="Y34" s="25" t="s">
        <v>1582</v>
      </c>
      <c r="Z34" s="25" t="s">
        <v>1451</v>
      </c>
      <c r="AA34" s="25" t="s">
        <v>2309</v>
      </c>
      <c r="AB34" s="39">
        <v>100</v>
      </c>
      <c r="AC34" s="39">
        <v>10</v>
      </c>
      <c r="AD34" s="39">
        <v>8</v>
      </c>
      <c r="AE34" s="25" t="s">
        <v>2310</v>
      </c>
      <c r="AF34" s="39">
        <v>160</v>
      </c>
      <c r="AG34" s="39">
        <v>20</v>
      </c>
      <c r="AH34" s="39">
        <v>10</v>
      </c>
      <c r="AI34" s="25" t="s">
        <v>2311</v>
      </c>
      <c r="AJ34" s="39">
        <v>200</v>
      </c>
      <c r="AK34" s="39">
        <v>20</v>
      </c>
      <c r="AL34" s="39">
        <v>12</v>
      </c>
      <c r="AM34" s="25" t="s">
        <v>2312</v>
      </c>
      <c r="AN34" s="39">
        <v>240</v>
      </c>
      <c r="AO34" s="39">
        <v>25</v>
      </c>
      <c r="AP34" s="39">
        <v>14</v>
      </c>
      <c r="AQ34" s="25" t="s">
        <v>61</v>
      </c>
      <c r="AR34" s="39" t="s">
        <v>6456</v>
      </c>
      <c r="AX34" s="244">
        <v>20</v>
      </c>
      <c r="AY34" s="245" t="s">
        <v>2656</v>
      </c>
      <c r="AZ34" s="216" t="b">
        <f t="shared" si="15"/>
        <v>0</v>
      </c>
      <c r="BA34" s="245" t="str">
        <f t="shared" si="16"/>
        <v/>
      </c>
      <c r="BB34" s="245" t="s">
        <v>2662</v>
      </c>
      <c r="BC34" s="216" t="b">
        <f t="shared" si="17"/>
        <v>0</v>
      </c>
      <c r="BD34" s="245" t="str">
        <f t="shared" si="0"/>
        <v/>
      </c>
      <c r="BE34" s="245" t="s">
        <v>2667</v>
      </c>
      <c r="BF34" s="216" t="b">
        <f t="shared" si="18"/>
        <v>0</v>
      </c>
      <c r="BG34" s="245" t="str">
        <f t="shared" si="1"/>
        <v/>
      </c>
      <c r="BH34" s="245" t="s">
        <v>2673</v>
      </c>
      <c r="BI34" s="216" t="b">
        <f t="shared" si="19"/>
        <v>0</v>
      </c>
      <c r="BJ34" s="245" t="str">
        <f t="shared" si="2"/>
        <v/>
      </c>
      <c r="BK34" s="245"/>
      <c r="BL34" s="245"/>
      <c r="BM34" s="216"/>
      <c r="BN34" s="245"/>
      <c r="BO34" s="245"/>
      <c r="BP34" s="245"/>
      <c r="BQ34" s="245"/>
      <c r="BR34" s="245"/>
      <c r="BS34" s="245"/>
      <c r="BT34" s="245"/>
      <c r="BU34" s="245"/>
      <c r="BV34" s="245"/>
      <c r="BW34" s="245"/>
      <c r="BX34" s="245"/>
      <c r="BY34" s="245"/>
      <c r="BZ34" s="245"/>
      <c r="CA34" s="245"/>
      <c r="CB34" s="245"/>
      <c r="CC34" s="245"/>
      <c r="CD34" s="245" t="s">
        <v>2703</v>
      </c>
      <c r="CE34" s="216" t="b">
        <f t="shared" si="20"/>
        <v>0</v>
      </c>
      <c r="CF34" s="245" t="str">
        <f t="shared" si="21"/>
        <v/>
      </c>
    </row>
    <row r="35" spans="4:92" x14ac:dyDescent="0.2">
      <c r="D35" s="25">
        <v>110</v>
      </c>
      <c r="E35" s="25">
        <v>40</v>
      </c>
      <c r="G35" s="25">
        <v>52</v>
      </c>
      <c r="H35" s="25">
        <v>52</v>
      </c>
      <c r="I35" s="25">
        <v>52</v>
      </c>
      <c r="J35" s="25">
        <v>52</v>
      </c>
      <c r="K35" s="25">
        <v>52</v>
      </c>
      <c r="L35" s="25">
        <v>52</v>
      </c>
      <c r="M35" s="25">
        <v>52</v>
      </c>
      <c r="N35" s="25">
        <v>52</v>
      </c>
      <c r="O35" s="25">
        <v>52</v>
      </c>
      <c r="P35" s="25">
        <v>52</v>
      </c>
      <c r="Q35" s="25">
        <v>52</v>
      </c>
      <c r="T35" s="25" t="s">
        <v>1516</v>
      </c>
      <c r="U35" s="25">
        <v>4016</v>
      </c>
      <c r="V35" s="25" t="s">
        <v>2072</v>
      </c>
      <c r="W35" s="38" t="s">
        <v>2073</v>
      </c>
      <c r="X35" s="25">
        <v>34</v>
      </c>
      <c r="Y35" s="25" t="s">
        <v>1582</v>
      </c>
      <c r="Z35" s="25" t="s">
        <v>1451</v>
      </c>
      <c r="AA35" s="25" t="s">
        <v>1667</v>
      </c>
      <c r="AB35" s="39">
        <v>80</v>
      </c>
      <c r="AC35" s="39">
        <v>10</v>
      </c>
      <c r="AD35" s="39">
        <v>8</v>
      </c>
      <c r="AE35" s="25" t="s">
        <v>1668</v>
      </c>
      <c r="AF35" s="39">
        <v>140</v>
      </c>
      <c r="AG35" s="39">
        <v>10</v>
      </c>
      <c r="AH35" s="39">
        <v>10</v>
      </c>
      <c r="AI35" s="25" t="s">
        <v>2074</v>
      </c>
      <c r="AJ35" s="39">
        <v>250</v>
      </c>
      <c r="AK35" s="39">
        <v>15</v>
      </c>
      <c r="AL35" s="39">
        <v>12</v>
      </c>
      <c r="AM35" s="25" t="s">
        <v>2075</v>
      </c>
      <c r="AN35" s="39">
        <v>400</v>
      </c>
      <c r="AO35" s="39">
        <v>15</v>
      </c>
      <c r="AP35" s="39">
        <v>14</v>
      </c>
      <c r="AQ35" s="25" t="s">
        <v>1522</v>
      </c>
      <c r="AR35" s="39"/>
      <c r="AX35" s="244">
        <v>18</v>
      </c>
      <c r="AY35" s="245" t="s">
        <v>2496</v>
      </c>
      <c r="AZ35" s="216" t="b">
        <f t="shared" si="15"/>
        <v>0</v>
      </c>
      <c r="BA35" s="245" t="str">
        <f t="shared" si="16"/>
        <v/>
      </c>
      <c r="BB35" s="245" t="s">
        <v>2502</v>
      </c>
      <c r="BC35" s="216" t="b">
        <f t="shared" si="17"/>
        <v>0</v>
      </c>
      <c r="BD35" s="245" t="str">
        <f t="shared" si="0"/>
        <v/>
      </c>
      <c r="BE35" s="245" t="s">
        <v>2504</v>
      </c>
      <c r="BF35" s="216" t="b">
        <f t="shared" si="18"/>
        <v>0</v>
      </c>
      <c r="BG35" s="245" t="str">
        <f t="shared" si="1"/>
        <v/>
      </c>
      <c r="BH35" s="245" t="s">
        <v>2509</v>
      </c>
      <c r="BI35" s="216" t="b">
        <f t="shared" si="19"/>
        <v>0</v>
      </c>
      <c r="BJ35" s="245" t="str">
        <f t="shared" si="2"/>
        <v/>
      </c>
      <c r="BK35" s="245"/>
      <c r="BL35" s="245"/>
      <c r="BM35" s="216"/>
      <c r="BN35" s="245"/>
      <c r="BO35" s="245"/>
      <c r="BP35" s="245"/>
      <c r="BQ35" s="245"/>
      <c r="BR35" s="245"/>
      <c r="BS35" s="245"/>
      <c r="BT35" s="245"/>
      <c r="BU35" s="245"/>
      <c r="BV35" s="245"/>
      <c r="BW35" s="245"/>
      <c r="BX35" s="245"/>
      <c r="BY35" s="245"/>
      <c r="BZ35" s="245"/>
      <c r="CA35" s="245"/>
      <c r="CB35" s="245"/>
      <c r="CC35" s="245"/>
      <c r="CD35" s="245" t="s">
        <v>2544</v>
      </c>
      <c r="CE35" s="216" t="b">
        <f t="shared" si="20"/>
        <v>0</v>
      </c>
      <c r="CF35" s="245" t="str">
        <f t="shared" si="21"/>
        <v/>
      </c>
    </row>
    <row r="36" spans="4:92" x14ac:dyDescent="0.2">
      <c r="D36" s="25">
        <v>115</v>
      </c>
      <c r="E36" s="25">
        <v>50</v>
      </c>
      <c r="G36" s="25">
        <v>56</v>
      </c>
      <c r="H36" s="25">
        <v>56</v>
      </c>
      <c r="I36" s="25">
        <v>56</v>
      </c>
      <c r="J36" s="25">
        <v>56</v>
      </c>
      <c r="K36" s="25">
        <v>56</v>
      </c>
      <c r="L36" s="25">
        <v>56</v>
      </c>
      <c r="M36" s="25">
        <v>56</v>
      </c>
      <c r="N36" s="25">
        <v>56</v>
      </c>
      <c r="O36" s="25">
        <v>56</v>
      </c>
      <c r="P36" s="25">
        <v>56</v>
      </c>
      <c r="Q36" s="25">
        <v>56</v>
      </c>
      <c r="T36" s="25" t="s">
        <v>1588</v>
      </c>
      <c r="U36" s="25">
        <v>4026</v>
      </c>
      <c r="V36" s="25" t="s">
        <v>2112</v>
      </c>
      <c r="W36" s="38" t="s">
        <v>2113</v>
      </c>
      <c r="X36" s="25">
        <v>34</v>
      </c>
      <c r="Y36" s="25" t="s">
        <v>1582</v>
      </c>
      <c r="Z36" s="25" t="s">
        <v>1451</v>
      </c>
      <c r="AA36" s="25" t="s">
        <v>2114</v>
      </c>
      <c r="AB36" s="39">
        <v>80</v>
      </c>
      <c r="AC36" s="39">
        <v>10</v>
      </c>
      <c r="AD36" s="39">
        <v>7</v>
      </c>
      <c r="AE36" s="25" t="s">
        <v>2115</v>
      </c>
      <c r="AF36" s="39">
        <v>100</v>
      </c>
      <c r="AG36" s="39">
        <v>10</v>
      </c>
      <c r="AH36" s="39">
        <v>9</v>
      </c>
      <c r="AI36" s="25" t="s">
        <v>2116</v>
      </c>
      <c r="AJ36" s="39">
        <v>120</v>
      </c>
      <c r="AK36" s="39">
        <v>10</v>
      </c>
      <c r="AL36" s="39">
        <v>11</v>
      </c>
      <c r="AM36" s="25" t="s">
        <v>2117</v>
      </c>
      <c r="AN36" s="39">
        <v>140</v>
      </c>
      <c r="AO36" s="39">
        <v>15</v>
      </c>
      <c r="AP36" s="39">
        <v>13</v>
      </c>
      <c r="AQ36" s="25" t="s">
        <v>1595</v>
      </c>
      <c r="AR36" s="39"/>
      <c r="AX36" s="244">
        <v>16</v>
      </c>
      <c r="AY36" s="245" t="s">
        <v>2338</v>
      </c>
      <c r="AZ36" s="216" t="b">
        <f t="shared" si="15"/>
        <v>0</v>
      </c>
      <c r="BA36" s="245" t="str">
        <f t="shared" si="16"/>
        <v/>
      </c>
      <c r="BB36" s="245" t="s">
        <v>2344</v>
      </c>
      <c r="BC36" s="216" t="b">
        <f t="shared" si="17"/>
        <v>0</v>
      </c>
      <c r="BD36" s="245" t="str">
        <f t="shared" si="0"/>
        <v/>
      </c>
      <c r="BE36" s="245" t="s">
        <v>2345</v>
      </c>
      <c r="BF36" s="216" t="b">
        <f t="shared" si="18"/>
        <v>0</v>
      </c>
      <c r="BG36" s="245" t="str">
        <f t="shared" si="1"/>
        <v/>
      </c>
      <c r="BH36" s="245" t="s">
        <v>2350</v>
      </c>
      <c r="BI36" s="216" t="b">
        <f t="shared" si="19"/>
        <v>0</v>
      </c>
      <c r="BJ36" s="245" t="str">
        <f t="shared" si="2"/>
        <v/>
      </c>
      <c r="BK36" s="245"/>
      <c r="BL36" s="245"/>
      <c r="BM36" s="216"/>
      <c r="BN36" s="245"/>
      <c r="BO36" s="245"/>
      <c r="BP36" s="245"/>
      <c r="BQ36" s="245"/>
      <c r="BR36" s="245"/>
      <c r="BS36" s="245"/>
      <c r="BT36" s="245"/>
      <c r="BU36" s="245"/>
      <c r="BV36" s="245"/>
      <c r="BW36" s="245"/>
      <c r="BX36" s="245"/>
      <c r="BY36" s="245"/>
      <c r="BZ36" s="245"/>
      <c r="CA36" s="245"/>
      <c r="CB36" s="245"/>
      <c r="CC36" s="245"/>
      <c r="CD36" s="245" t="s">
        <v>2385</v>
      </c>
      <c r="CE36" s="216" t="b">
        <f t="shared" si="20"/>
        <v>0</v>
      </c>
      <c r="CF36" s="245" t="str">
        <f t="shared" si="21"/>
        <v/>
      </c>
    </row>
    <row r="37" spans="4:92" x14ac:dyDescent="0.2">
      <c r="D37" s="25">
        <v>120</v>
      </c>
      <c r="E37" s="25">
        <v>50</v>
      </c>
      <c r="G37" s="25">
        <v>58</v>
      </c>
      <c r="H37" s="25">
        <v>58</v>
      </c>
      <c r="I37" s="25">
        <v>58</v>
      </c>
      <c r="J37" s="25">
        <v>58</v>
      </c>
      <c r="K37" s="25">
        <v>58</v>
      </c>
      <c r="L37" s="25">
        <v>58</v>
      </c>
      <c r="M37" s="25">
        <v>58</v>
      </c>
      <c r="N37" s="25">
        <v>58</v>
      </c>
      <c r="O37" s="25">
        <v>58</v>
      </c>
      <c r="P37" s="25">
        <v>58</v>
      </c>
      <c r="Q37" s="25">
        <v>58</v>
      </c>
      <c r="T37" s="25" t="s">
        <v>101</v>
      </c>
      <c r="U37" s="25">
        <v>33011</v>
      </c>
      <c r="V37" s="25" t="s">
        <v>4117</v>
      </c>
      <c r="W37" s="38" t="s">
        <v>4118</v>
      </c>
      <c r="X37" s="25">
        <v>82</v>
      </c>
      <c r="Y37" s="25" t="s">
        <v>164</v>
      </c>
      <c r="Z37" s="25" t="s">
        <v>1451</v>
      </c>
      <c r="AA37" s="25" t="s">
        <v>3778</v>
      </c>
      <c r="AB37" s="39">
        <v>350</v>
      </c>
      <c r="AC37" s="39" t="s">
        <v>244</v>
      </c>
      <c r="AD37" s="39">
        <v>9</v>
      </c>
      <c r="AE37" s="25" t="s">
        <v>3779</v>
      </c>
      <c r="AF37" s="39">
        <v>500</v>
      </c>
      <c r="AG37" s="39" t="s">
        <v>244</v>
      </c>
      <c r="AH37" s="39">
        <v>12</v>
      </c>
      <c r="AI37" s="25" t="s">
        <v>3780</v>
      </c>
      <c r="AJ37" s="39">
        <v>800</v>
      </c>
      <c r="AK37" s="39" t="s">
        <v>244</v>
      </c>
      <c r="AL37" s="39">
        <v>14</v>
      </c>
      <c r="AM37" s="25" t="s">
        <v>3781</v>
      </c>
      <c r="AN37" s="39">
        <v>1200</v>
      </c>
      <c r="AO37" s="39" t="s">
        <v>244</v>
      </c>
      <c r="AP37" s="39">
        <v>16</v>
      </c>
      <c r="AR37" s="39"/>
      <c r="AX37" s="246">
        <v>12</v>
      </c>
      <c r="AY37" s="245" t="s">
        <v>2176</v>
      </c>
      <c r="AZ37" s="216" t="b">
        <f t="shared" si="15"/>
        <v>0</v>
      </c>
      <c r="BA37" s="245" t="str">
        <f t="shared" si="16"/>
        <v/>
      </c>
      <c r="BB37" s="245" t="s">
        <v>545</v>
      </c>
      <c r="BC37" s="216" t="b">
        <f t="shared" si="17"/>
        <v>0</v>
      </c>
      <c r="BD37" s="245" t="str">
        <f t="shared" si="0"/>
        <v/>
      </c>
      <c r="BE37" s="245" t="s">
        <v>2183</v>
      </c>
      <c r="BF37" s="216" t="b">
        <f t="shared" si="18"/>
        <v>0</v>
      </c>
      <c r="BG37" s="245" t="str">
        <f t="shared" si="1"/>
        <v/>
      </c>
      <c r="BH37" s="245" t="s">
        <v>2185</v>
      </c>
      <c r="BI37" s="216" t="b">
        <f t="shared" si="19"/>
        <v>0</v>
      </c>
      <c r="BJ37" s="245" t="str">
        <f t="shared" si="2"/>
        <v/>
      </c>
      <c r="BK37" s="245"/>
      <c r="BL37" s="245"/>
      <c r="BM37" s="216"/>
      <c r="BN37" s="245"/>
      <c r="BO37" s="245"/>
      <c r="BP37" s="245"/>
      <c r="BQ37" s="245"/>
      <c r="BR37" s="245"/>
      <c r="BS37" s="245"/>
      <c r="BT37" s="245"/>
      <c r="BU37" s="245"/>
      <c r="BV37" s="245"/>
      <c r="BW37" s="245"/>
      <c r="BX37" s="245"/>
      <c r="BY37" s="245"/>
      <c r="BZ37" s="245"/>
      <c r="CA37" s="245"/>
      <c r="CB37" s="245"/>
      <c r="CC37" s="245"/>
      <c r="CD37" s="245" t="s">
        <v>2221</v>
      </c>
      <c r="CE37" s="216" t="b">
        <f t="shared" si="20"/>
        <v>0</v>
      </c>
      <c r="CF37" s="245" t="str">
        <f t="shared" si="21"/>
        <v/>
      </c>
    </row>
    <row r="38" spans="4:92" x14ac:dyDescent="0.2">
      <c r="D38" s="25">
        <v>125</v>
      </c>
      <c r="E38" s="25">
        <v>50</v>
      </c>
      <c r="G38" s="25">
        <v>60</v>
      </c>
      <c r="H38" s="25">
        <v>60</v>
      </c>
      <c r="I38" s="25">
        <v>60</v>
      </c>
      <c r="J38" s="25">
        <v>60</v>
      </c>
      <c r="K38" s="25">
        <v>60</v>
      </c>
      <c r="L38" s="25">
        <v>60</v>
      </c>
      <c r="M38" s="25">
        <v>60</v>
      </c>
      <c r="N38" s="25">
        <v>60</v>
      </c>
      <c r="O38" s="25">
        <v>60</v>
      </c>
      <c r="P38" s="25">
        <v>60</v>
      </c>
      <c r="Q38" s="25">
        <v>60</v>
      </c>
      <c r="T38" s="25" t="s">
        <v>1638</v>
      </c>
      <c r="U38" s="25">
        <v>8415</v>
      </c>
      <c r="V38" s="25" t="s">
        <v>2788</v>
      </c>
      <c r="W38" s="38" t="s">
        <v>6515</v>
      </c>
      <c r="X38" s="25" t="s">
        <v>1641</v>
      </c>
      <c r="Y38" s="25" t="s">
        <v>1582</v>
      </c>
      <c r="Z38" s="25" t="s">
        <v>1451</v>
      </c>
      <c r="AA38" s="25" t="s">
        <v>2002</v>
      </c>
      <c r="AB38" s="39">
        <v>80</v>
      </c>
      <c r="AC38" s="39">
        <v>10</v>
      </c>
      <c r="AD38" s="39">
        <v>8</v>
      </c>
      <c r="AE38" s="25" t="s">
        <v>2003</v>
      </c>
      <c r="AF38" s="39">
        <v>120</v>
      </c>
      <c r="AG38" s="39">
        <v>15</v>
      </c>
      <c r="AH38" s="39">
        <v>10</v>
      </c>
      <c r="AI38" s="25" t="s">
        <v>2004</v>
      </c>
      <c r="AJ38" s="39">
        <v>180</v>
      </c>
      <c r="AK38" s="39">
        <v>20</v>
      </c>
      <c r="AL38" s="39">
        <v>12</v>
      </c>
      <c r="AM38" s="25" t="s">
        <v>2005</v>
      </c>
      <c r="AN38" s="39">
        <v>220</v>
      </c>
      <c r="AO38" s="39">
        <v>25</v>
      </c>
      <c r="AP38" s="39">
        <v>14</v>
      </c>
      <c r="AQ38" s="25" t="s">
        <v>39</v>
      </c>
      <c r="AR38" s="39" t="s">
        <v>6456</v>
      </c>
      <c r="AX38" s="246">
        <v>10</v>
      </c>
      <c r="AY38" s="245" t="s">
        <v>2022</v>
      </c>
      <c r="AZ38" s="216" t="b">
        <f t="shared" si="15"/>
        <v>0</v>
      </c>
      <c r="BA38" s="245" t="str">
        <f t="shared" si="16"/>
        <v/>
      </c>
      <c r="BB38" s="245" t="s">
        <v>2028</v>
      </c>
      <c r="BC38" s="216" t="b">
        <f t="shared" si="17"/>
        <v>0</v>
      </c>
      <c r="BD38" s="245" t="str">
        <f t="shared" si="0"/>
        <v/>
      </c>
      <c r="BE38" s="245" t="s">
        <v>100</v>
      </c>
      <c r="BF38" s="216" t="b">
        <f t="shared" si="18"/>
        <v>0</v>
      </c>
      <c r="BG38" s="245" t="str">
        <f t="shared" si="1"/>
        <v/>
      </c>
      <c r="BH38" s="245" t="s">
        <v>2034</v>
      </c>
      <c r="BI38" s="216" t="b">
        <f t="shared" si="19"/>
        <v>0</v>
      </c>
      <c r="BJ38" s="245" t="str">
        <f t="shared" si="2"/>
        <v/>
      </c>
      <c r="BK38" s="245"/>
      <c r="BL38" s="245"/>
      <c r="BM38" s="216"/>
      <c r="BN38" s="245"/>
      <c r="BO38" s="245"/>
      <c r="BP38" s="245"/>
      <c r="BQ38" s="245"/>
      <c r="BR38" s="245"/>
      <c r="BS38" s="245"/>
      <c r="BT38" s="245"/>
      <c r="BU38" s="245"/>
      <c r="BV38" s="245"/>
      <c r="BW38" s="245"/>
      <c r="BX38" s="245"/>
      <c r="BY38" s="245"/>
      <c r="BZ38" s="245"/>
      <c r="CA38" s="245"/>
      <c r="CB38" s="245"/>
      <c r="CC38" s="245"/>
      <c r="CD38" s="245" t="s">
        <v>2063</v>
      </c>
      <c r="CE38" s="216" t="b">
        <f t="shared" si="20"/>
        <v>0</v>
      </c>
      <c r="CF38" s="245" t="str">
        <f t="shared" si="21"/>
        <v/>
      </c>
    </row>
    <row r="39" spans="4:92" x14ac:dyDescent="0.2">
      <c r="D39" s="25">
        <v>130</v>
      </c>
      <c r="E39" s="25">
        <v>50</v>
      </c>
      <c r="G39" s="25">
        <v>62</v>
      </c>
      <c r="H39" s="25">
        <v>62</v>
      </c>
      <c r="I39" s="25">
        <v>62</v>
      </c>
      <c r="J39" s="25">
        <v>62</v>
      </c>
      <c r="K39" s="25">
        <v>62</v>
      </c>
      <c r="L39" s="25">
        <v>62</v>
      </c>
      <c r="M39" s="25">
        <v>62</v>
      </c>
      <c r="N39" s="25">
        <v>62</v>
      </c>
      <c r="O39" s="25">
        <v>62</v>
      </c>
      <c r="P39" s="25">
        <v>62</v>
      </c>
      <c r="Q39" s="25">
        <v>62</v>
      </c>
      <c r="T39" s="25" t="s">
        <v>90</v>
      </c>
      <c r="U39" s="25">
        <v>10009</v>
      </c>
      <c r="V39" s="25" t="s">
        <v>3004</v>
      </c>
      <c r="W39" s="38" t="s">
        <v>3005</v>
      </c>
      <c r="X39" s="25">
        <v>32</v>
      </c>
      <c r="Y39" s="25" t="s">
        <v>1498</v>
      </c>
      <c r="Z39" s="25" t="s">
        <v>1451</v>
      </c>
      <c r="AA39" s="25" t="s">
        <v>1667</v>
      </c>
      <c r="AB39" s="39">
        <v>60</v>
      </c>
      <c r="AC39" s="39" t="s">
        <v>244</v>
      </c>
      <c r="AD39" s="39">
        <v>7</v>
      </c>
      <c r="AE39" s="25" t="s">
        <v>1668</v>
      </c>
      <c r="AF39" s="39">
        <v>90</v>
      </c>
      <c r="AG39" s="39" t="s">
        <v>244</v>
      </c>
      <c r="AH39" s="39">
        <v>10</v>
      </c>
      <c r="AI39" s="25" t="s">
        <v>1669</v>
      </c>
      <c r="AJ39" s="39">
        <v>120</v>
      </c>
      <c r="AK39" s="39" t="s">
        <v>244</v>
      </c>
      <c r="AL39" s="39">
        <v>13</v>
      </c>
      <c r="AM39" s="25" t="s">
        <v>2104</v>
      </c>
      <c r="AN39" s="39">
        <v>150</v>
      </c>
      <c r="AO39" s="39" t="s">
        <v>244</v>
      </c>
      <c r="AP39" s="39">
        <v>15</v>
      </c>
      <c r="AR39" s="39"/>
      <c r="AX39" s="246">
        <v>8</v>
      </c>
      <c r="AY39" s="245" t="s">
        <v>1864</v>
      </c>
      <c r="AZ39" s="216" t="b">
        <f t="shared" si="15"/>
        <v>0</v>
      </c>
      <c r="BA39" s="245" t="str">
        <f t="shared" si="16"/>
        <v/>
      </c>
      <c r="BB39" s="245" t="s">
        <v>1870</v>
      </c>
      <c r="BC39" s="216" t="b">
        <f t="shared" si="17"/>
        <v>0</v>
      </c>
      <c r="BD39" s="245" t="str">
        <f t="shared" si="0"/>
        <v/>
      </c>
      <c r="BE39" s="245" t="s">
        <v>1872</v>
      </c>
      <c r="BF39" s="216" t="b">
        <f t="shared" si="18"/>
        <v>0</v>
      </c>
      <c r="BG39" s="245" t="str">
        <f t="shared" si="1"/>
        <v/>
      </c>
      <c r="BH39" s="245" t="s">
        <v>1876</v>
      </c>
      <c r="BI39" s="216" t="b">
        <f t="shared" si="19"/>
        <v>0</v>
      </c>
      <c r="BJ39" s="245" t="str">
        <f t="shared" si="2"/>
        <v/>
      </c>
      <c r="BK39" s="245"/>
      <c r="BL39" s="245"/>
      <c r="BM39" s="216"/>
      <c r="BN39" s="245"/>
      <c r="BO39" s="245"/>
      <c r="BP39" s="245"/>
      <c r="BQ39" s="245"/>
      <c r="BR39" s="245"/>
      <c r="BS39" s="245"/>
      <c r="BT39" s="245"/>
      <c r="BU39" s="245"/>
      <c r="BV39" s="245"/>
      <c r="BW39" s="245"/>
      <c r="BX39" s="245"/>
      <c r="BY39" s="245"/>
      <c r="BZ39" s="245"/>
      <c r="CA39" s="245"/>
      <c r="CB39" s="245"/>
      <c r="CC39" s="245"/>
      <c r="CD39" s="245" t="s">
        <v>1905</v>
      </c>
      <c r="CE39" s="216" t="b">
        <f t="shared" si="20"/>
        <v>0</v>
      </c>
      <c r="CF39" s="245" t="str">
        <f t="shared" si="21"/>
        <v/>
      </c>
    </row>
    <row r="40" spans="4:92" x14ac:dyDescent="0.2">
      <c r="D40" s="25">
        <v>135</v>
      </c>
      <c r="E40" s="25">
        <v>60</v>
      </c>
      <c r="G40" s="25">
        <v>66</v>
      </c>
      <c r="H40" s="25">
        <v>66</v>
      </c>
      <c r="I40" s="25">
        <v>66</v>
      </c>
      <c r="J40" s="25">
        <v>66</v>
      </c>
      <c r="K40" s="25">
        <v>66</v>
      </c>
      <c r="L40" s="25">
        <v>66</v>
      </c>
      <c r="M40" s="25">
        <v>66</v>
      </c>
      <c r="N40" s="25">
        <v>66</v>
      </c>
      <c r="O40" s="25">
        <v>66</v>
      </c>
      <c r="P40" s="25">
        <v>66</v>
      </c>
      <c r="Q40" s="25">
        <v>66</v>
      </c>
      <c r="T40" s="25" t="s">
        <v>1646</v>
      </c>
      <c r="U40" s="25">
        <v>8515</v>
      </c>
      <c r="V40" s="25" t="s">
        <v>2789</v>
      </c>
      <c r="W40" s="38" t="s">
        <v>2790</v>
      </c>
      <c r="X40" s="25" t="s">
        <v>1649</v>
      </c>
      <c r="Y40" s="25" t="s">
        <v>164</v>
      </c>
      <c r="Z40" s="25" t="s">
        <v>1451</v>
      </c>
      <c r="AA40" s="25" t="s">
        <v>2791</v>
      </c>
      <c r="AB40" s="39">
        <v>60</v>
      </c>
      <c r="AC40" s="39">
        <v>5</v>
      </c>
      <c r="AD40" s="39">
        <v>8</v>
      </c>
      <c r="AE40" s="25" t="s">
        <v>2792</v>
      </c>
      <c r="AF40" s="39">
        <v>80</v>
      </c>
      <c r="AG40" s="39">
        <v>5</v>
      </c>
      <c r="AH40" s="39">
        <v>10</v>
      </c>
      <c r="AI40" s="25" t="s">
        <v>2793</v>
      </c>
      <c r="AJ40" s="39">
        <v>100</v>
      </c>
      <c r="AK40" s="39">
        <v>10</v>
      </c>
      <c r="AL40" s="39">
        <v>12</v>
      </c>
      <c r="AM40" s="25" t="s">
        <v>2794</v>
      </c>
      <c r="AN40" s="39">
        <v>120</v>
      </c>
      <c r="AO40" s="39">
        <v>10</v>
      </c>
      <c r="AP40" s="39">
        <v>15</v>
      </c>
      <c r="AQ40" s="25" t="s">
        <v>65</v>
      </c>
      <c r="AR40" s="39"/>
      <c r="AX40" s="246">
        <v>6</v>
      </c>
      <c r="AY40" s="245" t="s">
        <v>1687</v>
      </c>
      <c r="AZ40" s="216" t="b">
        <f>(AX40&lt;=AX$1)</f>
        <v>0</v>
      </c>
      <c r="BA40" s="245" t="str">
        <f>IF(AZ40,", "&amp;AY40,"")</f>
        <v/>
      </c>
      <c r="BB40" s="245" t="s">
        <v>1693</v>
      </c>
      <c r="BC40" s="216" t="b">
        <f t="shared" si="17"/>
        <v>0</v>
      </c>
      <c r="BD40" s="245" t="str">
        <f>IF(BC40,", "&amp;BB40,"")</f>
        <v/>
      </c>
      <c r="BE40" s="245" t="s">
        <v>1698</v>
      </c>
      <c r="BF40" s="216" t="b">
        <f t="shared" si="18"/>
        <v>0</v>
      </c>
      <c r="BG40" s="245" t="str">
        <f>IF(BF40,", "&amp;BE40,"")</f>
        <v/>
      </c>
      <c r="BH40" s="245" t="s">
        <v>1701</v>
      </c>
      <c r="BI40" s="216" t="b">
        <f t="shared" si="19"/>
        <v>0</v>
      </c>
      <c r="BJ40" s="245" t="str">
        <f>IF(BI40,", "&amp;BH40,"")</f>
        <v/>
      </c>
      <c r="BK40" s="245"/>
      <c r="BL40" s="245"/>
      <c r="BM40" s="216"/>
      <c r="BN40" s="245"/>
      <c r="BO40" s="245"/>
      <c r="BP40" s="245"/>
      <c r="BQ40" s="245"/>
      <c r="BR40" s="245"/>
      <c r="BS40" s="245"/>
      <c r="BT40" s="245"/>
      <c r="BU40" s="245"/>
      <c r="BV40" s="245"/>
      <c r="BW40" s="245"/>
      <c r="BX40" s="245"/>
      <c r="BY40" s="245"/>
      <c r="BZ40" s="245"/>
      <c r="CA40" s="245"/>
      <c r="CB40" s="245"/>
      <c r="CC40" s="245"/>
      <c r="CD40" s="245" t="s">
        <v>1737</v>
      </c>
      <c r="CE40" s="216" t="b">
        <f t="shared" si="20"/>
        <v>0</v>
      </c>
      <c r="CF40" s="245" t="str">
        <f>IF(CE40,", "&amp;CD40,"")</f>
        <v/>
      </c>
    </row>
    <row r="41" spans="4:92" x14ac:dyDescent="0.2">
      <c r="D41" s="25">
        <v>140</v>
      </c>
      <c r="E41" s="25">
        <v>60</v>
      </c>
      <c r="G41" s="25">
        <v>68</v>
      </c>
      <c r="H41" s="25">
        <v>68</v>
      </c>
      <c r="I41" s="25">
        <v>68</v>
      </c>
      <c r="J41" s="25">
        <v>68</v>
      </c>
      <c r="K41" s="25">
        <v>68</v>
      </c>
      <c r="L41" s="25">
        <v>68</v>
      </c>
      <c r="M41" s="25">
        <v>68</v>
      </c>
      <c r="N41" s="25">
        <v>68</v>
      </c>
      <c r="O41" s="25">
        <v>68</v>
      </c>
      <c r="P41" s="25">
        <v>68</v>
      </c>
      <c r="Q41" s="25">
        <v>68</v>
      </c>
      <c r="T41" s="25" t="s">
        <v>1543</v>
      </c>
      <c r="U41" s="25">
        <v>10020</v>
      </c>
      <c r="V41" s="25" t="s">
        <v>3032</v>
      </c>
      <c r="W41" s="38" t="s">
        <v>3033</v>
      </c>
      <c r="X41" s="25">
        <v>94</v>
      </c>
      <c r="Y41" s="25" t="s">
        <v>2084</v>
      </c>
      <c r="Z41" s="25" t="s">
        <v>1451</v>
      </c>
      <c r="AA41" s="25" t="s">
        <v>3034</v>
      </c>
      <c r="AB41" s="39">
        <v>300</v>
      </c>
      <c r="AC41" s="39">
        <v>5</v>
      </c>
      <c r="AD41" s="39">
        <v>8</v>
      </c>
      <c r="AE41" s="25" t="s">
        <v>173</v>
      </c>
      <c r="AF41" s="39">
        <v>450</v>
      </c>
      <c r="AG41" s="39">
        <v>10</v>
      </c>
      <c r="AH41" s="39">
        <v>10</v>
      </c>
      <c r="AI41" s="25" t="s">
        <v>176</v>
      </c>
      <c r="AJ41" s="39">
        <v>600</v>
      </c>
      <c r="AK41" s="39">
        <v>15</v>
      </c>
      <c r="AL41" s="39">
        <v>12</v>
      </c>
      <c r="AM41" s="25" t="s">
        <v>179</v>
      </c>
      <c r="AN41" s="39">
        <v>800</v>
      </c>
      <c r="AO41" s="39">
        <v>20</v>
      </c>
      <c r="AP41" s="39">
        <v>14</v>
      </c>
      <c r="AQ41" s="25" t="s">
        <v>1547</v>
      </c>
      <c r="AR41" s="39"/>
      <c r="AX41" s="245">
        <v>2</v>
      </c>
      <c r="AY41" s="245" t="s">
        <v>1450</v>
      </c>
      <c r="AZ41" s="216" t="b">
        <f>(AX41&lt;=AX$1)</f>
        <v>0</v>
      </c>
      <c r="BA41" s="245" t="str">
        <f>IF(AZ41,AY41,"")</f>
        <v/>
      </c>
      <c r="BB41" s="245" t="s">
        <v>1456</v>
      </c>
      <c r="BC41" s="216" t="b">
        <f t="shared" si="17"/>
        <v>0</v>
      </c>
      <c r="BD41" s="245" t="str">
        <f>IF(BC41,BB41,"")</f>
        <v/>
      </c>
      <c r="BE41" s="245" t="s">
        <v>1458</v>
      </c>
      <c r="BF41" s="216" t="b">
        <f t="shared" si="18"/>
        <v>0</v>
      </c>
      <c r="BG41" s="245" t="str">
        <f>IF(BF41,BE41,"")</f>
        <v/>
      </c>
      <c r="BH41" s="245" t="s">
        <v>1464</v>
      </c>
      <c r="BI41" s="216" t="b">
        <f t="shared" si="19"/>
        <v>0</v>
      </c>
      <c r="BJ41" s="245" t="str">
        <f>IF(BI41,BH41,"")</f>
        <v/>
      </c>
      <c r="BK41" s="245"/>
      <c r="BL41" s="245"/>
      <c r="BM41" s="216"/>
      <c r="BN41" s="245"/>
      <c r="BO41" s="245"/>
      <c r="BP41" s="245"/>
      <c r="BQ41" s="245"/>
      <c r="BR41" s="245"/>
      <c r="BS41" s="245"/>
      <c r="BT41" s="245"/>
      <c r="BU41" s="245"/>
      <c r="BV41" s="245"/>
      <c r="BW41" s="245"/>
      <c r="BX41" s="245"/>
      <c r="BY41" s="245"/>
      <c r="BZ41" s="245"/>
      <c r="CA41" s="245"/>
      <c r="CB41" s="245"/>
      <c r="CC41" s="245"/>
      <c r="CD41" s="245" t="s">
        <v>1503</v>
      </c>
      <c r="CE41" s="216" t="b">
        <f t="shared" si="20"/>
        <v>0</v>
      </c>
      <c r="CF41" s="245" t="str">
        <f>IF(CE41,CD41,"")</f>
        <v/>
      </c>
    </row>
    <row r="42" spans="4:92" x14ac:dyDescent="0.2">
      <c r="D42" s="25">
        <v>145</v>
      </c>
      <c r="E42" s="25">
        <v>60</v>
      </c>
      <c r="G42" s="25">
        <v>70</v>
      </c>
      <c r="H42" s="25">
        <v>70</v>
      </c>
      <c r="I42" s="25">
        <v>70</v>
      </c>
      <c r="J42" s="25">
        <v>70</v>
      </c>
      <c r="K42" s="25">
        <v>70</v>
      </c>
      <c r="L42" s="25">
        <v>70</v>
      </c>
      <c r="M42" s="25">
        <v>70</v>
      </c>
      <c r="N42" s="25">
        <v>70</v>
      </c>
      <c r="O42" s="25">
        <v>70</v>
      </c>
      <c r="P42" s="25">
        <v>70</v>
      </c>
      <c r="Q42" s="25">
        <v>70</v>
      </c>
      <c r="T42" s="25" t="s">
        <v>1638</v>
      </c>
      <c r="U42" s="25">
        <v>1415</v>
      </c>
      <c r="V42" s="25" t="s">
        <v>1639</v>
      </c>
      <c r="W42" s="38" t="s">
        <v>1640</v>
      </c>
      <c r="X42" s="25" t="s">
        <v>1641</v>
      </c>
      <c r="Y42" s="25" t="s">
        <v>164</v>
      </c>
      <c r="Z42" s="25" t="s">
        <v>1451</v>
      </c>
      <c r="AA42" s="25" t="s">
        <v>1642</v>
      </c>
      <c r="AB42" s="39">
        <v>150</v>
      </c>
      <c r="AC42" s="39">
        <v>10</v>
      </c>
      <c r="AD42" s="39">
        <v>8</v>
      </c>
      <c r="AE42" s="25" t="s">
        <v>1643</v>
      </c>
      <c r="AF42" s="39">
        <v>200</v>
      </c>
      <c r="AG42" s="39">
        <v>10</v>
      </c>
      <c r="AH42" s="39">
        <v>10</v>
      </c>
      <c r="AI42" s="25" t="s">
        <v>1644</v>
      </c>
      <c r="AJ42" s="39">
        <v>240</v>
      </c>
      <c r="AK42" s="39">
        <v>15</v>
      </c>
      <c r="AL42" s="39">
        <v>12</v>
      </c>
      <c r="AM42" s="25" t="s">
        <v>1645</v>
      </c>
      <c r="AN42" s="39">
        <v>280</v>
      </c>
      <c r="AO42" s="39">
        <v>15</v>
      </c>
      <c r="AP42" s="39">
        <v>14</v>
      </c>
      <c r="AQ42" s="25" t="s">
        <v>49</v>
      </c>
      <c r="AR42" s="39"/>
      <c r="AX42" s="246"/>
      <c r="AY42" s="245"/>
      <c r="AZ42" s="245" t="s">
        <v>6715</v>
      </c>
      <c r="BA42" s="245" t="str">
        <f>AY1&amp;": "&amp;BA41&amp;BA40&amp;BA39&amp;BA38&amp;BA37&amp;BA36&amp;BA35&amp;BA34&amp;BA33&amp;BA32&amp;BA31&amp;BA30&amp;BA29&amp;BA28&amp;BA27&amp;BA26&amp;BA25&amp;BA24&amp;BA23&amp;BA22&amp;BA21&amp;BA20&amp;BA19&amp;BA18&amp;BA17&amp;BA16&amp;BA15&amp;BA14&amp;BA13&amp;BA12&amp;BA11&amp;BA10&amp;BA9&amp;BA8&amp;BA7&amp;BA6&amp;BA5&amp;BA4&amp;BA3&amp;BA2</f>
        <v xml:space="preserve">LUZ: </v>
      </c>
      <c r="BB42" s="247"/>
      <c r="BC42" s="247"/>
      <c r="BD42" s="245" t="str">
        <f>BB1&amp;": "&amp;BD41&amp;BD40&amp;BD39&amp;BD38&amp;BD37&amp;BD36&amp;BD35&amp;BD34&amp;BD33&amp;BD32&amp;BD31&amp;BD30&amp;BD29&amp;BD28&amp;BD27&amp;BD26&amp;BD25&amp;BD24&amp;BD23&amp;BD22&amp;BD21&amp;BD20&amp;BD19&amp;BD18&amp;BD17&amp;BD16&amp;BD15&amp;BD14&amp;BD13&amp;BD12&amp;BD11&amp;BD10&amp;BD9&amp;BD8&amp;BD7&amp;BD6&amp;BD5&amp;BD4&amp;BD3&amp;BD2</f>
        <v xml:space="preserve">OSCURIDAD: </v>
      </c>
      <c r="BE42" s="247"/>
      <c r="BF42" s="247"/>
      <c r="BG42" s="245" t="str">
        <f>BE1&amp;": "&amp;BG41&amp;BG40&amp;BG39&amp;BG38&amp;BG37&amp;BG36&amp;BG35&amp;BG34&amp;BG33&amp;BG32&amp;BG31&amp;BG30&amp;BG29&amp;BG28&amp;BG27&amp;BG26&amp;BG25&amp;BG24&amp;BG23&amp;BG22&amp;BG21&amp;BG20&amp;BG19&amp;BG18&amp;BG17&amp;BG16&amp;BG15&amp;BG14&amp;BG13&amp;BG12&amp;BG11&amp;BG10&amp;BG9&amp;BG8&amp;BG7&amp;BG6&amp;BG5&amp;BG4&amp;BG3&amp;BG2</f>
        <v xml:space="preserve">CREACIÓN: </v>
      </c>
      <c r="BH42" s="247"/>
      <c r="BI42" s="247"/>
      <c r="BJ42" s="245" t="str">
        <f>BH1&amp;": "&amp;BJ41&amp;BJ40&amp;BJ39&amp;BJ38&amp;BJ37&amp;BJ36&amp;BJ35&amp;BJ34&amp;BJ33&amp;BJ32&amp;BJ31&amp;BJ30&amp;BJ29&amp;BJ28&amp;BJ27&amp;BJ26&amp;BJ25&amp;BJ24&amp;BJ23&amp;BJ22&amp;BJ21&amp;BJ20&amp;BJ19&amp;BJ18&amp;BJ17&amp;BJ16&amp;BJ15&amp;BJ14&amp;BJ13&amp;BJ12&amp;BJ11&amp;BJ10&amp;BJ9&amp;BJ8&amp;BJ7&amp;BJ6&amp;BJ5&amp;BJ4&amp;BJ3&amp;BJ2</f>
        <v xml:space="preserve">DESTRUCCIÓN: </v>
      </c>
      <c r="BK42" s="247"/>
      <c r="BL42" s="247"/>
      <c r="BM42" s="247"/>
      <c r="BN42" s="248"/>
      <c r="BO42" s="247"/>
      <c r="BP42" s="247"/>
      <c r="BQ42" s="247"/>
      <c r="BR42" s="247"/>
      <c r="BS42" s="247"/>
      <c r="BT42" s="247"/>
      <c r="BU42" s="247"/>
      <c r="BV42" s="247"/>
      <c r="BW42" s="247"/>
      <c r="BX42" s="247"/>
      <c r="BY42" s="247"/>
      <c r="BZ42" s="247"/>
      <c r="CA42" s="247"/>
      <c r="CB42" s="247"/>
      <c r="CC42" s="247"/>
      <c r="CD42" s="247"/>
      <c r="CE42" s="247"/>
      <c r="CF42" s="245" t="str">
        <f>CD1&amp;": "&amp;CF41&amp;CF40&amp;CF39&amp;CF38&amp;CF37&amp;CF36&amp;CF35&amp;CF34&amp;CF33&amp;CF32&amp;CF31&amp;CF30&amp;CF29&amp;CF28&amp;CF27&amp;CF26&amp;CF25&amp;CF24&amp;CF23&amp;CF22&amp;CF21&amp;CF20&amp;CF19&amp;CF18&amp;CF17&amp;CF16&amp;CF15&amp;CF14&amp;CF13&amp;CF12&amp;CF11&amp;CF10&amp;CF9&amp;CF8&amp;CF7&amp;CF6&amp;CF5&amp;CF4&amp;CF3&amp;CF2</f>
        <v xml:space="preserve">NIGROMANCIA: </v>
      </c>
    </row>
    <row r="43" spans="4:92" ht="13.5" thickBot="1" x14ac:dyDescent="0.25">
      <c r="D43" s="25">
        <v>150</v>
      </c>
      <c r="E43" s="25">
        <v>60</v>
      </c>
      <c r="G43" s="25">
        <v>72</v>
      </c>
      <c r="H43" s="25">
        <v>72</v>
      </c>
      <c r="I43" s="25">
        <v>72</v>
      </c>
      <c r="J43" s="25">
        <v>72</v>
      </c>
      <c r="K43" s="25">
        <v>72</v>
      </c>
      <c r="L43" s="25">
        <v>72</v>
      </c>
      <c r="M43" s="25">
        <v>72</v>
      </c>
      <c r="N43" s="25">
        <v>72</v>
      </c>
      <c r="O43" s="25">
        <v>72</v>
      </c>
      <c r="P43" s="25">
        <v>72</v>
      </c>
      <c r="Q43" s="25">
        <v>72</v>
      </c>
      <c r="T43" s="25" t="s">
        <v>1509</v>
      </c>
      <c r="U43" s="25">
        <v>6015</v>
      </c>
      <c r="V43" s="25" t="s">
        <v>2390</v>
      </c>
      <c r="W43" s="38" t="s">
        <v>2391</v>
      </c>
      <c r="X43" s="25" t="s">
        <v>1512</v>
      </c>
      <c r="Y43" s="25" t="s">
        <v>164</v>
      </c>
      <c r="Z43" s="25" t="s">
        <v>1451</v>
      </c>
      <c r="AA43" s="25" t="s">
        <v>2392</v>
      </c>
      <c r="AB43" s="39">
        <v>30</v>
      </c>
      <c r="AC43" s="39" t="s">
        <v>244</v>
      </c>
      <c r="AD43" s="39">
        <v>5</v>
      </c>
      <c r="AE43" s="25" t="s">
        <v>2393</v>
      </c>
      <c r="AF43" s="39">
        <v>70</v>
      </c>
      <c r="AG43" s="39" t="s">
        <v>244</v>
      </c>
      <c r="AH43" s="39">
        <v>8</v>
      </c>
      <c r="AI43" s="25" t="s">
        <v>2394</v>
      </c>
      <c r="AJ43" s="39">
        <v>100</v>
      </c>
      <c r="AK43" s="39" t="s">
        <v>244</v>
      </c>
      <c r="AL43" s="39">
        <v>10</v>
      </c>
      <c r="AM43" s="25" t="s">
        <v>2395</v>
      </c>
      <c r="AN43" s="39">
        <v>140</v>
      </c>
      <c r="AO43" s="39" t="s">
        <v>244</v>
      </c>
      <c r="AP43" s="39">
        <v>12</v>
      </c>
      <c r="AQ43" s="25" t="s">
        <v>2396</v>
      </c>
      <c r="AR43" s="39"/>
      <c r="AY43" s="25" t="s">
        <v>6728</v>
      </c>
    </row>
    <row r="44" spans="4:92" ht="13.5" thickBot="1" x14ac:dyDescent="0.25">
      <c r="D44" s="25">
        <v>155</v>
      </c>
      <c r="E44" s="25">
        <v>70</v>
      </c>
      <c r="G44" s="25">
        <v>76</v>
      </c>
      <c r="H44" s="25">
        <v>76</v>
      </c>
      <c r="I44" s="25">
        <v>76</v>
      </c>
      <c r="J44" s="25">
        <v>76</v>
      </c>
      <c r="K44" s="25">
        <v>76</v>
      </c>
      <c r="L44" s="25">
        <v>76</v>
      </c>
      <c r="M44" s="25">
        <v>76</v>
      </c>
      <c r="N44" s="25">
        <v>76</v>
      </c>
      <c r="O44" s="25">
        <v>76</v>
      </c>
      <c r="P44" s="25">
        <v>76</v>
      </c>
      <c r="Q44" s="25">
        <v>76</v>
      </c>
      <c r="T44" s="25" t="s">
        <v>1571</v>
      </c>
      <c r="U44" s="25">
        <v>7024</v>
      </c>
      <c r="V44" s="25" t="s">
        <v>2591</v>
      </c>
      <c r="W44" s="38" t="s">
        <v>6470</v>
      </c>
      <c r="X44" s="25">
        <v>64</v>
      </c>
      <c r="Y44" s="25" t="s">
        <v>1498</v>
      </c>
      <c r="Z44" s="25" t="s">
        <v>1451</v>
      </c>
      <c r="AA44" s="25" t="s">
        <v>2592</v>
      </c>
      <c r="AB44" s="39">
        <v>100</v>
      </c>
      <c r="AC44" s="39">
        <v>10</v>
      </c>
      <c r="AD44" s="39">
        <v>8</v>
      </c>
      <c r="AE44" s="25">
        <v>2</v>
      </c>
      <c r="AF44" s="39">
        <v>150</v>
      </c>
      <c r="AG44" s="39">
        <v>20</v>
      </c>
      <c r="AH44" s="39">
        <v>10</v>
      </c>
      <c r="AI44" s="25">
        <v>3</v>
      </c>
      <c r="AJ44" s="39">
        <v>200</v>
      </c>
      <c r="AK44" s="39">
        <v>30</v>
      </c>
      <c r="AL44" s="39">
        <v>12</v>
      </c>
      <c r="AM44" s="25">
        <v>4</v>
      </c>
      <c r="AN44" s="39">
        <v>250</v>
      </c>
      <c r="AO44" s="39">
        <v>40</v>
      </c>
      <c r="AP44" s="39">
        <v>14</v>
      </c>
      <c r="AQ44" s="25" t="s">
        <v>1578</v>
      </c>
      <c r="AR44" s="39" t="s">
        <v>6456</v>
      </c>
      <c r="AY44" s="249" t="str">
        <f>IF(AX1&gt;0,BA42&amp;CHAR(10),"")&amp;" "&amp;IF(BA1&gt;0,BD42&amp;CHAR(10),"")&amp;" "&amp;IF(BD1&gt;0,BG42&amp;CHAR(10),"")&amp;" "&amp;IF(BG1&gt;0,BJ42&amp;CHAR(10),"")&amp;" "&amp;IF(BK1&gt;0,BN32&amp;CHAR(10),"")&amp;" "&amp;IF(BN1&gt;0,BQ32&amp;CHAR(10),"")&amp;" "&amp;IF(BQ1&gt;0,BT32&amp;CHAR(10),"")&amp;" "&amp;IF(BT1&gt;0,BW32&amp;CHAR(10),"")&amp;" "&amp;IF(BW1&gt;0,BZ32&amp;CHAR(10),"")&amp;" "&amp;IF(BZ1&gt;0,CC32&amp;CHAR(10),"")&amp;" "&amp;IF(CC1&gt;0,CF42&amp;CHAR(10),"")</f>
        <v xml:space="preserve">          </v>
      </c>
    </row>
    <row r="45" spans="4:92" x14ac:dyDescent="0.2">
      <c r="D45" s="25">
        <v>160</v>
      </c>
      <c r="E45" s="25">
        <v>70</v>
      </c>
      <c r="G45" s="25">
        <v>78</v>
      </c>
      <c r="H45" s="25">
        <v>78</v>
      </c>
      <c r="I45" s="25">
        <v>78</v>
      </c>
      <c r="J45" s="25">
        <v>78</v>
      </c>
      <c r="K45" s="25">
        <v>78</v>
      </c>
      <c r="L45" s="25">
        <v>78</v>
      </c>
      <c r="M45" s="25">
        <v>78</v>
      </c>
      <c r="N45" s="25">
        <v>78</v>
      </c>
      <c r="O45" s="25">
        <v>78</v>
      </c>
      <c r="P45" s="25">
        <v>78</v>
      </c>
      <c r="Q45" s="25">
        <v>78</v>
      </c>
      <c r="T45" s="25" t="s">
        <v>61</v>
      </c>
      <c r="U45" s="25">
        <v>19004</v>
      </c>
      <c r="V45" s="25" t="s">
        <v>3578</v>
      </c>
      <c r="W45" s="38" t="s">
        <v>3579</v>
      </c>
      <c r="X45" s="25">
        <v>48</v>
      </c>
      <c r="Y45" s="25" t="s">
        <v>1498</v>
      </c>
      <c r="Z45" s="25" t="s">
        <v>1451</v>
      </c>
      <c r="AA45" s="25" t="s">
        <v>3580</v>
      </c>
      <c r="AB45" s="39">
        <v>140</v>
      </c>
      <c r="AC45" s="39">
        <v>15</v>
      </c>
      <c r="AD45" s="39">
        <v>7</v>
      </c>
      <c r="AE45" s="25" t="s">
        <v>3581</v>
      </c>
      <c r="AF45" s="39">
        <v>180</v>
      </c>
      <c r="AG45" s="39">
        <v>20</v>
      </c>
      <c r="AH45" s="39">
        <v>9</v>
      </c>
      <c r="AI45" s="25" t="s">
        <v>3582</v>
      </c>
      <c r="AJ45" s="39">
        <v>240</v>
      </c>
      <c r="AK45" s="39">
        <v>25</v>
      </c>
      <c r="AL45" s="39">
        <v>12</v>
      </c>
      <c r="AM45" s="25" t="s">
        <v>2388</v>
      </c>
      <c r="AN45" s="39">
        <v>300</v>
      </c>
      <c r="AO45" s="39">
        <v>30</v>
      </c>
      <c r="AP45" s="39">
        <v>15</v>
      </c>
      <c r="AR45" s="39"/>
    </row>
    <row r="46" spans="4:92" x14ac:dyDescent="0.2">
      <c r="D46" s="25">
        <v>165</v>
      </c>
      <c r="E46" s="25">
        <v>70</v>
      </c>
      <c r="G46" s="25">
        <v>80</v>
      </c>
      <c r="H46" s="25">
        <v>80</v>
      </c>
      <c r="I46" s="25">
        <v>80</v>
      </c>
      <c r="J46" s="25">
        <v>80</v>
      </c>
      <c r="K46" s="25">
        <v>80</v>
      </c>
      <c r="L46" s="25">
        <v>80</v>
      </c>
      <c r="M46" s="25">
        <v>80</v>
      </c>
      <c r="N46" s="25">
        <v>80</v>
      </c>
      <c r="O46" s="25">
        <v>80</v>
      </c>
      <c r="P46" s="25">
        <v>80</v>
      </c>
      <c r="Q46" s="25">
        <v>80</v>
      </c>
      <c r="T46" s="25" t="s">
        <v>70</v>
      </c>
      <c r="U46" s="25">
        <v>8005</v>
      </c>
      <c r="V46" s="25" t="s">
        <v>2676</v>
      </c>
      <c r="W46" s="38" t="s">
        <v>2677</v>
      </c>
      <c r="X46" s="25">
        <v>26</v>
      </c>
      <c r="Y46" s="25" t="s">
        <v>164</v>
      </c>
      <c r="Z46" s="25" t="s">
        <v>1451</v>
      </c>
      <c r="AA46" s="25" t="s">
        <v>2678</v>
      </c>
      <c r="AB46" s="39">
        <v>50</v>
      </c>
      <c r="AC46" s="39">
        <v>5</v>
      </c>
      <c r="AD46" s="39">
        <v>6</v>
      </c>
      <c r="AE46" s="25" t="s">
        <v>2679</v>
      </c>
      <c r="AF46" s="39">
        <v>80</v>
      </c>
      <c r="AG46" s="39">
        <v>10</v>
      </c>
      <c r="AH46" s="39">
        <v>9</v>
      </c>
      <c r="AI46" s="25" t="s">
        <v>2680</v>
      </c>
      <c r="AJ46" s="39">
        <v>100</v>
      </c>
      <c r="AK46" s="39">
        <v>10</v>
      </c>
      <c r="AL46" s="39">
        <v>11</v>
      </c>
      <c r="AM46" s="25" t="s">
        <v>2681</v>
      </c>
      <c r="AN46" s="39">
        <v>120</v>
      </c>
      <c r="AO46" s="39">
        <v>15</v>
      </c>
      <c r="AP46" s="39">
        <v>14</v>
      </c>
      <c r="AR46" s="39"/>
      <c r="AX46" s="25">
        <f>_xlfn.IFNA(VLOOKUP(AY$46,'Hoja básica'!$BC$3:$BD$13,2,FALSE),0)</f>
        <v>0</v>
      </c>
      <c r="AY46" s="248" t="s">
        <v>6742</v>
      </c>
      <c r="BA46" s="25">
        <f>_xlfn.IFNA(VLOOKUP(BB$46,'Hoja básica'!$BC$3:$BD$13,2,FALSE),0)</f>
        <v>0</v>
      </c>
      <c r="BB46" s="248" t="s">
        <v>6741</v>
      </c>
      <c r="BD46" s="25">
        <f>_xlfn.IFNA(VLOOKUP(BE$46,'Hoja básica'!$BC$3:$BD$13,2,FALSE),0)</f>
        <v>0</v>
      </c>
      <c r="BE46" s="248" t="s">
        <v>6740</v>
      </c>
      <c r="BG46" s="25">
        <f>_xlfn.IFNA(VLOOKUP(BH$46,'Hoja básica'!$BC$3:$BD$13,2,FALSE),0)</f>
        <v>0</v>
      </c>
      <c r="BH46" s="248" t="s">
        <v>6739</v>
      </c>
      <c r="BJ46" s="25">
        <f>_xlfn.IFNA(VLOOKUP(BK$46,'Hoja básica'!$BC$3:$BD$13,2,FALSE),0)</f>
        <v>0</v>
      </c>
      <c r="BK46" s="248" t="s">
        <v>6738</v>
      </c>
      <c r="BM46" s="25">
        <f>_xlfn.IFNA(VLOOKUP(BN$46,'Hoja básica'!$BC$3:$BD$13,2,FALSE),0)</f>
        <v>0</v>
      </c>
      <c r="BN46" s="248" t="s">
        <v>6737</v>
      </c>
      <c r="BP46" s="25">
        <f>_xlfn.IFNA(VLOOKUP(BQ$46,'Hoja básica'!$BC$3:$BD$13,2,FALSE),0)</f>
        <v>0</v>
      </c>
      <c r="BQ46" s="248" t="s">
        <v>6736</v>
      </c>
      <c r="BS46" s="25">
        <f>_xlfn.IFNA(VLOOKUP(BT$46,'Hoja básica'!$BC$3:$BD$13,2,FALSE),0)</f>
        <v>0</v>
      </c>
      <c r="BT46" s="248" t="s">
        <v>6735</v>
      </c>
      <c r="BV46" s="25">
        <f>_xlfn.IFNA(VLOOKUP(BW$46,'Hoja básica'!$BC$3:$BD$13,2,FALSE),0)</f>
        <v>0</v>
      </c>
      <c r="BW46" s="248" t="s">
        <v>6734</v>
      </c>
      <c r="BY46" s="25">
        <f>_xlfn.IFNA(VLOOKUP(BZ$46,'Hoja básica'!$BC$3:$BD$13,2,FALSE),0)</f>
        <v>0</v>
      </c>
      <c r="BZ46" s="248" t="s">
        <v>6733</v>
      </c>
      <c r="CB46" s="25">
        <f>_xlfn.IFNA(VLOOKUP(CC$46,'Hoja básica'!$BC$3:$BD$13,2,FALSE),0)</f>
        <v>0</v>
      </c>
      <c r="CC46" s="248" t="s">
        <v>6732</v>
      </c>
      <c r="CE46" s="25">
        <f>_xlfn.IFNA(VLOOKUP(CF$46,'Hoja básica'!$BC$3:$BD$13,2,FALSE),0)</f>
        <v>0</v>
      </c>
      <c r="CF46" s="248" t="s">
        <v>6731</v>
      </c>
      <c r="CH46" s="25">
        <f>_xlfn.IFNA(VLOOKUP(CI$46,'Hoja básica'!$BC$3:$BD$13,2,FALSE),0)</f>
        <v>0</v>
      </c>
      <c r="CI46" s="248" t="s">
        <v>6730</v>
      </c>
      <c r="CK46" s="25">
        <f>_xlfn.IFNA(VLOOKUP(CL$46,'Hoja básica'!$BC$3:$BD$13,2,FALSE),0)</f>
        <v>0</v>
      </c>
      <c r="CL46" s="248" t="s">
        <v>6729</v>
      </c>
    </row>
    <row r="47" spans="4:92" x14ac:dyDescent="0.2">
      <c r="D47" s="25">
        <v>170</v>
      </c>
      <c r="E47" s="25">
        <v>70</v>
      </c>
      <c r="G47" s="25">
        <v>82</v>
      </c>
      <c r="H47" s="25">
        <v>82</v>
      </c>
      <c r="I47" s="25">
        <v>82</v>
      </c>
      <c r="J47" s="25">
        <v>82</v>
      </c>
      <c r="K47" s="25">
        <v>82</v>
      </c>
      <c r="L47" s="25">
        <v>82</v>
      </c>
      <c r="M47" s="25">
        <v>82</v>
      </c>
      <c r="N47" s="25">
        <v>82</v>
      </c>
      <c r="O47" s="25">
        <v>82</v>
      </c>
      <c r="P47" s="25">
        <v>82</v>
      </c>
      <c r="Q47" s="25">
        <v>82</v>
      </c>
      <c r="T47" s="25" t="s">
        <v>1655</v>
      </c>
      <c r="U47" s="25">
        <v>6615</v>
      </c>
      <c r="V47" s="25" t="s">
        <v>2476</v>
      </c>
      <c r="W47" s="38" t="s">
        <v>6509</v>
      </c>
      <c r="X47" s="25" t="s">
        <v>1658</v>
      </c>
      <c r="Y47" s="25" t="s">
        <v>164</v>
      </c>
      <c r="Z47" s="25" t="s">
        <v>1451</v>
      </c>
      <c r="AA47" s="25" t="s">
        <v>2477</v>
      </c>
      <c r="AB47" s="39">
        <v>140</v>
      </c>
      <c r="AC47" s="39">
        <v>15</v>
      </c>
      <c r="AD47" s="39">
        <v>9</v>
      </c>
      <c r="AE47" s="25" t="s">
        <v>2478</v>
      </c>
      <c r="AF47" s="39">
        <v>200</v>
      </c>
      <c r="AG47" s="39">
        <v>20</v>
      </c>
      <c r="AH47" s="39">
        <v>11</v>
      </c>
      <c r="AI47" s="25" t="s">
        <v>2479</v>
      </c>
      <c r="AJ47" s="39">
        <v>240</v>
      </c>
      <c r="AK47" s="39">
        <v>25</v>
      </c>
      <c r="AL47" s="39">
        <v>14</v>
      </c>
      <c r="AM47" s="25" t="s">
        <v>2480</v>
      </c>
      <c r="AN47" s="39">
        <v>280</v>
      </c>
      <c r="AO47" s="39">
        <v>30</v>
      </c>
      <c r="AP47" s="39">
        <v>16</v>
      </c>
      <c r="AQ47" s="25" t="s">
        <v>61</v>
      </c>
      <c r="AR47" s="39" t="s">
        <v>6456</v>
      </c>
      <c r="AX47" s="25">
        <v>94</v>
      </c>
      <c r="AY47" s="216" t="s">
        <v>3017</v>
      </c>
      <c r="AZ47" s="25" t="b">
        <f>($AX47&lt;=AX$46)</f>
        <v>0</v>
      </c>
      <c r="BA47" s="25" t="str">
        <f>IF(AZ47,", "&amp;AY47,"")</f>
        <v/>
      </c>
      <c r="BB47" s="216" t="s">
        <v>3020</v>
      </c>
      <c r="BC47" s="25" t="b">
        <f t="shared" ref="BC47:BC56" si="22">($AX47&lt;=BA$46)</f>
        <v>0</v>
      </c>
      <c r="BD47" s="25" t="str">
        <f>IF(BC47,", "&amp;BB47,"")</f>
        <v/>
      </c>
      <c r="BE47" s="216" t="s">
        <v>3024</v>
      </c>
      <c r="BF47" s="25" t="b">
        <f t="shared" ref="BF47:BF56" si="23">($AX47&lt;=BD$46)</f>
        <v>0</v>
      </c>
      <c r="BG47" s="25" t="str">
        <f>IF(BF47,", "&amp;BE47,"")</f>
        <v/>
      </c>
      <c r="BH47" s="216" t="s">
        <v>3027</v>
      </c>
      <c r="BI47" s="25" t="b">
        <f t="shared" ref="BI47:BI56" si="24">($AX47&lt;=BG$46)</f>
        <v>0</v>
      </c>
      <c r="BJ47" s="25" t="str">
        <f>IF(BI47,", "&amp;BH47,"")</f>
        <v/>
      </c>
      <c r="BK47" s="216" t="s">
        <v>3032</v>
      </c>
      <c r="BL47" s="25" t="b">
        <f t="shared" ref="BL47:BL56" si="25">($AX47&lt;=BJ$46)</f>
        <v>0</v>
      </c>
      <c r="BM47" s="25" t="str">
        <f>IF(BL47,", "&amp;BK47,"")</f>
        <v/>
      </c>
      <c r="BN47" s="216" t="s">
        <v>3035</v>
      </c>
      <c r="BO47" s="25" t="b">
        <f t="shared" ref="BO47:BO56" si="26">($AX47&lt;=BM$46)</f>
        <v>0</v>
      </c>
      <c r="BP47" s="25" t="str">
        <f>IF(BO47,", "&amp;BN47,"")</f>
        <v/>
      </c>
      <c r="BQ47" s="216" t="s">
        <v>3040</v>
      </c>
      <c r="BR47" s="25" t="b">
        <f t="shared" ref="BR47:BR56" si="27">($AX47&lt;=BP$46)</f>
        <v>0</v>
      </c>
      <c r="BS47" s="25" t="str">
        <f>IF(BR47,", "&amp;BQ47,"")</f>
        <v/>
      </c>
      <c r="BT47" s="216" t="s">
        <v>3045</v>
      </c>
      <c r="BU47" s="25" t="b">
        <f t="shared" ref="BU47:BU56" si="28">($AX47&lt;=BS$46)</f>
        <v>0</v>
      </c>
      <c r="BV47" s="25" t="str">
        <f>IF(BU47,", "&amp;BT47,"")</f>
        <v/>
      </c>
      <c r="BW47" s="216" t="s">
        <v>3047</v>
      </c>
      <c r="BX47" s="25" t="b">
        <f t="shared" ref="BX47:BX56" si="29">($AX47&lt;=BV$46)</f>
        <v>0</v>
      </c>
      <c r="BY47" s="25" t="str">
        <f>IF(BX47,", "&amp;BW47,"")</f>
        <v/>
      </c>
      <c r="BZ47" s="216" t="s">
        <v>3050</v>
      </c>
      <c r="CA47" s="25" t="b">
        <f t="shared" ref="CA47:CA56" si="30">($AX47&lt;=BY$46)</f>
        <v>0</v>
      </c>
      <c r="CB47" s="25" t="str">
        <f>IF(CA47,", "&amp;BZ47,"")</f>
        <v/>
      </c>
      <c r="CC47" s="216" t="s">
        <v>3056</v>
      </c>
      <c r="CD47" s="25" t="b">
        <f t="shared" ref="CD47:CD56" si="31">($AX47&lt;=CB$46)</f>
        <v>0</v>
      </c>
      <c r="CE47" s="25" t="str">
        <f>IF(CD47,", "&amp;CC47,"")</f>
        <v/>
      </c>
      <c r="CF47" s="216" t="s">
        <v>3061</v>
      </c>
      <c r="CG47" s="25" t="b">
        <f t="shared" ref="CG47:CG56" si="32">($AX47&lt;=CE$46)</f>
        <v>0</v>
      </c>
      <c r="CH47" s="25" t="str">
        <f>IF(CG47,", "&amp;CF47,"")</f>
        <v/>
      </c>
      <c r="CI47" s="216" t="s">
        <v>3067</v>
      </c>
      <c r="CJ47" s="25" t="b">
        <f t="shared" ref="CJ47:CJ56" si="33">($AX47&lt;=CH$46)</f>
        <v>0</v>
      </c>
      <c r="CK47" s="25" t="str">
        <f>IF(CJ47,", "&amp;CI47,"")</f>
        <v/>
      </c>
      <c r="CL47" s="216" t="s">
        <v>3069</v>
      </c>
      <c r="CM47" s="25" t="b">
        <f t="shared" ref="CM47:CM56" si="34">($AX47&lt;=CK$46)</f>
        <v>0</v>
      </c>
      <c r="CN47" s="25" t="str">
        <f>IF(CM47,", "&amp;CL47,"")</f>
        <v/>
      </c>
    </row>
    <row r="48" spans="4:92" x14ac:dyDescent="0.2">
      <c r="D48" s="25">
        <v>175</v>
      </c>
      <c r="E48" s="25">
        <v>70</v>
      </c>
      <c r="G48" s="25">
        <v>86</v>
      </c>
      <c r="H48" s="25">
        <v>86</v>
      </c>
      <c r="I48" s="25">
        <v>86</v>
      </c>
      <c r="J48" s="25">
        <v>86</v>
      </c>
      <c r="K48" s="25">
        <v>86</v>
      </c>
      <c r="L48" s="25">
        <v>86</v>
      </c>
      <c r="M48" s="25">
        <v>86</v>
      </c>
      <c r="N48" s="25">
        <v>86</v>
      </c>
      <c r="O48" s="25">
        <v>86</v>
      </c>
      <c r="P48" s="25">
        <v>86</v>
      </c>
      <c r="Q48" s="25">
        <v>86</v>
      </c>
      <c r="T48" s="25" t="s">
        <v>29</v>
      </c>
      <c r="U48" s="25">
        <v>6001</v>
      </c>
      <c r="V48" s="25" t="s">
        <v>2338</v>
      </c>
      <c r="W48" s="38" t="s">
        <v>2339</v>
      </c>
      <c r="X48" s="25">
        <v>16</v>
      </c>
      <c r="Y48" s="25" t="s">
        <v>164</v>
      </c>
      <c r="Z48" s="25" t="s">
        <v>1451</v>
      </c>
      <c r="AA48" s="25" t="s">
        <v>2340</v>
      </c>
      <c r="AB48" s="39">
        <v>60</v>
      </c>
      <c r="AC48" s="39">
        <v>5</v>
      </c>
      <c r="AD48" s="39">
        <v>6</v>
      </c>
      <c r="AE48" s="25" t="s">
        <v>2341</v>
      </c>
      <c r="AF48" s="39">
        <v>90</v>
      </c>
      <c r="AG48" s="39">
        <v>10</v>
      </c>
      <c r="AH48" s="39">
        <v>9</v>
      </c>
      <c r="AI48" s="25" t="s">
        <v>2342</v>
      </c>
      <c r="AJ48" s="39">
        <v>120</v>
      </c>
      <c r="AK48" s="39">
        <v>15</v>
      </c>
      <c r="AL48" s="39">
        <v>12</v>
      </c>
      <c r="AM48" s="25" t="s">
        <v>2343</v>
      </c>
      <c r="AN48" s="39">
        <v>150</v>
      </c>
      <c r="AO48" s="39">
        <v>20</v>
      </c>
      <c r="AP48" s="39">
        <v>15</v>
      </c>
      <c r="AR48" s="39"/>
      <c r="AX48" s="25">
        <v>84</v>
      </c>
      <c r="AY48" s="216" t="s">
        <v>2865</v>
      </c>
      <c r="AZ48" s="25" t="b">
        <f t="shared" ref="AZ48:AZ56" si="35">($AX48&lt;=AX$46)</f>
        <v>0</v>
      </c>
      <c r="BA48" s="25" t="str">
        <f t="shared" ref="BA48:BA55" si="36">IF(AZ48,", "&amp;AY48,"")</f>
        <v/>
      </c>
      <c r="BB48" s="216" t="s">
        <v>2871</v>
      </c>
      <c r="BC48" s="25" t="b">
        <f t="shared" si="22"/>
        <v>0</v>
      </c>
      <c r="BD48" s="25" t="str">
        <f t="shared" ref="BD48:BD55" si="37">IF(BC48,", "&amp;BB48,"")</f>
        <v/>
      </c>
      <c r="BE48" s="216" t="s">
        <v>2875</v>
      </c>
      <c r="BF48" s="25" t="b">
        <f t="shared" si="23"/>
        <v>0</v>
      </c>
      <c r="BG48" s="25" t="str">
        <f t="shared" ref="BG48:BG55" si="38">IF(BF48,", "&amp;BE48,"")</f>
        <v/>
      </c>
      <c r="BH48" s="216" t="s">
        <v>2876</v>
      </c>
      <c r="BI48" s="25" t="b">
        <f t="shared" si="24"/>
        <v>0</v>
      </c>
      <c r="BJ48" s="25" t="str">
        <f t="shared" ref="BJ48:BJ55" si="39">IF(BI48,", "&amp;BH48,"")</f>
        <v/>
      </c>
      <c r="BK48" s="216" t="s">
        <v>2882</v>
      </c>
      <c r="BL48" s="25" t="b">
        <f t="shared" si="25"/>
        <v>0</v>
      </c>
      <c r="BM48" s="25" t="str">
        <f t="shared" ref="BM48:BM55" si="40">IF(BL48,", "&amp;BK48,"")</f>
        <v/>
      </c>
      <c r="BN48" s="216" t="s">
        <v>2888</v>
      </c>
      <c r="BO48" s="25" t="b">
        <f t="shared" si="26"/>
        <v>0</v>
      </c>
      <c r="BP48" s="25" t="str">
        <f t="shared" ref="BP48:BP55" si="41">IF(BO48,", "&amp;BN48,"")</f>
        <v/>
      </c>
      <c r="BQ48" s="216" t="s">
        <v>2893</v>
      </c>
      <c r="BR48" s="25" t="b">
        <f t="shared" si="27"/>
        <v>0</v>
      </c>
      <c r="BS48" s="25" t="str">
        <f t="shared" ref="BS48:BS55" si="42">IF(BR48,", "&amp;BQ48,"")</f>
        <v/>
      </c>
      <c r="BT48" s="216" t="s">
        <v>2895</v>
      </c>
      <c r="BU48" s="25" t="b">
        <f t="shared" si="28"/>
        <v>0</v>
      </c>
      <c r="BV48" s="25" t="str">
        <f t="shared" ref="BV48:BV55" si="43">IF(BU48,", "&amp;BT48,"")</f>
        <v/>
      </c>
      <c r="BW48" s="216" t="s">
        <v>2897</v>
      </c>
      <c r="BX48" s="25" t="b">
        <f t="shared" si="29"/>
        <v>0</v>
      </c>
      <c r="BY48" s="25" t="str">
        <f t="shared" ref="BY48:BY55" si="44">IF(BX48,", "&amp;BW48,"")</f>
        <v/>
      </c>
      <c r="BZ48" s="216" t="s">
        <v>2902</v>
      </c>
      <c r="CA48" s="25" t="b">
        <f t="shared" si="30"/>
        <v>0</v>
      </c>
      <c r="CB48" s="25" t="str">
        <f t="shared" ref="CB48:CB55" si="45">IF(CA48,", "&amp;BZ48,"")</f>
        <v/>
      </c>
      <c r="CC48" s="216" t="s">
        <v>2908</v>
      </c>
      <c r="CD48" s="25" t="b">
        <f t="shared" si="31"/>
        <v>0</v>
      </c>
      <c r="CE48" s="25" t="str">
        <f t="shared" ref="CE48:CE55" si="46">IF(CD48,", "&amp;CC48,"")</f>
        <v/>
      </c>
      <c r="CF48" s="216" t="s">
        <v>2913</v>
      </c>
      <c r="CG48" s="25" t="b">
        <f t="shared" si="32"/>
        <v>0</v>
      </c>
      <c r="CH48" s="25" t="str">
        <f t="shared" ref="CH48:CH55" si="47">IF(CG48,", "&amp;CF48,"")</f>
        <v/>
      </c>
      <c r="CI48" s="216" t="s">
        <v>2919</v>
      </c>
      <c r="CJ48" s="25" t="b">
        <f t="shared" si="33"/>
        <v>0</v>
      </c>
      <c r="CK48" s="25" t="str">
        <f t="shared" ref="CK48:CK55" si="48">IF(CJ48,", "&amp;CI48,"")</f>
        <v/>
      </c>
      <c r="CL48" s="216" t="s">
        <v>2925</v>
      </c>
      <c r="CM48" s="25" t="b">
        <f t="shared" si="34"/>
        <v>0</v>
      </c>
      <c r="CN48" s="25" t="str">
        <f t="shared" ref="CN48:CN55" si="49">IF(CM48,", "&amp;CL48,"")</f>
        <v/>
      </c>
    </row>
    <row r="49" spans="3:92" x14ac:dyDescent="0.2">
      <c r="D49" s="25">
        <v>180</v>
      </c>
      <c r="E49" s="25">
        <v>70</v>
      </c>
      <c r="G49" s="25">
        <v>88</v>
      </c>
      <c r="H49" s="25">
        <v>88</v>
      </c>
      <c r="I49" s="25">
        <v>88</v>
      </c>
      <c r="J49" s="25">
        <v>88</v>
      </c>
      <c r="K49" s="25">
        <v>88</v>
      </c>
      <c r="L49" s="25">
        <v>88</v>
      </c>
      <c r="M49" s="25">
        <v>88</v>
      </c>
      <c r="N49" s="25">
        <v>88</v>
      </c>
      <c r="O49" s="25">
        <v>88</v>
      </c>
      <c r="P49" s="25">
        <v>88</v>
      </c>
      <c r="Q49" s="25">
        <v>88</v>
      </c>
      <c r="T49" s="25" t="s">
        <v>39</v>
      </c>
      <c r="U49" s="25">
        <v>6002</v>
      </c>
      <c r="V49" s="25" t="s">
        <v>2344</v>
      </c>
      <c r="W49" s="38" t="s">
        <v>2339</v>
      </c>
      <c r="X49" s="25">
        <v>16</v>
      </c>
      <c r="Y49" s="25" t="s">
        <v>164</v>
      </c>
      <c r="Z49" s="25" t="s">
        <v>1451</v>
      </c>
      <c r="AA49" s="25" t="s">
        <v>2340</v>
      </c>
      <c r="AB49" s="39">
        <v>60</v>
      </c>
      <c r="AC49" s="39">
        <v>5</v>
      </c>
      <c r="AD49" s="39">
        <v>6</v>
      </c>
      <c r="AE49" s="25" t="s">
        <v>2341</v>
      </c>
      <c r="AF49" s="39">
        <v>90</v>
      </c>
      <c r="AG49" s="39">
        <v>10</v>
      </c>
      <c r="AH49" s="39">
        <v>9</v>
      </c>
      <c r="AI49" s="25" t="s">
        <v>2342</v>
      </c>
      <c r="AJ49" s="39">
        <v>120</v>
      </c>
      <c r="AK49" s="39">
        <v>15</v>
      </c>
      <c r="AL49" s="39">
        <v>12</v>
      </c>
      <c r="AM49" s="25" t="s">
        <v>2343</v>
      </c>
      <c r="AN49" s="39">
        <v>150</v>
      </c>
      <c r="AO49" s="39">
        <v>20</v>
      </c>
      <c r="AP49" s="39">
        <v>15</v>
      </c>
      <c r="AR49" s="39"/>
      <c r="AX49" s="25">
        <v>74</v>
      </c>
      <c r="AY49" s="216" t="s">
        <v>2712</v>
      </c>
      <c r="AZ49" s="25" t="b">
        <f t="shared" si="35"/>
        <v>0</v>
      </c>
      <c r="BA49" s="25" t="str">
        <f t="shared" si="36"/>
        <v/>
      </c>
      <c r="BB49" s="216" t="s">
        <v>2718</v>
      </c>
      <c r="BC49" s="25" t="b">
        <f t="shared" si="22"/>
        <v>0</v>
      </c>
      <c r="BD49" s="25" t="str">
        <f t="shared" si="37"/>
        <v/>
      </c>
      <c r="BE49" s="216" t="s">
        <v>2721</v>
      </c>
      <c r="BF49" s="25" t="b">
        <f t="shared" si="23"/>
        <v>0</v>
      </c>
      <c r="BG49" s="25" t="str">
        <f t="shared" si="38"/>
        <v/>
      </c>
      <c r="BH49" s="216" t="s">
        <v>2724</v>
      </c>
      <c r="BI49" s="25" t="b">
        <f t="shared" si="24"/>
        <v>0</v>
      </c>
      <c r="BJ49" s="25" t="str">
        <f t="shared" si="39"/>
        <v/>
      </c>
      <c r="BK49" s="216" t="s">
        <v>2725</v>
      </c>
      <c r="BL49" s="25" t="b">
        <f t="shared" si="25"/>
        <v>0</v>
      </c>
      <c r="BM49" s="25" t="str">
        <f t="shared" si="40"/>
        <v/>
      </c>
      <c r="BN49" s="216" t="s">
        <v>2728</v>
      </c>
      <c r="BO49" s="25" t="b">
        <f t="shared" si="26"/>
        <v>0</v>
      </c>
      <c r="BP49" s="25" t="str">
        <f t="shared" si="41"/>
        <v/>
      </c>
      <c r="BQ49" s="216" t="s">
        <v>2733</v>
      </c>
      <c r="BR49" s="25" t="b">
        <f t="shared" si="27"/>
        <v>0</v>
      </c>
      <c r="BS49" s="25" t="str">
        <f t="shared" si="42"/>
        <v/>
      </c>
      <c r="BT49" s="216" t="s">
        <v>2739</v>
      </c>
      <c r="BU49" s="25" t="b">
        <f t="shared" si="28"/>
        <v>0</v>
      </c>
      <c r="BV49" s="25" t="str">
        <f t="shared" si="43"/>
        <v/>
      </c>
      <c r="BW49" s="216" t="s">
        <v>2741</v>
      </c>
      <c r="BX49" s="25" t="b">
        <f t="shared" si="29"/>
        <v>0</v>
      </c>
      <c r="BY49" s="25" t="str">
        <f t="shared" si="44"/>
        <v/>
      </c>
      <c r="BZ49" s="216" t="s">
        <v>2747</v>
      </c>
      <c r="CA49" s="25" t="b">
        <f t="shared" si="30"/>
        <v>0</v>
      </c>
      <c r="CB49" s="25" t="str">
        <f t="shared" si="45"/>
        <v/>
      </c>
      <c r="CC49" s="216" t="s">
        <v>2753</v>
      </c>
      <c r="CD49" s="25" t="b">
        <f t="shared" si="31"/>
        <v>0</v>
      </c>
      <c r="CE49" s="25" t="str">
        <f t="shared" si="46"/>
        <v/>
      </c>
      <c r="CF49" s="216" t="s">
        <v>2755</v>
      </c>
      <c r="CG49" s="25" t="b">
        <f t="shared" si="32"/>
        <v>0</v>
      </c>
      <c r="CH49" s="25" t="str">
        <f t="shared" si="47"/>
        <v/>
      </c>
      <c r="CI49" s="216" t="s">
        <v>2761</v>
      </c>
      <c r="CJ49" s="25" t="b">
        <f t="shared" si="33"/>
        <v>0</v>
      </c>
      <c r="CK49" s="25" t="str">
        <f t="shared" si="48"/>
        <v/>
      </c>
      <c r="CL49" s="216" t="s">
        <v>2767</v>
      </c>
      <c r="CM49" s="25" t="b">
        <f t="shared" si="34"/>
        <v>0</v>
      </c>
      <c r="CN49" s="25" t="str">
        <f t="shared" si="49"/>
        <v/>
      </c>
    </row>
    <row r="50" spans="3:92" x14ac:dyDescent="0.2">
      <c r="D50" s="25">
        <v>185</v>
      </c>
      <c r="E50" s="25">
        <v>80</v>
      </c>
      <c r="G50" s="25">
        <v>90</v>
      </c>
      <c r="H50" s="25">
        <v>90</v>
      </c>
      <c r="I50" s="25">
        <v>90</v>
      </c>
      <c r="J50" s="25">
        <v>90</v>
      </c>
      <c r="K50" s="25">
        <v>90</v>
      </c>
      <c r="L50" s="25">
        <v>90</v>
      </c>
      <c r="M50" s="25">
        <v>90</v>
      </c>
      <c r="N50" s="25">
        <v>90</v>
      </c>
      <c r="O50" s="25">
        <v>90</v>
      </c>
      <c r="P50" s="25">
        <v>90</v>
      </c>
      <c r="Q50" s="25">
        <v>90</v>
      </c>
      <c r="T50" s="25" t="s">
        <v>70</v>
      </c>
      <c r="U50" s="25">
        <v>30005</v>
      </c>
      <c r="V50" s="25" t="s">
        <v>4034</v>
      </c>
      <c r="W50" s="38" t="s">
        <v>4035</v>
      </c>
      <c r="X50" s="25">
        <v>100</v>
      </c>
      <c r="Y50" s="25" t="s">
        <v>1498</v>
      </c>
      <c r="Z50" s="25" t="s">
        <v>1451</v>
      </c>
      <c r="AA50" s="25" t="s">
        <v>4036</v>
      </c>
      <c r="AB50" s="39">
        <v>450</v>
      </c>
      <c r="AC50" s="39">
        <v>90</v>
      </c>
      <c r="AD50" s="39">
        <v>15</v>
      </c>
      <c r="AE50" s="25" t="s">
        <v>4037</v>
      </c>
      <c r="AF50" s="39">
        <v>800</v>
      </c>
      <c r="AG50" s="39">
        <v>100</v>
      </c>
      <c r="AH50" s="39">
        <v>16</v>
      </c>
      <c r="AI50" s="25" t="s">
        <v>4038</v>
      </c>
      <c r="AJ50" s="39">
        <v>1200</v>
      </c>
      <c r="AK50" s="39">
        <v>105</v>
      </c>
      <c r="AL50" s="39">
        <v>17</v>
      </c>
      <c r="AM50" s="25" t="s">
        <v>4039</v>
      </c>
      <c r="AN50" s="39">
        <v>1600</v>
      </c>
      <c r="AO50" s="39">
        <v>110</v>
      </c>
      <c r="AP50" s="39">
        <v>18</v>
      </c>
      <c r="AR50" s="39"/>
      <c r="AX50" s="25">
        <v>64</v>
      </c>
      <c r="AY50" s="216" t="s">
        <v>2556</v>
      </c>
      <c r="AZ50" s="25" t="b">
        <f t="shared" si="35"/>
        <v>0</v>
      </c>
      <c r="BA50" s="25" t="str">
        <f t="shared" si="36"/>
        <v/>
      </c>
      <c r="BB50" s="216" t="s">
        <v>2561</v>
      </c>
      <c r="BC50" s="25" t="b">
        <f t="shared" si="22"/>
        <v>0</v>
      </c>
      <c r="BD50" s="25" t="str">
        <f t="shared" si="37"/>
        <v/>
      </c>
      <c r="BE50" s="216" t="s">
        <v>2567</v>
      </c>
      <c r="BF50" s="25" t="b">
        <f t="shared" si="23"/>
        <v>0</v>
      </c>
      <c r="BG50" s="25" t="str">
        <f t="shared" si="38"/>
        <v/>
      </c>
      <c r="BH50" s="216" t="s">
        <v>2569</v>
      </c>
      <c r="BI50" s="25" t="b">
        <f t="shared" si="24"/>
        <v>0</v>
      </c>
      <c r="BJ50" s="25" t="str">
        <f t="shared" si="39"/>
        <v/>
      </c>
      <c r="BK50" s="216" t="s">
        <v>2575</v>
      </c>
      <c r="BL50" s="25" t="b">
        <f t="shared" si="25"/>
        <v>0</v>
      </c>
      <c r="BM50" s="25" t="str">
        <f t="shared" si="40"/>
        <v/>
      </c>
      <c r="BN50" s="216" t="s">
        <v>2581</v>
      </c>
      <c r="BO50" s="25" t="b">
        <f t="shared" si="26"/>
        <v>0</v>
      </c>
      <c r="BP50" s="25" t="str">
        <f t="shared" si="41"/>
        <v/>
      </c>
      <c r="BQ50" s="216" t="s">
        <v>2583</v>
      </c>
      <c r="BR50" s="25" t="b">
        <f t="shared" si="27"/>
        <v>0</v>
      </c>
      <c r="BS50" s="25" t="str">
        <f t="shared" si="42"/>
        <v/>
      </c>
      <c r="BT50" s="216" t="s">
        <v>2585</v>
      </c>
      <c r="BU50" s="25" t="b">
        <f t="shared" si="28"/>
        <v>0</v>
      </c>
      <c r="BV50" s="25" t="str">
        <f t="shared" si="43"/>
        <v/>
      </c>
      <c r="BW50" s="216" t="s">
        <v>2591</v>
      </c>
      <c r="BX50" s="25" t="b">
        <f t="shared" si="29"/>
        <v>0</v>
      </c>
      <c r="BY50" s="25" t="str">
        <f t="shared" si="44"/>
        <v/>
      </c>
      <c r="BZ50" s="216" t="s">
        <v>2593</v>
      </c>
      <c r="CA50" s="25" t="b">
        <f t="shared" si="30"/>
        <v>0</v>
      </c>
      <c r="CB50" s="25" t="str">
        <f t="shared" si="45"/>
        <v/>
      </c>
      <c r="CC50" s="216" t="s">
        <v>2596</v>
      </c>
      <c r="CD50" s="25" t="b">
        <f t="shared" si="31"/>
        <v>0</v>
      </c>
      <c r="CE50" s="25" t="str">
        <f t="shared" si="46"/>
        <v/>
      </c>
      <c r="CF50" s="216" t="s">
        <v>2601</v>
      </c>
      <c r="CG50" s="25" t="b">
        <f t="shared" si="32"/>
        <v>0</v>
      </c>
      <c r="CH50" s="25" t="str">
        <f t="shared" si="47"/>
        <v/>
      </c>
      <c r="CI50" s="216" t="s">
        <v>2607</v>
      </c>
      <c r="CJ50" s="25" t="b">
        <f t="shared" si="33"/>
        <v>0</v>
      </c>
      <c r="CK50" s="25" t="str">
        <f t="shared" si="48"/>
        <v/>
      </c>
      <c r="CL50" s="216" t="s">
        <v>2613</v>
      </c>
      <c r="CM50" s="25" t="b">
        <f t="shared" si="34"/>
        <v>0</v>
      </c>
      <c r="CN50" s="25" t="str">
        <f t="shared" si="49"/>
        <v/>
      </c>
    </row>
    <row r="51" spans="3:92" x14ac:dyDescent="0.2">
      <c r="D51" s="25">
        <v>190</v>
      </c>
      <c r="E51" s="25">
        <v>80</v>
      </c>
      <c r="G51" s="25">
        <v>92</v>
      </c>
      <c r="H51" s="25">
        <v>92</v>
      </c>
      <c r="I51" s="25">
        <v>92</v>
      </c>
      <c r="J51" s="25">
        <v>92</v>
      </c>
      <c r="K51" s="25">
        <v>92</v>
      </c>
      <c r="L51" s="25">
        <v>92</v>
      </c>
      <c r="M51" s="25">
        <v>92</v>
      </c>
      <c r="N51" s="25">
        <v>92</v>
      </c>
      <c r="O51" s="25">
        <v>92</v>
      </c>
      <c r="P51" s="25">
        <v>92</v>
      </c>
      <c r="Q51" s="25">
        <v>92</v>
      </c>
      <c r="T51" s="25" t="s">
        <v>61</v>
      </c>
      <c r="U51" s="25">
        <v>35004</v>
      </c>
      <c r="V51" s="25" t="s">
        <v>4150</v>
      </c>
      <c r="W51" s="38" t="s">
        <v>6639</v>
      </c>
      <c r="X51" s="25">
        <v>88</v>
      </c>
      <c r="Y51" s="25" t="s">
        <v>1582</v>
      </c>
      <c r="Z51" s="25" t="s">
        <v>1451</v>
      </c>
      <c r="AA51" s="25" t="s">
        <v>4151</v>
      </c>
      <c r="AB51" s="39">
        <v>300</v>
      </c>
      <c r="AC51" s="39">
        <v>15</v>
      </c>
      <c r="AD51" s="39">
        <v>12</v>
      </c>
      <c r="AE51" s="25" t="s">
        <v>4152</v>
      </c>
      <c r="AF51" s="39">
        <v>600</v>
      </c>
      <c r="AG51" s="39">
        <v>30</v>
      </c>
      <c r="AH51" s="39">
        <v>14</v>
      </c>
      <c r="AI51" s="25" t="s">
        <v>4153</v>
      </c>
      <c r="AJ51" s="39">
        <v>1000</v>
      </c>
      <c r="AK51" s="39">
        <v>50</v>
      </c>
      <c r="AL51" s="39">
        <v>16</v>
      </c>
      <c r="AM51" s="25" t="s">
        <v>4154</v>
      </c>
      <c r="AN51" s="39">
        <v>2000</v>
      </c>
      <c r="AO51" s="39">
        <v>100</v>
      </c>
      <c r="AP51" s="39">
        <v>18</v>
      </c>
      <c r="AR51" s="39" t="s">
        <v>6456</v>
      </c>
      <c r="AX51" s="25">
        <v>54</v>
      </c>
      <c r="AY51" s="216" t="s">
        <v>2397</v>
      </c>
      <c r="AZ51" s="25" t="b">
        <f>($AX51&lt;=AX$46)</f>
        <v>0</v>
      </c>
      <c r="BA51" s="25" t="str">
        <f t="shared" si="36"/>
        <v/>
      </c>
      <c r="BB51" s="216" t="s">
        <v>2402</v>
      </c>
      <c r="BC51" s="25" t="b">
        <f t="shared" si="22"/>
        <v>0</v>
      </c>
      <c r="BD51" s="25" t="str">
        <f t="shared" si="37"/>
        <v/>
      </c>
      <c r="BE51" s="216" t="s">
        <v>2403</v>
      </c>
      <c r="BF51" s="25" t="b">
        <f t="shared" si="23"/>
        <v>0</v>
      </c>
      <c r="BG51" s="25" t="str">
        <f t="shared" si="38"/>
        <v/>
      </c>
      <c r="BH51" s="216" t="s">
        <v>1503</v>
      </c>
      <c r="BI51" s="25" t="b">
        <f t="shared" si="24"/>
        <v>0</v>
      </c>
      <c r="BJ51" s="25" t="str">
        <f t="shared" si="39"/>
        <v/>
      </c>
      <c r="BK51" s="216" t="s">
        <v>2414</v>
      </c>
      <c r="BL51" s="25" t="b">
        <f t="shared" si="25"/>
        <v>0</v>
      </c>
      <c r="BM51" s="25" t="str">
        <f t="shared" si="40"/>
        <v/>
      </c>
      <c r="BN51" s="216" t="s">
        <v>2420</v>
      </c>
      <c r="BO51" s="25" t="b">
        <f t="shared" si="26"/>
        <v>0</v>
      </c>
      <c r="BP51" s="25" t="str">
        <f t="shared" si="41"/>
        <v/>
      </c>
      <c r="BQ51" s="216" t="s">
        <v>2422</v>
      </c>
      <c r="BR51" s="25" t="b">
        <f t="shared" si="27"/>
        <v>0</v>
      </c>
      <c r="BS51" s="25" t="str">
        <f t="shared" si="42"/>
        <v/>
      </c>
      <c r="BT51" s="216" t="s">
        <v>2424</v>
      </c>
      <c r="BU51" s="25" t="b">
        <f t="shared" si="28"/>
        <v>0</v>
      </c>
      <c r="BV51" s="25" t="str">
        <f t="shared" si="43"/>
        <v/>
      </c>
      <c r="BW51" s="216" t="s">
        <v>2426</v>
      </c>
      <c r="BX51" s="25" t="b">
        <f t="shared" si="29"/>
        <v>0</v>
      </c>
      <c r="BY51" s="25" t="str">
        <f t="shared" si="44"/>
        <v/>
      </c>
      <c r="BZ51" s="216" t="s">
        <v>2432</v>
      </c>
      <c r="CA51" s="25" t="b">
        <f t="shared" si="30"/>
        <v>0</v>
      </c>
      <c r="CB51" s="25" t="str">
        <f t="shared" si="45"/>
        <v/>
      </c>
      <c r="CC51" s="216" t="s">
        <v>2438</v>
      </c>
      <c r="CD51" s="25" t="b">
        <f t="shared" si="31"/>
        <v>0</v>
      </c>
      <c r="CE51" s="25" t="str">
        <f t="shared" si="46"/>
        <v/>
      </c>
      <c r="CF51" s="216" t="s">
        <v>2439</v>
      </c>
      <c r="CG51" s="25" t="b">
        <f t="shared" si="32"/>
        <v>0</v>
      </c>
      <c r="CH51" s="25" t="str">
        <f t="shared" si="47"/>
        <v/>
      </c>
      <c r="CI51" s="216" t="s">
        <v>2445</v>
      </c>
      <c r="CJ51" s="25" t="b">
        <f t="shared" si="33"/>
        <v>0</v>
      </c>
      <c r="CK51" s="25" t="str">
        <f t="shared" si="48"/>
        <v/>
      </c>
      <c r="CL51" s="216" t="s">
        <v>2450</v>
      </c>
      <c r="CM51" s="25" t="b">
        <f t="shared" si="34"/>
        <v>0</v>
      </c>
      <c r="CN51" s="25" t="str">
        <f t="shared" si="49"/>
        <v/>
      </c>
    </row>
    <row r="52" spans="3:92" x14ac:dyDescent="0.2">
      <c r="D52" s="25">
        <v>195</v>
      </c>
      <c r="E52" s="25">
        <v>80</v>
      </c>
      <c r="G52" s="25">
        <v>96</v>
      </c>
      <c r="H52" s="25">
        <v>96</v>
      </c>
      <c r="I52" s="25">
        <v>96</v>
      </c>
      <c r="J52" s="25">
        <v>96</v>
      </c>
      <c r="K52" s="25">
        <v>96</v>
      </c>
      <c r="L52" s="25">
        <v>96</v>
      </c>
      <c r="M52" s="25">
        <v>96</v>
      </c>
      <c r="N52" s="25">
        <v>96</v>
      </c>
      <c r="O52" s="25">
        <v>96</v>
      </c>
      <c r="P52" s="25">
        <v>96</v>
      </c>
      <c r="Q52" s="25">
        <v>96</v>
      </c>
      <c r="T52" s="25" t="s">
        <v>29</v>
      </c>
      <c r="U52" s="25">
        <v>39001</v>
      </c>
      <c r="V52" s="25" t="s">
        <v>4223</v>
      </c>
      <c r="W52" s="38" t="s">
        <v>4224</v>
      </c>
      <c r="X52" s="25">
        <v>98</v>
      </c>
      <c r="Y52" s="25" t="s">
        <v>164</v>
      </c>
      <c r="Z52" s="25" t="s">
        <v>1451</v>
      </c>
      <c r="AA52" s="25" t="s">
        <v>4225</v>
      </c>
      <c r="AB52" s="39">
        <v>500</v>
      </c>
      <c r="AC52" s="39">
        <v>30</v>
      </c>
      <c r="AD52" s="39">
        <v>14</v>
      </c>
      <c r="AE52" s="25" t="s">
        <v>4226</v>
      </c>
      <c r="AF52" s="39">
        <v>1000</v>
      </c>
      <c r="AG52" s="39">
        <v>40</v>
      </c>
      <c r="AH52" s="39">
        <v>16</v>
      </c>
      <c r="AI52" s="25" t="s">
        <v>4227</v>
      </c>
      <c r="AJ52" s="39">
        <v>2000</v>
      </c>
      <c r="AK52" s="39">
        <v>45</v>
      </c>
      <c r="AL52" s="39">
        <v>18</v>
      </c>
      <c r="AM52" s="25" t="s">
        <v>4228</v>
      </c>
      <c r="AN52" s="39">
        <v>5000</v>
      </c>
      <c r="AO52" s="39">
        <v>50</v>
      </c>
      <c r="AP52" s="39">
        <v>20</v>
      </c>
      <c r="AR52" s="39"/>
      <c r="AX52" s="25">
        <v>44</v>
      </c>
      <c r="AY52" s="216" t="s">
        <v>2229</v>
      </c>
      <c r="AZ52" s="25" t="b">
        <f t="shared" si="35"/>
        <v>0</v>
      </c>
      <c r="BA52" s="25" t="str">
        <f t="shared" si="36"/>
        <v/>
      </c>
      <c r="BB52" s="216" t="s">
        <v>2235</v>
      </c>
      <c r="BC52" s="25" t="b">
        <f t="shared" si="22"/>
        <v>0</v>
      </c>
      <c r="BD52" s="25" t="str">
        <f t="shared" si="37"/>
        <v/>
      </c>
      <c r="BE52" s="216" t="s">
        <v>2241</v>
      </c>
      <c r="BF52" s="25" t="b">
        <f t="shared" si="23"/>
        <v>0</v>
      </c>
      <c r="BG52" s="25" t="str">
        <f t="shared" si="38"/>
        <v/>
      </c>
      <c r="BH52" s="216" t="s">
        <v>2244</v>
      </c>
      <c r="BI52" s="25" t="b">
        <f t="shared" si="24"/>
        <v>0</v>
      </c>
      <c r="BJ52" s="25" t="str">
        <f t="shared" si="39"/>
        <v/>
      </c>
      <c r="BK52" s="216" t="s">
        <v>2250</v>
      </c>
      <c r="BL52" s="25" t="b">
        <f t="shared" si="25"/>
        <v>0</v>
      </c>
      <c r="BM52" s="25" t="str">
        <f t="shared" si="40"/>
        <v/>
      </c>
      <c r="BN52" s="216" t="s">
        <v>2256</v>
      </c>
      <c r="BO52" s="25" t="b">
        <f t="shared" si="26"/>
        <v>0</v>
      </c>
      <c r="BP52" s="25" t="str">
        <f t="shared" si="41"/>
        <v/>
      </c>
      <c r="BQ52" s="216" t="s">
        <v>2259</v>
      </c>
      <c r="BR52" s="25" t="b">
        <f t="shared" si="27"/>
        <v>0</v>
      </c>
      <c r="BS52" s="25" t="str">
        <f t="shared" si="42"/>
        <v/>
      </c>
      <c r="BT52" s="216" t="s">
        <v>251</v>
      </c>
      <c r="BU52" s="25" t="b">
        <f t="shared" si="28"/>
        <v>0</v>
      </c>
      <c r="BV52" s="25" t="str">
        <f t="shared" si="43"/>
        <v/>
      </c>
      <c r="BW52" s="216" t="s">
        <v>2265</v>
      </c>
      <c r="BX52" s="25" t="b">
        <f t="shared" si="29"/>
        <v>0</v>
      </c>
      <c r="BY52" s="25" t="str">
        <f t="shared" si="44"/>
        <v/>
      </c>
      <c r="BZ52" s="216" t="s">
        <v>2270</v>
      </c>
      <c r="CA52" s="25" t="b">
        <f t="shared" si="30"/>
        <v>0</v>
      </c>
      <c r="CB52" s="25" t="str">
        <f t="shared" si="45"/>
        <v/>
      </c>
      <c r="CC52" s="216" t="s">
        <v>2276</v>
      </c>
      <c r="CD52" s="25" t="b">
        <f t="shared" si="31"/>
        <v>0</v>
      </c>
      <c r="CE52" s="25" t="str">
        <f t="shared" si="46"/>
        <v/>
      </c>
      <c r="CF52" s="216" t="s">
        <v>2280</v>
      </c>
      <c r="CG52" s="25" t="b">
        <f t="shared" si="32"/>
        <v>0</v>
      </c>
      <c r="CH52" s="25" t="str">
        <f t="shared" si="47"/>
        <v/>
      </c>
      <c r="CI52" s="216" t="s">
        <v>2285</v>
      </c>
      <c r="CJ52" s="25" t="b">
        <f t="shared" si="33"/>
        <v>0</v>
      </c>
      <c r="CK52" s="25" t="str">
        <f t="shared" si="48"/>
        <v/>
      </c>
      <c r="CL52" s="216" t="s">
        <v>2288</v>
      </c>
      <c r="CM52" s="25" t="b">
        <f t="shared" si="34"/>
        <v>0</v>
      </c>
      <c r="CN52" s="25" t="str">
        <f t="shared" si="49"/>
        <v/>
      </c>
    </row>
    <row r="53" spans="3:92" x14ac:dyDescent="0.2">
      <c r="D53" s="25">
        <v>200</v>
      </c>
      <c r="E53" s="25">
        <v>80</v>
      </c>
      <c r="G53" s="25">
        <v>98</v>
      </c>
      <c r="H53" s="25">
        <v>98</v>
      </c>
      <c r="I53" s="25">
        <v>98</v>
      </c>
      <c r="J53" s="25">
        <v>98</v>
      </c>
      <c r="K53" s="25">
        <v>98</v>
      </c>
      <c r="L53" s="25">
        <v>98</v>
      </c>
      <c r="M53" s="25">
        <v>98</v>
      </c>
      <c r="N53" s="25">
        <v>98</v>
      </c>
      <c r="O53" s="25">
        <v>98</v>
      </c>
      <c r="P53" s="25">
        <v>98</v>
      </c>
      <c r="Q53" s="25">
        <v>98</v>
      </c>
      <c r="T53" s="25" t="s">
        <v>39</v>
      </c>
      <c r="U53" s="25">
        <v>39002</v>
      </c>
      <c r="V53" s="25" t="s">
        <v>4229</v>
      </c>
      <c r="W53" s="38" t="s">
        <v>4224</v>
      </c>
      <c r="X53" s="25">
        <v>98</v>
      </c>
      <c r="Y53" s="25" t="s">
        <v>164</v>
      </c>
      <c r="Z53" s="25" t="s">
        <v>1451</v>
      </c>
      <c r="AA53" s="25" t="s">
        <v>4225</v>
      </c>
      <c r="AB53" s="39">
        <v>500</v>
      </c>
      <c r="AC53" s="39">
        <v>30</v>
      </c>
      <c r="AD53" s="39">
        <v>14</v>
      </c>
      <c r="AE53" s="25" t="s">
        <v>4226</v>
      </c>
      <c r="AF53" s="39">
        <v>1000</v>
      </c>
      <c r="AG53" s="39">
        <v>40</v>
      </c>
      <c r="AH53" s="39">
        <v>16</v>
      </c>
      <c r="AI53" s="25" t="s">
        <v>4227</v>
      </c>
      <c r="AJ53" s="39">
        <v>2000</v>
      </c>
      <c r="AK53" s="39">
        <v>45</v>
      </c>
      <c r="AL53" s="39">
        <v>18</v>
      </c>
      <c r="AM53" s="25" t="s">
        <v>4228</v>
      </c>
      <c r="AN53" s="39">
        <v>5000</v>
      </c>
      <c r="AO53" s="39">
        <v>50</v>
      </c>
      <c r="AP53" s="39">
        <v>20</v>
      </c>
      <c r="AR53" s="39"/>
      <c r="AX53" s="25">
        <v>34</v>
      </c>
      <c r="AY53" s="216" t="s">
        <v>2072</v>
      </c>
      <c r="AZ53" s="25" t="b">
        <f t="shared" si="35"/>
        <v>0</v>
      </c>
      <c r="BA53" s="25" t="str">
        <f t="shared" si="36"/>
        <v/>
      </c>
      <c r="BB53" s="216" t="s">
        <v>2076</v>
      </c>
      <c r="BC53" s="25" t="b">
        <f t="shared" si="22"/>
        <v>0</v>
      </c>
      <c r="BD53" s="25" t="str">
        <f t="shared" si="37"/>
        <v/>
      </c>
      <c r="BE53" s="216" t="s">
        <v>2082</v>
      </c>
      <c r="BF53" s="25" t="b">
        <f t="shared" si="23"/>
        <v>0</v>
      </c>
      <c r="BG53" s="25" t="str">
        <f t="shared" si="38"/>
        <v/>
      </c>
      <c r="BH53" s="216" t="s">
        <v>2086</v>
      </c>
      <c r="BI53" s="25" t="b">
        <f t="shared" si="24"/>
        <v>0</v>
      </c>
      <c r="BJ53" s="25" t="str">
        <f t="shared" si="39"/>
        <v/>
      </c>
      <c r="BK53" s="216" t="s">
        <v>2089</v>
      </c>
      <c r="BL53" s="25" t="b">
        <f t="shared" si="25"/>
        <v>0</v>
      </c>
      <c r="BM53" s="25" t="str">
        <f t="shared" si="40"/>
        <v/>
      </c>
      <c r="BN53" s="216" t="s">
        <v>2092</v>
      </c>
      <c r="BO53" s="25" t="b">
        <f t="shared" si="26"/>
        <v>0</v>
      </c>
      <c r="BP53" s="25" t="str">
        <f t="shared" si="41"/>
        <v/>
      </c>
      <c r="BQ53" s="216" t="s">
        <v>2096</v>
      </c>
      <c r="BR53" s="25" t="b">
        <f t="shared" si="27"/>
        <v>0</v>
      </c>
      <c r="BS53" s="25" t="str">
        <f t="shared" si="42"/>
        <v/>
      </c>
      <c r="BT53" s="216" t="s">
        <v>2102</v>
      </c>
      <c r="BU53" s="25" t="b">
        <f t="shared" si="28"/>
        <v>0</v>
      </c>
      <c r="BV53" s="25" t="str">
        <f t="shared" si="43"/>
        <v/>
      </c>
      <c r="BW53" s="216" t="s">
        <v>2105</v>
      </c>
      <c r="BX53" s="25" t="b">
        <f t="shared" si="29"/>
        <v>0</v>
      </c>
      <c r="BY53" s="25" t="str">
        <f t="shared" si="44"/>
        <v/>
      </c>
      <c r="BZ53" s="216" t="s">
        <v>2106</v>
      </c>
      <c r="CA53" s="25" t="b">
        <f t="shared" si="30"/>
        <v>0</v>
      </c>
      <c r="CB53" s="25" t="str">
        <f t="shared" si="45"/>
        <v/>
      </c>
      <c r="CC53" s="216" t="s">
        <v>2112</v>
      </c>
      <c r="CD53" s="25" t="b">
        <f t="shared" si="31"/>
        <v>0</v>
      </c>
      <c r="CE53" s="25" t="str">
        <f t="shared" si="46"/>
        <v/>
      </c>
      <c r="CF53" s="216" t="s">
        <v>2118</v>
      </c>
      <c r="CG53" s="25" t="b">
        <f t="shared" si="32"/>
        <v>0</v>
      </c>
      <c r="CH53" s="25" t="str">
        <f t="shared" si="47"/>
        <v/>
      </c>
      <c r="CI53" s="216" t="s">
        <v>2122</v>
      </c>
      <c r="CJ53" s="25" t="b">
        <f t="shared" si="33"/>
        <v>0</v>
      </c>
      <c r="CK53" s="25" t="str">
        <f t="shared" si="48"/>
        <v/>
      </c>
      <c r="CL53" s="216" t="s">
        <v>2128</v>
      </c>
      <c r="CM53" s="25" t="b">
        <f t="shared" si="34"/>
        <v>0</v>
      </c>
      <c r="CN53" s="25" t="str">
        <f t="shared" si="49"/>
        <v/>
      </c>
    </row>
    <row r="54" spans="3:92" x14ac:dyDescent="0.2">
      <c r="D54" s="25">
        <v>205</v>
      </c>
      <c r="E54" s="25">
        <v>90</v>
      </c>
      <c r="G54" s="25">
        <v>100</v>
      </c>
      <c r="H54" s="25">
        <v>100</v>
      </c>
      <c r="I54" s="25">
        <v>100</v>
      </c>
      <c r="J54" s="25">
        <v>100</v>
      </c>
      <c r="K54" s="25">
        <v>100</v>
      </c>
      <c r="L54" s="25">
        <v>100</v>
      </c>
      <c r="M54" s="25">
        <v>100</v>
      </c>
      <c r="N54" s="25">
        <v>100</v>
      </c>
      <c r="O54" s="25">
        <v>100</v>
      </c>
      <c r="P54" s="25">
        <v>100</v>
      </c>
      <c r="Q54" s="25">
        <v>100</v>
      </c>
      <c r="T54" s="25" t="s">
        <v>1509</v>
      </c>
      <c r="U54" s="25">
        <v>4015</v>
      </c>
      <c r="V54" s="25" t="s">
        <v>2069</v>
      </c>
      <c r="W54" s="38" t="s">
        <v>2070</v>
      </c>
      <c r="X54" s="25" t="s">
        <v>1512</v>
      </c>
      <c r="Y54" s="25" t="s">
        <v>164</v>
      </c>
      <c r="Z54" s="25" t="s">
        <v>1451</v>
      </c>
      <c r="AA54" s="25" t="s">
        <v>1979</v>
      </c>
      <c r="AB54" s="39">
        <v>30</v>
      </c>
      <c r="AC54" s="39" t="s">
        <v>244</v>
      </c>
      <c r="AD54" s="39">
        <v>5</v>
      </c>
      <c r="AE54" s="25" t="s">
        <v>1637</v>
      </c>
      <c r="AF54" s="39">
        <v>60</v>
      </c>
      <c r="AG54" s="39" t="s">
        <v>244</v>
      </c>
      <c r="AH54" s="39">
        <v>8</v>
      </c>
      <c r="AI54" s="25" t="s">
        <v>1981</v>
      </c>
      <c r="AJ54" s="39">
        <v>100</v>
      </c>
      <c r="AK54" s="39" t="s">
        <v>244</v>
      </c>
      <c r="AL54" s="39">
        <v>10</v>
      </c>
      <c r="AM54" s="25" t="s">
        <v>2071</v>
      </c>
      <c r="AN54" s="39">
        <v>140</v>
      </c>
      <c r="AO54" s="39" t="s">
        <v>244</v>
      </c>
      <c r="AP54" s="39">
        <v>12</v>
      </c>
      <c r="AQ54" s="25" t="s">
        <v>698</v>
      </c>
      <c r="AR54" s="39"/>
      <c r="AX54" s="25">
        <v>24</v>
      </c>
      <c r="AY54" s="216" t="s">
        <v>1915</v>
      </c>
      <c r="AZ54" s="25" t="b">
        <f>($AX54&lt;=AX$46)</f>
        <v>0</v>
      </c>
      <c r="BA54" s="25" t="str">
        <f t="shared" si="36"/>
        <v/>
      </c>
      <c r="BB54" s="216" t="s">
        <v>1921</v>
      </c>
      <c r="BC54" s="25" t="b">
        <f t="shared" si="22"/>
        <v>0</v>
      </c>
      <c r="BD54" s="25" t="str">
        <f t="shared" si="37"/>
        <v/>
      </c>
      <c r="BE54" s="216" t="s">
        <v>1927</v>
      </c>
      <c r="BF54" s="25" t="b">
        <f t="shared" si="23"/>
        <v>0</v>
      </c>
      <c r="BG54" s="25" t="str">
        <f t="shared" si="38"/>
        <v/>
      </c>
      <c r="BH54" s="216" t="s">
        <v>1931</v>
      </c>
      <c r="BI54" s="25" t="b">
        <f t="shared" si="24"/>
        <v>0</v>
      </c>
      <c r="BJ54" s="25" t="str">
        <f t="shared" si="39"/>
        <v/>
      </c>
      <c r="BK54" s="216" t="s">
        <v>1938</v>
      </c>
      <c r="BL54" s="25" t="b">
        <f t="shared" si="25"/>
        <v>0</v>
      </c>
      <c r="BM54" s="25" t="str">
        <f t="shared" si="40"/>
        <v/>
      </c>
      <c r="BN54" s="216" t="s">
        <v>1941</v>
      </c>
      <c r="BO54" s="25" t="b">
        <f t="shared" si="26"/>
        <v>0</v>
      </c>
      <c r="BP54" s="25" t="str">
        <f t="shared" si="41"/>
        <v/>
      </c>
      <c r="BQ54" s="216" t="s">
        <v>1943</v>
      </c>
      <c r="BR54" s="25" t="b">
        <f t="shared" si="27"/>
        <v>0</v>
      </c>
      <c r="BS54" s="25" t="str">
        <f t="shared" si="42"/>
        <v/>
      </c>
      <c r="BT54" s="216" t="s">
        <v>1949</v>
      </c>
      <c r="BU54" s="25" t="b">
        <f t="shared" si="28"/>
        <v>0</v>
      </c>
      <c r="BV54" s="25" t="str">
        <f t="shared" si="43"/>
        <v/>
      </c>
      <c r="BW54" s="216" t="s">
        <v>1955</v>
      </c>
      <c r="BX54" s="25" t="b">
        <f t="shared" si="29"/>
        <v>0</v>
      </c>
      <c r="BY54" s="25" t="str">
        <f t="shared" si="44"/>
        <v/>
      </c>
      <c r="BZ54" s="216" t="s">
        <v>1960</v>
      </c>
      <c r="CA54" s="25" t="b">
        <f t="shared" si="30"/>
        <v>0</v>
      </c>
      <c r="CB54" s="25" t="str">
        <f t="shared" si="45"/>
        <v/>
      </c>
      <c r="CC54" s="216" t="s">
        <v>1962</v>
      </c>
      <c r="CD54" s="25" t="b">
        <f t="shared" si="31"/>
        <v>0</v>
      </c>
      <c r="CE54" s="25" t="str">
        <f t="shared" si="46"/>
        <v/>
      </c>
      <c r="CF54" s="216" t="s">
        <v>1964</v>
      </c>
      <c r="CG54" s="25" t="b">
        <f t="shared" si="32"/>
        <v>0</v>
      </c>
      <c r="CH54" s="25" t="str">
        <f t="shared" si="47"/>
        <v/>
      </c>
      <c r="CI54" s="216" t="s">
        <v>1970</v>
      </c>
      <c r="CJ54" s="25" t="b">
        <f t="shared" si="33"/>
        <v>0</v>
      </c>
      <c r="CK54" s="25" t="str">
        <f t="shared" si="48"/>
        <v/>
      </c>
      <c r="CL54" s="216" t="s">
        <v>1972</v>
      </c>
      <c r="CM54" s="25" t="b">
        <f t="shared" si="34"/>
        <v>0</v>
      </c>
      <c r="CN54" s="25" t="str">
        <f t="shared" si="49"/>
        <v/>
      </c>
    </row>
    <row r="55" spans="3:92" x14ac:dyDescent="0.2">
      <c r="T55" s="25" t="s">
        <v>65</v>
      </c>
      <c r="U55" s="25">
        <v>13006</v>
      </c>
      <c r="V55" s="25" t="s">
        <v>3316</v>
      </c>
      <c r="W55" s="38" t="s">
        <v>3317</v>
      </c>
      <c r="X55" s="25">
        <v>42</v>
      </c>
      <c r="Y55" s="25" t="s">
        <v>116</v>
      </c>
      <c r="Z55" s="25" t="s">
        <v>1451</v>
      </c>
      <c r="AA55" s="25" t="s">
        <v>2787</v>
      </c>
      <c r="AB55" s="39">
        <v>80</v>
      </c>
      <c r="AC55" s="39" t="s">
        <v>244</v>
      </c>
      <c r="AD55" s="39">
        <v>6</v>
      </c>
      <c r="AE55" s="25" t="s">
        <v>3318</v>
      </c>
      <c r="AF55" s="39">
        <v>160</v>
      </c>
      <c r="AG55" s="39" t="s">
        <v>244</v>
      </c>
      <c r="AH55" s="39">
        <v>9</v>
      </c>
      <c r="AI55" s="25" t="s">
        <v>3319</v>
      </c>
      <c r="AJ55" s="39">
        <v>240</v>
      </c>
      <c r="AK55" s="39" t="s">
        <v>244</v>
      </c>
      <c r="AL55" s="39">
        <v>12</v>
      </c>
      <c r="AM55" s="25" t="s">
        <v>3320</v>
      </c>
      <c r="AN55" s="39">
        <v>300</v>
      </c>
      <c r="AO55" s="39" t="s">
        <v>244</v>
      </c>
      <c r="AP55" s="39">
        <v>15</v>
      </c>
      <c r="AR55" s="39"/>
      <c r="AX55" s="25">
        <v>14</v>
      </c>
      <c r="AY55" s="216" t="s">
        <v>1750</v>
      </c>
      <c r="AZ55" s="25" t="b">
        <f t="shared" si="35"/>
        <v>0</v>
      </c>
      <c r="BA55" s="25" t="str">
        <f t="shared" si="36"/>
        <v/>
      </c>
      <c r="BB55" s="216" t="s">
        <v>1756</v>
      </c>
      <c r="BC55" s="25" t="b">
        <f t="shared" si="22"/>
        <v>0</v>
      </c>
      <c r="BD55" s="25" t="str">
        <f t="shared" si="37"/>
        <v/>
      </c>
      <c r="BE55" s="216" t="s">
        <v>1759</v>
      </c>
      <c r="BF55" s="25" t="b">
        <f t="shared" si="23"/>
        <v>0</v>
      </c>
      <c r="BG55" s="25" t="str">
        <f t="shared" si="38"/>
        <v/>
      </c>
      <c r="BH55" s="216" t="s">
        <v>1765</v>
      </c>
      <c r="BI55" s="25" t="b">
        <f t="shared" si="24"/>
        <v>0</v>
      </c>
      <c r="BJ55" s="25" t="str">
        <f t="shared" si="39"/>
        <v/>
      </c>
      <c r="BK55" s="216" t="s">
        <v>1768</v>
      </c>
      <c r="BL55" s="25" t="b">
        <f t="shared" si="25"/>
        <v>0</v>
      </c>
      <c r="BM55" s="25" t="str">
        <f t="shared" si="40"/>
        <v/>
      </c>
      <c r="BN55" s="216" t="s">
        <v>1771</v>
      </c>
      <c r="BO55" s="25" t="b">
        <f t="shared" si="26"/>
        <v>0</v>
      </c>
      <c r="BP55" s="25" t="str">
        <f t="shared" si="41"/>
        <v/>
      </c>
      <c r="BQ55" s="216" t="s">
        <v>1777</v>
      </c>
      <c r="BR55" s="25" t="b">
        <f t="shared" si="27"/>
        <v>0</v>
      </c>
      <c r="BS55" s="25" t="str">
        <f t="shared" si="42"/>
        <v/>
      </c>
      <c r="BT55" s="216" t="s">
        <v>1782</v>
      </c>
      <c r="BU55" s="25" t="b">
        <f t="shared" si="28"/>
        <v>0</v>
      </c>
      <c r="BV55" s="25" t="str">
        <f t="shared" si="43"/>
        <v/>
      </c>
      <c r="BW55" s="216" t="s">
        <v>1571</v>
      </c>
      <c r="BX55" s="25" t="b">
        <f t="shared" si="29"/>
        <v>0</v>
      </c>
      <c r="BY55" s="25" t="str">
        <f t="shared" si="44"/>
        <v/>
      </c>
      <c r="BZ55" s="216" t="s">
        <v>1793</v>
      </c>
      <c r="CA55" s="25" t="b">
        <f t="shared" si="30"/>
        <v>0</v>
      </c>
      <c r="CB55" s="25" t="str">
        <f t="shared" si="45"/>
        <v/>
      </c>
      <c r="CC55" s="216" t="s">
        <v>1797</v>
      </c>
      <c r="CD55" s="25" t="b">
        <f t="shared" si="31"/>
        <v>0</v>
      </c>
      <c r="CE55" s="25" t="str">
        <f t="shared" si="46"/>
        <v/>
      </c>
      <c r="CF55" s="216" t="s">
        <v>1802</v>
      </c>
      <c r="CG55" s="25" t="b">
        <f t="shared" si="32"/>
        <v>0</v>
      </c>
      <c r="CH55" s="25" t="str">
        <f t="shared" si="47"/>
        <v/>
      </c>
      <c r="CI55" s="216" t="s">
        <v>1808</v>
      </c>
      <c r="CJ55" s="25" t="b">
        <f t="shared" si="33"/>
        <v>0</v>
      </c>
      <c r="CK55" s="25" t="str">
        <f t="shared" si="48"/>
        <v/>
      </c>
      <c r="CL55" s="216" t="s">
        <v>1811</v>
      </c>
      <c r="CM55" s="25" t="b">
        <f t="shared" si="34"/>
        <v>0</v>
      </c>
      <c r="CN55" s="25" t="str">
        <f t="shared" si="49"/>
        <v/>
      </c>
    </row>
    <row r="56" spans="3:92" x14ac:dyDescent="0.2">
      <c r="C56" s="25" t="s">
        <v>1715</v>
      </c>
      <c r="T56" s="25" t="s">
        <v>94</v>
      </c>
      <c r="U56" s="25">
        <v>21010</v>
      </c>
      <c r="V56" s="25" t="s">
        <v>3685</v>
      </c>
      <c r="W56" s="38" t="s">
        <v>3686</v>
      </c>
      <c r="X56" s="25">
        <v>70</v>
      </c>
      <c r="Y56" s="25" t="s">
        <v>3687</v>
      </c>
      <c r="Z56" s="25" t="s">
        <v>1451</v>
      </c>
      <c r="AA56" s="25" t="s">
        <v>3688</v>
      </c>
      <c r="AB56" s="39">
        <v>80</v>
      </c>
      <c r="AC56" s="39" t="s">
        <v>244</v>
      </c>
      <c r="AD56" s="39">
        <v>6</v>
      </c>
      <c r="AE56" s="25" t="s">
        <v>3689</v>
      </c>
      <c r="AF56" s="39">
        <v>140</v>
      </c>
      <c r="AG56" s="39" t="s">
        <v>244</v>
      </c>
      <c r="AH56" s="39">
        <v>9</v>
      </c>
      <c r="AI56" s="25" t="s">
        <v>3690</v>
      </c>
      <c r="AJ56" s="39">
        <v>220</v>
      </c>
      <c r="AK56" s="39" t="s">
        <v>244</v>
      </c>
      <c r="AL56" s="39">
        <v>12</v>
      </c>
      <c r="AM56" s="25" t="s">
        <v>3691</v>
      </c>
      <c r="AN56" s="39">
        <v>300</v>
      </c>
      <c r="AO56" s="39" t="s">
        <v>244</v>
      </c>
      <c r="AP56" s="39">
        <v>15</v>
      </c>
      <c r="AR56" s="39"/>
      <c r="AX56" s="25">
        <v>4</v>
      </c>
      <c r="AY56" s="216" t="s">
        <v>1517</v>
      </c>
      <c r="AZ56" s="25" t="b">
        <f t="shared" si="35"/>
        <v>0</v>
      </c>
      <c r="BA56" s="25" t="str">
        <f>IF(AZ56,AY56,"")</f>
        <v/>
      </c>
      <c r="BB56" s="216" t="s">
        <v>1524</v>
      </c>
      <c r="BC56" s="25" t="b">
        <f t="shared" si="22"/>
        <v>0</v>
      </c>
      <c r="BD56" s="25" t="str">
        <f>IF(BC56,BB56,"")</f>
        <v/>
      </c>
      <c r="BE56" s="216" t="s">
        <v>1532</v>
      </c>
      <c r="BF56" s="25" t="b">
        <f t="shared" si="23"/>
        <v>0</v>
      </c>
      <c r="BG56" s="25" t="str">
        <f>IF(BF56,BE56,"")</f>
        <v/>
      </c>
      <c r="BH56" s="216" t="s">
        <v>1536</v>
      </c>
      <c r="BI56" s="25" t="b">
        <f t="shared" si="24"/>
        <v>0</v>
      </c>
      <c r="BJ56" s="25" t="str">
        <f>IF(BI56,BH56,"")</f>
        <v/>
      </c>
      <c r="BK56" s="216" t="s">
        <v>1544</v>
      </c>
      <c r="BL56" s="25" t="b">
        <f t="shared" si="25"/>
        <v>0</v>
      </c>
      <c r="BM56" s="25" t="str">
        <f>IF(BL56,BK56,"")</f>
        <v/>
      </c>
      <c r="BN56" s="216" t="s">
        <v>1548</v>
      </c>
      <c r="BO56" s="25" t="b">
        <f t="shared" si="26"/>
        <v>0</v>
      </c>
      <c r="BP56" s="25" t="str">
        <f>IF(BO56,BN56,"")</f>
        <v/>
      </c>
      <c r="BQ56" s="216" t="s">
        <v>1555</v>
      </c>
      <c r="BR56" s="25" t="b">
        <f t="shared" si="27"/>
        <v>0</v>
      </c>
      <c r="BS56" s="25" t="str">
        <f>IF(BR56,BQ56,"")</f>
        <v/>
      </c>
      <c r="BT56" s="216" t="s">
        <v>1564</v>
      </c>
      <c r="BU56" s="25" t="b">
        <f t="shared" si="28"/>
        <v>0</v>
      </c>
      <c r="BV56" s="25" t="str">
        <f>IF(BU56,BT56,"")</f>
        <v/>
      </c>
      <c r="BW56" s="216" t="s">
        <v>1572</v>
      </c>
      <c r="BX56" s="25" t="b">
        <f t="shared" si="29"/>
        <v>0</v>
      </c>
      <c r="BY56" s="25" t="str">
        <f>IF(BX56,BW56,"")</f>
        <v/>
      </c>
      <c r="BZ56" s="216" t="s">
        <v>1580</v>
      </c>
      <c r="CA56" s="25" t="b">
        <f t="shared" si="30"/>
        <v>0</v>
      </c>
      <c r="CB56" s="25" t="str">
        <f>IF(CA56,BZ56,"")</f>
        <v/>
      </c>
      <c r="CC56" s="216" t="s">
        <v>1589</v>
      </c>
      <c r="CD56" s="25" t="b">
        <f t="shared" si="31"/>
        <v>0</v>
      </c>
      <c r="CE56" s="25" t="str">
        <f>IF(CD56,CC56,"")</f>
        <v/>
      </c>
      <c r="CF56" s="216" t="s">
        <v>1597</v>
      </c>
      <c r="CG56" s="25" t="b">
        <f t="shared" si="32"/>
        <v>0</v>
      </c>
      <c r="CH56" s="25" t="str">
        <f>IF(CG56,CF56,"")</f>
        <v/>
      </c>
      <c r="CI56" s="216" t="s">
        <v>1604</v>
      </c>
      <c r="CJ56" s="25" t="b">
        <f t="shared" si="33"/>
        <v>0</v>
      </c>
      <c r="CK56" s="25" t="str">
        <f>IF(CJ56,CI56,"")</f>
        <v/>
      </c>
      <c r="CL56" s="216" t="s">
        <v>1612</v>
      </c>
      <c r="CM56" s="25" t="b">
        <f t="shared" si="34"/>
        <v>0</v>
      </c>
      <c r="CN56" s="25" t="str">
        <f>IF(CM56,CL56,"")</f>
        <v/>
      </c>
    </row>
    <row r="57" spans="3:92" x14ac:dyDescent="0.2">
      <c r="C57" s="25">
        <v>15</v>
      </c>
      <c r="D57" s="25">
        <v>16</v>
      </c>
      <c r="E57" s="25">
        <v>17</v>
      </c>
      <c r="F57" s="25">
        <v>18</v>
      </c>
      <c r="G57" s="25">
        <v>19</v>
      </c>
      <c r="H57" s="25">
        <v>20</v>
      </c>
      <c r="I57" s="25">
        <v>21</v>
      </c>
      <c r="J57" s="25">
        <v>22</v>
      </c>
      <c r="K57" s="25">
        <v>23</v>
      </c>
      <c r="L57" s="25">
        <v>24</v>
      </c>
      <c r="M57" s="25">
        <v>25</v>
      </c>
      <c r="N57" s="25">
        <v>26</v>
      </c>
      <c r="O57" s="25">
        <v>27</v>
      </c>
      <c r="P57" s="25">
        <v>28</v>
      </c>
      <c r="Q57" s="25">
        <v>29</v>
      </c>
      <c r="T57" s="25" t="s">
        <v>1509</v>
      </c>
      <c r="U57" s="25">
        <v>7015</v>
      </c>
      <c r="V57" s="25" t="s">
        <v>265</v>
      </c>
      <c r="W57" s="38" t="s">
        <v>2550</v>
      </c>
      <c r="X57" s="25" t="s">
        <v>1512</v>
      </c>
      <c r="Y57" s="25" t="s">
        <v>164</v>
      </c>
      <c r="Z57" s="25" t="s">
        <v>1451</v>
      </c>
      <c r="AA57" s="25" t="s">
        <v>2551</v>
      </c>
      <c r="AB57" s="39">
        <v>40</v>
      </c>
      <c r="AC57" s="39" t="s">
        <v>244</v>
      </c>
      <c r="AD57" s="39">
        <v>5</v>
      </c>
      <c r="AE57" s="25" t="s">
        <v>2552</v>
      </c>
      <c r="AF57" s="39">
        <v>80</v>
      </c>
      <c r="AG57" s="39" t="s">
        <v>244</v>
      </c>
      <c r="AH57" s="39">
        <v>8</v>
      </c>
      <c r="AI57" s="25" t="s">
        <v>2553</v>
      </c>
      <c r="AJ57" s="39">
        <v>120</v>
      </c>
      <c r="AK57" s="39" t="s">
        <v>244</v>
      </c>
      <c r="AL57" s="39">
        <v>10</v>
      </c>
      <c r="AM57" s="25" t="s">
        <v>2554</v>
      </c>
      <c r="AN57" s="39">
        <v>160</v>
      </c>
      <c r="AO57" s="39" t="s">
        <v>244</v>
      </c>
      <c r="AP57" s="39">
        <v>12</v>
      </c>
      <c r="AQ57" s="25" t="s">
        <v>2555</v>
      </c>
      <c r="AR57" s="39"/>
      <c r="BA57" s="245" t="str">
        <f>AY46&amp;": "&amp;BA56&amp;BA55&amp;BA54&amp;BA53&amp;BA52&amp;BA51&amp;BA50&amp;BA49&amp;BA48&amp;BA47</f>
        <v xml:space="preserve">CAOS: </v>
      </c>
      <c r="BD57" s="245" t="str">
        <f>BB46&amp;": "&amp;BD56&amp;BD55&amp;BD54&amp;BD53&amp;BD52&amp;BD51&amp;BD50&amp;BD49&amp;BD48&amp;BD47</f>
        <v xml:space="preserve">GUERRA: </v>
      </c>
      <c r="BG57" s="245" t="str">
        <f>BE46&amp;": "&amp;BG56&amp;BG55&amp;BG54&amp;BG53&amp;BG52&amp;BG51&amp;BG50&amp;BG49&amp;BG48&amp;BG47</f>
        <v xml:space="preserve">LITERAE: </v>
      </c>
      <c r="BJ57" s="245" t="str">
        <f>BH46&amp;": "&amp;BJ56&amp;BJ55&amp;BJ54&amp;BJ53&amp;BJ52&amp;BJ51&amp;BJ50&amp;BJ49&amp;BJ48&amp;BJ47</f>
        <v xml:space="preserve">MUERTE: </v>
      </c>
      <c r="BM57" s="245" t="str">
        <f>BK46&amp;": "&amp;BM56&amp;BM55&amp;BM54&amp;BM53&amp;BM52&amp;BM51&amp;BM50&amp;BM49&amp;BM48&amp;BM47</f>
        <v xml:space="preserve">MUSICAL: </v>
      </c>
      <c r="BP57" s="245" t="str">
        <f>BN46&amp;": "&amp;BP56&amp;BP55&amp;BP54&amp;BP53&amp;BP52&amp;BP51&amp;BP50&amp;BP49&amp;BP48&amp;BP47</f>
        <v xml:space="preserve">NOBLEZA: </v>
      </c>
      <c r="BS57" s="245" t="str">
        <f>BQ46&amp;": "&amp;BS56&amp;BS55&amp;BS54&amp;BS53&amp;BS52&amp;BS51&amp;BS50&amp;BS49&amp;BS48&amp;BS47</f>
        <v xml:space="preserve">PAZ: </v>
      </c>
      <c r="BV57" s="245" t="str">
        <f>BT46&amp;": "&amp;BV56&amp;BV55&amp;BV54&amp;BV53&amp;BV52&amp;BV51&amp;BV50&amp;BV49&amp;BV48&amp;BV47</f>
        <v xml:space="preserve">PECADO: </v>
      </c>
      <c r="BY57" s="245" t="str">
        <f>BW46&amp;": "&amp;BY56&amp;BY55&amp;BY54&amp;BY53&amp;BY52&amp;BY51&amp;BY50&amp;BY49&amp;BY48&amp;BY47</f>
        <v xml:space="preserve">CONOCIMIENTO: </v>
      </c>
      <c r="CB57" s="245" t="str">
        <f>BZ46&amp;": "&amp;CB56&amp;CB55&amp;CB54&amp;CB53&amp;CB52&amp;CB51&amp;CB50&amp;CB49&amp;CB48&amp;CB47</f>
        <v xml:space="preserve">SANGRE: </v>
      </c>
      <c r="CE57" s="245" t="str">
        <f>CC46&amp;": "&amp;CE56&amp;CE55&amp;CE54&amp;CE53&amp;CE52&amp;CE51&amp;CE50&amp;CE49&amp;CE48&amp;CE47</f>
        <v xml:space="preserve">SUEÑOS: </v>
      </c>
      <c r="CH57" s="245" t="str">
        <f>CF46&amp;": "&amp;CH56&amp;CH55&amp;CH54&amp;CH53&amp;CH52&amp;CH51&amp;CH50&amp;CH49&amp;CH48&amp;CH47</f>
        <v xml:space="preserve">TIEMPO: </v>
      </c>
      <c r="CK57" s="245" t="str">
        <f>CI46&amp;": "&amp;CK56&amp;CK55&amp;CK54&amp;CK53&amp;CK52&amp;CK51&amp;CK50&amp;CK49&amp;CK48&amp;CK47</f>
        <v xml:space="preserve">UMBRAL: </v>
      </c>
      <c r="CN57" s="245" t="str">
        <f>CL46&amp;": "&amp;CN56&amp;CN55&amp;CN54&amp;CN53&amp;CN52&amp;CN51&amp;CN50&amp;CN49&amp;CN48&amp;CN47</f>
        <v xml:space="preserve">VACÍO: </v>
      </c>
    </row>
    <row r="58" spans="3:92" ht="13.5" thickBot="1" x14ac:dyDescent="0.25">
      <c r="C58" s="25" t="s">
        <v>1727</v>
      </c>
      <c r="D58" s="25" t="s">
        <v>1516</v>
      </c>
      <c r="E58" s="25" t="s">
        <v>1523</v>
      </c>
      <c r="F58" s="25" t="s">
        <v>1531</v>
      </c>
      <c r="G58" s="25" t="s">
        <v>1535</v>
      </c>
      <c r="H58" s="25" t="s">
        <v>1543</v>
      </c>
      <c r="I58" s="25" t="s">
        <v>132</v>
      </c>
      <c r="J58" s="25" t="s">
        <v>1554</v>
      </c>
      <c r="K58" s="25" t="s">
        <v>1563</v>
      </c>
      <c r="L58" s="25" t="s">
        <v>1571</v>
      </c>
      <c r="M58" s="25" t="s">
        <v>1579</v>
      </c>
      <c r="N58" s="25" t="s">
        <v>1728</v>
      </c>
      <c r="O58" s="25" t="s">
        <v>1596</v>
      </c>
      <c r="P58" s="25" t="s">
        <v>264</v>
      </c>
      <c r="Q58" s="25" t="s">
        <v>1611</v>
      </c>
      <c r="T58" s="25" t="s">
        <v>90</v>
      </c>
      <c r="U58" s="25">
        <v>26009</v>
      </c>
      <c r="V58" s="25" t="s">
        <v>3880</v>
      </c>
      <c r="W58" s="38" t="s">
        <v>3881</v>
      </c>
      <c r="X58" s="25">
        <v>86</v>
      </c>
      <c r="Y58" s="25" t="s">
        <v>1582</v>
      </c>
      <c r="Z58" s="25" t="s">
        <v>1451</v>
      </c>
      <c r="AA58" s="25" t="s">
        <v>3882</v>
      </c>
      <c r="AB58" s="39">
        <v>200</v>
      </c>
      <c r="AC58" s="39" t="s">
        <v>244</v>
      </c>
      <c r="AD58" s="39">
        <v>10</v>
      </c>
      <c r="AE58" s="25" t="s">
        <v>3883</v>
      </c>
      <c r="AF58" s="39">
        <v>300</v>
      </c>
      <c r="AG58" s="39" t="s">
        <v>244</v>
      </c>
      <c r="AH58" s="39">
        <v>12</v>
      </c>
      <c r="AI58" s="25" t="s">
        <v>3884</v>
      </c>
      <c r="AJ58" s="39">
        <v>400</v>
      </c>
      <c r="AK58" s="39" t="s">
        <v>244</v>
      </c>
      <c r="AL58" s="39">
        <v>14</v>
      </c>
      <c r="AM58" s="25" t="s">
        <v>3885</v>
      </c>
      <c r="AN58" s="39">
        <v>500</v>
      </c>
      <c r="AO58" s="39" t="s">
        <v>244</v>
      </c>
      <c r="AP58" s="39">
        <v>16</v>
      </c>
      <c r="AR58" s="39"/>
      <c r="AY58" s="25" t="s">
        <v>6743</v>
      </c>
    </row>
    <row r="59" spans="3:92" ht="13.5" thickBot="1" x14ac:dyDescent="0.25">
      <c r="D59" s="25">
        <v>1016</v>
      </c>
      <c r="E59" s="25">
        <v>1017</v>
      </c>
      <c r="F59" s="25">
        <v>1018</v>
      </c>
      <c r="G59" s="25">
        <v>1019</v>
      </c>
      <c r="H59" s="25">
        <v>1020</v>
      </c>
      <c r="I59" s="25">
        <v>1021</v>
      </c>
      <c r="J59" s="25">
        <v>1022</v>
      </c>
      <c r="K59" s="25">
        <v>1023</v>
      </c>
      <c r="L59" s="25">
        <v>1024</v>
      </c>
      <c r="M59" s="25">
        <v>1025</v>
      </c>
      <c r="N59" s="25">
        <v>1026</v>
      </c>
      <c r="O59" s="25">
        <v>1027</v>
      </c>
      <c r="P59" s="25">
        <v>1028</v>
      </c>
      <c r="Q59" s="25">
        <v>1029</v>
      </c>
      <c r="T59" s="25" t="s">
        <v>1619</v>
      </c>
      <c r="U59" s="25">
        <v>10115</v>
      </c>
      <c r="V59" s="25" t="s">
        <v>3073</v>
      </c>
      <c r="W59" s="38" t="s">
        <v>3074</v>
      </c>
      <c r="X59" s="25" t="s">
        <v>1622</v>
      </c>
      <c r="Y59" s="25" t="s">
        <v>164</v>
      </c>
      <c r="Z59" s="25" t="s">
        <v>1451</v>
      </c>
      <c r="AA59" s="25" t="s">
        <v>3075</v>
      </c>
      <c r="AB59" s="39">
        <v>30</v>
      </c>
      <c r="AC59" s="39">
        <v>5</v>
      </c>
      <c r="AD59" s="39">
        <v>6</v>
      </c>
      <c r="AE59" s="25" t="s">
        <v>3076</v>
      </c>
      <c r="AF59" s="39">
        <v>80</v>
      </c>
      <c r="AG59" s="39">
        <v>5</v>
      </c>
      <c r="AH59" s="39">
        <v>9</v>
      </c>
      <c r="AI59" s="25" t="s">
        <v>3077</v>
      </c>
      <c r="AJ59" s="39">
        <v>140</v>
      </c>
      <c r="AK59" s="39">
        <v>10</v>
      </c>
      <c r="AL59" s="39">
        <v>11</v>
      </c>
      <c r="AM59" s="25" t="s">
        <v>3078</v>
      </c>
      <c r="AN59" s="39">
        <v>180</v>
      </c>
      <c r="AO59" s="39">
        <v>15</v>
      </c>
      <c r="AP59" s="39">
        <v>13</v>
      </c>
      <c r="AQ59" s="25" t="s">
        <v>698</v>
      </c>
      <c r="AR59" s="39"/>
      <c r="AY59" s="249" t="str">
        <f>IF(AX46&gt;0,BA57&amp;CHAR(10),"")&amp;" "&amp;IF(BA46&gt;0,BD57&amp;CHAR(10),"")&amp;" "&amp;IF(BD46&gt;0,BG57&amp;CHAR(10),"")&amp;" "&amp;IF(BG46&gt;0,BJ57&amp;CHAR(10),"")&amp;" "&amp;IF(BJ46&gt;0,BM57&amp;CHAR(10),"")&amp;" "&amp;IF(BM46&gt;0,BP57&amp;CHAR(10),"")&amp;" "&amp;IF(BP46&gt;0,BS57&amp;CHAR(10),"")&amp;" "&amp;IF(BS46&gt;0,BV57&amp;CHAR(10),"")&amp;" "&amp;IF(BV46&gt;0,BY57&amp;CHAR(10),"")&amp;" "&amp;IF(BY46&gt;0,CB57&amp;CHAR(10),"")&amp;" "&amp;IF(CB46&gt;0,CE57&amp;CHAR(10),"")&amp;" "&amp;IF(CE46&gt;0,CH57&amp;CHAR(10),"")&amp;" "&amp;IF(CH46&gt;0,CK57&amp;CHAR(10),"")&amp;" "&amp;IF(CK46&gt;0,CN57&amp;CHAR(10),"")</f>
        <v xml:space="preserve">             </v>
      </c>
    </row>
    <row r="60" spans="3:92" x14ac:dyDescent="0.2">
      <c r="D60" s="25">
        <v>2016</v>
      </c>
      <c r="E60" s="25">
        <v>2017</v>
      </c>
      <c r="F60" s="25">
        <v>2018</v>
      </c>
      <c r="G60" s="25">
        <v>2019</v>
      </c>
      <c r="H60" s="25">
        <v>2020</v>
      </c>
      <c r="I60" s="25">
        <v>2021</v>
      </c>
      <c r="J60" s="25">
        <v>2022</v>
      </c>
      <c r="K60" s="25">
        <v>2023</v>
      </c>
      <c r="L60" s="25">
        <v>2024</v>
      </c>
      <c r="M60" s="25">
        <v>2025</v>
      </c>
      <c r="N60" s="25">
        <v>2026</v>
      </c>
      <c r="O60" s="25">
        <v>2027</v>
      </c>
      <c r="P60" s="25">
        <v>2028</v>
      </c>
      <c r="Q60" s="25">
        <v>2029</v>
      </c>
      <c r="T60" s="25" t="s">
        <v>35</v>
      </c>
      <c r="U60" s="25">
        <v>10007</v>
      </c>
      <c r="V60" s="25" t="s">
        <v>2993</v>
      </c>
      <c r="W60" s="38" t="s">
        <v>2994</v>
      </c>
      <c r="X60" s="25">
        <v>32</v>
      </c>
      <c r="Y60" s="25" t="s">
        <v>164</v>
      </c>
      <c r="Z60" s="25" t="s">
        <v>1451</v>
      </c>
      <c r="AA60" s="25" t="s">
        <v>1676</v>
      </c>
      <c r="AB60" s="39">
        <v>80</v>
      </c>
      <c r="AC60" s="39">
        <v>5</v>
      </c>
      <c r="AD60" s="39">
        <v>7</v>
      </c>
      <c r="AE60" s="25" t="s">
        <v>2995</v>
      </c>
      <c r="AF60" s="39">
        <v>100</v>
      </c>
      <c r="AG60" s="39">
        <v>5</v>
      </c>
      <c r="AH60" s="39">
        <v>10</v>
      </c>
      <c r="AI60" s="25" t="s">
        <v>2996</v>
      </c>
      <c r="AJ60" s="39">
        <v>120</v>
      </c>
      <c r="AK60" s="39">
        <v>10</v>
      </c>
      <c r="AL60" s="39">
        <v>12</v>
      </c>
      <c r="AM60" s="25" t="s">
        <v>2997</v>
      </c>
      <c r="AN60" s="39">
        <v>140</v>
      </c>
      <c r="AO60" s="39">
        <v>10</v>
      </c>
      <c r="AP60" s="39">
        <v>14</v>
      </c>
      <c r="AR60" s="39"/>
    </row>
    <row r="61" spans="3:92" x14ac:dyDescent="0.2">
      <c r="D61" s="25">
        <v>3016</v>
      </c>
      <c r="E61" s="25">
        <v>3017</v>
      </c>
      <c r="F61" s="25">
        <v>3018</v>
      </c>
      <c r="G61" s="25">
        <v>3019</v>
      </c>
      <c r="H61" s="25">
        <v>3020</v>
      </c>
      <c r="I61" s="25">
        <v>3021</v>
      </c>
      <c r="J61" s="25">
        <v>3022</v>
      </c>
      <c r="K61" s="25">
        <v>3023</v>
      </c>
      <c r="L61" s="25">
        <v>3024</v>
      </c>
      <c r="M61" s="25">
        <v>3025</v>
      </c>
      <c r="N61" s="25">
        <v>3026</v>
      </c>
      <c r="O61" s="25">
        <v>3027</v>
      </c>
      <c r="P61" s="25">
        <v>3028</v>
      </c>
      <c r="Q61" s="25">
        <v>3029</v>
      </c>
      <c r="T61" s="25" t="s">
        <v>1655</v>
      </c>
      <c r="U61" s="25">
        <v>5615</v>
      </c>
      <c r="V61" s="25" t="s">
        <v>2319</v>
      </c>
      <c r="W61" s="38" t="s">
        <v>2320</v>
      </c>
      <c r="X61" s="25" t="s">
        <v>1658</v>
      </c>
      <c r="Y61" s="25" t="s">
        <v>164</v>
      </c>
      <c r="Z61" s="25" t="s">
        <v>1451</v>
      </c>
      <c r="AA61" s="25" t="s">
        <v>1659</v>
      </c>
      <c r="AB61" s="39">
        <v>100</v>
      </c>
      <c r="AC61" s="39">
        <v>10</v>
      </c>
      <c r="AD61" s="39">
        <v>9</v>
      </c>
      <c r="AE61" s="25" t="s">
        <v>1660</v>
      </c>
      <c r="AF61" s="39">
        <v>120</v>
      </c>
      <c r="AG61" s="39">
        <v>10</v>
      </c>
      <c r="AH61" s="39">
        <v>11</v>
      </c>
      <c r="AI61" s="25" t="s">
        <v>1661</v>
      </c>
      <c r="AJ61" s="39">
        <v>140</v>
      </c>
      <c r="AK61" s="39">
        <v>15</v>
      </c>
      <c r="AL61" s="39">
        <v>14</v>
      </c>
      <c r="AM61" s="25" t="s">
        <v>1662</v>
      </c>
      <c r="AN61" s="39">
        <v>160</v>
      </c>
      <c r="AO61" s="39">
        <v>20</v>
      </c>
      <c r="AP61" s="39">
        <v>16</v>
      </c>
      <c r="AQ61" s="25" t="s">
        <v>61</v>
      </c>
      <c r="AR61" s="39"/>
    </row>
    <row r="62" spans="3:92" x14ac:dyDescent="0.2">
      <c r="D62" s="25">
        <v>4016</v>
      </c>
      <c r="E62" s="25">
        <v>4017</v>
      </c>
      <c r="F62" s="25">
        <v>4018</v>
      </c>
      <c r="G62" s="25">
        <v>4019</v>
      </c>
      <c r="H62" s="25">
        <v>4020</v>
      </c>
      <c r="I62" s="25">
        <v>4021</v>
      </c>
      <c r="J62" s="25">
        <v>4022</v>
      </c>
      <c r="K62" s="25">
        <v>4023</v>
      </c>
      <c r="L62" s="25">
        <v>4024</v>
      </c>
      <c r="M62" s="25">
        <v>4025</v>
      </c>
      <c r="N62" s="25">
        <v>4026</v>
      </c>
      <c r="O62" s="25">
        <v>4027</v>
      </c>
      <c r="P62" s="25">
        <v>4028</v>
      </c>
      <c r="Q62" s="25">
        <v>4029</v>
      </c>
      <c r="T62" s="25" t="s">
        <v>1655</v>
      </c>
      <c r="U62" s="25">
        <v>1615</v>
      </c>
      <c r="V62" s="25" t="s">
        <v>1656</v>
      </c>
      <c r="W62" s="38" t="s">
        <v>1657</v>
      </c>
      <c r="X62" s="25" t="s">
        <v>1658</v>
      </c>
      <c r="Y62" s="25" t="s">
        <v>164</v>
      </c>
      <c r="Z62" s="25" t="s">
        <v>1451</v>
      </c>
      <c r="AA62" s="25" t="s">
        <v>1659</v>
      </c>
      <c r="AB62" s="39">
        <v>100</v>
      </c>
      <c r="AC62" s="39">
        <v>10</v>
      </c>
      <c r="AD62" s="39">
        <v>9</v>
      </c>
      <c r="AE62" s="25" t="s">
        <v>1660</v>
      </c>
      <c r="AF62" s="39">
        <v>120</v>
      </c>
      <c r="AG62" s="39">
        <v>15</v>
      </c>
      <c r="AH62" s="39">
        <v>11</v>
      </c>
      <c r="AI62" s="25" t="s">
        <v>1661</v>
      </c>
      <c r="AJ62" s="39">
        <v>140</v>
      </c>
      <c r="AK62" s="39">
        <v>15</v>
      </c>
      <c r="AL62" s="39">
        <v>14</v>
      </c>
      <c r="AM62" s="25" t="s">
        <v>1662</v>
      </c>
      <c r="AN62" s="39">
        <v>160</v>
      </c>
      <c r="AO62" s="39">
        <v>20</v>
      </c>
      <c r="AP62" s="39">
        <v>16</v>
      </c>
      <c r="AQ62" s="25" t="s">
        <v>61</v>
      </c>
      <c r="AR62" s="39"/>
    </row>
    <row r="63" spans="3:92" ht="13.5" thickBot="1" x14ac:dyDescent="0.25">
      <c r="D63" s="25">
        <v>5016</v>
      </c>
      <c r="E63" s="25">
        <v>5017</v>
      </c>
      <c r="F63" s="25">
        <v>5018</v>
      </c>
      <c r="G63" s="25">
        <v>5019</v>
      </c>
      <c r="H63" s="25">
        <v>5020</v>
      </c>
      <c r="I63" s="25">
        <v>5021</v>
      </c>
      <c r="J63" s="25">
        <v>5022</v>
      </c>
      <c r="K63" s="25">
        <v>5023</v>
      </c>
      <c r="L63" s="25">
        <v>5024</v>
      </c>
      <c r="M63" s="25">
        <v>5025</v>
      </c>
      <c r="N63" s="25">
        <v>5026</v>
      </c>
      <c r="O63" s="25">
        <v>5027</v>
      </c>
      <c r="P63" s="25">
        <v>5028</v>
      </c>
      <c r="Q63" s="25">
        <v>5029</v>
      </c>
      <c r="T63" s="25" t="s">
        <v>70</v>
      </c>
      <c r="U63" s="25">
        <v>13005</v>
      </c>
      <c r="V63" s="25" t="s">
        <v>3310</v>
      </c>
      <c r="W63" s="38" t="s">
        <v>3311</v>
      </c>
      <c r="X63" s="25">
        <v>42</v>
      </c>
      <c r="Y63" s="25" t="s">
        <v>164</v>
      </c>
      <c r="Z63" s="25" t="s">
        <v>1557</v>
      </c>
      <c r="AA63" s="25" t="s">
        <v>3312</v>
      </c>
      <c r="AB63" s="39">
        <v>60</v>
      </c>
      <c r="AC63" s="39" t="s">
        <v>244</v>
      </c>
      <c r="AD63" s="39">
        <v>6</v>
      </c>
      <c r="AE63" s="25" t="s">
        <v>3313</v>
      </c>
      <c r="AF63" s="39">
        <v>90</v>
      </c>
      <c r="AG63" s="39" t="s">
        <v>244</v>
      </c>
      <c r="AH63" s="39">
        <v>9</v>
      </c>
      <c r="AI63" s="25" t="s">
        <v>3314</v>
      </c>
      <c r="AJ63" s="39">
        <v>120</v>
      </c>
      <c r="AK63" s="39" t="s">
        <v>244</v>
      </c>
      <c r="AL63" s="39">
        <v>12</v>
      </c>
      <c r="AM63" s="25" t="s">
        <v>3315</v>
      </c>
      <c r="AN63" s="39">
        <v>150</v>
      </c>
      <c r="AO63" s="39" t="s">
        <v>244</v>
      </c>
      <c r="AP63" s="39">
        <v>15</v>
      </c>
      <c r="AR63" s="39"/>
      <c r="AZ63" s="25" t="s">
        <v>6752</v>
      </c>
      <c r="BB63" s="25" t="s">
        <v>6753</v>
      </c>
    </row>
    <row r="64" spans="3:92" ht="13.5" thickBot="1" x14ac:dyDescent="0.25">
      <c r="D64" s="25">
        <v>6016</v>
      </c>
      <c r="E64" s="25">
        <v>6017</v>
      </c>
      <c r="F64" s="25">
        <v>6018</v>
      </c>
      <c r="G64" s="25">
        <v>6019</v>
      </c>
      <c r="H64" s="25">
        <v>6020</v>
      </c>
      <c r="I64" s="25">
        <v>6021</v>
      </c>
      <c r="J64" s="25">
        <v>6022</v>
      </c>
      <c r="K64" s="25">
        <v>6023</v>
      </c>
      <c r="L64" s="25">
        <v>6024</v>
      </c>
      <c r="M64" s="25">
        <v>6025</v>
      </c>
      <c r="N64" s="25">
        <v>6026</v>
      </c>
      <c r="O64" s="25">
        <v>6027</v>
      </c>
      <c r="P64" s="25">
        <v>6028</v>
      </c>
      <c r="Q64" s="25">
        <v>6029</v>
      </c>
      <c r="T64" s="25" t="s">
        <v>70</v>
      </c>
      <c r="U64" s="25">
        <v>11005</v>
      </c>
      <c r="V64" s="25" t="s">
        <v>3123</v>
      </c>
      <c r="W64" s="38" t="s">
        <v>6523</v>
      </c>
      <c r="X64" s="25">
        <v>36</v>
      </c>
      <c r="Y64" s="25" t="s">
        <v>164</v>
      </c>
      <c r="Z64" s="25" t="s">
        <v>1451</v>
      </c>
      <c r="AA64" s="25" t="s">
        <v>3124</v>
      </c>
      <c r="AB64" s="39">
        <v>60</v>
      </c>
      <c r="AC64" s="39">
        <v>15</v>
      </c>
      <c r="AD64" s="39">
        <v>7</v>
      </c>
      <c r="AE64" s="25" t="s">
        <v>3125</v>
      </c>
      <c r="AF64" s="39">
        <v>140</v>
      </c>
      <c r="AG64" s="39">
        <v>40</v>
      </c>
      <c r="AH64" s="39">
        <v>10</v>
      </c>
      <c r="AI64" s="25" t="s">
        <v>3126</v>
      </c>
      <c r="AJ64" s="39">
        <v>240</v>
      </c>
      <c r="AK64" s="39">
        <v>50</v>
      </c>
      <c r="AL64" s="39">
        <v>12</v>
      </c>
      <c r="AM64" s="25" t="s">
        <v>3127</v>
      </c>
      <c r="AN64" s="39">
        <v>300</v>
      </c>
      <c r="AO64" s="39">
        <v>60</v>
      </c>
      <c r="AP64" s="39">
        <v>15</v>
      </c>
      <c r="AR64" s="39" t="s">
        <v>6456</v>
      </c>
      <c r="AY64" s="84">
        <f>'Hoja básica'!AS72</f>
        <v>0</v>
      </c>
      <c r="AZ64" s="25" t="b">
        <v>0</v>
      </c>
      <c r="BA64" s="25" t="str">
        <f>IF(AY64&lt;&gt;0,IF(AZ64,", "&amp;AY64,AY64),"")</f>
        <v/>
      </c>
      <c r="BB64" s="249" t="str">
        <f>IF(OR(AZ64:AZ91),"LIBRE ACCESO Y SELECCIÓN DE CONJUROS: "&amp;CONCATENATE(BA64,BA65,BA66,BA67,BA68,BA69,BA70,BA71,BA72,BA73,BA74,BA75,BA76,BA77,BA78,BA79,BA80,BA81,BA82,BA83,BA84,BA85,BA86,BA87,BA88,BA89,BA90,BA91),"")</f>
        <v/>
      </c>
    </row>
    <row r="65" spans="2:53" x14ac:dyDescent="0.2">
      <c r="D65" s="25">
        <v>7016</v>
      </c>
      <c r="E65" s="25">
        <v>7017</v>
      </c>
      <c r="F65" s="25">
        <v>7018</v>
      </c>
      <c r="G65" s="25">
        <v>7019</v>
      </c>
      <c r="H65" s="25">
        <v>7020</v>
      </c>
      <c r="I65" s="25">
        <v>7021</v>
      </c>
      <c r="J65" s="25">
        <v>7022</v>
      </c>
      <c r="K65" s="25">
        <v>7023</v>
      </c>
      <c r="L65" s="25">
        <v>7024</v>
      </c>
      <c r="M65" s="25">
        <v>7025</v>
      </c>
      <c r="N65" s="25">
        <v>7026</v>
      </c>
      <c r="O65" s="25">
        <v>7027</v>
      </c>
      <c r="P65" s="25">
        <v>7028</v>
      </c>
      <c r="Q65" s="25">
        <v>7029</v>
      </c>
      <c r="T65" s="25" t="s">
        <v>35</v>
      </c>
      <c r="U65" s="25">
        <v>3007</v>
      </c>
      <c r="V65" s="25" t="s">
        <v>1888</v>
      </c>
      <c r="W65" s="38" t="s">
        <v>6552</v>
      </c>
      <c r="X65" s="25">
        <v>10</v>
      </c>
      <c r="Y65" s="25" t="s">
        <v>164</v>
      </c>
      <c r="Z65" s="25" t="s">
        <v>1451</v>
      </c>
      <c r="AA65" s="25" t="s">
        <v>1889</v>
      </c>
      <c r="AB65" s="39">
        <v>40</v>
      </c>
      <c r="AC65" s="39">
        <v>5</v>
      </c>
      <c r="AD65" s="39">
        <v>5</v>
      </c>
      <c r="AE65" s="25" t="s">
        <v>1890</v>
      </c>
      <c r="AF65" s="39">
        <v>120</v>
      </c>
      <c r="AG65" s="39">
        <v>25</v>
      </c>
      <c r="AH65" s="39">
        <v>8</v>
      </c>
      <c r="AI65" s="25" t="s">
        <v>1891</v>
      </c>
      <c r="AJ65" s="39">
        <v>200</v>
      </c>
      <c r="AK65" s="39">
        <v>30</v>
      </c>
      <c r="AL65" s="39">
        <v>10</v>
      </c>
      <c r="AM65" s="25" t="s">
        <v>1892</v>
      </c>
      <c r="AN65" s="39">
        <v>320</v>
      </c>
      <c r="AO65" s="39">
        <v>40</v>
      </c>
      <c r="AP65" s="39">
        <v>12</v>
      </c>
      <c r="AR65" s="39" t="s">
        <v>6456</v>
      </c>
      <c r="AY65" s="85">
        <f>'Hoja básica'!AS73</f>
        <v>0</v>
      </c>
      <c r="AZ65" s="25" t="b">
        <f>OR(AZ64,AY64&lt;&gt;0)</f>
        <v>0</v>
      </c>
      <c r="BA65" s="25" t="str">
        <f t="shared" ref="BA65:BA91" si="50">IF(AY65&lt;&gt;0,IF(AZ65,", "&amp;AY65,AY65),"")</f>
        <v/>
      </c>
    </row>
    <row r="66" spans="2:53" x14ac:dyDescent="0.2">
      <c r="D66" s="25">
        <v>8016</v>
      </c>
      <c r="E66" s="25">
        <v>8017</v>
      </c>
      <c r="F66" s="25">
        <v>8018</v>
      </c>
      <c r="G66" s="25">
        <v>8019</v>
      </c>
      <c r="H66" s="25">
        <v>8020</v>
      </c>
      <c r="I66" s="25">
        <v>8021</v>
      </c>
      <c r="J66" s="25">
        <v>8022</v>
      </c>
      <c r="K66" s="25">
        <v>8023</v>
      </c>
      <c r="L66" s="25">
        <v>8024</v>
      </c>
      <c r="M66" s="25">
        <v>8025</v>
      </c>
      <c r="N66" s="25">
        <v>8026</v>
      </c>
      <c r="O66" s="25">
        <v>8027</v>
      </c>
      <c r="P66" s="25">
        <v>8028</v>
      </c>
      <c r="Q66" s="25">
        <v>8029</v>
      </c>
      <c r="T66" s="25" t="s">
        <v>49</v>
      </c>
      <c r="U66" s="25">
        <v>6003</v>
      </c>
      <c r="V66" s="25" t="s">
        <v>2345</v>
      </c>
      <c r="W66" s="38" t="s">
        <v>6617</v>
      </c>
      <c r="X66" s="25">
        <v>16</v>
      </c>
      <c r="Y66" s="25" t="s">
        <v>164</v>
      </c>
      <c r="Z66" s="25" t="s">
        <v>1451</v>
      </c>
      <c r="AA66" s="25" t="s">
        <v>2346</v>
      </c>
      <c r="AB66" s="39">
        <v>80</v>
      </c>
      <c r="AC66" s="39">
        <v>15</v>
      </c>
      <c r="AD66" s="39">
        <v>8</v>
      </c>
      <c r="AE66" s="25" t="s">
        <v>2347</v>
      </c>
      <c r="AF66" s="39">
        <v>120</v>
      </c>
      <c r="AG66" s="39">
        <v>20</v>
      </c>
      <c r="AH66" s="39">
        <v>10</v>
      </c>
      <c r="AI66" s="25" t="s">
        <v>2348</v>
      </c>
      <c r="AJ66" s="39">
        <v>150</v>
      </c>
      <c r="AK66" s="39">
        <v>30</v>
      </c>
      <c r="AL66" s="39">
        <v>12</v>
      </c>
      <c r="AM66" s="25" t="s">
        <v>2349</v>
      </c>
      <c r="AN66" s="39">
        <v>200</v>
      </c>
      <c r="AO66" s="39">
        <v>40</v>
      </c>
      <c r="AP66" s="39">
        <v>14</v>
      </c>
      <c r="AR66" s="39" t="s">
        <v>6456</v>
      </c>
      <c r="AY66" s="85">
        <f>'Hoja básica'!AS74</f>
        <v>0</v>
      </c>
      <c r="AZ66" s="25" t="b">
        <f t="shared" ref="AZ66:AZ91" si="51">OR(AZ65,AY65&lt;&gt;0)</f>
        <v>0</v>
      </c>
      <c r="BA66" s="25" t="str">
        <f t="shared" si="50"/>
        <v/>
      </c>
    </row>
    <row r="67" spans="2:53" x14ac:dyDescent="0.2">
      <c r="D67" s="25">
        <v>9016</v>
      </c>
      <c r="E67" s="25">
        <v>9017</v>
      </c>
      <c r="F67" s="25">
        <v>9018</v>
      </c>
      <c r="G67" s="25">
        <v>9019</v>
      </c>
      <c r="H67" s="25">
        <v>9020</v>
      </c>
      <c r="I67" s="25">
        <v>9021</v>
      </c>
      <c r="J67" s="25">
        <v>9022</v>
      </c>
      <c r="K67" s="25">
        <v>9023</v>
      </c>
      <c r="L67" s="25">
        <v>9024</v>
      </c>
      <c r="M67" s="25">
        <v>9025</v>
      </c>
      <c r="N67" s="25">
        <v>9026</v>
      </c>
      <c r="O67" s="25">
        <v>9027</v>
      </c>
      <c r="P67" s="25">
        <v>9028</v>
      </c>
      <c r="Q67" s="25">
        <v>9029</v>
      </c>
      <c r="T67" s="25" t="s">
        <v>35</v>
      </c>
      <c r="U67" s="25">
        <v>26007</v>
      </c>
      <c r="V67" s="25" t="s">
        <v>3870</v>
      </c>
      <c r="W67" s="38" t="s">
        <v>6478</v>
      </c>
      <c r="X67" s="25">
        <v>86</v>
      </c>
      <c r="Y67" s="25" t="s">
        <v>1498</v>
      </c>
      <c r="Z67" s="25" t="s">
        <v>1451</v>
      </c>
      <c r="AA67" s="25" t="s">
        <v>3871</v>
      </c>
      <c r="AB67" s="39">
        <v>200</v>
      </c>
      <c r="AC67" s="39">
        <v>20</v>
      </c>
      <c r="AD67" s="39">
        <v>10</v>
      </c>
      <c r="AE67" s="25" t="s">
        <v>3872</v>
      </c>
      <c r="AF67" s="39">
        <v>240</v>
      </c>
      <c r="AG67" s="39">
        <v>25</v>
      </c>
      <c r="AH67" s="39">
        <v>12</v>
      </c>
      <c r="AI67" s="25" t="s">
        <v>3873</v>
      </c>
      <c r="AJ67" s="39">
        <v>280</v>
      </c>
      <c r="AK67" s="39">
        <v>30</v>
      </c>
      <c r="AL67" s="39">
        <v>14</v>
      </c>
      <c r="AM67" s="25" t="s">
        <v>3874</v>
      </c>
      <c r="AN67" s="39">
        <v>320</v>
      </c>
      <c r="AO67" s="39">
        <v>35</v>
      </c>
      <c r="AP67" s="39">
        <v>16</v>
      </c>
      <c r="AR67" s="39" t="s">
        <v>6456</v>
      </c>
      <c r="AY67" s="85">
        <f>'Hoja básica'!AS75</f>
        <v>0</v>
      </c>
      <c r="AZ67" s="25" t="b">
        <f t="shared" si="51"/>
        <v>0</v>
      </c>
      <c r="BA67" s="25" t="str">
        <f t="shared" si="50"/>
        <v/>
      </c>
    </row>
    <row r="68" spans="2:53" x14ac:dyDescent="0.2">
      <c r="D68" s="25">
        <v>10016</v>
      </c>
      <c r="E68" s="25">
        <v>10017</v>
      </c>
      <c r="F68" s="25">
        <v>10018</v>
      </c>
      <c r="G68" s="25">
        <v>10019</v>
      </c>
      <c r="H68" s="25">
        <v>10020</v>
      </c>
      <c r="I68" s="25">
        <v>10021</v>
      </c>
      <c r="J68" s="25">
        <v>10022</v>
      </c>
      <c r="K68" s="25">
        <v>10023</v>
      </c>
      <c r="L68" s="25">
        <v>10024</v>
      </c>
      <c r="M68" s="25">
        <v>10025</v>
      </c>
      <c r="N68" s="25">
        <v>10026</v>
      </c>
      <c r="O68" s="25">
        <v>10027</v>
      </c>
      <c r="P68" s="25">
        <v>10028</v>
      </c>
      <c r="Q68" s="25">
        <v>10029</v>
      </c>
      <c r="T68" s="25" t="s">
        <v>1516</v>
      </c>
      <c r="U68" s="25">
        <v>2016</v>
      </c>
      <c r="V68" s="25" t="s">
        <v>1750</v>
      </c>
      <c r="W68" s="38" t="s">
        <v>1751</v>
      </c>
      <c r="X68" s="25">
        <v>14</v>
      </c>
      <c r="Y68" s="25" t="s">
        <v>164</v>
      </c>
      <c r="Z68" s="25" t="s">
        <v>1451</v>
      </c>
      <c r="AA68" s="25" t="s">
        <v>1752</v>
      </c>
      <c r="AB68" s="39">
        <v>60</v>
      </c>
      <c r="AC68" s="39">
        <v>15</v>
      </c>
      <c r="AD68" s="39">
        <v>6</v>
      </c>
      <c r="AE68" s="25" t="s">
        <v>1753</v>
      </c>
      <c r="AF68" s="39">
        <v>90</v>
      </c>
      <c r="AG68" s="39">
        <v>20</v>
      </c>
      <c r="AH68" s="39">
        <v>9</v>
      </c>
      <c r="AI68" s="25" t="s">
        <v>1754</v>
      </c>
      <c r="AJ68" s="39">
        <v>120</v>
      </c>
      <c r="AK68" s="39">
        <v>25</v>
      </c>
      <c r="AL68" s="39">
        <v>12</v>
      </c>
      <c r="AM68" s="25" t="s">
        <v>1755</v>
      </c>
      <c r="AN68" s="39">
        <v>150</v>
      </c>
      <c r="AO68" s="39">
        <v>30</v>
      </c>
      <c r="AP68" s="39">
        <v>15</v>
      </c>
      <c r="AQ68" s="25" t="s">
        <v>1522</v>
      </c>
      <c r="AR68" s="39"/>
      <c r="AY68" s="85">
        <f>'Hoja básica'!AS76</f>
        <v>0</v>
      </c>
      <c r="AZ68" s="25" t="b">
        <f t="shared" si="51"/>
        <v>0</v>
      </c>
      <c r="BA68" s="25" t="str">
        <f t="shared" si="50"/>
        <v/>
      </c>
    </row>
    <row r="69" spans="2:53" x14ac:dyDescent="0.2">
      <c r="T69" s="25" t="s">
        <v>61</v>
      </c>
      <c r="U69" s="25">
        <v>20004</v>
      </c>
      <c r="V69" s="25" t="s">
        <v>3620</v>
      </c>
      <c r="W69" s="38" t="s">
        <v>6613</v>
      </c>
      <c r="X69" s="25">
        <v>50</v>
      </c>
      <c r="Y69" s="25" t="s">
        <v>164</v>
      </c>
      <c r="Z69" s="25" t="s">
        <v>1451</v>
      </c>
      <c r="AA69" s="25" t="s">
        <v>3621</v>
      </c>
      <c r="AB69" s="39">
        <v>150</v>
      </c>
      <c r="AC69" s="39">
        <v>15</v>
      </c>
      <c r="AD69" s="39">
        <v>8</v>
      </c>
      <c r="AE69" s="25" t="s">
        <v>3622</v>
      </c>
      <c r="AF69" s="39">
        <v>200</v>
      </c>
      <c r="AG69" s="39">
        <v>20</v>
      </c>
      <c r="AH69" s="39">
        <v>10</v>
      </c>
      <c r="AI69" s="25" t="s">
        <v>3623</v>
      </c>
      <c r="AJ69" s="39">
        <v>250</v>
      </c>
      <c r="AK69" s="39">
        <v>25</v>
      </c>
      <c r="AL69" s="39">
        <v>12</v>
      </c>
      <c r="AM69" s="25" t="s">
        <v>3624</v>
      </c>
      <c r="AN69" s="39">
        <v>350</v>
      </c>
      <c r="AO69" s="39">
        <v>30</v>
      </c>
      <c r="AP69" s="39">
        <v>15</v>
      </c>
      <c r="AR69" s="39" t="s">
        <v>6456</v>
      </c>
      <c r="AY69" s="85">
        <f>'Hoja básica'!AS77</f>
        <v>0</v>
      </c>
      <c r="AZ69" s="25" t="b">
        <f t="shared" si="51"/>
        <v>0</v>
      </c>
      <c r="BA69" s="25" t="str">
        <f t="shared" si="50"/>
        <v/>
      </c>
    </row>
    <row r="70" spans="2:53" x14ac:dyDescent="0.2">
      <c r="B70" s="25" t="s">
        <v>1727</v>
      </c>
      <c r="C70" s="26">
        <v>30</v>
      </c>
      <c r="D70" s="26">
        <v>31</v>
      </c>
      <c r="E70" s="26">
        <v>32</v>
      </c>
      <c r="F70" s="25">
        <v>33</v>
      </c>
      <c r="G70" s="25">
        <v>34</v>
      </c>
      <c r="H70" s="25">
        <v>35</v>
      </c>
      <c r="I70" s="25">
        <v>36</v>
      </c>
      <c r="J70" s="25">
        <v>37</v>
      </c>
      <c r="K70" s="25">
        <v>38</v>
      </c>
      <c r="L70" s="25">
        <v>39</v>
      </c>
      <c r="T70" s="25" t="s">
        <v>49</v>
      </c>
      <c r="U70" s="25">
        <v>22003</v>
      </c>
      <c r="V70" s="25" t="s">
        <v>3708</v>
      </c>
      <c r="W70" s="38" t="s">
        <v>3709</v>
      </c>
      <c r="X70" s="25">
        <v>56</v>
      </c>
      <c r="Y70" s="25" t="s">
        <v>164</v>
      </c>
      <c r="Z70" s="25" t="s">
        <v>1557</v>
      </c>
      <c r="AA70" s="25" t="s">
        <v>3710</v>
      </c>
      <c r="AB70" s="39">
        <v>120</v>
      </c>
      <c r="AC70" s="39">
        <v>10</v>
      </c>
      <c r="AD70" s="39">
        <v>6</v>
      </c>
      <c r="AE70" s="25" t="s">
        <v>3711</v>
      </c>
      <c r="AF70" s="39">
        <v>180</v>
      </c>
      <c r="AG70" s="39">
        <v>15</v>
      </c>
      <c r="AH70" s="39">
        <v>9</v>
      </c>
      <c r="AI70" s="25" t="s">
        <v>3712</v>
      </c>
      <c r="AJ70" s="39">
        <v>240</v>
      </c>
      <c r="AK70" s="39">
        <v>25</v>
      </c>
      <c r="AL70" s="39">
        <v>12</v>
      </c>
      <c r="AM70" s="25" t="s">
        <v>3713</v>
      </c>
      <c r="AN70" s="39">
        <v>350</v>
      </c>
      <c r="AO70" s="39">
        <v>35</v>
      </c>
      <c r="AP70" s="39">
        <v>15</v>
      </c>
      <c r="AR70" s="39"/>
      <c r="AY70" s="85">
        <f>'Hoja básica'!AS78</f>
        <v>0</v>
      </c>
      <c r="AZ70" s="25" t="b">
        <f t="shared" si="51"/>
        <v>0</v>
      </c>
      <c r="BA70" s="25" t="str">
        <f t="shared" si="50"/>
        <v/>
      </c>
    </row>
    <row r="71" spans="2:53" x14ac:dyDescent="0.2">
      <c r="C71" s="27" t="s">
        <v>1785</v>
      </c>
      <c r="D71" s="27" t="s">
        <v>759</v>
      </c>
      <c r="E71" s="27" t="s">
        <v>761</v>
      </c>
      <c r="F71" s="27" t="s">
        <v>1786</v>
      </c>
      <c r="G71" s="27" t="s">
        <v>1787</v>
      </c>
      <c r="H71" s="27" t="s">
        <v>1788</v>
      </c>
      <c r="I71" s="27" t="s">
        <v>1789</v>
      </c>
      <c r="J71" s="27" t="s">
        <v>1790</v>
      </c>
      <c r="K71" s="27" t="s">
        <v>1791</v>
      </c>
      <c r="L71" s="27" t="s">
        <v>1792</v>
      </c>
      <c r="T71" s="25" t="s">
        <v>1611</v>
      </c>
      <c r="U71" s="25">
        <v>6029</v>
      </c>
      <c r="V71" s="25" t="s">
        <v>2450</v>
      </c>
      <c r="W71" s="38" t="s">
        <v>6570</v>
      </c>
      <c r="X71" s="25">
        <v>54</v>
      </c>
      <c r="Y71" s="25" t="s">
        <v>164</v>
      </c>
      <c r="Z71" s="25" t="s">
        <v>1451</v>
      </c>
      <c r="AA71" s="25" t="s">
        <v>2451</v>
      </c>
      <c r="AB71" s="39">
        <v>120</v>
      </c>
      <c r="AC71" s="39">
        <v>15</v>
      </c>
      <c r="AD71" s="39">
        <v>6</v>
      </c>
      <c r="AE71" s="25" t="s">
        <v>2452</v>
      </c>
      <c r="AF71" s="39">
        <v>180</v>
      </c>
      <c r="AG71" s="39">
        <v>20</v>
      </c>
      <c r="AH71" s="39">
        <v>9</v>
      </c>
      <c r="AI71" s="25" t="s">
        <v>2453</v>
      </c>
      <c r="AJ71" s="39">
        <v>240</v>
      </c>
      <c r="AK71" s="39">
        <v>25</v>
      </c>
      <c r="AL71" s="39">
        <v>12</v>
      </c>
      <c r="AM71" s="25" t="s">
        <v>2454</v>
      </c>
      <c r="AN71" s="39">
        <v>350</v>
      </c>
      <c r="AO71" s="39">
        <v>35</v>
      </c>
      <c r="AP71" s="39">
        <v>15</v>
      </c>
      <c r="AQ71" s="25" t="s">
        <v>1618</v>
      </c>
      <c r="AR71" s="39" t="s">
        <v>6456</v>
      </c>
      <c r="AY71" s="85">
        <f>'Hoja básica'!AS79</f>
        <v>0</v>
      </c>
      <c r="AZ71" s="25" t="b">
        <f t="shared" si="51"/>
        <v>0</v>
      </c>
      <c r="BA71" s="25" t="str">
        <f t="shared" si="50"/>
        <v/>
      </c>
    </row>
    <row r="72" spans="2:53" x14ac:dyDescent="0.2">
      <c r="C72" s="25">
        <v>1015</v>
      </c>
      <c r="D72" s="25">
        <v>1115</v>
      </c>
      <c r="E72" s="25">
        <v>1215</v>
      </c>
      <c r="F72" s="25">
        <v>1315</v>
      </c>
      <c r="G72" s="25">
        <v>1415</v>
      </c>
      <c r="H72" s="25">
        <v>1515</v>
      </c>
      <c r="I72" s="25">
        <v>1615</v>
      </c>
      <c r="J72" s="25">
        <v>1715</v>
      </c>
      <c r="K72" s="25">
        <v>1815</v>
      </c>
      <c r="L72" s="25">
        <v>1915</v>
      </c>
      <c r="T72" s="25" t="s">
        <v>1535</v>
      </c>
      <c r="U72" s="25">
        <v>1019</v>
      </c>
      <c r="V72" s="25" t="s">
        <v>1536</v>
      </c>
      <c r="W72" s="38" t="s">
        <v>1537</v>
      </c>
      <c r="X72" s="25">
        <v>4</v>
      </c>
      <c r="Y72" s="25" t="s">
        <v>164</v>
      </c>
      <c r="Z72" s="25" t="s">
        <v>1451</v>
      </c>
      <c r="AA72" s="25" t="s">
        <v>1538</v>
      </c>
      <c r="AB72" s="39">
        <v>50</v>
      </c>
      <c r="AC72" s="39" t="s">
        <v>744</v>
      </c>
      <c r="AD72" s="39">
        <v>4</v>
      </c>
      <c r="AE72" s="25" t="s">
        <v>1539</v>
      </c>
      <c r="AF72" s="39">
        <v>80</v>
      </c>
      <c r="AG72" s="39" t="s">
        <v>744</v>
      </c>
      <c r="AH72" s="39">
        <v>8</v>
      </c>
      <c r="AI72" s="25" t="s">
        <v>1540</v>
      </c>
      <c r="AJ72" s="39">
        <v>100</v>
      </c>
      <c r="AK72" s="39" t="s">
        <v>744</v>
      </c>
      <c r="AL72" s="39">
        <v>10</v>
      </c>
      <c r="AM72" s="25" t="s">
        <v>1541</v>
      </c>
      <c r="AN72" s="39">
        <v>120</v>
      </c>
      <c r="AO72" s="39" t="s">
        <v>744</v>
      </c>
      <c r="AP72" s="39">
        <v>12</v>
      </c>
      <c r="AQ72" s="25" t="s">
        <v>1542</v>
      </c>
      <c r="AR72" s="39"/>
      <c r="AY72" s="85">
        <f>'Hoja básica'!AS80</f>
        <v>0</v>
      </c>
      <c r="AZ72" s="25" t="b">
        <f t="shared" si="51"/>
        <v>0</v>
      </c>
      <c r="BA72" s="25" t="str">
        <f t="shared" si="50"/>
        <v/>
      </c>
    </row>
    <row r="73" spans="2:53" x14ac:dyDescent="0.2">
      <c r="C73" s="25">
        <v>2015</v>
      </c>
      <c r="D73" s="25">
        <v>2115</v>
      </c>
      <c r="E73" s="25">
        <v>2215</v>
      </c>
      <c r="F73" s="25">
        <v>2315</v>
      </c>
      <c r="G73" s="25">
        <v>2415</v>
      </c>
      <c r="H73" s="25">
        <v>2515</v>
      </c>
      <c r="I73" s="25">
        <v>2615</v>
      </c>
      <c r="J73" s="25">
        <v>2715</v>
      </c>
      <c r="K73" s="25">
        <v>2815</v>
      </c>
      <c r="L73" s="25">
        <v>2915</v>
      </c>
      <c r="T73" s="25" t="s">
        <v>1563</v>
      </c>
      <c r="U73" s="25">
        <v>5023</v>
      </c>
      <c r="V73" s="25" t="s">
        <v>251</v>
      </c>
      <c r="W73" s="38" t="s">
        <v>2260</v>
      </c>
      <c r="X73" s="25">
        <v>44</v>
      </c>
      <c r="Y73" s="25" t="s">
        <v>1498</v>
      </c>
      <c r="Z73" s="25" t="s">
        <v>1451</v>
      </c>
      <c r="AA73" s="25" t="s">
        <v>2261</v>
      </c>
      <c r="AB73" s="39">
        <v>50</v>
      </c>
      <c r="AC73" s="39" t="s">
        <v>744</v>
      </c>
      <c r="AD73" s="39">
        <v>8</v>
      </c>
      <c r="AE73" s="25" t="s">
        <v>2262</v>
      </c>
      <c r="AF73" s="39">
        <v>80</v>
      </c>
      <c r="AG73" s="39" t="s">
        <v>744</v>
      </c>
      <c r="AH73" s="39">
        <v>10</v>
      </c>
      <c r="AI73" s="25" t="s">
        <v>2263</v>
      </c>
      <c r="AJ73" s="39">
        <v>120</v>
      </c>
      <c r="AK73" s="39" t="s">
        <v>744</v>
      </c>
      <c r="AL73" s="39">
        <v>12</v>
      </c>
      <c r="AM73" s="25" t="s">
        <v>2264</v>
      </c>
      <c r="AN73" s="39">
        <v>260</v>
      </c>
      <c r="AO73" s="39" t="s">
        <v>744</v>
      </c>
      <c r="AP73" s="39">
        <v>14</v>
      </c>
      <c r="AQ73" s="25" t="s">
        <v>1570</v>
      </c>
      <c r="AR73" s="39"/>
      <c r="AY73" s="85">
        <f>'Hoja básica'!AS81</f>
        <v>0</v>
      </c>
      <c r="AZ73" s="25" t="b">
        <f t="shared" si="51"/>
        <v>0</v>
      </c>
      <c r="BA73" s="25" t="str">
        <f t="shared" si="50"/>
        <v/>
      </c>
    </row>
    <row r="74" spans="2:53" x14ac:dyDescent="0.2">
      <c r="C74" s="25">
        <v>3015</v>
      </c>
      <c r="D74" s="25">
        <v>3115</v>
      </c>
      <c r="E74" s="25">
        <v>3215</v>
      </c>
      <c r="F74" s="25">
        <v>3315</v>
      </c>
      <c r="G74" s="25">
        <v>3415</v>
      </c>
      <c r="H74" s="25">
        <v>3515</v>
      </c>
      <c r="I74" s="25">
        <v>3615</v>
      </c>
      <c r="J74" s="25">
        <v>3715</v>
      </c>
      <c r="K74" s="25">
        <v>3815</v>
      </c>
      <c r="L74" s="25">
        <v>3915</v>
      </c>
      <c r="T74" s="25" t="s">
        <v>90</v>
      </c>
      <c r="U74" s="25">
        <v>6009</v>
      </c>
      <c r="V74" s="25" t="s">
        <v>2375</v>
      </c>
      <c r="W74" s="38" t="s">
        <v>6469</v>
      </c>
      <c r="X74" s="25">
        <v>20</v>
      </c>
      <c r="Y74" s="25" t="s">
        <v>520</v>
      </c>
      <c r="Z74" s="25" t="s">
        <v>1451</v>
      </c>
      <c r="AA74" s="25" t="s">
        <v>2065</v>
      </c>
      <c r="AB74" s="39">
        <v>40</v>
      </c>
      <c r="AC74" s="39">
        <v>5</v>
      </c>
      <c r="AD74" s="39">
        <v>6</v>
      </c>
      <c r="AE74" s="25" t="s">
        <v>2376</v>
      </c>
      <c r="AF74" s="39">
        <v>60</v>
      </c>
      <c r="AG74" s="39">
        <v>10</v>
      </c>
      <c r="AH74" s="39">
        <v>9</v>
      </c>
      <c r="AI74" s="25" t="s">
        <v>2377</v>
      </c>
      <c r="AJ74" s="39">
        <v>90</v>
      </c>
      <c r="AK74" s="39">
        <v>10</v>
      </c>
      <c r="AL74" s="39">
        <v>12</v>
      </c>
      <c r="AM74" s="25" t="s">
        <v>2378</v>
      </c>
      <c r="AN74" s="39">
        <v>120</v>
      </c>
      <c r="AO74" s="39">
        <v>15</v>
      </c>
      <c r="AP74" s="39">
        <v>15</v>
      </c>
      <c r="AR74" s="39" t="s">
        <v>6456</v>
      </c>
      <c r="AY74" s="85">
        <f>'Hoja básica'!AS82</f>
        <v>0</v>
      </c>
      <c r="AZ74" s="25" t="b">
        <f t="shared" si="51"/>
        <v>0</v>
      </c>
      <c r="BA74" s="25" t="str">
        <f t="shared" si="50"/>
        <v/>
      </c>
    </row>
    <row r="75" spans="2:53" x14ac:dyDescent="0.2">
      <c r="C75" s="25">
        <v>4015</v>
      </c>
      <c r="D75" s="25">
        <v>4115</v>
      </c>
      <c r="E75" s="25">
        <v>4215</v>
      </c>
      <c r="F75" s="25">
        <v>4315</v>
      </c>
      <c r="G75" s="25">
        <v>4415</v>
      </c>
      <c r="H75" s="25">
        <v>4515</v>
      </c>
      <c r="I75" s="25">
        <v>4615</v>
      </c>
      <c r="J75" s="25">
        <v>4715</v>
      </c>
      <c r="K75" s="25">
        <v>4815</v>
      </c>
      <c r="L75" s="25">
        <v>4915</v>
      </c>
      <c r="T75" s="25" t="s">
        <v>49</v>
      </c>
      <c r="U75" s="25">
        <v>9003</v>
      </c>
      <c r="V75" s="25" t="s">
        <v>2820</v>
      </c>
      <c r="W75" s="38" t="s">
        <v>6589</v>
      </c>
      <c r="X75" s="25">
        <v>22</v>
      </c>
      <c r="Y75" s="25" t="s">
        <v>164</v>
      </c>
      <c r="Z75" s="25" t="s">
        <v>1451</v>
      </c>
      <c r="AA75" s="25" t="s">
        <v>2821</v>
      </c>
      <c r="AB75" s="39">
        <v>60</v>
      </c>
      <c r="AC75" s="39">
        <v>10</v>
      </c>
      <c r="AD75" s="39">
        <v>6</v>
      </c>
      <c r="AE75" s="25" t="s">
        <v>2822</v>
      </c>
      <c r="AF75" s="39">
        <v>90</v>
      </c>
      <c r="AG75" s="39">
        <v>10</v>
      </c>
      <c r="AH75" s="39">
        <v>9</v>
      </c>
      <c r="AI75" s="25" t="s">
        <v>2823</v>
      </c>
      <c r="AJ75" s="39">
        <v>120</v>
      </c>
      <c r="AK75" s="39">
        <v>15</v>
      </c>
      <c r="AL75" s="39">
        <v>12</v>
      </c>
      <c r="AM75" s="25" t="s">
        <v>2824</v>
      </c>
      <c r="AN75" s="39">
        <v>150</v>
      </c>
      <c r="AO75" s="39">
        <v>15</v>
      </c>
      <c r="AP75" s="39">
        <v>15</v>
      </c>
      <c r="AR75" s="39" t="s">
        <v>6456</v>
      </c>
      <c r="AY75" s="85">
        <f>'Hoja básica'!AS83</f>
        <v>0</v>
      </c>
      <c r="AZ75" s="25" t="b">
        <f t="shared" si="51"/>
        <v>0</v>
      </c>
      <c r="BA75" s="25" t="str">
        <f t="shared" si="50"/>
        <v/>
      </c>
    </row>
    <row r="76" spans="2:53" x14ac:dyDescent="0.2">
      <c r="C76" s="25">
        <v>5015</v>
      </c>
      <c r="D76" s="25">
        <v>5115</v>
      </c>
      <c r="E76" s="25">
        <v>5215</v>
      </c>
      <c r="F76" s="25">
        <v>5315</v>
      </c>
      <c r="G76" s="25">
        <v>5415</v>
      </c>
      <c r="H76" s="25">
        <v>5515</v>
      </c>
      <c r="I76" s="25">
        <v>5615</v>
      </c>
      <c r="J76" s="25">
        <v>5715</v>
      </c>
      <c r="K76" s="25">
        <v>5815</v>
      </c>
      <c r="L76" s="25">
        <v>5915</v>
      </c>
      <c r="T76" s="25" t="s">
        <v>70</v>
      </c>
      <c r="U76" s="25">
        <v>7005</v>
      </c>
      <c r="V76" s="25" t="s">
        <v>2515</v>
      </c>
      <c r="W76" s="38" t="s">
        <v>2516</v>
      </c>
      <c r="X76" s="25">
        <v>22</v>
      </c>
      <c r="Y76" s="25" t="s">
        <v>2517</v>
      </c>
      <c r="Z76" s="25" t="s">
        <v>1451</v>
      </c>
      <c r="AA76" s="25" t="s">
        <v>2518</v>
      </c>
      <c r="AB76" s="39">
        <v>50</v>
      </c>
      <c r="AC76" s="39">
        <v>5</v>
      </c>
      <c r="AD76" s="39">
        <v>6</v>
      </c>
      <c r="AE76" s="25" t="s">
        <v>2519</v>
      </c>
      <c r="AF76" s="39">
        <v>90</v>
      </c>
      <c r="AG76" s="39">
        <v>10</v>
      </c>
      <c r="AH76" s="39">
        <v>9</v>
      </c>
      <c r="AI76" s="25" t="s">
        <v>2520</v>
      </c>
      <c r="AJ76" s="39">
        <v>120</v>
      </c>
      <c r="AK76" s="39">
        <v>10</v>
      </c>
      <c r="AL76" s="39">
        <v>12</v>
      </c>
      <c r="AM76" s="25" t="s">
        <v>2521</v>
      </c>
      <c r="AN76" s="39">
        <v>150</v>
      </c>
      <c r="AO76" s="39">
        <v>15</v>
      </c>
      <c r="AP76" s="39">
        <v>15</v>
      </c>
      <c r="AR76" s="39"/>
      <c r="AY76" s="85">
        <f>'Hoja básica'!AS84</f>
        <v>0</v>
      </c>
      <c r="AZ76" s="25" t="b">
        <f t="shared" si="51"/>
        <v>0</v>
      </c>
      <c r="BA76" s="25" t="str">
        <f t="shared" si="50"/>
        <v/>
      </c>
    </row>
    <row r="77" spans="2:53" x14ac:dyDescent="0.2">
      <c r="C77" s="25">
        <v>6015</v>
      </c>
      <c r="D77" s="25">
        <v>6115</v>
      </c>
      <c r="E77" s="25">
        <v>6215</v>
      </c>
      <c r="F77" s="25">
        <v>6315</v>
      </c>
      <c r="G77" s="25">
        <v>6415</v>
      </c>
      <c r="H77" s="25">
        <v>6515</v>
      </c>
      <c r="I77" s="25">
        <v>6615</v>
      </c>
      <c r="J77" s="25">
        <v>6715</v>
      </c>
      <c r="K77" s="25">
        <v>6815</v>
      </c>
      <c r="L77" s="25">
        <v>6915</v>
      </c>
      <c r="T77" s="25" t="s">
        <v>35</v>
      </c>
      <c r="U77" s="25">
        <v>6007</v>
      </c>
      <c r="V77" s="25" t="s">
        <v>2363</v>
      </c>
      <c r="W77" s="38" t="s">
        <v>2364</v>
      </c>
      <c r="X77" s="25">
        <v>20</v>
      </c>
      <c r="Y77" s="25" t="s">
        <v>117</v>
      </c>
      <c r="Z77" s="25" t="s">
        <v>1451</v>
      </c>
      <c r="AA77" s="25" t="s">
        <v>2365</v>
      </c>
      <c r="AB77" s="39">
        <v>60</v>
      </c>
      <c r="AC77" s="39">
        <v>10</v>
      </c>
      <c r="AD77" s="39">
        <v>6</v>
      </c>
      <c r="AE77" s="25" t="s">
        <v>2366</v>
      </c>
      <c r="AF77" s="39">
        <v>160</v>
      </c>
      <c r="AG77" s="39">
        <v>20</v>
      </c>
      <c r="AH77" s="39">
        <v>9</v>
      </c>
      <c r="AI77" s="25" t="s">
        <v>2367</v>
      </c>
      <c r="AJ77" s="39">
        <v>240</v>
      </c>
      <c r="AK77" s="39">
        <v>25</v>
      </c>
      <c r="AL77" s="39">
        <v>12</v>
      </c>
      <c r="AM77" s="25" t="s">
        <v>2368</v>
      </c>
      <c r="AN77" s="39">
        <v>300</v>
      </c>
      <c r="AO77" s="39">
        <v>30</v>
      </c>
      <c r="AP77" s="39">
        <v>15</v>
      </c>
      <c r="AR77" s="39"/>
      <c r="AY77" s="85">
        <f>'Hoja básica'!AS85</f>
        <v>0</v>
      </c>
      <c r="AZ77" s="25" t="b">
        <f t="shared" si="51"/>
        <v>0</v>
      </c>
      <c r="BA77" s="25" t="str">
        <f t="shared" si="50"/>
        <v/>
      </c>
    </row>
    <row r="78" spans="2:53" x14ac:dyDescent="0.2">
      <c r="C78" s="25">
        <v>7015</v>
      </c>
      <c r="D78" s="25">
        <v>7115</v>
      </c>
      <c r="E78" s="25">
        <v>7215</v>
      </c>
      <c r="F78" s="25">
        <v>7315</v>
      </c>
      <c r="G78" s="25">
        <v>7415</v>
      </c>
      <c r="H78" s="25">
        <v>7515</v>
      </c>
      <c r="I78" s="25">
        <v>7615</v>
      </c>
      <c r="J78" s="25">
        <v>7715</v>
      </c>
      <c r="K78" s="25">
        <v>7815</v>
      </c>
      <c r="L78" s="25">
        <v>7915</v>
      </c>
      <c r="T78" s="25" t="s">
        <v>29</v>
      </c>
      <c r="U78" s="25">
        <v>22001</v>
      </c>
      <c r="V78" s="25" t="s">
        <v>3698</v>
      </c>
      <c r="W78" s="38" t="s">
        <v>3699</v>
      </c>
      <c r="X78" s="25">
        <v>56</v>
      </c>
      <c r="Y78" s="25" t="s">
        <v>164</v>
      </c>
      <c r="Z78" s="25" t="s">
        <v>1451</v>
      </c>
      <c r="AA78" s="25" t="s">
        <v>3700</v>
      </c>
      <c r="AB78" s="39">
        <v>100</v>
      </c>
      <c r="AC78" s="39">
        <v>5</v>
      </c>
      <c r="AD78" s="39">
        <v>8</v>
      </c>
      <c r="AE78" s="25" t="s">
        <v>3701</v>
      </c>
      <c r="AF78" s="39">
        <v>180</v>
      </c>
      <c r="AG78" s="39">
        <v>10</v>
      </c>
      <c r="AH78" s="39">
        <v>10</v>
      </c>
      <c r="AI78" s="25" t="s">
        <v>3702</v>
      </c>
      <c r="AJ78" s="39">
        <v>240</v>
      </c>
      <c r="AK78" s="39">
        <v>15</v>
      </c>
      <c r="AL78" s="39">
        <v>12</v>
      </c>
      <c r="AM78" s="25" t="s">
        <v>3703</v>
      </c>
      <c r="AN78" s="39">
        <v>300</v>
      </c>
      <c r="AO78" s="39">
        <v>15</v>
      </c>
      <c r="AP78" s="39">
        <v>15</v>
      </c>
      <c r="AR78" s="39"/>
      <c r="AY78" s="85">
        <f>'Hoja básica'!AS86</f>
        <v>0</v>
      </c>
      <c r="AZ78" s="25" t="b">
        <f t="shared" si="51"/>
        <v>0</v>
      </c>
      <c r="BA78" s="25" t="str">
        <f t="shared" si="50"/>
        <v/>
      </c>
    </row>
    <row r="79" spans="2:53" x14ac:dyDescent="0.2">
      <c r="C79" s="25">
        <v>8015</v>
      </c>
      <c r="D79" s="25">
        <v>8115</v>
      </c>
      <c r="E79" s="25">
        <v>8215</v>
      </c>
      <c r="F79" s="25">
        <v>8315</v>
      </c>
      <c r="G79" s="25">
        <v>8415</v>
      </c>
      <c r="H79" s="25">
        <v>8515</v>
      </c>
      <c r="I79" s="25">
        <v>8615</v>
      </c>
      <c r="J79" s="25">
        <v>8715</v>
      </c>
      <c r="K79" s="25">
        <v>8815</v>
      </c>
      <c r="L79" s="25">
        <v>8915</v>
      </c>
      <c r="T79" s="25" t="s">
        <v>1663</v>
      </c>
      <c r="U79" s="25">
        <v>12715</v>
      </c>
      <c r="V79" s="25" t="s">
        <v>3278</v>
      </c>
      <c r="W79" s="38" t="s">
        <v>3279</v>
      </c>
      <c r="X79" s="25" t="s">
        <v>1666</v>
      </c>
      <c r="Y79" s="25" t="s">
        <v>164</v>
      </c>
      <c r="Z79" s="25" t="s">
        <v>1451</v>
      </c>
      <c r="AA79" s="25" t="s">
        <v>3280</v>
      </c>
      <c r="AB79" s="39">
        <v>80</v>
      </c>
      <c r="AC79" s="39" t="s">
        <v>244</v>
      </c>
      <c r="AD79" s="39">
        <v>9</v>
      </c>
      <c r="AE79" s="25" t="s">
        <v>3281</v>
      </c>
      <c r="AF79" s="39">
        <v>100</v>
      </c>
      <c r="AG79" s="39" t="s">
        <v>244</v>
      </c>
      <c r="AH79" s="39">
        <v>11</v>
      </c>
      <c r="AI79" s="25" t="s">
        <v>3282</v>
      </c>
      <c r="AJ79" s="39">
        <v>120</v>
      </c>
      <c r="AK79" s="39" t="s">
        <v>244</v>
      </c>
      <c r="AL79" s="39">
        <v>13</v>
      </c>
      <c r="AM79" s="25" t="s">
        <v>3283</v>
      </c>
      <c r="AN79" s="39">
        <v>140</v>
      </c>
      <c r="AO79" s="39" t="s">
        <v>244</v>
      </c>
      <c r="AP79" s="39">
        <v>16</v>
      </c>
      <c r="AQ79" s="25" t="s">
        <v>698</v>
      </c>
      <c r="AR79" s="39"/>
      <c r="AY79" s="85">
        <f>'Hoja básica'!AS87</f>
        <v>0</v>
      </c>
      <c r="AZ79" s="25" t="b">
        <f t="shared" si="51"/>
        <v>0</v>
      </c>
      <c r="BA79" s="25" t="str">
        <f t="shared" si="50"/>
        <v/>
      </c>
    </row>
    <row r="80" spans="2:53" x14ac:dyDescent="0.2">
      <c r="C80" s="25">
        <v>9015</v>
      </c>
      <c r="D80" s="25">
        <v>9115</v>
      </c>
      <c r="E80" s="25">
        <v>9215</v>
      </c>
      <c r="F80" s="25">
        <v>9315</v>
      </c>
      <c r="G80" s="25">
        <v>9415</v>
      </c>
      <c r="H80" s="25">
        <v>9515</v>
      </c>
      <c r="I80" s="25">
        <v>9615</v>
      </c>
      <c r="J80" s="25">
        <v>9715</v>
      </c>
      <c r="K80" s="25">
        <v>9815</v>
      </c>
      <c r="L80" s="25">
        <v>9915</v>
      </c>
      <c r="T80" s="25" t="s">
        <v>61</v>
      </c>
      <c r="U80" s="25">
        <v>22004</v>
      </c>
      <c r="V80" s="25" t="s">
        <v>3714</v>
      </c>
      <c r="W80" s="38" t="s">
        <v>6632</v>
      </c>
      <c r="X80" s="25">
        <v>56</v>
      </c>
      <c r="Y80" s="25" t="s">
        <v>1582</v>
      </c>
      <c r="Z80" s="25" t="s">
        <v>1451</v>
      </c>
      <c r="AA80" s="25" t="s">
        <v>1667</v>
      </c>
      <c r="AB80" s="39">
        <v>80</v>
      </c>
      <c r="AC80" s="39">
        <v>15</v>
      </c>
      <c r="AD80" s="39">
        <v>7</v>
      </c>
      <c r="AE80" s="25" t="s">
        <v>1586</v>
      </c>
      <c r="AF80" s="39">
        <v>180</v>
      </c>
      <c r="AG80" s="39">
        <v>20</v>
      </c>
      <c r="AH80" s="39">
        <v>9</v>
      </c>
      <c r="AI80" s="25" t="s">
        <v>2104</v>
      </c>
      <c r="AJ80" s="39">
        <v>300</v>
      </c>
      <c r="AK80" s="39">
        <v>25</v>
      </c>
      <c r="AL80" s="39">
        <v>12</v>
      </c>
      <c r="AM80" s="25" t="s">
        <v>2223</v>
      </c>
      <c r="AN80" s="39">
        <v>500</v>
      </c>
      <c r="AO80" s="39">
        <v>30</v>
      </c>
      <c r="AP80" s="39">
        <v>15</v>
      </c>
      <c r="AR80" s="39" t="s">
        <v>6456</v>
      </c>
      <c r="AY80" s="85">
        <f>'Hoja básica'!AS88</f>
        <v>0</v>
      </c>
      <c r="AZ80" s="25" t="b">
        <f t="shared" si="51"/>
        <v>0</v>
      </c>
      <c r="BA80" s="25" t="str">
        <f t="shared" si="50"/>
        <v/>
      </c>
    </row>
    <row r="81" spans="1:53" x14ac:dyDescent="0.2">
      <c r="C81" s="25">
        <v>10015</v>
      </c>
      <c r="D81" s="25">
        <v>10115</v>
      </c>
      <c r="E81" s="25">
        <v>10215</v>
      </c>
      <c r="F81" s="25">
        <v>10315</v>
      </c>
      <c r="G81" s="25">
        <v>10415</v>
      </c>
      <c r="H81" s="25">
        <v>10515</v>
      </c>
      <c r="I81" s="25">
        <v>10615</v>
      </c>
      <c r="J81" s="25">
        <v>10715</v>
      </c>
      <c r="K81" s="25">
        <v>10815</v>
      </c>
      <c r="L81" s="25">
        <v>10915</v>
      </c>
      <c r="T81" s="25" t="s">
        <v>70</v>
      </c>
      <c r="U81" s="25">
        <v>5005</v>
      </c>
      <c r="V81" s="25" t="s">
        <v>2191</v>
      </c>
      <c r="W81" s="38" t="s">
        <v>2192</v>
      </c>
      <c r="X81" s="25">
        <v>16</v>
      </c>
      <c r="Y81" s="25" t="s">
        <v>116</v>
      </c>
      <c r="Z81" s="25" t="s">
        <v>1451</v>
      </c>
      <c r="AA81" s="25" t="s">
        <v>2193</v>
      </c>
      <c r="AB81" s="39">
        <v>50</v>
      </c>
      <c r="AC81" s="39" t="s">
        <v>244</v>
      </c>
      <c r="AD81" s="39">
        <v>6</v>
      </c>
      <c r="AE81" s="25" t="s">
        <v>2194</v>
      </c>
      <c r="AF81" s="39">
        <v>100</v>
      </c>
      <c r="AG81" s="39" t="s">
        <v>244</v>
      </c>
      <c r="AH81" s="39">
        <v>9</v>
      </c>
      <c r="AI81" s="25" t="s">
        <v>2195</v>
      </c>
      <c r="AJ81" s="39">
        <v>160</v>
      </c>
      <c r="AK81" s="39" t="s">
        <v>244</v>
      </c>
      <c r="AL81" s="39">
        <v>12</v>
      </c>
      <c r="AM81" s="25" t="s">
        <v>2196</v>
      </c>
      <c r="AN81" s="39">
        <v>250</v>
      </c>
      <c r="AO81" s="39" t="s">
        <v>244</v>
      </c>
      <c r="AP81" s="39">
        <v>15</v>
      </c>
      <c r="AR81" s="39"/>
      <c r="AY81" s="85">
        <f>'Hoja básica'!AS89</f>
        <v>0</v>
      </c>
      <c r="AZ81" s="25" t="b">
        <f t="shared" si="51"/>
        <v>0</v>
      </c>
      <c r="BA81" s="25" t="str">
        <f t="shared" si="50"/>
        <v/>
      </c>
    </row>
    <row r="82" spans="1:53" x14ac:dyDescent="0.2">
      <c r="C82" s="25">
        <v>11015</v>
      </c>
      <c r="D82" s="25">
        <v>11115</v>
      </c>
      <c r="E82" s="25">
        <v>11215</v>
      </c>
      <c r="F82" s="25">
        <v>11315</v>
      </c>
      <c r="G82" s="25">
        <v>11415</v>
      </c>
      <c r="H82" s="25">
        <v>11515</v>
      </c>
      <c r="I82" s="25">
        <v>11615</v>
      </c>
      <c r="J82" s="25">
        <v>11715</v>
      </c>
      <c r="K82" s="25">
        <v>11815</v>
      </c>
      <c r="L82" s="25">
        <v>11915</v>
      </c>
      <c r="T82" s="25" t="s">
        <v>1619</v>
      </c>
      <c r="U82" s="25">
        <v>11115</v>
      </c>
      <c r="V82" s="25" t="s">
        <v>3161</v>
      </c>
      <c r="W82" s="38" t="s">
        <v>6465</v>
      </c>
      <c r="X82" s="25" t="s">
        <v>1622</v>
      </c>
      <c r="Y82" s="25" t="s">
        <v>164</v>
      </c>
      <c r="Z82" s="25" t="s">
        <v>1451</v>
      </c>
      <c r="AA82" s="25" t="s">
        <v>3162</v>
      </c>
      <c r="AB82" s="39">
        <v>40</v>
      </c>
      <c r="AC82" s="39">
        <v>5</v>
      </c>
      <c r="AD82" s="39">
        <v>5</v>
      </c>
      <c r="AE82" s="25" t="s">
        <v>3163</v>
      </c>
      <c r="AF82" s="39">
        <v>80</v>
      </c>
      <c r="AG82" s="39">
        <v>10</v>
      </c>
      <c r="AH82" s="39">
        <v>8</v>
      </c>
      <c r="AI82" s="25" t="s">
        <v>3164</v>
      </c>
      <c r="AJ82" s="39">
        <v>100</v>
      </c>
      <c r="AK82" s="39">
        <v>10</v>
      </c>
      <c r="AL82" s="39">
        <v>10</v>
      </c>
      <c r="AM82" s="25" t="s">
        <v>3165</v>
      </c>
      <c r="AN82" s="39">
        <v>120</v>
      </c>
      <c r="AO82" s="39">
        <v>15</v>
      </c>
      <c r="AP82" s="39">
        <v>12</v>
      </c>
      <c r="AQ82" s="25" t="s">
        <v>698</v>
      </c>
      <c r="AR82" s="39" t="s">
        <v>6456</v>
      </c>
      <c r="AY82" s="85">
        <f>'Hoja básica'!AS90</f>
        <v>0</v>
      </c>
      <c r="AZ82" s="25" t="b">
        <f t="shared" si="51"/>
        <v>0</v>
      </c>
      <c r="BA82" s="25" t="str">
        <f t="shared" si="50"/>
        <v/>
      </c>
    </row>
    <row r="83" spans="1:53" x14ac:dyDescent="0.2">
      <c r="C83" s="25">
        <v>12015</v>
      </c>
      <c r="D83" s="25">
        <v>12115</v>
      </c>
      <c r="E83" s="25">
        <v>12215</v>
      </c>
      <c r="F83" s="25">
        <v>12315</v>
      </c>
      <c r="G83" s="25">
        <v>12415</v>
      </c>
      <c r="H83" s="25">
        <v>12515</v>
      </c>
      <c r="I83" s="25">
        <v>12615</v>
      </c>
      <c r="J83" s="25">
        <v>12715</v>
      </c>
      <c r="K83" s="25">
        <v>12815</v>
      </c>
      <c r="L83" s="25">
        <v>12915</v>
      </c>
      <c r="T83" s="25" t="s">
        <v>1596</v>
      </c>
      <c r="U83" s="25">
        <v>9027</v>
      </c>
      <c r="V83" s="25" t="s">
        <v>2913</v>
      </c>
      <c r="W83" s="38" t="s">
        <v>2914</v>
      </c>
      <c r="X83" s="25">
        <v>84</v>
      </c>
      <c r="Y83" s="25" t="s">
        <v>164</v>
      </c>
      <c r="Z83" s="25" t="s">
        <v>1451</v>
      </c>
      <c r="AA83" s="25" t="s">
        <v>2915</v>
      </c>
      <c r="AB83" s="39">
        <v>400</v>
      </c>
      <c r="AC83" s="39">
        <v>40</v>
      </c>
      <c r="AD83" s="39">
        <v>11</v>
      </c>
      <c r="AE83" s="25" t="s">
        <v>2916</v>
      </c>
      <c r="AF83" s="39">
        <v>600</v>
      </c>
      <c r="AG83" s="39">
        <v>60</v>
      </c>
      <c r="AH83" s="39">
        <v>14</v>
      </c>
      <c r="AI83" s="25" t="s">
        <v>2917</v>
      </c>
      <c r="AJ83" s="39">
        <v>900</v>
      </c>
      <c r="AK83" s="39">
        <v>90</v>
      </c>
      <c r="AL83" s="39">
        <v>16</v>
      </c>
      <c r="AM83" s="25" t="s">
        <v>2918</v>
      </c>
      <c r="AN83" s="39">
        <v>1400</v>
      </c>
      <c r="AO83" s="39">
        <v>140</v>
      </c>
      <c r="AP83" s="39">
        <v>18</v>
      </c>
      <c r="AQ83" s="25" t="s">
        <v>1603</v>
      </c>
      <c r="AR83" s="39"/>
      <c r="AY83" s="85">
        <f>'Hoja básica'!AS91</f>
        <v>0</v>
      </c>
      <c r="AZ83" s="25" t="b">
        <f t="shared" si="51"/>
        <v>0</v>
      </c>
      <c r="BA83" s="25" t="str">
        <f t="shared" si="50"/>
        <v/>
      </c>
    </row>
    <row r="84" spans="1:53" x14ac:dyDescent="0.2">
      <c r="T84" s="25" t="s">
        <v>65</v>
      </c>
      <c r="U84" s="25">
        <v>5006</v>
      </c>
      <c r="V84" s="25" t="s">
        <v>2197</v>
      </c>
      <c r="W84" s="38" t="s">
        <v>2198</v>
      </c>
      <c r="X84" s="25">
        <v>16</v>
      </c>
      <c r="Y84" s="25" t="s">
        <v>117</v>
      </c>
      <c r="Z84" s="25" t="s">
        <v>1557</v>
      </c>
      <c r="AA84" s="25" t="s">
        <v>2199</v>
      </c>
      <c r="AB84" s="39">
        <v>40</v>
      </c>
      <c r="AC84" s="39">
        <v>5</v>
      </c>
      <c r="AD84" s="39">
        <v>6</v>
      </c>
      <c r="AE84" s="25" t="s">
        <v>2200</v>
      </c>
      <c r="AF84" s="39">
        <v>90</v>
      </c>
      <c r="AG84" s="39">
        <v>5</v>
      </c>
      <c r="AH84" s="39">
        <v>9</v>
      </c>
      <c r="AI84" s="25" t="s">
        <v>2201</v>
      </c>
      <c r="AJ84" s="39">
        <v>140</v>
      </c>
      <c r="AK84" s="39">
        <v>10</v>
      </c>
      <c r="AL84" s="39">
        <v>12</v>
      </c>
      <c r="AM84" s="25" t="s">
        <v>2202</v>
      </c>
      <c r="AN84" s="39">
        <v>220</v>
      </c>
      <c r="AO84" s="39">
        <v>10</v>
      </c>
      <c r="AP84" s="39">
        <v>15</v>
      </c>
      <c r="AR84" s="39"/>
      <c r="AY84" s="85">
        <f>'Hoja básica'!AS92</f>
        <v>0</v>
      </c>
      <c r="AZ84" s="25" t="b">
        <f t="shared" si="51"/>
        <v>0</v>
      </c>
      <c r="BA84" s="25" t="str">
        <f t="shared" si="50"/>
        <v/>
      </c>
    </row>
    <row r="85" spans="1:53" x14ac:dyDescent="0.2">
      <c r="T85" s="25" t="s">
        <v>1509</v>
      </c>
      <c r="U85" s="25">
        <v>12015</v>
      </c>
      <c r="V85" s="25" t="s">
        <v>3247</v>
      </c>
      <c r="W85" s="38" t="s">
        <v>6485</v>
      </c>
      <c r="X85" s="25" t="s">
        <v>1512</v>
      </c>
      <c r="Y85" s="25" t="s">
        <v>1582</v>
      </c>
      <c r="Z85" s="25" t="s">
        <v>1451</v>
      </c>
      <c r="AA85" s="25" t="s">
        <v>3248</v>
      </c>
      <c r="AB85" s="39">
        <v>30</v>
      </c>
      <c r="AC85" s="39">
        <v>5</v>
      </c>
      <c r="AD85" s="39">
        <v>5</v>
      </c>
      <c r="AE85" s="25" t="s">
        <v>3249</v>
      </c>
      <c r="AF85" s="39">
        <v>80</v>
      </c>
      <c r="AG85" s="39">
        <v>5</v>
      </c>
      <c r="AH85" s="39">
        <v>8</v>
      </c>
      <c r="AI85" s="25" t="s">
        <v>3250</v>
      </c>
      <c r="AJ85" s="39">
        <v>100</v>
      </c>
      <c r="AK85" s="39">
        <v>5</v>
      </c>
      <c r="AL85" s="39">
        <v>10</v>
      </c>
      <c r="AM85" s="25" t="s">
        <v>3251</v>
      </c>
      <c r="AN85" s="39">
        <v>120</v>
      </c>
      <c r="AO85" s="39">
        <v>10</v>
      </c>
      <c r="AP85" s="39">
        <v>12</v>
      </c>
      <c r="AQ85" s="25" t="s">
        <v>61</v>
      </c>
      <c r="AR85" s="39" t="s">
        <v>6456</v>
      </c>
      <c r="AY85" s="85">
        <f>'Hoja básica'!AS93</f>
        <v>0</v>
      </c>
      <c r="AZ85" s="25" t="b">
        <f t="shared" si="51"/>
        <v>0</v>
      </c>
      <c r="BA85" s="25" t="str">
        <f t="shared" si="50"/>
        <v/>
      </c>
    </row>
    <row r="86" spans="1:53" x14ac:dyDescent="0.2">
      <c r="T86" s="25" t="s">
        <v>1631</v>
      </c>
      <c r="U86" s="25">
        <v>3315</v>
      </c>
      <c r="V86" s="25" t="s">
        <v>1988</v>
      </c>
      <c r="W86" s="38" t="s">
        <v>6560</v>
      </c>
      <c r="X86" s="25" t="s">
        <v>1633</v>
      </c>
      <c r="Y86" s="25" t="s">
        <v>1705</v>
      </c>
      <c r="Z86" s="25" t="s">
        <v>1451</v>
      </c>
      <c r="AA86" s="25" t="s">
        <v>1989</v>
      </c>
      <c r="AB86" s="39">
        <v>80</v>
      </c>
      <c r="AC86" s="39">
        <v>10</v>
      </c>
      <c r="AD86" s="39">
        <v>7</v>
      </c>
      <c r="AE86" s="25" t="s">
        <v>1990</v>
      </c>
      <c r="AF86" s="39">
        <v>100</v>
      </c>
      <c r="AG86" s="39">
        <v>10</v>
      </c>
      <c r="AH86" s="39">
        <v>10</v>
      </c>
      <c r="AI86" s="25" t="s">
        <v>1667</v>
      </c>
      <c r="AJ86" s="39">
        <v>120</v>
      </c>
      <c r="AK86" s="39">
        <v>15</v>
      </c>
      <c r="AL86" s="39">
        <v>12</v>
      </c>
      <c r="AM86" s="25" t="s">
        <v>1991</v>
      </c>
      <c r="AN86" s="39">
        <v>140</v>
      </c>
      <c r="AO86" s="39">
        <v>15</v>
      </c>
      <c r="AP86" s="39">
        <v>14</v>
      </c>
      <c r="AQ86" s="25" t="s">
        <v>61</v>
      </c>
      <c r="AR86" s="39" t="s">
        <v>6456</v>
      </c>
      <c r="AY86" s="85">
        <f>'Hoja básica'!AS94</f>
        <v>0</v>
      </c>
      <c r="AZ86" s="25" t="b">
        <f t="shared" si="51"/>
        <v>0</v>
      </c>
      <c r="BA86" s="25" t="str">
        <f t="shared" si="50"/>
        <v/>
      </c>
    </row>
    <row r="87" spans="1:53" x14ac:dyDescent="0.2">
      <c r="T87" s="25" t="s">
        <v>49</v>
      </c>
      <c r="U87" s="25">
        <v>11003</v>
      </c>
      <c r="V87" s="25" t="s">
        <v>3116</v>
      </c>
      <c r="W87" s="38" t="s">
        <v>6486</v>
      </c>
      <c r="X87" s="25">
        <v>28</v>
      </c>
      <c r="Y87" s="25" t="s">
        <v>1582</v>
      </c>
      <c r="Z87" s="25" t="s">
        <v>1451</v>
      </c>
      <c r="AA87" s="25" t="s">
        <v>3117</v>
      </c>
      <c r="AB87" s="39">
        <v>60</v>
      </c>
      <c r="AC87" s="39">
        <v>10</v>
      </c>
      <c r="AD87" s="39">
        <v>6</v>
      </c>
      <c r="AE87" s="25" t="s">
        <v>3118</v>
      </c>
      <c r="AF87" s="39">
        <v>90</v>
      </c>
      <c r="AG87" s="39">
        <v>10</v>
      </c>
      <c r="AH87" s="39">
        <v>9</v>
      </c>
      <c r="AI87" s="25" t="s">
        <v>3119</v>
      </c>
      <c r="AJ87" s="39">
        <v>150</v>
      </c>
      <c r="AK87" s="39">
        <v>15</v>
      </c>
      <c r="AL87" s="39">
        <v>12</v>
      </c>
      <c r="AM87" s="25" t="s">
        <v>3120</v>
      </c>
      <c r="AN87" s="39">
        <v>250</v>
      </c>
      <c r="AO87" s="39">
        <v>25</v>
      </c>
      <c r="AP87" s="39">
        <v>15</v>
      </c>
      <c r="AR87" s="39" t="s">
        <v>6456</v>
      </c>
      <c r="AY87" s="85">
        <f>'Hoja básica'!AS95</f>
        <v>0</v>
      </c>
      <c r="AZ87" s="25" t="b">
        <f t="shared" si="51"/>
        <v>0</v>
      </c>
      <c r="BA87" s="25" t="str">
        <f t="shared" si="50"/>
        <v/>
      </c>
    </row>
    <row r="88" spans="1:53" x14ac:dyDescent="0.2">
      <c r="T88" s="25" t="s">
        <v>1588</v>
      </c>
      <c r="U88" s="25">
        <v>5026</v>
      </c>
      <c r="V88" s="25" t="s">
        <v>2276</v>
      </c>
      <c r="W88" s="38" t="s">
        <v>6463</v>
      </c>
      <c r="X88" s="25">
        <v>44</v>
      </c>
      <c r="Y88" s="25" t="s">
        <v>164</v>
      </c>
      <c r="Z88" s="25" t="s">
        <v>1451</v>
      </c>
      <c r="AA88" s="25" t="s">
        <v>1479</v>
      </c>
      <c r="AB88" s="39">
        <v>100</v>
      </c>
      <c r="AC88" s="39">
        <v>30</v>
      </c>
      <c r="AD88" s="39">
        <v>10</v>
      </c>
      <c r="AE88" s="25" t="s">
        <v>2277</v>
      </c>
      <c r="AF88" s="39">
        <v>120</v>
      </c>
      <c r="AG88" s="39">
        <v>30</v>
      </c>
      <c r="AH88" s="39">
        <v>12</v>
      </c>
      <c r="AI88" s="25" t="s">
        <v>2278</v>
      </c>
      <c r="AJ88" s="39">
        <v>140</v>
      </c>
      <c r="AK88" s="39">
        <v>40</v>
      </c>
      <c r="AL88" s="39">
        <v>14</v>
      </c>
      <c r="AM88" s="25" t="s">
        <v>2279</v>
      </c>
      <c r="AN88" s="39">
        <v>160</v>
      </c>
      <c r="AO88" s="39">
        <v>40</v>
      </c>
      <c r="AP88" s="39">
        <v>16</v>
      </c>
      <c r="AQ88" s="25" t="s">
        <v>1595</v>
      </c>
      <c r="AR88" s="39" t="s">
        <v>6456</v>
      </c>
      <c r="AY88" s="85">
        <f>'Hoja básica'!AS96</f>
        <v>0</v>
      </c>
      <c r="AZ88" s="25" t="b">
        <f t="shared" si="51"/>
        <v>0</v>
      </c>
      <c r="BA88" s="25" t="str">
        <f t="shared" si="50"/>
        <v/>
      </c>
    </row>
    <row r="89" spans="1:53" x14ac:dyDescent="0.2">
      <c r="E89" s="25" t="s">
        <v>29</v>
      </c>
      <c r="T89" s="25" t="s">
        <v>1516</v>
      </c>
      <c r="U89" s="25">
        <v>5016</v>
      </c>
      <c r="V89" s="25" t="s">
        <v>2229</v>
      </c>
      <c r="W89" s="38" t="s">
        <v>2230</v>
      </c>
      <c r="X89" s="25">
        <v>44</v>
      </c>
      <c r="Y89" s="25" t="s">
        <v>1582</v>
      </c>
      <c r="Z89" s="25" t="s">
        <v>1451</v>
      </c>
      <c r="AA89" s="25" t="s">
        <v>2231</v>
      </c>
      <c r="AB89" s="39">
        <v>120</v>
      </c>
      <c r="AC89" s="39">
        <v>20</v>
      </c>
      <c r="AD89" s="39">
        <v>7</v>
      </c>
      <c r="AE89" s="25" t="s">
        <v>2232</v>
      </c>
      <c r="AF89" s="39">
        <v>180</v>
      </c>
      <c r="AG89" s="39">
        <v>20</v>
      </c>
      <c r="AH89" s="39">
        <v>9</v>
      </c>
      <c r="AI89" s="25" t="s">
        <v>2233</v>
      </c>
      <c r="AJ89" s="39">
        <v>280</v>
      </c>
      <c r="AK89" s="39">
        <v>25</v>
      </c>
      <c r="AL89" s="39">
        <v>12</v>
      </c>
      <c r="AM89" s="25" t="s">
        <v>2234</v>
      </c>
      <c r="AN89" s="39">
        <v>400</v>
      </c>
      <c r="AO89" s="39">
        <v>30</v>
      </c>
      <c r="AP89" s="39">
        <v>14</v>
      </c>
      <c r="AQ89" s="25" t="s">
        <v>1522</v>
      </c>
      <c r="AR89" s="39"/>
      <c r="AY89" s="85">
        <f>'Hoja básica'!AS97</f>
        <v>0</v>
      </c>
      <c r="AZ89" s="25" t="b">
        <f t="shared" si="51"/>
        <v>0</v>
      </c>
      <c r="BA89" s="25" t="str">
        <f t="shared" si="50"/>
        <v/>
      </c>
    </row>
    <row r="90" spans="1:53" x14ac:dyDescent="0.2">
      <c r="E90" s="25">
        <f>LOOKUP(E89,HM!A91:B125)</f>
        <v>1</v>
      </c>
      <c r="T90" s="25" t="s">
        <v>1523</v>
      </c>
      <c r="U90" s="25">
        <v>7017</v>
      </c>
      <c r="V90" s="25" t="s">
        <v>2561</v>
      </c>
      <c r="W90" s="38" t="s">
        <v>2562</v>
      </c>
      <c r="X90" s="25">
        <v>64</v>
      </c>
      <c r="Y90" s="25" t="s">
        <v>116</v>
      </c>
      <c r="Z90" s="25" t="s">
        <v>1451</v>
      </c>
      <c r="AA90" s="25" t="s">
        <v>2563</v>
      </c>
      <c r="AB90" s="39">
        <v>140</v>
      </c>
      <c r="AC90" s="39">
        <v>15</v>
      </c>
      <c r="AD90" s="39">
        <v>10</v>
      </c>
      <c r="AE90" s="25" t="s">
        <v>2564</v>
      </c>
      <c r="AF90" s="39">
        <v>180</v>
      </c>
      <c r="AG90" s="39">
        <v>15</v>
      </c>
      <c r="AH90" s="39">
        <v>12</v>
      </c>
      <c r="AI90" s="25" t="s">
        <v>2565</v>
      </c>
      <c r="AJ90" s="39">
        <v>240</v>
      </c>
      <c r="AK90" s="39">
        <v>20</v>
      </c>
      <c r="AL90" s="39">
        <v>14</v>
      </c>
      <c r="AM90" s="25" t="s">
        <v>2566</v>
      </c>
      <c r="AN90" s="39">
        <v>350</v>
      </c>
      <c r="AO90" s="39">
        <v>30</v>
      </c>
      <c r="AP90" s="39">
        <v>16</v>
      </c>
      <c r="AQ90" s="25" t="s">
        <v>1530</v>
      </c>
      <c r="AR90" s="39"/>
      <c r="AY90" s="85">
        <f>'Hoja básica'!AS98</f>
        <v>0</v>
      </c>
      <c r="AZ90" s="25" t="b">
        <f t="shared" si="51"/>
        <v>0</v>
      </c>
      <c r="BA90" s="25" t="str">
        <f t="shared" si="50"/>
        <v/>
      </c>
    </row>
    <row r="91" spans="1:53" ht="13.5" thickBot="1" x14ac:dyDescent="0.25">
      <c r="A91" s="25" t="s">
        <v>65</v>
      </c>
      <c r="B91" s="25">
        <v>6</v>
      </c>
      <c r="C91" s="25" t="s">
        <v>5160</v>
      </c>
      <c r="E91" s="25" t="e">
        <f>CHOOSE(E90,m.22,m.27,m.5,m.6,m.8,m.1,m.33,m.2,m.7,m.10,m.25,m.3,m.9,m.21,m.23,m.24,m.26,m.28,m.29,m.4,m.30,m.31,m.32,m.34,m.35,m.12,M.11,m.13,m.14,m.15,m.16,m.17,m.18,m.19,m.20)</f>
        <v>#VALUE!</v>
      </c>
      <c r="H91" s="25" t="s">
        <v>29</v>
      </c>
      <c r="T91" s="25" t="s">
        <v>1543</v>
      </c>
      <c r="U91" s="25">
        <v>2020</v>
      </c>
      <c r="V91" s="25" t="s">
        <v>1768</v>
      </c>
      <c r="W91" s="38" t="s">
        <v>1769</v>
      </c>
      <c r="X91" s="25">
        <v>14</v>
      </c>
      <c r="Y91" s="25" t="s">
        <v>164</v>
      </c>
      <c r="Z91" s="25" t="s">
        <v>1451</v>
      </c>
      <c r="AA91" s="25" t="s">
        <v>1476</v>
      </c>
      <c r="AB91" s="39">
        <v>40</v>
      </c>
      <c r="AC91" s="39">
        <v>5</v>
      </c>
      <c r="AD91" s="39">
        <v>5</v>
      </c>
      <c r="AE91" s="25">
        <v>250</v>
      </c>
      <c r="AF91" s="39">
        <v>60</v>
      </c>
      <c r="AG91" s="39">
        <v>5</v>
      </c>
      <c r="AH91" s="39">
        <v>8</v>
      </c>
      <c r="AI91" s="25">
        <v>500</v>
      </c>
      <c r="AJ91" s="39">
        <v>80</v>
      </c>
      <c r="AK91" s="39">
        <v>5</v>
      </c>
      <c r="AL91" s="39">
        <v>10</v>
      </c>
      <c r="AM91" s="25" t="s">
        <v>1770</v>
      </c>
      <c r="AN91" s="39">
        <v>100</v>
      </c>
      <c r="AO91" s="39">
        <v>10</v>
      </c>
      <c r="AP91" s="39">
        <v>12</v>
      </c>
      <c r="AQ91" s="25" t="s">
        <v>1547</v>
      </c>
      <c r="AR91" s="39"/>
      <c r="AY91" s="86">
        <f>'Hoja básica'!AS99</f>
        <v>0</v>
      </c>
      <c r="AZ91" s="25" t="b">
        <f t="shared" si="51"/>
        <v>0</v>
      </c>
      <c r="BA91" s="25" t="str">
        <f t="shared" si="50"/>
        <v/>
      </c>
    </row>
    <row r="92" spans="1:53" x14ac:dyDescent="0.2">
      <c r="A92" s="25" t="s">
        <v>60</v>
      </c>
      <c r="B92" s="25">
        <v>8</v>
      </c>
      <c r="C92" s="25" t="s">
        <v>5161</v>
      </c>
      <c r="H92" s="25" t="s">
        <v>39</v>
      </c>
      <c r="T92" s="25" t="s">
        <v>61</v>
      </c>
      <c r="U92" s="25">
        <v>39004</v>
      </c>
      <c r="V92" s="25" t="s">
        <v>1516</v>
      </c>
      <c r="W92" s="38" t="s">
        <v>6501</v>
      </c>
      <c r="X92" s="25">
        <v>98</v>
      </c>
      <c r="Y92" s="25" t="s">
        <v>1498</v>
      </c>
      <c r="Z92" s="25" t="s">
        <v>1451</v>
      </c>
      <c r="AA92" s="25" t="s">
        <v>4236</v>
      </c>
      <c r="AB92" s="39">
        <v>700</v>
      </c>
      <c r="AC92" s="39">
        <v>70</v>
      </c>
      <c r="AD92" s="39">
        <v>14</v>
      </c>
      <c r="AE92" s="25" t="s">
        <v>4237</v>
      </c>
      <c r="AF92" s="39">
        <v>1200</v>
      </c>
      <c r="AG92" s="39">
        <v>80</v>
      </c>
      <c r="AH92" s="39">
        <v>16</v>
      </c>
      <c r="AI92" s="25" t="s">
        <v>4238</v>
      </c>
      <c r="AJ92" s="39">
        <v>2000</v>
      </c>
      <c r="AK92" s="39">
        <v>90</v>
      </c>
      <c r="AL92" s="39">
        <v>18</v>
      </c>
      <c r="AM92" s="25" t="s">
        <v>4239</v>
      </c>
      <c r="AN92" s="39">
        <v>5000</v>
      </c>
      <c r="AO92" s="39">
        <v>100</v>
      </c>
      <c r="AP92" s="39">
        <v>20</v>
      </c>
      <c r="AR92" s="39" t="s">
        <v>6456</v>
      </c>
    </row>
    <row r="93" spans="1:53" x14ac:dyDescent="0.2">
      <c r="A93" s="25" t="s">
        <v>1516</v>
      </c>
      <c r="B93" s="25">
        <v>12</v>
      </c>
      <c r="C93" s="25" t="s">
        <v>5162</v>
      </c>
      <c r="H93" s="25" t="s">
        <v>49</v>
      </c>
      <c r="T93" s="25" t="s">
        <v>1516</v>
      </c>
      <c r="U93" s="25">
        <v>10016</v>
      </c>
      <c r="V93" s="25" t="s">
        <v>3017</v>
      </c>
      <c r="W93" s="38" t="s">
        <v>6510</v>
      </c>
      <c r="X93" s="25">
        <v>94</v>
      </c>
      <c r="Y93" s="25" t="s">
        <v>2084</v>
      </c>
      <c r="Z93" s="25" t="s">
        <v>1451</v>
      </c>
      <c r="AA93" s="25" t="s">
        <v>1478</v>
      </c>
      <c r="AB93" s="39">
        <v>500</v>
      </c>
      <c r="AC93" s="39">
        <v>100</v>
      </c>
      <c r="AD93" s="39">
        <v>12</v>
      </c>
      <c r="AE93" s="25" t="s">
        <v>1770</v>
      </c>
      <c r="AF93" s="39">
        <v>900</v>
      </c>
      <c r="AG93" s="39">
        <v>180</v>
      </c>
      <c r="AH93" s="39">
        <v>14</v>
      </c>
      <c r="AI93" s="25" t="s">
        <v>3018</v>
      </c>
      <c r="AJ93" s="39">
        <v>1500</v>
      </c>
      <c r="AK93" s="39">
        <v>300</v>
      </c>
      <c r="AL93" s="39">
        <v>16</v>
      </c>
      <c r="AM93" s="25" t="s">
        <v>3019</v>
      </c>
      <c r="AN93" s="39">
        <v>2400</v>
      </c>
      <c r="AO93" s="39">
        <v>480</v>
      </c>
      <c r="AP93" s="39">
        <v>18</v>
      </c>
      <c r="AQ93" s="25" t="s">
        <v>1522</v>
      </c>
      <c r="AR93" s="39" t="s">
        <v>6456</v>
      </c>
    </row>
    <row r="94" spans="1:53" x14ac:dyDescent="0.2">
      <c r="A94" s="25" t="s">
        <v>1571</v>
      </c>
      <c r="B94" s="25">
        <v>20</v>
      </c>
      <c r="C94" s="25" t="s">
        <v>5163</v>
      </c>
      <c r="H94" s="25" t="s">
        <v>61</v>
      </c>
      <c r="T94" s="25" t="s">
        <v>65</v>
      </c>
      <c r="U94" s="25">
        <v>3006</v>
      </c>
      <c r="V94" s="25" t="s">
        <v>1885</v>
      </c>
      <c r="W94" s="38" t="s">
        <v>6475</v>
      </c>
      <c r="X94" s="25">
        <v>10</v>
      </c>
      <c r="Y94" s="25" t="s">
        <v>164</v>
      </c>
      <c r="Z94" s="25" t="s">
        <v>1451</v>
      </c>
      <c r="AA94" s="25" t="s">
        <v>1845</v>
      </c>
      <c r="AB94" s="39">
        <v>50</v>
      </c>
      <c r="AC94" s="39">
        <v>10</v>
      </c>
      <c r="AD94" s="39">
        <v>5</v>
      </c>
      <c r="AE94" s="25" t="s">
        <v>1676</v>
      </c>
      <c r="AF94" s="39">
        <v>70</v>
      </c>
      <c r="AG94" s="39">
        <v>20</v>
      </c>
      <c r="AH94" s="39">
        <v>8</v>
      </c>
      <c r="AI94" s="25" t="s">
        <v>1886</v>
      </c>
      <c r="AJ94" s="39">
        <v>100</v>
      </c>
      <c r="AK94" s="39">
        <v>20</v>
      </c>
      <c r="AL94" s="39">
        <v>10</v>
      </c>
      <c r="AM94" s="25" t="s">
        <v>1887</v>
      </c>
      <c r="AN94" s="39">
        <v>140</v>
      </c>
      <c r="AO94" s="39">
        <v>25</v>
      </c>
      <c r="AP94" s="39">
        <v>12</v>
      </c>
      <c r="AR94" s="39" t="s">
        <v>6456</v>
      </c>
    </row>
    <row r="95" spans="1:53" x14ac:dyDescent="0.2">
      <c r="A95" s="25" t="s">
        <v>49</v>
      </c>
      <c r="B95" s="25">
        <v>3</v>
      </c>
      <c r="C95" s="25" t="s">
        <v>5164</v>
      </c>
      <c r="H95" s="25" t="s">
        <v>70</v>
      </c>
      <c r="T95" s="25" t="s">
        <v>1571</v>
      </c>
      <c r="U95" s="25">
        <v>1024</v>
      </c>
      <c r="V95" s="25" t="s">
        <v>1572</v>
      </c>
      <c r="W95" s="38" t="s">
        <v>1573</v>
      </c>
      <c r="X95" s="25">
        <v>4</v>
      </c>
      <c r="Y95" s="25" t="s">
        <v>164</v>
      </c>
      <c r="Z95" s="25" t="s">
        <v>1451</v>
      </c>
      <c r="AA95" s="25" t="s">
        <v>1574</v>
      </c>
      <c r="AB95" s="39">
        <v>30</v>
      </c>
      <c r="AC95" s="39" t="s">
        <v>744</v>
      </c>
      <c r="AD95" s="39">
        <v>5</v>
      </c>
      <c r="AE95" s="25" t="s">
        <v>1575</v>
      </c>
      <c r="AF95" s="39">
        <v>60</v>
      </c>
      <c r="AG95" s="39" t="s">
        <v>744</v>
      </c>
      <c r="AH95" s="39">
        <v>70</v>
      </c>
      <c r="AI95" s="25" t="s">
        <v>1576</v>
      </c>
      <c r="AJ95" s="39">
        <v>90</v>
      </c>
      <c r="AK95" s="39" t="s">
        <v>744</v>
      </c>
      <c r="AL95" s="39">
        <v>9</v>
      </c>
      <c r="AM95" s="25" t="s">
        <v>1577</v>
      </c>
      <c r="AN95" s="39">
        <v>120</v>
      </c>
      <c r="AO95" s="39" t="s">
        <v>744</v>
      </c>
      <c r="AP95" s="39">
        <v>11</v>
      </c>
      <c r="AQ95" s="25" t="s">
        <v>1578</v>
      </c>
      <c r="AR95" s="39"/>
    </row>
    <row r="96" spans="1:53" x14ac:dyDescent="0.2">
      <c r="A96" s="25" t="s">
        <v>61</v>
      </c>
      <c r="B96" s="25">
        <v>4</v>
      </c>
      <c r="C96" s="25" t="s">
        <v>5165</v>
      </c>
      <c r="H96" s="25" t="s">
        <v>65</v>
      </c>
      <c r="T96" s="25" t="s">
        <v>1638</v>
      </c>
      <c r="U96" s="25">
        <v>9415</v>
      </c>
      <c r="V96" s="25" t="s">
        <v>2941</v>
      </c>
      <c r="W96" s="38" t="s">
        <v>2942</v>
      </c>
      <c r="X96" s="25" t="s">
        <v>1641</v>
      </c>
      <c r="Y96" s="25" t="s">
        <v>1582</v>
      </c>
      <c r="Z96" s="25" t="s">
        <v>1451</v>
      </c>
      <c r="AA96" s="25" t="s">
        <v>2943</v>
      </c>
      <c r="AB96" s="39">
        <v>60</v>
      </c>
      <c r="AC96" s="39" t="s">
        <v>244</v>
      </c>
      <c r="AD96" s="39">
        <v>8</v>
      </c>
      <c r="AE96" s="25" t="s">
        <v>1828</v>
      </c>
      <c r="AF96" s="39">
        <v>100</v>
      </c>
      <c r="AG96" s="39" t="s">
        <v>244</v>
      </c>
      <c r="AH96" s="39">
        <v>10</v>
      </c>
      <c r="AI96" s="25" t="s">
        <v>1829</v>
      </c>
      <c r="AJ96" s="39">
        <v>140</v>
      </c>
      <c r="AK96" s="39" t="s">
        <v>244</v>
      </c>
      <c r="AL96" s="39">
        <v>12</v>
      </c>
      <c r="AM96" s="25" t="s">
        <v>1830</v>
      </c>
      <c r="AN96" s="39">
        <v>200</v>
      </c>
      <c r="AO96" s="39" t="s">
        <v>244</v>
      </c>
      <c r="AP96" s="39">
        <v>15</v>
      </c>
      <c r="AQ96" s="25" t="s">
        <v>2944</v>
      </c>
      <c r="AR96" s="39"/>
    </row>
    <row r="97" spans="1:44" x14ac:dyDescent="0.2">
      <c r="A97" s="25" t="s">
        <v>90</v>
      </c>
      <c r="B97" s="25">
        <v>9</v>
      </c>
      <c r="C97" s="25" t="s">
        <v>5166</v>
      </c>
      <c r="H97" s="25" t="s">
        <v>35</v>
      </c>
      <c r="T97" s="25" t="s">
        <v>1627</v>
      </c>
      <c r="U97" s="25">
        <v>2215</v>
      </c>
      <c r="V97" s="25" t="s">
        <v>1820</v>
      </c>
      <c r="W97" s="38" t="s">
        <v>1821</v>
      </c>
      <c r="X97" s="25" t="s">
        <v>1629</v>
      </c>
      <c r="Y97" s="25" t="s">
        <v>1582</v>
      </c>
      <c r="Z97" s="25" t="s">
        <v>1451</v>
      </c>
      <c r="AA97" s="25" t="s">
        <v>1650</v>
      </c>
      <c r="AB97" s="39">
        <v>100</v>
      </c>
      <c r="AC97" s="39">
        <v>10</v>
      </c>
      <c r="AD97" s="39">
        <v>10</v>
      </c>
      <c r="AE97" s="25" t="s">
        <v>1822</v>
      </c>
      <c r="AF97" s="39">
        <v>120</v>
      </c>
      <c r="AG97" s="39">
        <v>15</v>
      </c>
      <c r="AH97" s="39">
        <v>12</v>
      </c>
      <c r="AI97" s="25" t="s">
        <v>1823</v>
      </c>
      <c r="AJ97" s="39">
        <v>140</v>
      </c>
      <c r="AK97" s="39">
        <v>15</v>
      </c>
      <c r="AL97" s="39">
        <v>14</v>
      </c>
      <c r="AM97" s="25" t="s">
        <v>1824</v>
      </c>
      <c r="AN97" s="39">
        <v>160</v>
      </c>
      <c r="AO97" s="39">
        <v>20</v>
      </c>
      <c r="AP97" s="39">
        <v>16</v>
      </c>
      <c r="AQ97" s="25" t="s">
        <v>29</v>
      </c>
      <c r="AR97" s="39"/>
    </row>
    <row r="98" spans="1:44" x14ac:dyDescent="0.2">
      <c r="A98" s="25" t="s">
        <v>70</v>
      </c>
      <c r="B98" s="25">
        <v>5</v>
      </c>
      <c r="C98" s="25" t="s">
        <v>5167</v>
      </c>
      <c r="H98" s="25" t="s">
        <v>60</v>
      </c>
      <c r="T98" s="25" t="s">
        <v>1646</v>
      </c>
      <c r="U98" s="25">
        <v>1515</v>
      </c>
      <c r="V98" s="25" t="s">
        <v>1647</v>
      </c>
      <c r="W98" s="38" t="s">
        <v>1648</v>
      </c>
      <c r="X98" s="25" t="s">
        <v>1649</v>
      </c>
      <c r="Y98" s="25" t="s">
        <v>1582</v>
      </c>
      <c r="Z98" s="25" t="s">
        <v>1451</v>
      </c>
      <c r="AA98" s="25" t="s">
        <v>1650</v>
      </c>
      <c r="AB98" s="39">
        <v>80</v>
      </c>
      <c r="AC98" s="39">
        <v>10</v>
      </c>
      <c r="AD98" s="39">
        <v>8</v>
      </c>
      <c r="AE98" s="25" t="s">
        <v>1651</v>
      </c>
      <c r="AF98" s="39">
        <v>120</v>
      </c>
      <c r="AG98" s="39">
        <v>15</v>
      </c>
      <c r="AH98" s="39">
        <v>10</v>
      </c>
      <c r="AI98" s="25" t="s">
        <v>1652</v>
      </c>
      <c r="AJ98" s="39">
        <v>160</v>
      </c>
      <c r="AK98" s="39">
        <v>20</v>
      </c>
      <c r="AL98" s="39">
        <v>13</v>
      </c>
      <c r="AM98" s="25" t="s">
        <v>1653</v>
      </c>
      <c r="AN98" s="39">
        <v>200</v>
      </c>
      <c r="AO98" s="39">
        <v>20</v>
      </c>
      <c r="AP98" s="39">
        <v>15</v>
      </c>
      <c r="AQ98" s="25" t="s">
        <v>1654</v>
      </c>
      <c r="AR98" s="39"/>
    </row>
    <row r="99" spans="1:44" x14ac:dyDescent="0.2">
      <c r="A99" s="25" t="s">
        <v>1523</v>
      </c>
      <c r="B99" s="25">
        <v>13</v>
      </c>
      <c r="C99" s="25" t="s">
        <v>5168</v>
      </c>
      <c r="H99" s="25" t="s">
        <v>90</v>
      </c>
      <c r="T99" s="25" t="s">
        <v>1627</v>
      </c>
      <c r="U99" s="25">
        <v>5215</v>
      </c>
      <c r="V99" s="25" t="s">
        <v>2296</v>
      </c>
      <c r="W99" s="38" t="s">
        <v>2297</v>
      </c>
      <c r="X99" s="25" t="s">
        <v>1629</v>
      </c>
      <c r="Y99" s="25" t="s">
        <v>164</v>
      </c>
      <c r="Z99" s="25" t="s">
        <v>1451</v>
      </c>
      <c r="AA99" s="25" t="s">
        <v>2298</v>
      </c>
      <c r="AB99" s="39">
        <v>80</v>
      </c>
      <c r="AC99" s="39">
        <v>10</v>
      </c>
      <c r="AD99" s="39">
        <v>6</v>
      </c>
      <c r="AE99" s="25" t="s">
        <v>2299</v>
      </c>
      <c r="AF99" s="39">
        <v>120</v>
      </c>
      <c r="AG99" s="39">
        <v>10</v>
      </c>
      <c r="AH99" s="39">
        <v>9</v>
      </c>
      <c r="AI99" s="25" t="s">
        <v>2300</v>
      </c>
      <c r="AJ99" s="39">
        <v>160</v>
      </c>
      <c r="AK99" s="39">
        <v>15</v>
      </c>
      <c r="AL99" s="39">
        <v>11</v>
      </c>
      <c r="AM99" s="25" t="s">
        <v>2301</v>
      </c>
      <c r="AN99" s="39">
        <v>200</v>
      </c>
      <c r="AO99" s="39">
        <v>15</v>
      </c>
      <c r="AP99" s="39">
        <v>13</v>
      </c>
      <c r="AQ99" s="25" t="s">
        <v>35</v>
      </c>
      <c r="AR99" s="39"/>
    </row>
    <row r="100" spans="1:44" x14ac:dyDescent="0.2">
      <c r="A100" s="25" t="s">
        <v>94</v>
      </c>
      <c r="B100" s="25">
        <v>10</v>
      </c>
      <c r="C100" s="25" t="s">
        <v>5169</v>
      </c>
      <c r="H100" s="25" t="s">
        <v>94</v>
      </c>
      <c r="T100" s="25" t="s">
        <v>1627</v>
      </c>
      <c r="U100" s="25">
        <v>12215</v>
      </c>
      <c r="V100" s="25" t="s">
        <v>3257</v>
      </c>
      <c r="W100" s="38" t="s">
        <v>3258</v>
      </c>
      <c r="X100" s="25" t="s">
        <v>1629</v>
      </c>
      <c r="Y100" s="25" t="s">
        <v>164</v>
      </c>
      <c r="Z100" s="25" t="s">
        <v>1451</v>
      </c>
      <c r="AA100" s="25" t="s">
        <v>3259</v>
      </c>
      <c r="AB100" s="39">
        <v>100</v>
      </c>
      <c r="AC100" s="39" t="s">
        <v>244</v>
      </c>
      <c r="AD100" s="39">
        <v>6</v>
      </c>
      <c r="AE100" s="25">
        <v>2</v>
      </c>
      <c r="AF100" s="39">
        <v>120</v>
      </c>
      <c r="AG100" s="39" t="s">
        <v>244</v>
      </c>
      <c r="AH100" s="39">
        <v>9</v>
      </c>
      <c r="AI100" s="25">
        <v>3</v>
      </c>
      <c r="AJ100" s="39">
        <v>140</v>
      </c>
      <c r="AK100" s="39" t="s">
        <v>244</v>
      </c>
      <c r="AL100" s="39">
        <v>11</v>
      </c>
      <c r="AM100" s="25">
        <v>4</v>
      </c>
      <c r="AN100" s="39">
        <v>160</v>
      </c>
      <c r="AO100" s="39" t="s">
        <v>244</v>
      </c>
      <c r="AP100" s="39">
        <v>13</v>
      </c>
      <c r="AQ100" s="25" t="s">
        <v>61</v>
      </c>
      <c r="AR100" s="39"/>
    </row>
    <row r="101" spans="1:44" x14ac:dyDescent="0.2">
      <c r="A101" s="27" t="s">
        <v>5150</v>
      </c>
      <c r="B101" s="25">
        <v>27</v>
      </c>
      <c r="C101" s="25" t="s">
        <v>5170</v>
      </c>
      <c r="H101" s="25" t="s">
        <v>101</v>
      </c>
      <c r="T101" s="25" t="s">
        <v>1631</v>
      </c>
      <c r="U101" s="25">
        <v>1315</v>
      </c>
      <c r="V101" s="25" t="s">
        <v>1632</v>
      </c>
      <c r="W101" s="38" t="s">
        <v>6488</v>
      </c>
      <c r="X101" s="25" t="s">
        <v>1633</v>
      </c>
      <c r="Y101" s="25" t="s">
        <v>164</v>
      </c>
      <c r="Z101" s="25" t="s">
        <v>1451</v>
      </c>
      <c r="AA101" s="25" t="s">
        <v>1634</v>
      </c>
      <c r="AB101" s="39">
        <v>80</v>
      </c>
      <c r="AC101" s="39">
        <v>5</v>
      </c>
      <c r="AD101" s="39">
        <v>7</v>
      </c>
      <c r="AE101" s="25" t="s">
        <v>1635</v>
      </c>
      <c r="AF101" s="39">
        <v>160</v>
      </c>
      <c r="AG101" s="39">
        <v>10</v>
      </c>
      <c r="AH101" s="39">
        <v>10</v>
      </c>
      <c r="AI101" s="25" t="s">
        <v>1636</v>
      </c>
      <c r="AJ101" s="39">
        <v>200</v>
      </c>
      <c r="AK101" s="39">
        <v>10</v>
      </c>
      <c r="AL101" s="39">
        <v>12</v>
      </c>
      <c r="AM101" s="25" t="s">
        <v>1637</v>
      </c>
      <c r="AN101" s="39">
        <v>240</v>
      </c>
      <c r="AO101" s="39">
        <v>15</v>
      </c>
      <c r="AP101" s="39">
        <v>14</v>
      </c>
      <c r="AQ101" s="25" t="s">
        <v>698</v>
      </c>
      <c r="AR101" s="39" t="s">
        <v>6456</v>
      </c>
    </row>
    <row r="102" spans="1:44" x14ac:dyDescent="0.2">
      <c r="A102" s="27" t="s">
        <v>5149</v>
      </c>
      <c r="B102" s="25">
        <v>26</v>
      </c>
      <c r="C102" s="25" t="s">
        <v>5171</v>
      </c>
      <c r="H102" s="25" t="s">
        <v>1516</v>
      </c>
      <c r="T102" s="25" t="s">
        <v>1579</v>
      </c>
      <c r="U102" s="25">
        <v>2025</v>
      </c>
      <c r="V102" s="25" t="s">
        <v>1793</v>
      </c>
      <c r="W102" s="38" t="s">
        <v>1794</v>
      </c>
      <c r="X102" s="25">
        <v>14</v>
      </c>
      <c r="Y102" s="25" t="s">
        <v>164</v>
      </c>
      <c r="Z102" s="25" t="s">
        <v>1451</v>
      </c>
      <c r="AA102" s="25" t="s">
        <v>1795</v>
      </c>
      <c r="AB102" s="39">
        <v>40</v>
      </c>
      <c r="AC102" s="39" t="s">
        <v>744</v>
      </c>
      <c r="AD102" s="39">
        <v>6</v>
      </c>
      <c r="AE102" s="25" t="s">
        <v>1796</v>
      </c>
      <c r="AF102" s="39">
        <v>80</v>
      </c>
      <c r="AG102" s="39" t="s">
        <v>744</v>
      </c>
      <c r="AH102" s="39">
        <v>8</v>
      </c>
      <c r="AI102" s="40">
        <v>0.4</v>
      </c>
      <c r="AJ102" s="39">
        <v>120</v>
      </c>
      <c r="AK102" s="39" t="s">
        <v>744</v>
      </c>
      <c r="AL102" s="39">
        <v>10</v>
      </c>
      <c r="AM102" s="40">
        <v>0.60000000000000009</v>
      </c>
      <c r="AN102" s="39">
        <v>160</v>
      </c>
      <c r="AO102" s="39" t="s">
        <v>744</v>
      </c>
      <c r="AP102" s="39">
        <v>13</v>
      </c>
      <c r="AQ102" s="25" t="s">
        <v>1587</v>
      </c>
      <c r="AR102" s="39"/>
    </row>
    <row r="103" spans="1:44" x14ac:dyDescent="0.2">
      <c r="A103" s="27" t="s">
        <v>5151</v>
      </c>
      <c r="B103" s="25">
        <v>28</v>
      </c>
      <c r="C103" s="25" t="s">
        <v>5172</v>
      </c>
      <c r="H103" s="25" t="s">
        <v>1523</v>
      </c>
      <c r="T103" s="25" t="s">
        <v>90</v>
      </c>
      <c r="U103" s="25">
        <v>22009</v>
      </c>
      <c r="V103" s="25" t="s">
        <v>3730</v>
      </c>
      <c r="W103" s="38" t="s">
        <v>3731</v>
      </c>
      <c r="X103" s="25">
        <v>72</v>
      </c>
      <c r="Y103" s="25" t="s">
        <v>1582</v>
      </c>
      <c r="Z103" s="25" t="s">
        <v>1451</v>
      </c>
      <c r="AA103" s="25" t="s">
        <v>3732</v>
      </c>
      <c r="AB103" s="39">
        <v>140</v>
      </c>
      <c r="AC103" s="39">
        <v>15</v>
      </c>
      <c r="AD103" s="39">
        <v>8</v>
      </c>
      <c r="AE103" s="25" t="s">
        <v>3733</v>
      </c>
      <c r="AF103" s="39">
        <v>180</v>
      </c>
      <c r="AG103" s="39">
        <v>20</v>
      </c>
      <c r="AH103" s="39">
        <v>10</v>
      </c>
      <c r="AI103" s="25" t="s">
        <v>3734</v>
      </c>
      <c r="AJ103" s="39">
        <v>240</v>
      </c>
      <c r="AK103" s="39">
        <v>25</v>
      </c>
      <c r="AL103" s="39">
        <v>12</v>
      </c>
      <c r="AM103" s="25" t="s">
        <v>3735</v>
      </c>
      <c r="AN103" s="39">
        <v>300</v>
      </c>
      <c r="AO103" s="39">
        <v>30</v>
      </c>
      <c r="AP103" s="39">
        <v>15</v>
      </c>
      <c r="AR103" s="39"/>
    </row>
    <row r="104" spans="1:44" x14ac:dyDescent="0.2">
      <c r="A104" s="27" t="s">
        <v>5152</v>
      </c>
      <c r="B104" s="25">
        <v>29</v>
      </c>
      <c r="C104" s="25" t="s">
        <v>5173</v>
      </c>
      <c r="H104" s="25" t="s">
        <v>1531</v>
      </c>
      <c r="T104" s="25" t="s">
        <v>90</v>
      </c>
      <c r="U104" s="25">
        <v>7009</v>
      </c>
      <c r="V104" s="25" t="s">
        <v>2538</v>
      </c>
      <c r="W104" s="38" t="s">
        <v>6490</v>
      </c>
      <c r="X104" s="25">
        <v>22</v>
      </c>
      <c r="Y104" s="25" t="s">
        <v>164</v>
      </c>
      <c r="Z104" s="25" t="s">
        <v>1451</v>
      </c>
      <c r="AA104" s="25" t="s">
        <v>2539</v>
      </c>
      <c r="AB104" s="39">
        <v>60</v>
      </c>
      <c r="AC104" s="39">
        <v>10</v>
      </c>
      <c r="AD104" s="39">
        <v>6</v>
      </c>
      <c r="AE104" s="25" t="s">
        <v>2540</v>
      </c>
      <c r="AF104" s="39">
        <v>180</v>
      </c>
      <c r="AG104" s="39">
        <v>20</v>
      </c>
      <c r="AH104" s="39">
        <v>9</v>
      </c>
      <c r="AI104" s="25" t="s">
        <v>2541</v>
      </c>
      <c r="AJ104" s="39">
        <v>240</v>
      </c>
      <c r="AK104" s="39">
        <v>25</v>
      </c>
      <c r="AL104" s="39">
        <v>12</v>
      </c>
      <c r="AM104" s="25" t="s">
        <v>2542</v>
      </c>
      <c r="AN104" s="39">
        <v>300</v>
      </c>
      <c r="AO104" s="39">
        <v>30</v>
      </c>
      <c r="AP104" s="39">
        <v>15</v>
      </c>
      <c r="AR104" s="39" t="s">
        <v>6456</v>
      </c>
    </row>
    <row r="105" spans="1:44" x14ac:dyDescent="0.2">
      <c r="A105" s="27" t="s">
        <v>5153</v>
      </c>
      <c r="B105" s="25">
        <v>30</v>
      </c>
      <c r="C105" s="25" t="s">
        <v>5174</v>
      </c>
      <c r="H105" s="25" t="s">
        <v>1535</v>
      </c>
      <c r="T105" s="25" t="s">
        <v>1531</v>
      </c>
      <c r="U105" s="25">
        <v>7018</v>
      </c>
      <c r="V105" s="25" t="s">
        <v>2567</v>
      </c>
      <c r="W105" s="38" t="s">
        <v>6542</v>
      </c>
      <c r="X105" s="25">
        <v>64</v>
      </c>
      <c r="Y105" s="25" t="s">
        <v>164</v>
      </c>
      <c r="Z105" s="25" t="s">
        <v>1451</v>
      </c>
      <c r="AA105" s="25" t="s">
        <v>2568</v>
      </c>
      <c r="AB105" s="39">
        <v>120</v>
      </c>
      <c r="AC105" s="39">
        <v>10</v>
      </c>
      <c r="AD105" s="39">
        <v>7</v>
      </c>
      <c r="AE105" s="25">
        <v>240</v>
      </c>
      <c r="AF105" s="39">
        <v>260</v>
      </c>
      <c r="AG105" s="39">
        <v>20</v>
      </c>
      <c r="AH105" s="39">
        <v>10</v>
      </c>
      <c r="AI105" s="25">
        <v>320</v>
      </c>
      <c r="AJ105" s="39">
        <v>380</v>
      </c>
      <c r="AK105" s="39">
        <v>30</v>
      </c>
      <c r="AL105" s="39">
        <v>13</v>
      </c>
      <c r="AM105" s="25">
        <v>440</v>
      </c>
      <c r="AN105" s="39">
        <v>500</v>
      </c>
      <c r="AO105" s="39">
        <v>40</v>
      </c>
      <c r="AP105" s="39">
        <v>15</v>
      </c>
      <c r="AQ105" s="25" t="s">
        <v>1534</v>
      </c>
      <c r="AR105" s="39" t="s">
        <v>6456</v>
      </c>
    </row>
    <row r="106" spans="1:44" x14ac:dyDescent="0.2">
      <c r="A106" s="27" t="s">
        <v>5154</v>
      </c>
      <c r="B106" s="25">
        <v>31</v>
      </c>
      <c r="C106" s="25" t="s">
        <v>5175</v>
      </c>
      <c r="H106" s="25" t="s">
        <v>1543</v>
      </c>
      <c r="T106" s="25" t="s">
        <v>1627</v>
      </c>
      <c r="U106" s="25">
        <v>8215</v>
      </c>
      <c r="V106" s="25" t="s">
        <v>2777</v>
      </c>
      <c r="W106" s="38" t="s">
        <v>6467</v>
      </c>
      <c r="X106" s="25" t="s">
        <v>1629</v>
      </c>
      <c r="Y106" s="25" t="s">
        <v>164</v>
      </c>
      <c r="Z106" s="25" t="s">
        <v>1451</v>
      </c>
      <c r="AA106" s="25" t="s">
        <v>2778</v>
      </c>
      <c r="AB106" s="39">
        <v>100</v>
      </c>
      <c r="AC106" s="39">
        <v>20</v>
      </c>
      <c r="AD106" s="39">
        <v>7</v>
      </c>
      <c r="AE106" s="25" t="s">
        <v>2779</v>
      </c>
      <c r="AF106" s="39">
        <v>160</v>
      </c>
      <c r="AG106" s="39">
        <v>35</v>
      </c>
      <c r="AH106" s="39">
        <v>10</v>
      </c>
      <c r="AI106" s="25" t="s">
        <v>2780</v>
      </c>
      <c r="AJ106" s="39">
        <v>200</v>
      </c>
      <c r="AK106" s="39">
        <v>40</v>
      </c>
      <c r="AL106" s="39">
        <v>13</v>
      </c>
      <c r="AM106" s="25" t="s">
        <v>2781</v>
      </c>
      <c r="AN106" s="39">
        <v>240</v>
      </c>
      <c r="AO106" s="39">
        <v>50</v>
      </c>
      <c r="AP106" s="39">
        <v>15</v>
      </c>
      <c r="AQ106" s="25" t="s">
        <v>698</v>
      </c>
      <c r="AR106" s="39" t="s">
        <v>6456</v>
      </c>
    </row>
    <row r="107" spans="1:44" x14ac:dyDescent="0.2">
      <c r="A107" s="27" t="s">
        <v>5155</v>
      </c>
      <c r="B107" s="25">
        <v>32</v>
      </c>
      <c r="C107" s="25" t="s">
        <v>5176</v>
      </c>
      <c r="H107" s="25" t="s">
        <v>132</v>
      </c>
      <c r="T107" s="25" t="s">
        <v>90</v>
      </c>
      <c r="U107" s="25">
        <v>3009</v>
      </c>
      <c r="V107" s="25" t="s">
        <v>1898</v>
      </c>
      <c r="W107" s="38" t="s">
        <v>6577</v>
      </c>
      <c r="X107" s="25">
        <v>10</v>
      </c>
      <c r="Y107" s="25" t="s">
        <v>1498</v>
      </c>
      <c r="Z107" s="25" t="s">
        <v>1451</v>
      </c>
      <c r="AA107" s="25" t="s">
        <v>1899</v>
      </c>
      <c r="AB107" s="39">
        <v>30</v>
      </c>
      <c r="AC107" s="39">
        <v>10</v>
      </c>
      <c r="AD107" s="39">
        <v>6</v>
      </c>
      <c r="AE107" s="25" t="s">
        <v>1900</v>
      </c>
      <c r="AF107" s="39">
        <v>70</v>
      </c>
      <c r="AG107" s="39">
        <v>20</v>
      </c>
      <c r="AH107" s="39">
        <v>9</v>
      </c>
      <c r="AI107" s="25" t="s">
        <v>1901</v>
      </c>
      <c r="AJ107" s="39">
        <v>100</v>
      </c>
      <c r="AK107" s="39">
        <v>20</v>
      </c>
      <c r="AL107" s="39">
        <v>10</v>
      </c>
      <c r="AM107" s="25" t="s">
        <v>1902</v>
      </c>
      <c r="AN107" s="39">
        <v>150</v>
      </c>
      <c r="AO107" s="39">
        <v>25</v>
      </c>
      <c r="AP107" s="39">
        <v>13</v>
      </c>
      <c r="AR107" s="39" t="s">
        <v>6456</v>
      </c>
    </row>
    <row r="108" spans="1:44" x14ac:dyDescent="0.2">
      <c r="A108" s="27" t="s">
        <v>5156</v>
      </c>
      <c r="B108" s="25">
        <v>33</v>
      </c>
      <c r="C108" s="25" t="s">
        <v>5177</v>
      </c>
      <c r="H108" s="25" t="s">
        <v>1554</v>
      </c>
      <c r="T108" s="25" t="s">
        <v>1679</v>
      </c>
      <c r="U108" s="25">
        <v>6915</v>
      </c>
      <c r="V108" s="25" t="s">
        <v>2492</v>
      </c>
      <c r="W108" s="38" t="s">
        <v>6581</v>
      </c>
      <c r="X108" s="25" t="s">
        <v>1682</v>
      </c>
      <c r="Y108" s="25" t="s">
        <v>164</v>
      </c>
      <c r="Z108" s="25" t="s">
        <v>1451</v>
      </c>
      <c r="AA108" s="25" t="s">
        <v>1854</v>
      </c>
      <c r="AB108" s="39">
        <v>300</v>
      </c>
      <c r="AC108" s="39">
        <v>30</v>
      </c>
      <c r="AD108" s="39">
        <v>11</v>
      </c>
      <c r="AE108" s="25" t="s">
        <v>2493</v>
      </c>
      <c r="AF108" s="39">
        <v>400</v>
      </c>
      <c r="AG108" s="39">
        <v>40</v>
      </c>
      <c r="AH108" s="39">
        <v>13</v>
      </c>
      <c r="AI108" s="25" t="s">
        <v>2494</v>
      </c>
      <c r="AJ108" s="39">
        <v>500</v>
      </c>
      <c r="AK108" s="39">
        <v>50</v>
      </c>
      <c r="AL108" s="39">
        <v>15</v>
      </c>
      <c r="AM108" s="25" t="s">
        <v>2495</v>
      </c>
      <c r="AN108" s="39">
        <v>600</v>
      </c>
      <c r="AO108" s="39">
        <v>60</v>
      </c>
      <c r="AP108" s="39">
        <v>17</v>
      </c>
      <c r="AQ108" s="25" t="s">
        <v>698</v>
      </c>
      <c r="AR108" s="39" t="s">
        <v>6456</v>
      </c>
    </row>
    <row r="109" spans="1:44" x14ac:dyDescent="0.2">
      <c r="A109" s="27" t="s">
        <v>5157</v>
      </c>
      <c r="B109" s="25">
        <v>34</v>
      </c>
      <c r="C109" s="25" t="s">
        <v>5178</v>
      </c>
      <c r="H109" s="25" t="s">
        <v>1563</v>
      </c>
      <c r="T109" s="25" t="s">
        <v>94</v>
      </c>
      <c r="U109" s="25">
        <v>11010</v>
      </c>
      <c r="V109" s="25" t="s">
        <v>3149</v>
      </c>
      <c r="W109" s="38" t="s">
        <v>3150</v>
      </c>
      <c r="X109" s="25">
        <v>36</v>
      </c>
      <c r="Y109" s="25" t="s">
        <v>1582</v>
      </c>
      <c r="Z109" s="25" t="s">
        <v>1451</v>
      </c>
      <c r="AA109" s="25" t="s">
        <v>1668</v>
      </c>
      <c r="AB109" s="39">
        <v>50</v>
      </c>
      <c r="AC109" s="39">
        <v>5</v>
      </c>
      <c r="AD109" s="39">
        <v>6</v>
      </c>
      <c r="AE109" s="25" t="s">
        <v>1586</v>
      </c>
      <c r="AF109" s="39">
        <v>70</v>
      </c>
      <c r="AG109" s="39">
        <v>5</v>
      </c>
      <c r="AH109" s="39">
        <v>9</v>
      </c>
      <c r="AI109" s="25" t="s">
        <v>1669</v>
      </c>
      <c r="AJ109" s="39">
        <v>90</v>
      </c>
      <c r="AK109" s="39">
        <v>5</v>
      </c>
      <c r="AL109" s="39">
        <v>11</v>
      </c>
      <c r="AM109" s="25" t="s">
        <v>2104</v>
      </c>
      <c r="AN109" s="39">
        <v>120</v>
      </c>
      <c r="AO109" s="39">
        <v>10</v>
      </c>
      <c r="AP109" s="39">
        <v>13</v>
      </c>
      <c r="AR109" s="39"/>
    </row>
    <row r="110" spans="1:44" x14ac:dyDescent="0.2">
      <c r="A110" s="27" t="s">
        <v>5158</v>
      </c>
      <c r="B110" s="25">
        <v>35</v>
      </c>
      <c r="C110" s="25" t="s">
        <v>5179</v>
      </c>
      <c r="H110" s="25" t="s">
        <v>1571</v>
      </c>
      <c r="T110" s="25" t="s">
        <v>65</v>
      </c>
      <c r="U110" s="25">
        <v>10006</v>
      </c>
      <c r="V110" s="25" t="s">
        <v>2988</v>
      </c>
      <c r="W110" s="38" t="s">
        <v>6492</v>
      </c>
      <c r="X110" s="25">
        <v>32</v>
      </c>
      <c r="Y110" s="25" t="s">
        <v>1582</v>
      </c>
      <c r="Z110" s="25" t="s">
        <v>1451</v>
      </c>
      <c r="AA110" s="25" t="s">
        <v>2989</v>
      </c>
      <c r="AB110" s="39">
        <v>60</v>
      </c>
      <c r="AC110" s="39">
        <v>10</v>
      </c>
      <c r="AD110" s="39">
        <v>6</v>
      </c>
      <c r="AE110" s="25" t="s">
        <v>2990</v>
      </c>
      <c r="AF110" s="39">
        <v>100</v>
      </c>
      <c r="AG110" s="39">
        <v>10</v>
      </c>
      <c r="AH110" s="39">
        <v>9</v>
      </c>
      <c r="AI110" s="25" t="s">
        <v>2991</v>
      </c>
      <c r="AJ110" s="39">
        <v>140</v>
      </c>
      <c r="AK110" s="39">
        <v>15</v>
      </c>
      <c r="AL110" s="39">
        <v>12</v>
      </c>
      <c r="AM110" s="25" t="s">
        <v>2992</v>
      </c>
      <c r="AN110" s="39">
        <v>220</v>
      </c>
      <c r="AO110" s="39">
        <v>15</v>
      </c>
      <c r="AP110" s="39">
        <v>15</v>
      </c>
      <c r="AR110" s="39" t="s">
        <v>6456</v>
      </c>
    </row>
    <row r="111" spans="1:44" x14ac:dyDescent="0.2">
      <c r="A111" s="25" t="s">
        <v>1531</v>
      </c>
      <c r="B111" s="25">
        <v>14</v>
      </c>
      <c r="C111" s="25" t="s">
        <v>5180</v>
      </c>
      <c r="H111" s="25" t="s">
        <v>1579</v>
      </c>
      <c r="T111" s="25" t="s">
        <v>65</v>
      </c>
      <c r="U111" s="25">
        <v>26006</v>
      </c>
      <c r="V111" s="25" t="s">
        <v>3866</v>
      </c>
      <c r="W111" s="38" t="s">
        <v>6459</v>
      </c>
      <c r="X111" s="25">
        <v>86</v>
      </c>
      <c r="Y111" s="25" t="s">
        <v>164</v>
      </c>
      <c r="Z111" s="25" t="s">
        <v>1451</v>
      </c>
      <c r="AA111" s="25" t="s">
        <v>3867</v>
      </c>
      <c r="AB111" s="39">
        <v>250</v>
      </c>
      <c r="AC111" s="39">
        <v>50</v>
      </c>
      <c r="AD111" s="39">
        <v>9</v>
      </c>
      <c r="AE111" s="25" t="s">
        <v>3868</v>
      </c>
      <c r="AF111" s="39">
        <v>400</v>
      </c>
      <c r="AG111" s="39">
        <v>75</v>
      </c>
      <c r="AH111" s="39">
        <v>12</v>
      </c>
      <c r="AI111" s="25" t="s">
        <v>3560</v>
      </c>
      <c r="AJ111" s="39">
        <v>550</v>
      </c>
      <c r="AK111" s="39">
        <v>90</v>
      </c>
      <c r="AL111" s="39">
        <v>15</v>
      </c>
      <c r="AM111" s="25" t="s">
        <v>3869</v>
      </c>
      <c r="AN111" s="39">
        <v>800</v>
      </c>
      <c r="AO111" s="39">
        <v>110</v>
      </c>
      <c r="AP111" s="39">
        <v>18</v>
      </c>
      <c r="AR111" s="39" t="s">
        <v>6456</v>
      </c>
    </row>
    <row r="112" spans="1:44" x14ac:dyDescent="0.2">
      <c r="A112" s="25" t="s">
        <v>29</v>
      </c>
      <c r="B112" s="25">
        <v>1</v>
      </c>
      <c r="C112" s="25" t="s">
        <v>5181</v>
      </c>
      <c r="H112" s="25" t="s">
        <v>1728</v>
      </c>
      <c r="T112" s="25" t="s">
        <v>65</v>
      </c>
      <c r="U112" s="25">
        <v>8006</v>
      </c>
      <c r="V112" s="25" t="s">
        <v>2682</v>
      </c>
      <c r="W112" s="38" t="s">
        <v>2683</v>
      </c>
      <c r="X112" s="25">
        <v>26</v>
      </c>
      <c r="Y112" s="25" t="s">
        <v>164</v>
      </c>
      <c r="Z112" s="25" t="s">
        <v>1451</v>
      </c>
      <c r="AA112" s="25" t="s">
        <v>2684</v>
      </c>
      <c r="AB112" s="39">
        <v>60</v>
      </c>
      <c r="AC112" s="39">
        <v>5</v>
      </c>
      <c r="AD112" s="39">
        <v>6</v>
      </c>
      <c r="AE112" s="25" t="s">
        <v>2685</v>
      </c>
      <c r="AF112" s="39">
        <v>90</v>
      </c>
      <c r="AG112" s="39">
        <v>5</v>
      </c>
      <c r="AH112" s="39">
        <v>9</v>
      </c>
      <c r="AI112" s="25" t="s">
        <v>2686</v>
      </c>
      <c r="AJ112" s="39">
        <v>120</v>
      </c>
      <c r="AK112" s="39">
        <v>10</v>
      </c>
      <c r="AL112" s="39">
        <v>12</v>
      </c>
      <c r="AM112" s="25" t="s">
        <v>2687</v>
      </c>
      <c r="AN112" s="39">
        <v>150</v>
      </c>
      <c r="AO112" s="39">
        <v>10</v>
      </c>
      <c r="AP112" s="39">
        <v>15</v>
      </c>
      <c r="AR112" s="39"/>
    </row>
    <row r="113" spans="1:44" x14ac:dyDescent="0.2">
      <c r="A113" s="25" t="s">
        <v>1535</v>
      </c>
      <c r="B113" s="25">
        <v>15</v>
      </c>
      <c r="C113" s="25" t="s">
        <v>5182</v>
      </c>
      <c r="H113" s="25" t="s">
        <v>1596</v>
      </c>
      <c r="T113" s="25" t="s">
        <v>1671</v>
      </c>
      <c r="U113" s="25">
        <v>2815</v>
      </c>
      <c r="V113" s="25" t="s">
        <v>1853</v>
      </c>
      <c r="W113" s="38" t="s">
        <v>6527</v>
      </c>
      <c r="X113" s="25" t="s">
        <v>1674</v>
      </c>
      <c r="Y113" s="25" t="s">
        <v>164</v>
      </c>
      <c r="Z113" s="25" t="s">
        <v>1451</v>
      </c>
      <c r="AA113" s="25" t="s">
        <v>1854</v>
      </c>
      <c r="AB113" s="39">
        <v>350</v>
      </c>
      <c r="AC113" s="39">
        <v>70</v>
      </c>
      <c r="AD113" s="39">
        <v>10</v>
      </c>
      <c r="AE113" s="25" t="s">
        <v>1855</v>
      </c>
      <c r="AF113" s="39">
        <v>420</v>
      </c>
      <c r="AG113" s="39">
        <v>85</v>
      </c>
      <c r="AH113" s="39">
        <v>13</v>
      </c>
      <c r="AI113" s="25" t="s">
        <v>1856</v>
      </c>
      <c r="AJ113" s="39">
        <v>480</v>
      </c>
      <c r="AK113" s="39">
        <v>100</v>
      </c>
      <c r="AL113" s="39">
        <v>15</v>
      </c>
      <c r="AM113" s="25" t="s">
        <v>1857</v>
      </c>
      <c r="AN113" s="39">
        <v>540</v>
      </c>
      <c r="AO113" s="39">
        <v>110</v>
      </c>
      <c r="AP113" s="39">
        <v>17</v>
      </c>
      <c r="AQ113" s="25" t="s">
        <v>698</v>
      </c>
      <c r="AR113" s="39" t="s">
        <v>6456</v>
      </c>
    </row>
    <row r="114" spans="1:44" x14ac:dyDescent="0.2">
      <c r="A114" s="25" t="s">
        <v>1543</v>
      </c>
      <c r="B114" s="25">
        <v>16</v>
      </c>
      <c r="C114" s="25" t="s">
        <v>5183</v>
      </c>
      <c r="H114" s="25" t="s">
        <v>264</v>
      </c>
      <c r="T114" s="25" t="s">
        <v>1571</v>
      </c>
      <c r="U114" s="25">
        <v>2024</v>
      </c>
      <c r="V114" s="25" t="s">
        <v>1571</v>
      </c>
      <c r="W114" s="38" t="s">
        <v>1783</v>
      </c>
      <c r="X114" s="25">
        <v>14</v>
      </c>
      <c r="Y114" s="25" t="s">
        <v>164</v>
      </c>
      <c r="Z114" s="25" t="s">
        <v>1451</v>
      </c>
      <c r="AA114" s="25" t="s">
        <v>1784</v>
      </c>
      <c r="AB114" s="39">
        <v>40</v>
      </c>
      <c r="AC114" s="39">
        <v>5</v>
      </c>
      <c r="AD114" s="39">
        <v>6</v>
      </c>
      <c r="AE114" s="25">
        <v>60</v>
      </c>
      <c r="AF114" s="39">
        <v>80</v>
      </c>
      <c r="AG114" s="39">
        <v>10</v>
      </c>
      <c r="AH114" s="39">
        <v>9</v>
      </c>
      <c r="AI114" s="25">
        <v>80</v>
      </c>
      <c r="AJ114" s="39">
        <v>120</v>
      </c>
      <c r="AK114" s="39">
        <v>15</v>
      </c>
      <c r="AL114" s="39">
        <v>11</v>
      </c>
      <c r="AM114" s="25">
        <v>100</v>
      </c>
      <c r="AN114" s="39">
        <v>160</v>
      </c>
      <c r="AO114" s="39">
        <v>20</v>
      </c>
      <c r="AP114" s="39">
        <v>13</v>
      </c>
      <c r="AQ114" s="25" t="s">
        <v>1578</v>
      </c>
      <c r="AR114" s="39"/>
    </row>
    <row r="115" spans="1:44" x14ac:dyDescent="0.2">
      <c r="A115" s="25" t="s">
        <v>101</v>
      </c>
      <c r="B115" s="25">
        <v>11</v>
      </c>
      <c r="C115" s="25" t="s">
        <v>5184</v>
      </c>
      <c r="H115" s="25" t="s">
        <v>1611</v>
      </c>
      <c r="T115" s="25" t="s">
        <v>1571</v>
      </c>
      <c r="U115" s="25">
        <v>6024</v>
      </c>
      <c r="V115" s="25" t="s">
        <v>2426</v>
      </c>
      <c r="W115" s="38" t="s">
        <v>2427</v>
      </c>
      <c r="X115" s="25">
        <v>54</v>
      </c>
      <c r="Y115" s="25" t="s">
        <v>1498</v>
      </c>
      <c r="Z115" s="25" t="s">
        <v>1451</v>
      </c>
      <c r="AA115" s="25" t="s">
        <v>2428</v>
      </c>
      <c r="AB115" s="39">
        <v>80</v>
      </c>
      <c r="AC115" s="39">
        <v>5</v>
      </c>
      <c r="AD115" s="39">
        <v>7</v>
      </c>
      <c r="AE115" s="25" t="s">
        <v>2429</v>
      </c>
      <c r="AF115" s="39">
        <v>120</v>
      </c>
      <c r="AG115" s="39">
        <v>10</v>
      </c>
      <c r="AH115" s="39">
        <v>9</v>
      </c>
      <c r="AI115" s="25" t="s">
        <v>2430</v>
      </c>
      <c r="AJ115" s="39">
        <v>160</v>
      </c>
      <c r="AK115" s="39">
        <v>20</v>
      </c>
      <c r="AL115" s="39">
        <v>11</v>
      </c>
      <c r="AM115" s="25" t="s">
        <v>2431</v>
      </c>
      <c r="AN115" s="39">
        <v>200</v>
      </c>
      <c r="AO115" s="39">
        <v>20</v>
      </c>
      <c r="AP115" s="39">
        <v>13</v>
      </c>
      <c r="AQ115" s="25" t="s">
        <v>1578</v>
      </c>
      <c r="AR115" s="39"/>
    </row>
    <row r="116" spans="1:44" x14ac:dyDescent="0.2">
      <c r="A116" s="25" t="s">
        <v>132</v>
      </c>
      <c r="B116" s="25">
        <v>17</v>
      </c>
      <c r="C116" s="25" t="s">
        <v>5185</v>
      </c>
      <c r="H116" s="27" t="s">
        <v>5149</v>
      </c>
      <c r="T116" s="25" t="s">
        <v>1571</v>
      </c>
      <c r="U116" s="25">
        <v>5024</v>
      </c>
      <c r="V116" s="25" t="s">
        <v>2265</v>
      </c>
      <c r="W116" s="38" t="s">
        <v>2266</v>
      </c>
      <c r="X116" s="25">
        <v>44</v>
      </c>
      <c r="Y116" s="25" t="s">
        <v>164</v>
      </c>
      <c r="Z116" s="25" t="s">
        <v>1451</v>
      </c>
      <c r="AA116" s="25" t="s">
        <v>2267</v>
      </c>
      <c r="AB116" s="39">
        <v>100</v>
      </c>
      <c r="AC116" s="39" t="s">
        <v>744</v>
      </c>
      <c r="AD116" s="39">
        <v>8</v>
      </c>
      <c r="AE116" s="25" t="s">
        <v>2268</v>
      </c>
      <c r="AF116" s="39">
        <v>150</v>
      </c>
      <c r="AG116" s="39" t="s">
        <v>744</v>
      </c>
      <c r="AH116" s="39">
        <v>10</v>
      </c>
      <c r="AI116" s="25" t="s">
        <v>2269</v>
      </c>
      <c r="AJ116" s="39">
        <v>200</v>
      </c>
      <c r="AK116" s="39" t="s">
        <v>744</v>
      </c>
      <c r="AL116" s="39">
        <v>12</v>
      </c>
      <c r="AM116" s="25" t="s">
        <v>1828</v>
      </c>
      <c r="AN116" s="39">
        <v>250</v>
      </c>
      <c r="AO116" s="39" t="s">
        <v>744</v>
      </c>
      <c r="AP116" s="39">
        <v>14</v>
      </c>
      <c r="AQ116" s="25" t="s">
        <v>1578</v>
      </c>
      <c r="AR116" s="39"/>
    </row>
    <row r="117" spans="1:44" x14ac:dyDescent="0.2">
      <c r="A117" s="25" t="s">
        <v>39</v>
      </c>
      <c r="B117" s="25">
        <v>2</v>
      </c>
      <c r="C117" s="25" t="s">
        <v>5186</v>
      </c>
      <c r="H117" s="27" t="s">
        <v>5150</v>
      </c>
      <c r="T117" s="25" t="s">
        <v>90</v>
      </c>
      <c r="U117" s="25">
        <v>4009</v>
      </c>
      <c r="V117" s="25" t="s">
        <v>2052</v>
      </c>
      <c r="W117" s="38" t="s">
        <v>2053</v>
      </c>
      <c r="X117" s="25">
        <v>12</v>
      </c>
      <c r="Y117" s="25" t="s">
        <v>164</v>
      </c>
      <c r="Z117" s="25" t="s">
        <v>1451</v>
      </c>
      <c r="AA117" s="25" t="s">
        <v>2054</v>
      </c>
      <c r="AB117" s="39">
        <v>40</v>
      </c>
      <c r="AC117" s="39" t="s">
        <v>244</v>
      </c>
      <c r="AD117" s="39">
        <v>6</v>
      </c>
      <c r="AE117" s="25" t="s">
        <v>2055</v>
      </c>
      <c r="AF117" s="39">
        <v>60</v>
      </c>
      <c r="AG117" s="39" t="s">
        <v>244</v>
      </c>
      <c r="AH117" s="39">
        <v>9</v>
      </c>
      <c r="AI117" s="25" t="s">
        <v>2056</v>
      </c>
      <c r="AJ117" s="39">
        <v>90</v>
      </c>
      <c r="AK117" s="39" t="s">
        <v>244</v>
      </c>
      <c r="AL117" s="39">
        <v>10</v>
      </c>
      <c r="AM117" s="25" t="s">
        <v>2057</v>
      </c>
      <c r="AN117" s="39">
        <v>120</v>
      </c>
      <c r="AO117" s="39" t="s">
        <v>244</v>
      </c>
      <c r="AP117" s="39">
        <v>13</v>
      </c>
      <c r="AR117" s="39"/>
    </row>
    <row r="118" spans="1:44" x14ac:dyDescent="0.2">
      <c r="A118" s="25" t="s">
        <v>1554</v>
      </c>
      <c r="B118" s="25">
        <v>18</v>
      </c>
      <c r="C118" s="25" t="s">
        <v>5187</v>
      </c>
      <c r="H118" s="27" t="s">
        <v>5151</v>
      </c>
      <c r="T118" s="25" t="s">
        <v>1596</v>
      </c>
      <c r="U118" s="25">
        <v>1027</v>
      </c>
      <c r="V118" s="25" t="s">
        <v>1597</v>
      </c>
      <c r="W118" s="38" t="s">
        <v>1598</v>
      </c>
      <c r="X118" s="25">
        <v>4</v>
      </c>
      <c r="Y118" s="25" t="s">
        <v>164</v>
      </c>
      <c r="Z118" s="25" t="s">
        <v>1451</v>
      </c>
      <c r="AA118" s="25" t="s">
        <v>1599</v>
      </c>
      <c r="AB118" s="39">
        <v>30</v>
      </c>
      <c r="AC118" s="39" t="s">
        <v>744</v>
      </c>
      <c r="AD118" s="39">
        <v>5</v>
      </c>
      <c r="AE118" s="25" t="s">
        <v>1600</v>
      </c>
      <c r="AF118" s="39">
        <v>50</v>
      </c>
      <c r="AG118" s="39" t="s">
        <v>744</v>
      </c>
      <c r="AH118" s="39">
        <v>7</v>
      </c>
      <c r="AI118" s="25" t="s">
        <v>1601</v>
      </c>
      <c r="AJ118" s="39">
        <v>70</v>
      </c>
      <c r="AK118" s="39" t="s">
        <v>744</v>
      </c>
      <c r="AL118" s="39">
        <v>10</v>
      </c>
      <c r="AM118" s="25" t="s">
        <v>1602</v>
      </c>
      <c r="AN118" s="39">
        <v>90</v>
      </c>
      <c r="AO118" s="39" t="s">
        <v>744</v>
      </c>
      <c r="AP118" s="39">
        <v>12</v>
      </c>
      <c r="AQ118" s="25" t="s">
        <v>1603</v>
      </c>
      <c r="AR118" s="39"/>
    </row>
    <row r="119" spans="1:44" x14ac:dyDescent="0.2">
      <c r="A119" s="25" t="s">
        <v>1563</v>
      </c>
      <c r="B119" s="25">
        <v>19</v>
      </c>
      <c r="C119" s="25" t="s">
        <v>5188</v>
      </c>
      <c r="H119" s="27" t="s">
        <v>5152</v>
      </c>
      <c r="T119" s="25" t="s">
        <v>132</v>
      </c>
      <c r="U119" s="25">
        <v>7021</v>
      </c>
      <c r="V119" s="25" t="s">
        <v>2581</v>
      </c>
      <c r="W119" s="38" t="s">
        <v>6618</v>
      </c>
      <c r="X119" s="25">
        <v>64</v>
      </c>
      <c r="Y119" s="25" t="s">
        <v>2084</v>
      </c>
      <c r="Z119" s="25" t="s">
        <v>1451</v>
      </c>
      <c r="AA119" s="25" t="s">
        <v>2582</v>
      </c>
      <c r="AB119" s="39">
        <v>100</v>
      </c>
      <c r="AC119" s="39">
        <v>5</v>
      </c>
      <c r="AD119" s="39">
        <v>8</v>
      </c>
      <c r="AE119" s="25">
        <v>160</v>
      </c>
      <c r="AF119" s="39">
        <v>150</v>
      </c>
      <c r="AG119" s="39">
        <v>10</v>
      </c>
      <c r="AH119" s="39">
        <v>11</v>
      </c>
      <c r="AI119" s="25">
        <v>200</v>
      </c>
      <c r="AJ119" s="39">
        <v>200</v>
      </c>
      <c r="AK119" s="39">
        <v>10</v>
      </c>
      <c r="AL119" s="39">
        <v>13</v>
      </c>
      <c r="AM119" s="25">
        <v>240</v>
      </c>
      <c r="AN119" s="39">
        <v>250</v>
      </c>
      <c r="AO119" s="39">
        <v>15</v>
      </c>
      <c r="AP119" s="39">
        <v>15</v>
      </c>
      <c r="AQ119" s="25" t="s">
        <v>1553</v>
      </c>
      <c r="AR119" s="39" t="s">
        <v>6456</v>
      </c>
    </row>
    <row r="120" spans="1:44" x14ac:dyDescent="0.2">
      <c r="A120" s="25" t="s">
        <v>1579</v>
      </c>
      <c r="B120" s="25">
        <v>21</v>
      </c>
      <c r="C120" s="25" t="s">
        <v>5189</v>
      </c>
      <c r="H120" s="27" t="s">
        <v>5153</v>
      </c>
      <c r="T120" s="25" t="s">
        <v>1571</v>
      </c>
      <c r="U120" s="25">
        <v>8024</v>
      </c>
      <c r="V120" s="25" t="s">
        <v>2741</v>
      </c>
      <c r="W120" s="38" t="s">
        <v>2742</v>
      </c>
      <c r="X120" s="25">
        <v>74</v>
      </c>
      <c r="Y120" s="25" t="s">
        <v>164</v>
      </c>
      <c r="Z120" s="25" t="s">
        <v>1451</v>
      </c>
      <c r="AA120" s="25" t="s">
        <v>2743</v>
      </c>
      <c r="AB120" s="39">
        <v>60</v>
      </c>
      <c r="AC120" s="39">
        <v>5</v>
      </c>
      <c r="AD120" s="39">
        <v>6</v>
      </c>
      <c r="AE120" s="25" t="s">
        <v>2744</v>
      </c>
      <c r="AF120" s="39">
        <v>100</v>
      </c>
      <c r="AG120" s="39">
        <v>10</v>
      </c>
      <c r="AH120" s="39">
        <v>9</v>
      </c>
      <c r="AI120" s="25" t="s">
        <v>2745</v>
      </c>
      <c r="AJ120" s="39">
        <v>140</v>
      </c>
      <c r="AK120" s="39">
        <v>15</v>
      </c>
      <c r="AL120" s="39">
        <v>11</v>
      </c>
      <c r="AM120" s="25" t="s">
        <v>2746</v>
      </c>
      <c r="AN120" s="39">
        <v>200</v>
      </c>
      <c r="AO120" s="39">
        <v>20</v>
      </c>
      <c r="AP120" s="39">
        <v>13</v>
      </c>
      <c r="AQ120" s="25" t="s">
        <v>1578</v>
      </c>
      <c r="AR120" s="39"/>
    </row>
    <row r="121" spans="1:44" x14ac:dyDescent="0.2">
      <c r="A121" s="25" t="s">
        <v>1728</v>
      </c>
      <c r="B121" s="25">
        <v>22</v>
      </c>
      <c r="C121" s="25" t="s">
        <v>5190</v>
      </c>
      <c r="H121" s="27" t="s">
        <v>5154</v>
      </c>
      <c r="T121" s="25" t="s">
        <v>70</v>
      </c>
      <c r="U121" s="25">
        <v>19005</v>
      </c>
      <c r="V121" s="25" t="s">
        <v>3583</v>
      </c>
      <c r="W121" s="38" t="s">
        <v>3584</v>
      </c>
      <c r="X121" s="25">
        <v>62</v>
      </c>
      <c r="Y121" s="25" t="s">
        <v>1582</v>
      </c>
      <c r="Z121" s="25" t="s">
        <v>1451</v>
      </c>
      <c r="AA121" s="25" t="s">
        <v>2705</v>
      </c>
      <c r="AB121" s="39">
        <v>120</v>
      </c>
      <c r="AC121" s="39" t="s">
        <v>244</v>
      </c>
      <c r="AD121" s="39">
        <v>6</v>
      </c>
      <c r="AE121" s="25" t="s">
        <v>3585</v>
      </c>
      <c r="AF121" s="39">
        <v>180</v>
      </c>
      <c r="AG121" s="39" t="s">
        <v>244</v>
      </c>
      <c r="AH121" s="39">
        <v>9</v>
      </c>
      <c r="AI121" s="25" t="s">
        <v>3586</v>
      </c>
      <c r="AJ121" s="39">
        <v>240</v>
      </c>
      <c r="AK121" s="39" t="s">
        <v>244</v>
      </c>
      <c r="AL121" s="39">
        <v>12</v>
      </c>
      <c r="AM121" s="25" t="s">
        <v>3587</v>
      </c>
      <c r="AN121" s="39">
        <v>300</v>
      </c>
      <c r="AO121" s="39" t="s">
        <v>244</v>
      </c>
      <c r="AP121" s="39">
        <v>15</v>
      </c>
      <c r="AR121" s="39"/>
    </row>
    <row r="122" spans="1:44" x14ac:dyDescent="0.2">
      <c r="A122" s="25" t="s">
        <v>1596</v>
      </c>
      <c r="B122" s="25">
        <v>23</v>
      </c>
      <c r="C122" s="25" t="s">
        <v>5191</v>
      </c>
      <c r="H122" s="27" t="s">
        <v>5155</v>
      </c>
      <c r="T122" s="25" t="s">
        <v>70</v>
      </c>
      <c r="U122" s="25">
        <v>24005</v>
      </c>
      <c r="V122" s="25" t="s">
        <v>3793</v>
      </c>
      <c r="W122" s="38" t="s">
        <v>6601</v>
      </c>
      <c r="X122" s="25">
        <v>80</v>
      </c>
      <c r="Y122" s="25" t="s">
        <v>164</v>
      </c>
      <c r="Z122" s="25" t="s">
        <v>1451</v>
      </c>
      <c r="AA122" s="25" t="s">
        <v>3794</v>
      </c>
      <c r="AB122" s="39">
        <v>120</v>
      </c>
      <c r="AC122" s="39">
        <v>10</v>
      </c>
      <c r="AD122" s="39">
        <v>6</v>
      </c>
      <c r="AE122" s="25" t="s">
        <v>3795</v>
      </c>
      <c r="AF122" s="39">
        <v>180</v>
      </c>
      <c r="AG122" s="39">
        <v>10</v>
      </c>
      <c r="AH122" s="39">
        <v>9</v>
      </c>
      <c r="AI122" s="25" t="s">
        <v>3796</v>
      </c>
      <c r="AJ122" s="39">
        <v>240</v>
      </c>
      <c r="AK122" s="39">
        <v>15</v>
      </c>
      <c r="AL122" s="39">
        <v>12</v>
      </c>
      <c r="AM122" s="25" t="s">
        <v>3797</v>
      </c>
      <c r="AN122" s="39">
        <v>300</v>
      </c>
      <c r="AO122" s="39">
        <v>15</v>
      </c>
      <c r="AP122" s="39">
        <v>15</v>
      </c>
      <c r="AR122" s="39" t="s">
        <v>6456</v>
      </c>
    </row>
    <row r="123" spans="1:44" x14ac:dyDescent="0.2">
      <c r="A123" s="25" t="s">
        <v>35</v>
      </c>
      <c r="B123" s="25">
        <v>7</v>
      </c>
      <c r="C123" s="25" t="s">
        <v>5159</v>
      </c>
      <c r="H123" s="27" t="s">
        <v>5156</v>
      </c>
      <c r="T123" s="25" t="s">
        <v>1663</v>
      </c>
      <c r="U123" s="25">
        <v>9715</v>
      </c>
      <c r="V123" s="25" t="s">
        <v>2953</v>
      </c>
      <c r="W123" s="38" t="s">
        <v>6612</v>
      </c>
      <c r="X123" s="25" t="s">
        <v>1666</v>
      </c>
      <c r="Y123" s="25" t="s">
        <v>1498</v>
      </c>
      <c r="Z123" s="25" t="s">
        <v>1451</v>
      </c>
      <c r="AA123" s="25" t="s">
        <v>2705</v>
      </c>
      <c r="AB123" s="39">
        <v>200</v>
      </c>
      <c r="AC123" s="39">
        <v>40</v>
      </c>
      <c r="AD123" s="39">
        <v>9</v>
      </c>
      <c r="AE123" s="25" t="s">
        <v>1823</v>
      </c>
      <c r="AF123" s="39">
        <v>240</v>
      </c>
      <c r="AG123" s="39">
        <v>50</v>
      </c>
      <c r="AH123" s="39">
        <v>11</v>
      </c>
      <c r="AI123" s="25" t="s">
        <v>1824</v>
      </c>
      <c r="AJ123" s="39">
        <v>280</v>
      </c>
      <c r="AK123" s="39">
        <v>60</v>
      </c>
      <c r="AL123" s="39">
        <v>14</v>
      </c>
      <c r="AM123" s="25" t="s">
        <v>2000</v>
      </c>
      <c r="AN123" s="39">
        <v>320</v>
      </c>
      <c r="AO123" s="39">
        <v>65</v>
      </c>
      <c r="AP123" s="39">
        <v>16</v>
      </c>
      <c r="AQ123" s="25" t="s">
        <v>698</v>
      </c>
      <c r="AR123" s="39" t="s">
        <v>6456</v>
      </c>
    </row>
    <row r="124" spans="1:44" x14ac:dyDescent="0.2">
      <c r="A124" s="25" t="s">
        <v>264</v>
      </c>
      <c r="B124" s="25">
        <v>24</v>
      </c>
      <c r="C124" s="25" t="s">
        <v>5192</v>
      </c>
      <c r="H124" s="27" t="s">
        <v>5157</v>
      </c>
      <c r="T124" s="25" t="s">
        <v>35</v>
      </c>
      <c r="U124" s="25">
        <v>30007</v>
      </c>
      <c r="V124" s="25" t="s">
        <v>4041</v>
      </c>
      <c r="W124" s="38" t="s">
        <v>4042</v>
      </c>
      <c r="X124" s="25">
        <v>100</v>
      </c>
      <c r="Y124" s="25" t="s">
        <v>1498</v>
      </c>
      <c r="Z124" s="25" t="s">
        <v>1451</v>
      </c>
      <c r="AA124" s="25" t="s">
        <v>4043</v>
      </c>
      <c r="AB124" s="39">
        <v>450</v>
      </c>
      <c r="AC124" s="39">
        <v>45</v>
      </c>
      <c r="AD124" s="39">
        <v>12</v>
      </c>
      <c r="AE124" s="25" t="s">
        <v>4044</v>
      </c>
      <c r="AF124" s="39">
        <v>800</v>
      </c>
      <c r="AG124" s="39">
        <v>80</v>
      </c>
      <c r="AH124" s="39">
        <v>14</v>
      </c>
      <c r="AI124" s="25" t="s">
        <v>4045</v>
      </c>
      <c r="AJ124" s="39">
        <v>1200</v>
      </c>
      <c r="AK124" s="39">
        <v>120</v>
      </c>
      <c r="AL124" s="39">
        <v>16</v>
      </c>
      <c r="AM124" s="25" t="s">
        <v>4046</v>
      </c>
      <c r="AN124" s="39">
        <v>1600</v>
      </c>
      <c r="AO124" s="39">
        <v>160</v>
      </c>
      <c r="AP124" s="39">
        <v>18</v>
      </c>
      <c r="AR124" s="39"/>
    </row>
    <row r="125" spans="1:44" x14ac:dyDescent="0.2">
      <c r="A125" s="25" t="s">
        <v>1611</v>
      </c>
      <c r="B125" s="25">
        <v>25</v>
      </c>
      <c r="C125" s="25" t="s">
        <v>5193</v>
      </c>
      <c r="H125" s="27" t="s">
        <v>5158</v>
      </c>
      <c r="T125" s="25" t="s">
        <v>60</v>
      </c>
      <c r="U125" s="25">
        <v>18008</v>
      </c>
      <c r="V125" s="25" t="s">
        <v>3548</v>
      </c>
      <c r="W125" s="38" t="s">
        <v>2352</v>
      </c>
      <c r="X125" s="25">
        <v>60</v>
      </c>
      <c r="Y125" s="25" t="s">
        <v>1705</v>
      </c>
      <c r="Z125" s="25" t="s">
        <v>1451</v>
      </c>
      <c r="AA125" s="25" t="s">
        <v>3549</v>
      </c>
      <c r="AB125" s="39">
        <v>80</v>
      </c>
      <c r="AC125" s="39">
        <v>10</v>
      </c>
      <c r="AD125" s="39">
        <v>8</v>
      </c>
      <c r="AE125" s="25" t="s">
        <v>3550</v>
      </c>
      <c r="AF125" s="39">
        <v>150</v>
      </c>
      <c r="AG125" s="39">
        <v>20</v>
      </c>
      <c r="AH125" s="39">
        <v>10</v>
      </c>
      <c r="AI125" s="25" t="s">
        <v>3551</v>
      </c>
      <c r="AJ125" s="39">
        <v>240</v>
      </c>
      <c r="AK125" s="39">
        <v>25</v>
      </c>
      <c r="AL125" s="39">
        <v>13</v>
      </c>
      <c r="AM125" s="25" t="s">
        <v>3552</v>
      </c>
      <c r="AN125" s="39">
        <v>350</v>
      </c>
      <c r="AO125" s="39">
        <v>35</v>
      </c>
      <c r="AP125" s="39">
        <v>15</v>
      </c>
      <c r="AR125" s="39"/>
    </row>
    <row r="126" spans="1:44" x14ac:dyDescent="0.2">
      <c r="T126" s="25" t="s">
        <v>35</v>
      </c>
      <c r="U126" s="25">
        <v>28007</v>
      </c>
      <c r="V126" s="25" t="s">
        <v>3964</v>
      </c>
      <c r="W126" s="38" t="s">
        <v>6626</v>
      </c>
      <c r="X126" s="25">
        <v>92</v>
      </c>
      <c r="Y126" s="25" t="s">
        <v>164</v>
      </c>
      <c r="Z126" s="25" t="s">
        <v>1451</v>
      </c>
      <c r="AA126" s="25" t="s">
        <v>3965</v>
      </c>
      <c r="AB126" s="39">
        <v>350</v>
      </c>
      <c r="AC126" s="39">
        <v>70</v>
      </c>
      <c r="AD126" s="39">
        <v>12</v>
      </c>
      <c r="AE126" s="25" t="s">
        <v>3966</v>
      </c>
      <c r="AF126" s="39">
        <v>500</v>
      </c>
      <c r="AG126" s="39">
        <v>100</v>
      </c>
      <c r="AH126" s="39">
        <v>14</v>
      </c>
      <c r="AI126" s="25" t="s">
        <v>3967</v>
      </c>
      <c r="AJ126" s="39">
        <v>650</v>
      </c>
      <c r="AK126" s="39">
        <v>130</v>
      </c>
      <c r="AL126" s="39">
        <v>16</v>
      </c>
      <c r="AM126" s="25" t="s">
        <v>3968</v>
      </c>
      <c r="AN126" s="39">
        <v>800</v>
      </c>
      <c r="AO126" s="39">
        <v>160</v>
      </c>
      <c r="AP126" s="39">
        <v>18</v>
      </c>
      <c r="AR126" s="39" t="s">
        <v>6456</v>
      </c>
    </row>
    <row r="127" spans="1:44" x14ac:dyDescent="0.2">
      <c r="T127" s="25" t="s">
        <v>65</v>
      </c>
      <c r="U127" s="25">
        <v>19006</v>
      </c>
      <c r="V127" s="25" t="s">
        <v>3588</v>
      </c>
      <c r="W127" s="38" t="s">
        <v>6580</v>
      </c>
      <c r="X127" s="25">
        <v>62</v>
      </c>
      <c r="Y127" s="25" t="s">
        <v>164</v>
      </c>
      <c r="Z127" s="25" t="s">
        <v>1451</v>
      </c>
      <c r="AA127" s="25" t="s">
        <v>1478</v>
      </c>
      <c r="AB127" s="39">
        <v>150</v>
      </c>
      <c r="AC127" s="39">
        <v>15</v>
      </c>
      <c r="AD127" s="39">
        <v>6</v>
      </c>
      <c r="AE127" s="25" t="s">
        <v>1479</v>
      </c>
      <c r="AF127" s="39">
        <v>300</v>
      </c>
      <c r="AG127" s="39">
        <v>30</v>
      </c>
      <c r="AH127" s="39">
        <v>9</v>
      </c>
      <c r="AI127" s="25" t="s">
        <v>3589</v>
      </c>
      <c r="AJ127" s="39">
        <v>450</v>
      </c>
      <c r="AK127" s="39">
        <v>45</v>
      </c>
      <c r="AL127" s="39">
        <v>12</v>
      </c>
      <c r="AM127" s="25" t="s">
        <v>3590</v>
      </c>
      <c r="AN127" s="39">
        <v>600</v>
      </c>
      <c r="AO127" s="39">
        <v>60</v>
      </c>
      <c r="AP127" s="39">
        <v>15</v>
      </c>
      <c r="AR127" s="39" t="s">
        <v>6456</v>
      </c>
    </row>
    <row r="128" spans="1:44" x14ac:dyDescent="0.2">
      <c r="T128" s="25" t="s">
        <v>65</v>
      </c>
      <c r="U128" s="25">
        <v>7006</v>
      </c>
      <c r="V128" s="25" t="s">
        <v>2522</v>
      </c>
      <c r="W128" s="38" t="s">
        <v>6619</v>
      </c>
      <c r="X128" s="25">
        <v>22</v>
      </c>
      <c r="Y128" s="25" t="s">
        <v>1705</v>
      </c>
      <c r="Z128" s="25" t="s">
        <v>1451</v>
      </c>
      <c r="AA128" s="25" t="s">
        <v>2523</v>
      </c>
      <c r="AB128" s="39">
        <v>60</v>
      </c>
      <c r="AC128" s="39">
        <v>10</v>
      </c>
      <c r="AD128" s="39">
        <v>6</v>
      </c>
      <c r="AE128" s="25" t="s">
        <v>2524</v>
      </c>
      <c r="AF128" s="39">
        <v>100</v>
      </c>
      <c r="AG128" s="39">
        <v>10</v>
      </c>
      <c r="AH128" s="39">
        <v>9</v>
      </c>
      <c r="AI128" s="25" t="s">
        <v>2525</v>
      </c>
      <c r="AJ128" s="39">
        <v>150</v>
      </c>
      <c r="AK128" s="39">
        <v>15</v>
      </c>
      <c r="AL128" s="39">
        <v>12</v>
      </c>
      <c r="AM128" s="25" t="s">
        <v>2526</v>
      </c>
      <c r="AN128" s="39">
        <v>220</v>
      </c>
      <c r="AO128" s="39">
        <v>15</v>
      </c>
      <c r="AP128" s="39">
        <v>15</v>
      </c>
      <c r="AR128" s="39" t="s">
        <v>6456</v>
      </c>
    </row>
    <row r="129" spans="1:44" x14ac:dyDescent="0.2">
      <c r="A129" s="25" t="s">
        <v>1430</v>
      </c>
      <c r="B129" s="25" t="s">
        <v>0</v>
      </c>
      <c r="T129" s="25" t="s">
        <v>60</v>
      </c>
      <c r="U129" s="25">
        <v>17008</v>
      </c>
      <c r="V129" s="25" t="s">
        <v>3515</v>
      </c>
      <c r="W129" s="38" t="s">
        <v>2352</v>
      </c>
      <c r="X129" s="25">
        <v>56</v>
      </c>
      <c r="Y129" s="25" t="s">
        <v>1705</v>
      </c>
      <c r="Z129" s="25" t="s">
        <v>1451</v>
      </c>
      <c r="AA129" s="25" t="s">
        <v>2160</v>
      </c>
      <c r="AB129" s="39">
        <v>80</v>
      </c>
      <c r="AC129" s="39">
        <v>10</v>
      </c>
      <c r="AD129" s="39">
        <v>8</v>
      </c>
      <c r="AE129" s="25" t="s">
        <v>3516</v>
      </c>
      <c r="AF129" s="39">
        <v>150</v>
      </c>
      <c r="AG129" s="39">
        <v>20</v>
      </c>
      <c r="AH129" s="39">
        <v>10</v>
      </c>
      <c r="AI129" s="25" t="s">
        <v>3517</v>
      </c>
      <c r="AJ129" s="39">
        <v>240</v>
      </c>
      <c r="AK129" s="39">
        <v>25</v>
      </c>
      <c r="AL129" s="39">
        <v>13</v>
      </c>
      <c r="AM129" s="25" t="s">
        <v>3518</v>
      </c>
      <c r="AN129" s="39">
        <v>350</v>
      </c>
      <c r="AO129" s="39">
        <v>35</v>
      </c>
      <c r="AP129" s="39">
        <v>15</v>
      </c>
      <c r="AR129" s="39"/>
    </row>
    <row r="130" spans="1:44" x14ac:dyDescent="0.2">
      <c r="A130" s="25" t="s">
        <v>65</v>
      </c>
      <c r="B130" s="25" t="s">
        <v>1475</v>
      </c>
      <c r="T130" s="25" t="s">
        <v>1516</v>
      </c>
      <c r="U130" s="25">
        <v>9016</v>
      </c>
      <c r="V130" s="25" t="s">
        <v>2865</v>
      </c>
      <c r="W130" s="38" t="s">
        <v>2866</v>
      </c>
      <c r="X130" s="25">
        <v>84</v>
      </c>
      <c r="Y130" s="25" t="s">
        <v>164</v>
      </c>
      <c r="Z130" s="25" t="s">
        <v>1451</v>
      </c>
      <c r="AA130" s="25" t="s">
        <v>2867</v>
      </c>
      <c r="AB130" s="39">
        <v>300</v>
      </c>
      <c r="AC130" s="39">
        <v>50</v>
      </c>
      <c r="AD130" s="39">
        <v>11</v>
      </c>
      <c r="AE130" s="25" t="s">
        <v>2868</v>
      </c>
      <c r="AF130" s="39">
        <v>500</v>
      </c>
      <c r="AG130" s="39">
        <v>60</v>
      </c>
      <c r="AH130" s="39">
        <v>13</v>
      </c>
      <c r="AI130" s="25" t="s">
        <v>2869</v>
      </c>
      <c r="AJ130" s="39">
        <v>800</v>
      </c>
      <c r="AK130" s="39">
        <v>65</v>
      </c>
      <c r="AL130" s="39">
        <v>15</v>
      </c>
      <c r="AM130" s="25" t="s">
        <v>2870</v>
      </c>
      <c r="AN130" s="39">
        <v>1200</v>
      </c>
      <c r="AO130" s="39">
        <v>75</v>
      </c>
      <c r="AP130" s="39">
        <v>17</v>
      </c>
      <c r="AQ130" s="25" t="s">
        <v>1522</v>
      </c>
      <c r="AR130" s="39"/>
    </row>
    <row r="131" spans="1:44" x14ac:dyDescent="0.2">
      <c r="A131" s="25" t="s">
        <v>65</v>
      </c>
      <c r="B131" s="25" t="s">
        <v>1710</v>
      </c>
      <c r="T131" s="25" t="s">
        <v>60</v>
      </c>
      <c r="U131" s="25">
        <v>24008</v>
      </c>
      <c r="V131" s="25" t="s">
        <v>3806</v>
      </c>
      <c r="W131" s="38" t="s">
        <v>6496</v>
      </c>
      <c r="X131" s="25">
        <v>80</v>
      </c>
      <c r="Y131" s="25" t="s">
        <v>164</v>
      </c>
      <c r="Z131" s="25" t="s">
        <v>1451</v>
      </c>
      <c r="AA131" s="25" t="s">
        <v>3590</v>
      </c>
      <c r="AB131" s="39">
        <v>250</v>
      </c>
      <c r="AC131" s="39">
        <v>50</v>
      </c>
      <c r="AD131" s="39">
        <v>9</v>
      </c>
      <c r="AE131" s="25" t="s">
        <v>1839</v>
      </c>
      <c r="AF131" s="39">
        <v>300</v>
      </c>
      <c r="AG131" s="39">
        <v>60</v>
      </c>
      <c r="AH131" s="39">
        <v>12</v>
      </c>
      <c r="AI131" s="25" t="s">
        <v>1762</v>
      </c>
      <c r="AJ131" s="39">
        <v>380</v>
      </c>
      <c r="AK131" s="39">
        <v>80</v>
      </c>
      <c r="AL131" s="39">
        <v>14</v>
      </c>
      <c r="AM131" s="25" t="s">
        <v>1841</v>
      </c>
      <c r="AN131" s="39">
        <v>500</v>
      </c>
      <c r="AO131" s="39">
        <v>100</v>
      </c>
      <c r="AP131" s="39">
        <v>16</v>
      </c>
      <c r="AR131" s="39" t="s">
        <v>6456</v>
      </c>
    </row>
    <row r="132" spans="1:44" x14ac:dyDescent="0.2">
      <c r="A132" s="25" t="s">
        <v>65</v>
      </c>
      <c r="B132" s="25" t="s">
        <v>1885</v>
      </c>
      <c r="T132" s="25" t="s">
        <v>49</v>
      </c>
      <c r="U132" s="25">
        <v>15003</v>
      </c>
      <c r="V132" s="25" t="s">
        <v>3409</v>
      </c>
      <c r="W132" s="38" t="s">
        <v>6497</v>
      </c>
      <c r="X132" s="25">
        <v>38</v>
      </c>
      <c r="Y132" s="25" t="s">
        <v>1582</v>
      </c>
      <c r="Z132" s="25" t="s">
        <v>1451</v>
      </c>
      <c r="AA132" s="25" t="s">
        <v>3410</v>
      </c>
      <c r="AB132" s="39">
        <v>120</v>
      </c>
      <c r="AC132" s="39">
        <v>25</v>
      </c>
      <c r="AD132" s="39">
        <v>6</v>
      </c>
      <c r="AE132" s="25" t="s">
        <v>1667</v>
      </c>
      <c r="AF132" s="39">
        <v>180</v>
      </c>
      <c r="AG132" s="39">
        <v>40</v>
      </c>
      <c r="AH132" s="39">
        <v>9</v>
      </c>
      <c r="AI132" s="25" t="s">
        <v>1668</v>
      </c>
      <c r="AJ132" s="39">
        <v>240</v>
      </c>
      <c r="AK132" s="39">
        <v>50</v>
      </c>
      <c r="AL132" s="39">
        <v>12</v>
      </c>
      <c r="AM132" s="25" t="s">
        <v>1669</v>
      </c>
      <c r="AN132" s="39">
        <v>300</v>
      </c>
      <c r="AO132" s="39">
        <v>60</v>
      </c>
      <c r="AP132" s="39">
        <v>15</v>
      </c>
      <c r="AR132" s="39" t="s">
        <v>6456</v>
      </c>
    </row>
    <row r="133" spans="1:44" x14ac:dyDescent="0.2">
      <c r="A133" s="25" t="s">
        <v>65</v>
      </c>
      <c r="B133" s="25" t="s">
        <v>2040</v>
      </c>
      <c r="T133" s="25" t="s">
        <v>35</v>
      </c>
      <c r="U133" s="25">
        <v>14007</v>
      </c>
      <c r="V133" s="25" t="s">
        <v>3377</v>
      </c>
      <c r="W133" s="38" t="s">
        <v>3378</v>
      </c>
      <c r="X133" s="25">
        <v>46</v>
      </c>
      <c r="Y133" s="25" t="s">
        <v>164</v>
      </c>
      <c r="Z133" s="25" t="s">
        <v>1451</v>
      </c>
      <c r="AA133" s="25" t="s">
        <v>3379</v>
      </c>
      <c r="AB133" s="39">
        <v>100</v>
      </c>
      <c r="AC133" s="39">
        <v>10</v>
      </c>
      <c r="AD133" s="39">
        <v>6</v>
      </c>
      <c r="AE133" s="25" t="s">
        <v>3380</v>
      </c>
      <c r="AF133" s="39">
        <v>180</v>
      </c>
      <c r="AG133" s="39">
        <v>20</v>
      </c>
      <c r="AH133" s="39">
        <v>9</v>
      </c>
      <c r="AI133" s="25" t="s">
        <v>3381</v>
      </c>
      <c r="AJ133" s="39">
        <v>240</v>
      </c>
      <c r="AK133" s="39">
        <v>25</v>
      </c>
      <c r="AL133" s="39">
        <v>12</v>
      </c>
      <c r="AM133" s="25" t="s">
        <v>3382</v>
      </c>
      <c r="AN133" s="39">
        <v>320</v>
      </c>
      <c r="AO133" s="39">
        <v>30</v>
      </c>
      <c r="AP133" s="39">
        <v>15</v>
      </c>
      <c r="AR133" s="39"/>
    </row>
    <row r="134" spans="1:44" x14ac:dyDescent="0.2">
      <c r="A134" s="25" t="s">
        <v>65</v>
      </c>
      <c r="B134" s="25" t="s">
        <v>2197</v>
      </c>
      <c r="T134" s="25" t="s">
        <v>35</v>
      </c>
      <c r="U134" s="25">
        <v>2007</v>
      </c>
      <c r="V134" s="25" t="s">
        <v>1716</v>
      </c>
      <c r="W134" s="38" t="s">
        <v>2352</v>
      </c>
      <c r="X134" s="25">
        <v>6</v>
      </c>
      <c r="Y134" s="25" t="s">
        <v>1705</v>
      </c>
      <c r="Z134" s="25" t="s">
        <v>1451</v>
      </c>
      <c r="AA134" s="25" t="s">
        <v>1717</v>
      </c>
      <c r="AB134" s="39">
        <v>30</v>
      </c>
      <c r="AC134" s="39">
        <v>5</v>
      </c>
      <c r="AD134" s="39">
        <v>5</v>
      </c>
      <c r="AE134" s="25" t="s">
        <v>1718</v>
      </c>
      <c r="AF134" s="39">
        <v>60</v>
      </c>
      <c r="AG134" s="39">
        <v>10</v>
      </c>
      <c r="AH134" s="39">
        <v>8</v>
      </c>
      <c r="AI134" s="25" t="s">
        <v>1719</v>
      </c>
      <c r="AJ134" s="39">
        <v>100</v>
      </c>
      <c r="AK134" s="39">
        <v>10</v>
      </c>
      <c r="AL134" s="39">
        <v>10</v>
      </c>
      <c r="AM134" s="25" t="s">
        <v>1720</v>
      </c>
      <c r="AN134" s="39">
        <v>140</v>
      </c>
      <c r="AO134" s="39">
        <v>15</v>
      </c>
      <c r="AP134" s="39">
        <v>12</v>
      </c>
      <c r="AR134" s="39" t="s">
        <v>6456</v>
      </c>
    </row>
    <row r="135" spans="1:44" x14ac:dyDescent="0.2">
      <c r="A135" s="25" t="s">
        <v>65</v>
      </c>
      <c r="B135" s="25" t="s">
        <v>2357</v>
      </c>
      <c r="T135" s="25" t="s">
        <v>90</v>
      </c>
      <c r="U135" s="25">
        <v>17009</v>
      </c>
      <c r="V135" s="25" t="s">
        <v>3519</v>
      </c>
      <c r="W135" s="38" t="s">
        <v>6578</v>
      </c>
      <c r="X135" s="25">
        <v>56</v>
      </c>
      <c r="Y135" s="25" t="s">
        <v>1582</v>
      </c>
      <c r="Z135" s="25" t="s">
        <v>1451</v>
      </c>
      <c r="AA135" s="25" t="s">
        <v>3410</v>
      </c>
      <c r="AB135" s="39">
        <v>100</v>
      </c>
      <c r="AC135" s="39">
        <v>20</v>
      </c>
      <c r="AD135" s="39">
        <v>8</v>
      </c>
      <c r="AE135" s="25" t="s">
        <v>1667</v>
      </c>
      <c r="AF135" s="39">
        <v>180</v>
      </c>
      <c r="AG135" s="39">
        <v>40</v>
      </c>
      <c r="AH135" s="39">
        <v>10</v>
      </c>
      <c r="AI135" s="25" t="s">
        <v>3512</v>
      </c>
      <c r="AJ135" s="39">
        <v>240</v>
      </c>
      <c r="AK135" s="39">
        <v>50</v>
      </c>
      <c r="AL135" s="39">
        <v>12</v>
      </c>
      <c r="AM135" s="25" t="s">
        <v>1669</v>
      </c>
      <c r="AN135" s="39">
        <v>300</v>
      </c>
      <c r="AO135" s="39">
        <v>60</v>
      </c>
      <c r="AP135" s="39">
        <v>15</v>
      </c>
      <c r="AR135" s="39" t="s">
        <v>6456</v>
      </c>
    </row>
    <row r="136" spans="1:44" x14ac:dyDescent="0.2">
      <c r="A136" s="25" t="s">
        <v>65</v>
      </c>
      <c r="B136" s="25" t="s">
        <v>2522</v>
      </c>
      <c r="T136" s="25" t="s">
        <v>65</v>
      </c>
      <c r="U136" s="25">
        <v>15006</v>
      </c>
      <c r="V136" s="25" t="s">
        <v>3419</v>
      </c>
      <c r="W136" s="38" t="s">
        <v>3420</v>
      </c>
      <c r="X136" s="25">
        <v>50</v>
      </c>
      <c r="Y136" s="25" t="s">
        <v>1582</v>
      </c>
      <c r="Z136" s="25" t="s">
        <v>1451</v>
      </c>
      <c r="AA136" s="25" t="s">
        <v>3410</v>
      </c>
      <c r="AB136" s="39">
        <v>80</v>
      </c>
      <c r="AC136" s="39">
        <v>5</v>
      </c>
      <c r="AD136" s="39">
        <v>7</v>
      </c>
      <c r="AE136" s="25" t="s">
        <v>1991</v>
      </c>
      <c r="AF136" s="39">
        <v>160</v>
      </c>
      <c r="AG136" s="39">
        <v>10</v>
      </c>
      <c r="AH136" s="39">
        <v>10</v>
      </c>
      <c r="AI136" s="25" t="s">
        <v>1586</v>
      </c>
      <c r="AJ136" s="39">
        <v>240</v>
      </c>
      <c r="AK136" s="39">
        <v>15</v>
      </c>
      <c r="AL136" s="39">
        <v>13</v>
      </c>
      <c r="AM136" s="25" t="s">
        <v>2104</v>
      </c>
      <c r="AN136" s="39">
        <v>350</v>
      </c>
      <c r="AO136" s="39">
        <v>20</v>
      </c>
      <c r="AP136" s="39">
        <v>15</v>
      </c>
      <c r="AR136" s="39"/>
    </row>
    <row r="137" spans="1:44" x14ac:dyDescent="0.2">
      <c r="A137" s="25" t="s">
        <v>65</v>
      </c>
      <c r="B137" s="25" t="s">
        <v>2682</v>
      </c>
      <c r="T137" s="25" t="s">
        <v>70</v>
      </c>
      <c r="U137" s="25">
        <v>6005</v>
      </c>
      <c r="V137" s="25" t="s">
        <v>2351</v>
      </c>
      <c r="W137" s="38" t="s">
        <v>2352</v>
      </c>
      <c r="X137" s="25">
        <v>20</v>
      </c>
      <c r="Y137" s="25" t="s">
        <v>1705</v>
      </c>
      <c r="Z137" s="25" t="s">
        <v>1451</v>
      </c>
      <c r="AA137" s="25" t="s">
        <v>2353</v>
      </c>
      <c r="AB137" s="39">
        <v>50</v>
      </c>
      <c r="AC137" s="39">
        <v>5</v>
      </c>
      <c r="AD137" s="39">
        <v>6</v>
      </c>
      <c r="AE137" s="25" t="s">
        <v>2354</v>
      </c>
      <c r="AF137" s="39">
        <v>80</v>
      </c>
      <c r="AG137" s="39">
        <v>10</v>
      </c>
      <c r="AH137" s="39">
        <v>9</v>
      </c>
      <c r="AI137" s="25" t="s">
        <v>2355</v>
      </c>
      <c r="AJ137" s="39">
        <v>120</v>
      </c>
      <c r="AK137" s="39">
        <v>15</v>
      </c>
      <c r="AL137" s="39">
        <v>12</v>
      </c>
      <c r="AM137" s="25" t="s">
        <v>2356</v>
      </c>
      <c r="AN137" s="39">
        <v>180</v>
      </c>
      <c r="AO137" s="39">
        <v>20</v>
      </c>
      <c r="AP137" s="39">
        <v>15</v>
      </c>
      <c r="AR137" s="39"/>
    </row>
    <row r="138" spans="1:44" x14ac:dyDescent="0.2">
      <c r="A138" s="25" t="s">
        <v>65</v>
      </c>
      <c r="B138" s="25" t="s">
        <v>2836</v>
      </c>
      <c r="T138" s="25" t="s">
        <v>90</v>
      </c>
      <c r="U138" s="25">
        <v>21009</v>
      </c>
      <c r="V138" s="25" t="s">
        <v>3684</v>
      </c>
      <c r="W138" s="38" t="s">
        <v>6567</v>
      </c>
      <c r="X138" s="25">
        <v>70</v>
      </c>
      <c r="Y138" s="25" t="s">
        <v>1582</v>
      </c>
      <c r="Z138" s="25" t="s">
        <v>1451</v>
      </c>
      <c r="AA138" s="25" t="s">
        <v>1989</v>
      </c>
      <c r="AB138" s="39">
        <v>120</v>
      </c>
      <c r="AC138" s="39">
        <v>25</v>
      </c>
      <c r="AD138" s="39">
        <v>8</v>
      </c>
      <c r="AE138" s="25" t="s">
        <v>1667</v>
      </c>
      <c r="AF138" s="39">
        <v>180</v>
      </c>
      <c r="AG138" s="39">
        <v>40</v>
      </c>
      <c r="AH138" s="39">
        <v>10</v>
      </c>
      <c r="AI138" s="25" t="s">
        <v>1668</v>
      </c>
      <c r="AJ138" s="39">
        <v>240</v>
      </c>
      <c r="AK138" s="39">
        <v>50</v>
      </c>
      <c r="AL138" s="39">
        <v>13</v>
      </c>
      <c r="AM138" s="25" t="s">
        <v>1669</v>
      </c>
      <c r="AN138" s="39">
        <v>300</v>
      </c>
      <c r="AO138" s="39">
        <v>60</v>
      </c>
      <c r="AP138" s="39">
        <v>15</v>
      </c>
      <c r="AR138" s="39" t="s">
        <v>6456</v>
      </c>
    </row>
    <row r="139" spans="1:44" x14ac:dyDescent="0.2">
      <c r="A139" s="25" t="s">
        <v>65</v>
      </c>
      <c r="B139" s="25" t="s">
        <v>2988</v>
      </c>
      <c r="T139" s="25" t="s">
        <v>101</v>
      </c>
      <c r="U139" s="25">
        <v>16011</v>
      </c>
      <c r="V139" s="25" t="s">
        <v>3485</v>
      </c>
      <c r="W139" s="38" t="s">
        <v>6495</v>
      </c>
      <c r="X139" s="25">
        <v>40</v>
      </c>
      <c r="Y139" s="25" t="s">
        <v>1582</v>
      </c>
      <c r="Z139" s="25" t="s">
        <v>1451</v>
      </c>
      <c r="AA139" s="25" t="s">
        <v>2387</v>
      </c>
      <c r="AB139" s="39">
        <v>100</v>
      </c>
      <c r="AC139" s="39">
        <v>10</v>
      </c>
      <c r="AD139" s="39">
        <v>9</v>
      </c>
      <c r="AE139" s="25" t="s">
        <v>1652</v>
      </c>
      <c r="AF139" s="39">
        <v>140</v>
      </c>
      <c r="AG139" s="39">
        <v>15</v>
      </c>
      <c r="AH139" s="39">
        <v>11</v>
      </c>
      <c r="AI139" s="25" t="s">
        <v>1653</v>
      </c>
      <c r="AJ139" s="39">
        <v>180</v>
      </c>
      <c r="AK139" s="39">
        <v>20</v>
      </c>
      <c r="AL139" s="39">
        <v>14</v>
      </c>
      <c r="AM139" s="25" t="s">
        <v>3486</v>
      </c>
      <c r="AN139" s="39">
        <v>250</v>
      </c>
      <c r="AO139" s="39">
        <v>25</v>
      </c>
      <c r="AP139" s="39">
        <v>16</v>
      </c>
      <c r="AR139" s="39" t="s">
        <v>6456</v>
      </c>
    </row>
    <row r="140" spans="1:44" x14ac:dyDescent="0.2">
      <c r="A140" s="25" t="s">
        <v>65</v>
      </c>
      <c r="B140" s="25" t="s">
        <v>3128</v>
      </c>
      <c r="T140" s="25" t="s">
        <v>65</v>
      </c>
      <c r="U140" s="25">
        <v>9006</v>
      </c>
      <c r="V140" s="25" t="s">
        <v>2836</v>
      </c>
      <c r="W140" s="38" t="s">
        <v>2352</v>
      </c>
      <c r="X140" s="25">
        <v>30</v>
      </c>
      <c r="Y140" s="25" t="s">
        <v>1705</v>
      </c>
      <c r="Z140" s="25" t="s">
        <v>1451</v>
      </c>
      <c r="AA140" s="25" t="s">
        <v>2353</v>
      </c>
      <c r="AB140" s="39">
        <v>50</v>
      </c>
      <c r="AC140" s="39">
        <v>5</v>
      </c>
      <c r="AD140" s="39">
        <v>6</v>
      </c>
      <c r="AE140" s="25" t="s">
        <v>2354</v>
      </c>
      <c r="AF140" s="39">
        <v>80</v>
      </c>
      <c r="AG140" s="39">
        <v>10</v>
      </c>
      <c r="AH140" s="39">
        <v>9</v>
      </c>
      <c r="AI140" s="25" t="s">
        <v>2355</v>
      </c>
      <c r="AJ140" s="39">
        <v>120</v>
      </c>
      <c r="AK140" s="39">
        <v>15</v>
      </c>
      <c r="AL140" s="39">
        <v>12</v>
      </c>
      <c r="AM140" s="25" t="s">
        <v>2356</v>
      </c>
      <c r="AN140" s="39">
        <v>180</v>
      </c>
      <c r="AO140" s="39">
        <v>20</v>
      </c>
      <c r="AP140" s="39">
        <v>15</v>
      </c>
      <c r="AR140" s="39"/>
    </row>
    <row r="141" spans="1:44" x14ac:dyDescent="0.2">
      <c r="A141" s="25" t="s">
        <v>65</v>
      </c>
      <c r="B141" s="25" t="s">
        <v>3222</v>
      </c>
      <c r="T141" s="25" t="s">
        <v>132</v>
      </c>
      <c r="U141" s="25">
        <v>5021</v>
      </c>
      <c r="V141" s="25" t="s">
        <v>2256</v>
      </c>
      <c r="W141" s="38" t="s">
        <v>2257</v>
      </c>
      <c r="X141" s="25">
        <v>44</v>
      </c>
      <c r="Y141" s="25" t="s">
        <v>2084</v>
      </c>
      <c r="Z141" s="25" t="s">
        <v>1451</v>
      </c>
      <c r="AA141" s="25" t="s">
        <v>2258</v>
      </c>
      <c r="AB141" s="39">
        <v>80</v>
      </c>
      <c r="AC141" s="39" t="s">
        <v>744</v>
      </c>
      <c r="AD141" s="39">
        <v>7</v>
      </c>
      <c r="AE141" s="25">
        <v>160</v>
      </c>
      <c r="AF141" s="39">
        <v>100</v>
      </c>
      <c r="AG141" s="39" t="s">
        <v>744</v>
      </c>
      <c r="AH141" s="39">
        <v>10</v>
      </c>
      <c r="AI141" s="25">
        <v>200</v>
      </c>
      <c r="AJ141" s="39">
        <v>120</v>
      </c>
      <c r="AK141" s="39" t="s">
        <v>744</v>
      </c>
      <c r="AL141" s="39">
        <v>12</v>
      </c>
      <c r="AM141" s="25">
        <v>240</v>
      </c>
      <c r="AN141" s="39">
        <v>150</v>
      </c>
      <c r="AO141" s="39" t="s">
        <v>744</v>
      </c>
      <c r="AP141" s="39">
        <v>14</v>
      </c>
      <c r="AQ141" s="25" t="s">
        <v>1553</v>
      </c>
      <c r="AR141" s="39"/>
    </row>
    <row r="142" spans="1:44" x14ac:dyDescent="0.2">
      <c r="A142" s="25" t="s">
        <v>65</v>
      </c>
      <c r="B142" s="25" t="s">
        <v>3316</v>
      </c>
      <c r="T142" s="25" t="s">
        <v>35</v>
      </c>
      <c r="U142" s="25">
        <v>8007</v>
      </c>
      <c r="V142" s="25" t="s">
        <v>2688</v>
      </c>
      <c r="W142" s="38" t="s">
        <v>6489</v>
      </c>
      <c r="X142" s="25">
        <v>26</v>
      </c>
      <c r="Y142" s="25" t="s">
        <v>164</v>
      </c>
      <c r="Z142" s="25" t="s">
        <v>1451</v>
      </c>
      <c r="AA142" s="25" t="s">
        <v>1984</v>
      </c>
      <c r="AB142" s="39">
        <v>80</v>
      </c>
      <c r="AC142" s="39">
        <v>5</v>
      </c>
      <c r="AD142" s="39">
        <v>8</v>
      </c>
      <c r="AE142" s="25" t="s">
        <v>1985</v>
      </c>
      <c r="AF142" s="39">
        <v>100</v>
      </c>
      <c r="AG142" s="39">
        <v>5</v>
      </c>
      <c r="AH142" s="39">
        <v>10</v>
      </c>
      <c r="AI142" s="25" t="s">
        <v>1986</v>
      </c>
      <c r="AJ142" s="39">
        <v>120</v>
      </c>
      <c r="AK142" s="39">
        <v>10</v>
      </c>
      <c r="AL142" s="39">
        <v>12</v>
      </c>
      <c r="AM142" s="25" t="s">
        <v>1987</v>
      </c>
      <c r="AN142" s="39">
        <v>140</v>
      </c>
      <c r="AO142" s="39">
        <v>10</v>
      </c>
      <c r="AP142" s="39">
        <v>15</v>
      </c>
      <c r="AR142" s="39" t="s">
        <v>6456</v>
      </c>
    </row>
    <row r="143" spans="1:44" x14ac:dyDescent="0.2">
      <c r="A143" s="25" t="s">
        <v>65</v>
      </c>
      <c r="B143" s="25" t="s">
        <v>3371</v>
      </c>
      <c r="T143" s="25" t="s">
        <v>1579</v>
      </c>
      <c r="U143" s="25">
        <v>9025</v>
      </c>
      <c r="V143" s="25" t="s">
        <v>2902</v>
      </c>
      <c r="W143" s="38" t="s">
        <v>2903</v>
      </c>
      <c r="X143" s="25">
        <v>84</v>
      </c>
      <c r="Y143" s="25" t="s">
        <v>164</v>
      </c>
      <c r="Z143" s="25" t="s">
        <v>1557</v>
      </c>
      <c r="AA143" s="25" t="s">
        <v>2904</v>
      </c>
      <c r="AB143" s="39">
        <v>200</v>
      </c>
      <c r="AC143" s="39">
        <v>40</v>
      </c>
      <c r="AD143" s="39">
        <v>10</v>
      </c>
      <c r="AE143" s="25" t="s">
        <v>2905</v>
      </c>
      <c r="AF143" s="39">
        <v>240</v>
      </c>
      <c r="AG143" s="39">
        <v>50</v>
      </c>
      <c r="AH143" s="39">
        <v>12</v>
      </c>
      <c r="AI143" s="25" t="s">
        <v>2906</v>
      </c>
      <c r="AJ143" s="39">
        <v>300</v>
      </c>
      <c r="AK143" s="39">
        <v>60</v>
      </c>
      <c r="AL143" s="39">
        <v>15</v>
      </c>
      <c r="AM143" s="25" t="s">
        <v>2907</v>
      </c>
      <c r="AN143" s="39">
        <v>340</v>
      </c>
      <c r="AO143" s="39">
        <v>70</v>
      </c>
      <c r="AP143" s="39">
        <v>17</v>
      </c>
      <c r="AQ143" s="25" t="s">
        <v>1587</v>
      </c>
      <c r="AR143" s="39"/>
    </row>
    <row r="144" spans="1:44" x14ac:dyDescent="0.2">
      <c r="A144" s="25" t="s">
        <v>65</v>
      </c>
      <c r="B144" s="25" t="s">
        <v>3419</v>
      </c>
      <c r="T144" s="25" t="s">
        <v>49</v>
      </c>
      <c r="U144" s="25">
        <v>26003</v>
      </c>
      <c r="V144" s="25" t="s">
        <v>3856</v>
      </c>
      <c r="W144" s="38" t="s">
        <v>6502</v>
      </c>
      <c r="X144" s="25">
        <v>66</v>
      </c>
      <c r="Y144" s="25" t="s">
        <v>164</v>
      </c>
      <c r="Z144" s="25" t="s">
        <v>1451</v>
      </c>
      <c r="AA144" s="25" t="s">
        <v>1845</v>
      </c>
      <c r="AB144" s="39">
        <v>150</v>
      </c>
      <c r="AC144" s="39">
        <v>15</v>
      </c>
      <c r="AD144" s="39">
        <v>8</v>
      </c>
      <c r="AE144" s="25" t="s">
        <v>1675</v>
      </c>
      <c r="AF144" s="39">
        <v>200</v>
      </c>
      <c r="AG144" s="39">
        <v>20</v>
      </c>
      <c r="AH144" s="39">
        <v>10</v>
      </c>
      <c r="AI144" s="25" t="s">
        <v>1677</v>
      </c>
      <c r="AJ144" s="39">
        <v>300</v>
      </c>
      <c r="AK144" s="39">
        <v>30</v>
      </c>
      <c r="AL144" s="39">
        <v>12</v>
      </c>
      <c r="AM144" s="25" t="s">
        <v>3857</v>
      </c>
      <c r="AN144" s="39">
        <v>400</v>
      </c>
      <c r="AO144" s="39">
        <v>40</v>
      </c>
      <c r="AP144" s="39">
        <v>14</v>
      </c>
      <c r="AR144" s="39" t="s">
        <v>6456</v>
      </c>
    </row>
    <row r="145" spans="1:44" x14ac:dyDescent="0.2">
      <c r="A145" s="25" t="s">
        <v>65</v>
      </c>
      <c r="B145" s="25" t="s">
        <v>3460</v>
      </c>
      <c r="T145" s="25" t="s">
        <v>90</v>
      </c>
      <c r="U145" s="25">
        <v>25009</v>
      </c>
      <c r="V145" s="25" t="s">
        <v>3840</v>
      </c>
      <c r="W145" s="38" t="s">
        <v>6531</v>
      </c>
      <c r="X145" s="25">
        <v>82</v>
      </c>
      <c r="Y145" s="25" t="s">
        <v>164</v>
      </c>
      <c r="Z145" s="25" t="s">
        <v>1451</v>
      </c>
      <c r="AA145" s="25" t="s">
        <v>3835</v>
      </c>
      <c r="AB145" s="39">
        <v>250</v>
      </c>
      <c r="AC145" s="39">
        <v>50</v>
      </c>
      <c r="AD145" s="39">
        <v>10</v>
      </c>
      <c r="AE145" s="25" t="s">
        <v>3778</v>
      </c>
      <c r="AF145" s="39">
        <v>350</v>
      </c>
      <c r="AG145" s="39">
        <v>70</v>
      </c>
      <c r="AH145" s="39">
        <v>12</v>
      </c>
      <c r="AI145" s="25" t="s">
        <v>3245</v>
      </c>
      <c r="AJ145" s="39">
        <v>500</v>
      </c>
      <c r="AK145" s="39">
        <v>100</v>
      </c>
      <c r="AL145" s="39">
        <v>14</v>
      </c>
      <c r="AM145" s="25" t="s">
        <v>3836</v>
      </c>
      <c r="AN145" s="39">
        <v>700</v>
      </c>
      <c r="AO145" s="39">
        <v>140</v>
      </c>
      <c r="AP145" s="39">
        <v>16</v>
      </c>
      <c r="AR145" s="39" t="s">
        <v>6456</v>
      </c>
    </row>
    <row r="146" spans="1:44" x14ac:dyDescent="0.2">
      <c r="A146" s="25" t="s">
        <v>65</v>
      </c>
      <c r="B146" s="25" t="s">
        <v>3510</v>
      </c>
      <c r="T146" s="25" t="s">
        <v>29</v>
      </c>
      <c r="U146" s="25">
        <v>33001</v>
      </c>
      <c r="V146" s="25" t="s">
        <v>4106</v>
      </c>
      <c r="W146" s="38" t="s">
        <v>6521</v>
      </c>
      <c r="X146" s="25">
        <v>82</v>
      </c>
      <c r="Y146" s="25" t="s">
        <v>164</v>
      </c>
      <c r="Z146" s="25" t="s">
        <v>1451</v>
      </c>
      <c r="AA146" s="25" t="s">
        <v>3835</v>
      </c>
      <c r="AB146" s="39">
        <v>250</v>
      </c>
      <c r="AC146" s="39">
        <v>50</v>
      </c>
      <c r="AD146" s="39">
        <v>10</v>
      </c>
      <c r="AE146" s="25" t="s">
        <v>3778</v>
      </c>
      <c r="AF146" s="39">
        <v>350</v>
      </c>
      <c r="AG146" s="39">
        <v>70</v>
      </c>
      <c r="AH146" s="39">
        <v>12</v>
      </c>
      <c r="AI146" s="25" t="s">
        <v>3245</v>
      </c>
      <c r="AJ146" s="39">
        <v>500</v>
      </c>
      <c r="AK146" s="39">
        <v>100</v>
      </c>
      <c r="AL146" s="39">
        <v>14</v>
      </c>
      <c r="AM146" s="25" t="s">
        <v>3836</v>
      </c>
      <c r="AN146" s="39">
        <v>700</v>
      </c>
      <c r="AO146" s="39">
        <v>140</v>
      </c>
      <c r="AP146" s="39">
        <v>16</v>
      </c>
      <c r="AR146" s="39" t="s">
        <v>6456</v>
      </c>
    </row>
    <row r="147" spans="1:44" x14ac:dyDescent="0.2">
      <c r="A147" s="25" t="s">
        <v>65</v>
      </c>
      <c r="B147" s="25" t="s">
        <v>3543</v>
      </c>
      <c r="T147" s="25" t="s">
        <v>1579</v>
      </c>
      <c r="U147" s="25">
        <v>4025</v>
      </c>
      <c r="V147" s="25" t="s">
        <v>2106</v>
      </c>
      <c r="W147" s="38" t="s">
        <v>2107</v>
      </c>
      <c r="X147" s="25">
        <v>34</v>
      </c>
      <c r="Y147" s="25" t="s">
        <v>164</v>
      </c>
      <c r="Z147" s="25" t="s">
        <v>1451</v>
      </c>
      <c r="AA147" s="25" t="s">
        <v>2108</v>
      </c>
      <c r="AB147" s="39">
        <v>80</v>
      </c>
      <c r="AC147" s="39">
        <v>10</v>
      </c>
      <c r="AD147" s="39">
        <v>6</v>
      </c>
      <c r="AE147" s="25" t="s">
        <v>2109</v>
      </c>
      <c r="AF147" s="39">
        <v>120</v>
      </c>
      <c r="AG147" s="39">
        <v>40</v>
      </c>
      <c r="AH147" s="39">
        <v>9</v>
      </c>
      <c r="AI147" s="25" t="s">
        <v>2110</v>
      </c>
      <c r="AJ147" s="39">
        <v>160</v>
      </c>
      <c r="AK147" s="39">
        <v>50</v>
      </c>
      <c r="AL147" s="39">
        <v>12</v>
      </c>
      <c r="AM147" s="25" t="s">
        <v>2111</v>
      </c>
      <c r="AN147" s="39">
        <v>200</v>
      </c>
      <c r="AO147" s="39">
        <v>60</v>
      </c>
      <c r="AP147" s="39">
        <v>15</v>
      </c>
      <c r="AQ147" s="25" t="s">
        <v>1587</v>
      </c>
      <c r="AR147" s="39"/>
    </row>
    <row r="148" spans="1:44" x14ac:dyDescent="0.2">
      <c r="A148" s="25" t="s">
        <v>65</v>
      </c>
      <c r="B148" s="25" t="s">
        <v>3588</v>
      </c>
      <c r="T148" s="25" t="s">
        <v>49</v>
      </c>
      <c r="U148" s="25">
        <v>36003</v>
      </c>
      <c r="V148" s="25" t="s">
        <v>4168</v>
      </c>
      <c r="W148" s="38" t="s">
        <v>6587</v>
      </c>
      <c r="X148" s="25">
        <v>90</v>
      </c>
      <c r="Y148" s="25" t="s">
        <v>164</v>
      </c>
      <c r="Z148" s="25" t="s">
        <v>1451</v>
      </c>
      <c r="AA148" s="25" t="s">
        <v>4169</v>
      </c>
      <c r="AB148" s="39">
        <v>400</v>
      </c>
      <c r="AC148" s="39">
        <v>20</v>
      </c>
      <c r="AD148" s="39">
        <v>10</v>
      </c>
      <c r="AE148" s="25" t="s">
        <v>4170</v>
      </c>
      <c r="AF148" s="39">
        <v>800</v>
      </c>
      <c r="AG148" s="39">
        <v>25</v>
      </c>
      <c r="AH148" s="39">
        <v>12</v>
      </c>
      <c r="AI148" s="25" t="s">
        <v>4171</v>
      </c>
      <c r="AJ148" s="39">
        <v>1200</v>
      </c>
      <c r="AK148" s="39">
        <v>25</v>
      </c>
      <c r="AL148" s="39">
        <v>14</v>
      </c>
      <c r="AM148" s="25" t="s">
        <v>4172</v>
      </c>
      <c r="AN148" s="39">
        <v>2000</v>
      </c>
      <c r="AO148" s="39">
        <v>30</v>
      </c>
      <c r="AP148" s="39">
        <v>16</v>
      </c>
      <c r="AR148" s="39" t="s">
        <v>6456</v>
      </c>
    </row>
    <row r="149" spans="1:44" x14ac:dyDescent="0.2">
      <c r="A149" s="25" t="s">
        <v>65</v>
      </c>
      <c r="B149" s="25" t="s">
        <v>3630</v>
      </c>
      <c r="T149" s="25" t="s">
        <v>49</v>
      </c>
      <c r="U149" s="25">
        <v>1003</v>
      </c>
      <c r="V149" s="25" t="s">
        <v>1458</v>
      </c>
      <c r="W149" s="38" t="s">
        <v>1459</v>
      </c>
      <c r="X149" s="25">
        <v>2</v>
      </c>
      <c r="Y149" s="25" t="s">
        <v>164</v>
      </c>
      <c r="Z149" s="25" t="s">
        <v>1451</v>
      </c>
      <c r="AA149" s="25" t="s">
        <v>1460</v>
      </c>
      <c r="AB149" s="39">
        <v>30</v>
      </c>
      <c r="AC149" s="39">
        <v>5</v>
      </c>
      <c r="AD149" s="39">
        <v>5</v>
      </c>
      <c r="AE149" s="25" t="s">
        <v>1461</v>
      </c>
      <c r="AF149" s="39">
        <v>80</v>
      </c>
      <c r="AG149" s="39">
        <v>10</v>
      </c>
      <c r="AH149" s="39">
        <v>8</v>
      </c>
      <c r="AI149" s="25" t="s">
        <v>1462</v>
      </c>
      <c r="AJ149" s="39">
        <v>100</v>
      </c>
      <c r="AK149" s="39">
        <v>10</v>
      </c>
      <c r="AL149" s="39">
        <v>10</v>
      </c>
      <c r="AM149" s="25" t="s">
        <v>1463</v>
      </c>
      <c r="AN149" s="39">
        <v>12</v>
      </c>
      <c r="AO149" s="39">
        <v>15</v>
      </c>
      <c r="AP149" s="39">
        <v>12</v>
      </c>
      <c r="AR149" s="39"/>
    </row>
    <row r="150" spans="1:44" x14ac:dyDescent="0.2">
      <c r="A150" s="25" t="s">
        <v>65</v>
      </c>
      <c r="B150" s="25" t="s">
        <v>3676</v>
      </c>
      <c r="T150" s="25" t="s">
        <v>35</v>
      </c>
      <c r="U150" s="25">
        <v>21007</v>
      </c>
      <c r="V150" s="25" t="s">
        <v>3677</v>
      </c>
      <c r="W150" s="38" t="s">
        <v>6504</v>
      </c>
      <c r="X150" s="25">
        <v>70</v>
      </c>
      <c r="Y150" s="25" t="s">
        <v>164</v>
      </c>
      <c r="Z150" s="25" t="s">
        <v>1451</v>
      </c>
      <c r="AA150" s="25" t="s">
        <v>1979</v>
      </c>
      <c r="AB150" s="39">
        <v>120</v>
      </c>
      <c r="AC150" s="39">
        <v>15</v>
      </c>
      <c r="AD150" s="39">
        <v>8</v>
      </c>
      <c r="AE150" s="25" t="s">
        <v>3678</v>
      </c>
      <c r="AF150" s="39">
        <v>180</v>
      </c>
      <c r="AG150" s="39">
        <v>20</v>
      </c>
      <c r="AH150" s="39">
        <v>10</v>
      </c>
      <c r="AI150" s="25" t="s">
        <v>3679</v>
      </c>
      <c r="AJ150" s="39">
        <v>240</v>
      </c>
      <c r="AK150" s="39">
        <v>25</v>
      </c>
      <c r="AL150" s="39">
        <v>12</v>
      </c>
      <c r="AM150" s="25" t="s">
        <v>2995</v>
      </c>
      <c r="AN150" s="39">
        <v>300</v>
      </c>
      <c r="AO150" s="39">
        <v>30</v>
      </c>
      <c r="AP150" s="39">
        <v>15</v>
      </c>
      <c r="AR150" s="39" t="s">
        <v>6456</v>
      </c>
    </row>
    <row r="151" spans="1:44" x14ac:dyDescent="0.2">
      <c r="A151" s="25" t="s">
        <v>65</v>
      </c>
      <c r="B151" s="25" t="s">
        <v>3720</v>
      </c>
      <c r="T151" s="25" t="s">
        <v>39</v>
      </c>
      <c r="U151" s="25">
        <v>33002</v>
      </c>
      <c r="V151" s="25" t="s">
        <v>4107</v>
      </c>
      <c r="W151" s="38" t="s">
        <v>6521</v>
      </c>
      <c r="X151" s="25">
        <v>82</v>
      </c>
      <c r="Y151" s="25" t="s">
        <v>164</v>
      </c>
      <c r="Z151" s="25" t="s">
        <v>1451</v>
      </c>
      <c r="AA151" s="25" t="s">
        <v>3835</v>
      </c>
      <c r="AB151" s="39">
        <v>250</v>
      </c>
      <c r="AC151" s="39">
        <v>50</v>
      </c>
      <c r="AD151" s="39">
        <v>10</v>
      </c>
      <c r="AE151" s="25" t="s">
        <v>3778</v>
      </c>
      <c r="AF151" s="39">
        <v>350</v>
      </c>
      <c r="AG151" s="39">
        <v>70</v>
      </c>
      <c r="AH151" s="39">
        <v>12</v>
      </c>
      <c r="AI151" s="25" t="s">
        <v>3245</v>
      </c>
      <c r="AJ151" s="39">
        <v>500</v>
      </c>
      <c r="AK151" s="39">
        <v>100</v>
      </c>
      <c r="AL151" s="39">
        <v>14</v>
      </c>
      <c r="AM151" s="25" t="s">
        <v>3836</v>
      </c>
      <c r="AN151" s="39">
        <v>700</v>
      </c>
      <c r="AO151" s="39">
        <v>140</v>
      </c>
      <c r="AP151" s="39">
        <v>16</v>
      </c>
      <c r="AR151" s="39" t="s">
        <v>6456</v>
      </c>
    </row>
    <row r="152" spans="1:44" x14ac:dyDescent="0.2">
      <c r="A152" s="25" t="s">
        <v>65</v>
      </c>
      <c r="B152" s="25" t="s">
        <v>3756</v>
      </c>
      <c r="T152" s="25" t="s">
        <v>49</v>
      </c>
      <c r="U152" s="25">
        <v>40003</v>
      </c>
      <c r="V152" s="25" t="s">
        <v>4254</v>
      </c>
      <c r="W152" s="38" t="s">
        <v>4255</v>
      </c>
      <c r="X152" s="25">
        <v>100</v>
      </c>
      <c r="Y152" s="25" t="s">
        <v>164</v>
      </c>
      <c r="Z152" s="25" t="s">
        <v>1451</v>
      </c>
      <c r="AA152" s="25" t="s">
        <v>4256</v>
      </c>
      <c r="AB152" s="39">
        <v>100</v>
      </c>
      <c r="AC152" s="39" t="s">
        <v>244</v>
      </c>
      <c r="AD152" s="39">
        <v>17</v>
      </c>
      <c r="AE152" s="25" t="s">
        <v>4257</v>
      </c>
      <c r="AF152" s="39">
        <v>3000</v>
      </c>
      <c r="AG152" s="39" t="s">
        <v>244</v>
      </c>
      <c r="AH152" s="39">
        <v>18</v>
      </c>
      <c r="AI152" s="25" t="s">
        <v>4258</v>
      </c>
      <c r="AJ152" s="39">
        <v>6000</v>
      </c>
      <c r="AK152" s="39" t="s">
        <v>244</v>
      </c>
      <c r="AL152" s="39">
        <v>19</v>
      </c>
      <c r="AM152" s="25" t="s">
        <v>4259</v>
      </c>
      <c r="AN152" s="39">
        <v>12000</v>
      </c>
      <c r="AO152" s="39" t="s">
        <v>244</v>
      </c>
      <c r="AP152" s="39">
        <v>20</v>
      </c>
      <c r="AR152" s="39"/>
    </row>
    <row r="153" spans="1:44" x14ac:dyDescent="0.2">
      <c r="A153" s="25" t="s">
        <v>65</v>
      </c>
      <c r="B153" s="25" t="s">
        <v>3798</v>
      </c>
      <c r="T153" s="25" t="s">
        <v>1655</v>
      </c>
      <c r="U153" s="25">
        <v>3615</v>
      </c>
      <c r="V153" s="25" t="s">
        <v>2001</v>
      </c>
      <c r="W153" s="38" t="s">
        <v>6557</v>
      </c>
      <c r="X153" s="25" t="s">
        <v>1658</v>
      </c>
      <c r="Y153" s="25" t="s">
        <v>1582</v>
      </c>
      <c r="Z153" s="25" t="s">
        <v>1451</v>
      </c>
      <c r="AA153" s="25" t="s">
        <v>2002</v>
      </c>
      <c r="AB153" s="39">
        <v>120</v>
      </c>
      <c r="AC153" s="39">
        <v>15</v>
      </c>
      <c r="AD153" s="39">
        <v>8</v>
      </c>
      <c r="AE153" s="25" t="s">
        <v>2003</v>
      </c>
      <c r="AF153" s="39">
        <v>180</v>
      </c>
      <c r="AG153" s="39">
        <v>20</v>
      </c>
      <c r="AH153" s="39">
        <v>11</v>
      </c>
      <c r="AI153" s="25" t="s">
        <v>2004</v>
      </c>
      <c r="AJ153" s="39">
        <v>220</v>
      </c>
      <c r="AK153" s="39">
        <v>25</v>
      </c>
      <c r="AL153" s="39">
        <v>13</v>
      </c>
      <c r="AM153" s="25" t="s">
        <v>2005</v>
      </c>
      <c r="AN153" s="39">
        <v>280</v>
      </c>
      <c r="AO153" s="39">
        <v>30</v>
      </c>
      <c r="AP153" s="39">
        <v>16</v>
      </c>
      <c r="AQ153" s="25" t="s">
        <v>94</v>
      </c>
      <c r="AR153" s="39" t="s">
        <v>6456</v>
      </c>
    </row>
    <row r="154" spans="1:44" x14ac:dyDescent="0.2">
      <c r="A154" s="25" t="s">
        <v>65</v>
      </c>
      <c r="B154" s="25" t="s">
        <v>3837</v>
      </c>
      <c r="T154" s="25" t="s">
        <v>49</v>
      </c>
      <c r="U154" s="25">
        <v>3003</v>
      </c>
      <c r="V154" s="25" t="s">
        <v>1872</v>
      </c>
      <c r="W154" s="38" t="s">
        <v>1873</v>
      </c>
      <c r="X154" s="25">
        <v>8</v>
      </c>
      <c r="Y154" s="25" t="s">
        <v>164</v>
      </c>
      <c r="Z154" s="25" t="s">
        <v>1451</v>
      </c>
      <c r="AA154" s="25" t="s">
        <v>1471</v>
      </c>
      <c r="AB154" s="39">
        <v>40</v>
      </c>
      <c r="AC154" s="39">
        <v>5</v>
      </c>
      <c r="AD154" s="39">
        <v>5</v>
      </c>
      <c r="AE154" s="25" t="s">
        <v>1874</v>
      </c>
      <c r="AF154" s="39">
        <v>150</v>
      </c>
      <c r="AG154" s="39">
        <v>15</v>
      </c>
      <c r="AH154" s="39">
        <v>8</v>
      </c>
      <c r="AI154" s="25" t="s">
        <v>1474</v>
      </c>
      <c r="AJ154" s="39">
        <v>200</v>
      </c>
      <c r="AK154" s="39">
        <v>20</v>
      </c>
      <c r="AL154" s="39">
        <v>10</v>
      </c>
      <c r="AM154" s="25" t="s">
        <v>1875</v>
      </c>
      <c r="AN154" s="39">
        <v>250</v>
      </c>
      <c r="AO154" s="39">
        <v>25</v>
      </c>
      <c r="AP154" s="39">
        <v>12</v>
      </c>
      <c r="AR154" s="39"/>
    </row>
    <row r="155" spans="1:44" x14ac:dyDescent="0.2">
      <c r="A155" s="25" t="s">
        <v>65</v>
      </c>
      <c r="B155" s="25" t="s">
        <v>3866</v>
      </c>
      <c r="T155" s="25" t="s">
        <v>49</v>
      </c>
      <c r="U155" s="25">
        <v>21003</v>
      </c>
      <c r="V155" s="25" t="s">
        <v>3666</v>
      </c>
      <c r="W155" s="38" t="s">
        <v>3667</v>
      </c>
      <c r="X155" s="25">
        <v>52</v>
      </c>
      <c r="Y155" s="25" t="s">
        <v>164</v>
      </c>
      <c r="Z155" s="25" t="s">
        <v>1451</v>
      </c>
      <c r="AA155" s="25" t="s">
        <v>2398</v>
      </c>
      <c r="AB155" s="39">
        <v>80</v>
      </c>
      <c r="AC155" s="39">
        <v>10</v>
      </c>
      <c r="AD155" s="39">
        <v>8</v>
      </c>
      <c r="AE155" s="25" t="s">
        <v>2546</v>
      </c>
      <c r="AF155" s="39">
        <v>120</v>
      </c>
      <c r="AG155" s="39">
        <v>15</v>
      </c>
      <c r="AH155" s="39">
        <v>10</v>
      </c>
      <c r="AI155" s="25" t="s">
        <v>2547</v>
      </c>
      <c r="AJ155" s="39">
        <v>250</v>
      </c>
      <c r="AK155" s="39">
        <v>25</v>
      </c>
      <c r="AL155" s="39">
        <v>12</v>
      </c>
      <c r="AM155" s="25" t="s">
        <v>2548</v>
      </c>
      <c r="AN155" s="39">
        <v>500</v>
      </c>
      <c r="AO155" s="39">
        <v>50</v>
      </c>
      <c r="AP155" s="39">
        <v>6</v>
      </c>
      <c r="AR155" s="39"/>
    </row>
    <row r="156" spans="1:44" x14ac:dyDescent="0.2">
      <c r="A156" s="25" t="s">
        <v>65</v>
      </c>
      <c r="B156" s="25" t="s">
        <v>3914</v>
      </c>
      <c r="T156" s="25" t="s">
        <v>65</v>
      </c>
      <c r="U156" s="25">
        <v>2006</v>
      </c>
      <c r="V156" s="25" t="s">
        <v>1710</v>
      </c>
      <c r="W156" s="38" t="s">
        <v>6620</v>
      </c>
      <c r="X156" s="25">
        <v>6</v>
      </c>
      <c r="Y156" s="25" t="s">
        <v>164</v>
      </c>
      <c r="Z156" s="25" t="s">
        <v>1451</v>
      </c>
      <c r="AA156" s="25" t="s">
        <v>1711</v>
      </c>
      <c r="AB156" s="39">
        <v>30</v>
      </c>
      <c r="AC156" s="39">
        <v>5</v>
      </c>
      <c r="AD156" s="39">
        <v>5</v>
      </c>
      <c r="AE156" s="25" t="s">
        <v>1712</v>
      </c>
      <c r="AF156" s="39">
        <v>50</v>
      </c>
      <c r="AG156" s="39">
        <v>5</v>
      </c>
      <c r="AH156" s="39">
        <v>7</v>
      </c>
      <c r="AI156" s="25" t="s">
        <v>1713</v>
      </c>
      <c r="AJ156" s="39">
        <v>90</v>
      </c>
      <c r="AK156" s="39">
        <v>10</v>
      </c>
      <c r="AL156" s="39">
        <v>10</v>
      </c>
      <c r="AM156" s="25" t="s">
        <v>1714</v>
      </c>
      <c r="AN156" s="39">
        <v>140</v>
      </c>
      <c r="AO156" s="39">
        <v>15</v>
      </c>
      <c r="AP156" s="39">
        <v>12</v>
      </c>
      <c r="AR156" s="39" t="s">
        <v>6456</v>
      </c>
    </row>
    <row r="157" spans="1:44" x14ac:dyDescent="0.2">
      <c r="A157" s="25" t="s">
        <v>65</v>
      </c>
      <c r="B157" s="25" t="s">
        <v>3960</v>
      </c>
      <c r="T157" s="25" t="s">
        <v>70</v>
      </c>
      <c r="U157" s="25">
        <v>1005</v>
      </c>
      <c r="V157" s="25" t="s">
        <v>1470</v>
      </c>
      <c r="W157" s="38" t="s">
        <v>1511</v>
      </c>
      <c r="X157" s="25">
        <v>2</v>
      </c>
      <c r="Y157" s="25" t="s">
        <v>164</v>
      </c>
      <c r="Z157" s="25" t="s">
        <v>1451</v>
      </c>
      <c r="AA157" s="25" t="s">
        <v>1471</v>
      </c>
      <c r="AB157" s="39">
        <v>30</v>
      </c>
      <c r="AC157" s="39">
        <v>5</v>
      </c>
      <c r="AD157" s="39">
        <v>5</v>
      </c>
      <c r="AE157" s="25" t="s">
        <v>1472</v>
      </c>
      <c r="AF157" s="39">
        <v>80</v>
      </c>
      <c r="AG157" s="39">
        <v>10</v>
      </c>
      <c r="AH157" s="39">
        <v>8</v>
      </c>
      <c r="AI157" s="25" t="s">
        <v>1473</v>
      </c>
      <c r="AJ157" s="39">
        <v>100</v>
      </c>
      <c r="AK157" s="39">
        <v>10</v>
      </c>
      <c r="AL157" s="39">
        <v>10</v>
      </c>
      <c r="AM157" s="25" t="s">
        <v>1474</v>
      </c>
      <c r="AN157" s="39">
        <v>120</v>
      </c>
      <c r="AO157" s="39">
        <v>15</v>
      </c>
      <c r="AP157" s="39">
        <v>12</v>
      </c>
      <c r="AR157" s="39" t="s">
        <v>6456</v>
      </c>
    </row>
    <row r="158" spans="1:44" x14ac:dyDescent="0.2">
      <c r="A158" s="25" t="s">
        <v>65</v>
      </c>
      <c r="B158" s="25" t="s">
        <v>3997</v>
      </c>
      <c r="T158" s="25" t="s">
        <v>35</v>
      </c>
      <c r="U158" s="25">
        <v>25007</v>
      </c>
      <c r="V158" s="25" t="s">
        <v>3838</v>
      </c>
      <c r="W158" s="38" t="s">
        <v>6531</v>
      </c>
      <c r="X158" s="25">
        <v>82</v>
      </c>
      <c r="Y158" s="25" t="s">
        <v>164</v>
      </c>
      <c r="Z158" s="25" t="s">
        <v>1451</v>
      </c>
      <c r="AA158" s="25" t="s">
        <v>3835</v>
      </c>
      <c r="AB158" s="39">
        <v>250</v>
      </c>
      <c r="AC158" s="39">
        <v>50</v>
      </c>
      <c r="AD158" s="39">
        <v>10</v>
      </c>
      <c r="AE158" s="25" t="s">
        <v>3778</v>
      </c>
      <c r="AF158" s="39">
        <v>350</v>
      </c>
      <c r="AG158" s="39">
        <v>70</v>
      </c>
      <c r="AH158" s="39">
        <v>12</v>
      </c>
      <c r="AI158" s="25" t="s">
        <v>3245</v>
      </c>
      <c r="AJ158" s="39">
        <v>500</v>
      </c>
      <c r="AK158" s="39">
        <v>100</v>
      </c>
      <c r="AL158" s="39">
        <v>14</v>
      </c>
      <c r="AM158" s="25" t="s">
        <v>3836</v>
      </c>
      <c r="AN158" s="39">
        <v>700</v>
      </c>
      <c r="AO158" s="39">
        <v>140</v>
      </c>
      <c r="AP158" s="39">
        <v>16</v>
      </c>
      <c r="AR158" s="39" t="s">
        <v>6456</v>
      </c>
    </row>
    <row r="159" spans="1:44" x14ac:dyDescent="0.2">
      <c r="A159" s="25" t="s">
        <v>65</v>
      </c>
      <c r="B159" s="25" t="s">
        <v>4040</v>
      </c>
      <c r="T159" s="25" t="s">
        <v>49</v>
      </c>
      <c r="U159" s="25">
        <v>10003</v>
      </c>
      <c r="V159" s="25" t="s">
        <v>2971</v>
      </c>
      <c r="W159" s="38" t="s">
        <v>6622</v>
      </c>
      <c r="X159" s="25">
        <v>26</v>
      </c>
      <c r="Y159" s="25" t="s">
        <v>164</v>
      </c>
      <c r="Z159" s="25" t="s">
        <v>1451</v>
      </c>
      <c r="AA159" s="25" t="s">
        <v>2972</v>
      </c>
      <c r="AB159" s="39">
        <v>60</v>
      </c>
      <c r="AC159" s="39">
        <v>10</v>
      </c>
      <c r="AD159" s="39">
        <v>6</v>
      </c>
      <c r="AE159" s="25" t="s">
        <v>2973</v>
      </c>
      <c r="AF159" s="39">
        <v>180</v>
      </c>
      <c r="AG159" s="39">
        <v>20</v>
      </c>
      <c r="AH159" s="39">
        <v>9</v>
      </c>
      <c r="AI159" s="25" t="s">
        <v>2974</v>
      </c>
      <c r="AJ159" s="39">
        <v>250</v>
      </c>
      <c r="AK159" s="39">
        <v>25</v>
      </c>
      <c r="AL159" s="39">
        <v>12</v>
      </c>
      <c r="AM159" s="25" t="s">
        <v>2975</v>
      </c>
      <c r="AN159" s="39">
        <v>350</v>
      </c>
      <c r="AO159" s="39">
        <v>35</v>
      </c>
      <c r="AP159" s="39">
        <v>15</v>
      </c>
      <c r="AR159" s="39" t="s">
        <v>6456</v>
      </c>
    </row>
    <row r="160" spans="1:44" x14ac:dyDescent="0.2">
      <c r="A160" s="25" t="s">
        <v>60</v>
      </c>
      <c r="B160" s="25" t="s">
        <v>1485</v>
      </c>
      <c r="T160" s="25" t="s">
        <v>70</v>
      </c>
      <c r="U160" s="25">
        <v>25005</v>
      </c>
      <c r="V160" s="25" t="s">
        <v>3834</v>
      </c>
      <c r="W160" s="38" t="s">
        <v>6531</v>
      </c>
      <c r="X160" s="25">
        <v>82</v>
      </c>
      <c r="Y160" s="25" t="s">
        <v>164</v>
      </c>
      <c r="Z160" s="25" t="s">
        <v>1451</v>
      </c>
      <c r="AA160" s="25" t="s">
        <v>3835</v>
      </c>
      <c r="AB160" s="39">
        <v>250</v>
      </c>
      <c r="AC160" s="39">
        <v>50</v>
      </c>
      <c r="AD160" s="39">
        <v>10</v>
      </c>
      <c r="AE160" s="25" t="s">
        <v>3778</v>
      </c>
      <c r="AF160" s="39">
        <v>350</v>
      </c>
      <c r="AG160" s="39">
        <v>70</v>
      </c>
      <c r="AH160" s="39">
        <v>12</v>
      </c>
      <c r="AI160" s="25" t="s">
        <v>3245</v>
      </c>
      <c r="AJ160" s="39">
        <v>500</v>
      </c>
      <c r="AK160" s="39">
        <v>100</v>
      </c>
      <c r="AL160" s="39">
        <v>14</v>
      </c>
      <c r="AM160" s="25" t="s">
        <v>3836</v>
      </c>
      <c r="AN160" s="39">
        <v>700</v>
      </c>
      <c r="AO160" s="39">
        <v>140</v>
      </c>
      <c r="AP160" s="39">
        <v>16</v>
      </c>
      <c r="AR160" s="39" t="s">
        <v>6456</v>
      </c>
    </row>
    <row r="161" spans="1:44" x14ac:dyDescent="0.2">
      <c r="A161" s="25" t="s">
        <v>60</v>
      </c>
      <c r="B161" s="25" t="s">
        <v>1721</v>
      </c>
      <c r="T161" s="25" t="s">
        <v>65</v>
      </c>
      <c r="U161" s="25">
        <v>12006</v>
      </c>
      <c r="V161" s="25" t="s">
        <v>3222</v>
      </c>
      <c r="W161" s="38" t="s">
        <v>6517</v>
      </c>
      <c r="X161" s="25">
        <v>40</v>
      </c>
      <c r="Y161" s="25" t="s">
        <v>164</v>
      </c>
      <c r="Z161" s="25" t="s">
        <v>1451</v>
      </c>
      <c r="AA161" s="25" t="s">
        <v>3223</v>
      </c>
      <c r="AB161" s="39">
        <v>80</v>
      </c>
      <c r="AC161" s="39">
        <v>10</v>
      </c>
      <c r="AD161" s="39">
        <v>6</v>
      </c>
      <c r="AE161" s="25" t="s">
        <v>3224</v>
      </c>
      <c r="AF161" s="39">
        <v>140</v>
      </c>
      <c r="AG161" s="39">
        <v>20</v>
      </c>
      <c r="AH161" s="39">
        <v>9</v>
      </c>
      <c r="AI161" s="25" t="s">
        <v>3225</v>
      </c>
      <c r="AJ161" s="39">
        <v>240</v>
      </c>
      <c r="AK161" s="39">
        <v>25</v>
      </c>
      <c r="AL161" s="39">
        <v>12</v>
      </c>
      <c r="AM161" s="25" t="s">
        <v>3226</v>
      </c>
      <c r="AN161" s="39">
        <v>350</v>
      </c>
      <c r="AO161" s="39">
        <v>30</v>
      </c>
      <c r="AP161" s="39">
        <v>16</v>
      </c>
      <c r="AR161" s="39" t="s">
        <v>6456</v>
      </c>
    </row>
    <row r="162" spans="1:44" x14ac:dyDescent="0.2">
      <c r="A162" s="25" t="s">
        <v>60</v>
      </c>
      <c r="B162" s="25" t="s">
        <v>1893</v>
      </c>
      <c r="T162" s="25" t="s">
        <v>1509</v>
      </c>
      <c r="U162" s="25">
        <v>1015</v>
      </c>
      <c r="V162" s="25" t="s">
        <v>1510</v>
      </c>
      <c r="W162" s="38" t="s">
        <v>1511</v>
      </c>
      <c r="X162" s="25" t="s">
        <v>1512</v>
      </c>
      <c r="Y162" s="25" t="s">
        <v>164</v>
      </c>
      <c r="Z162" s="25" t="s">
        <v>1451</v>
      </c>
      <c r="AA162" s="25" t="s">
        <v>1471</v>
      </c>
      <c r="AB162" s="39">
        <v>40</v>
      </c>
      <c r="AC162" s="39">
        <v>5</v>
      </c>
      <c r="AD162" s="39">
        <v>6</v>
      </c>
      <c r="AE162" s="25" t="s">
        <v>1513</v>
      </c>
      <c r="AF162" s="39">
        <v>80</v>
      </c>
      <c r="AG162" s="39">
        <v>10</v>
      </c>
      <c r="AH162" s="39">
        <v>8</v>
      </c>
      <c r="AI162" s="25" t="s">
        <v>1514</v>
      </c>
      <c r="AJ162" s="39">
        <v>110</v>
      </c>
      <c r="AK162" s="39">
        <v>10</v>
      </c>
      <c r="AL162" s="39">
        <v>10</v>
      </c>
      <c r="AM162" s="25" t="s">
        <v>1515</v>
      </c>
      <c r="AN162" s="39">
        <v>130</v>
      </c>
      <c r="AO162" s="39">
        <v>15</v>
      </c>
      <c r="AP162" s="39">
        <v>12</v>
      </c>
      <c r="AQ162" s="25" t="s">
        <v>65</v>
      </c>
      <c r="AR162" s="39"/>
    </row>
    <row r="163" spans="1:44" x14ac:dyDescent="0.2">
      <c r="A163" s="25" t="s">
        <v>60</v>
      </c>
      <c r="B163" s="25" t="s">
        <v>2047</v>
      </c>
      <c r="T163" s="25" t="s">
        <v>29</v>
      </c>
      <c r="U163" s="25">
        <v>1001</v>
      </c>
      <c r="V163" s="25" t="s">
        <v>1450</v>
      </c>
      <c r="W163" s="38" t="s">
        <v>6621</v>
      </c>
      <c r="X163" s="25">
        <v>2</v>
      </c>
      <c r="Y163" s="25" t="s">
        <v>164</v>
      </c>
      <c r="Z163" s="25" t="s">
        <v>1451</v>
      </c>
      <c r="AA163" s="25" t="s">
        <v>1452</v>
      </c>
      <c r="AB163" s="39">
        <v>20</v>
      </c>
      <c r="AC163" s="39">
        <v>5</v>
      </c>
      <c r="AD163" s="39">
        <v>5</v>
      </c>
      <c r="AE163" s="25" t="s">
        <v>1453</v>
      </c>
      <c r="AF163" s="39">
        <v>50</v>
      </c>
      <c r="AG163" s="39">
        <v>5</v>
      </c>
      <c r="AH163" s="39">
        <v>8</v>
      </c>
      <c r="AI163" s="25" t="s">
        <v>1454</v>
      </c>
      <c r="AJ163" s="39">
        <v>100</v>
      </c>
      <c r="AK163" s="39">
        <v>10</v>
      </c>
      <c r="AL163" s="39">
        <v>10</v>
      </c>
      <c r="AM163" s="25" t="s">
        <v>1455</v>
      </c>
      <c r="AN163" s="39">
        <v>200</v>
      </c>
      <c r="AO163" s="39">
        <v>15</v>
      </c>
      <c r="AP163" s="39">
        <v>12</v>
      </c>
      <c r="AR163" s="39" t="s">
        <v>6456</v>
      </c>
    </row>
    <row r="164" spans="1:44" x14ac:dyDescent="0.2">
      <c r="A164" s="25" t="s">
        <v>60</v>
      </c>
      <c r="B164" s="25" t="s">
        <v>2208</v>
      </c>
      <c r="T164" s="25" t="s">
        <v>1509</v>
      </c>
      <c r="U164" s="25">
        <v>3015</v>
      </c>
      <c r="V164" s="25" t="s">
        <v>1909</v>
      </c>
      <c r="W164" s="38" t="s">
        <v>1910</v>
      </c>
      <c r="X164" s="25" t="s">
        <v>1512</v>
      </c>
      <c r="Y164" s="25" t="s">
        <v>164</v>
      </c>
      <c r="Z164" s="25" t="s">
        <v>1451</v>
      </c>
      <c r="AA164" s="25" t="s">
        <v>1911</v>
      </c>
      <c r="AB164" s="39">
        <v>50</v>
      </c>
      <c r="AC164" s="39">
        <v>5</v>
      </c>
      <c r="AD164" s="39">
        <v>5</v>
      </c>
      <c r="AE164" s="25" t="s">
        <v>1912</v>
      </c>
      <c r="AF164" s="39">
        <v>80</v>
      </c>
      <c r="AG164" s="39">
        <v>5</v>
      </c>
      <c r="AH164" s="39">
        <v>8</v>
      </c>
      <c r="AI164" s="25" t="s">
        <v>1913</v>
      </c>
      <c r="AJ164" s="39">
        <v>100</v>
      </c>
      <c r="AK164" s="39">
        <v>5</v>
      </c>
      <c r="AL164" s="39">
        <v>10</v>
      </c>
      <c r="AM164" s="25" t="s">
        <v>1914</v>
      </c>
      <c r="AN164" s="39">
        <v>120</v>
      </c>
      <c r="AO164" s="39">
        <v>10</v>
      </c>
      <c r="AP164" s="39">
        <v>12</v>
      </c>
      <c r="AQ164" s="25" t="s">
        <v>61</v>
      </c>
      <c r="AR164" s="39"/>
    </row>
    <row r="165" spans="1:44" x14ac:dyDescent="0.2">
      <c r="A165" s="25" t="s">
        <v>60</v>
      </c>
      <c r="B165" s="25" t="s">
        <v>2369</v>
      </c>
      <c r="T165" s="25" t="s">
        <v>65</v>
      </c>
      <c r="U165" s="25">
        <v>25006</v>
      </c>
      <c r="V165" s="25" t="s">
        <v>3837</v>
      </c>
      <c r="W165" s="38" t="s">
        <v>6531</v>
      </c>
      <c r="X165" s="25">
        <v>82</v>
      </c>
      <c r="Y165" s="25" t="s">
        <v>164</v>
      </c>
      <c r="Z165" s="25" t="s">
        <v>1451</v>
      </c>
      <c r="AA165" s="25" t="s">
        <v>3835</v>
      </c>
      <c r="AB165" s="39">
        <v>250</v>
      </c>
      <c r="AC165" s="39">
        <v>50</v>
      </c>
      <c r="AD165" s="39">
        <v>10</v>
      </c>
      <c r="AE165" s="25" t="s">
        <v>3778</v>
      </c>
      <c r="AF165" s="39">
        <v>350</v>
      </c>
      <c r="AG165" s="39">
        <v>70</v>
      </c>
      <c r="AH165" s="39">
        <v>12</v>
      </c>
      <c r="AI165" s="25" t="s">
        <v>3245</v>
      </c>
      <c r="AJ165" s="39">
        <v>500</v>
      </c>
      <c r="AK165" s="39">
        <v>100</v>
      </c>
      <c r="AL165" s="39">
        <v>14</v>
      </c>
      <c r="AM165" s="25" t="s">
        <v>3836</v>
      </c>
      <c r="AN165" s="39">
        <v>700</v>
      </c>
      <c r="AO165" s="39">
        <v>140</v>
      </c>
      <c r="AP165" s="39">
        <v>16</v>
      </c>
      <c r="AR165" s="39" t="s">
        <v>6456</v>
      </c>
    </row>
    <row r="166" spans="1:44" x14ac:dyDescent="0.2">
      <c r="A166" s="25" t="s">
        <v>60</v>
      </c>
      <c r="B166" s="25" t="s">
        <v>2533</v>
      </c>
      <c r="T166" s="25" t="s">
        <v>39</v>
      </c>
      <c r="U166" s="25">
        <v>1002</v>
      </c>
      <c r="V166" s="25" t="s">
        <v>1456</v>
      </c>
      <c r="W166" s="38" t="s">
        <v>1457</v>
      </c>
      <c r="X166" s="25">
        <v>2</v>
      </c>
      <c r="Y166" s="25" t="s">
        <v>164</v>
      </c>
      <c r="Z166" s="25" t="s">
        <v>1451</v>
      </c>
      <c r="AA166" s="25" t="s">
        <v>1452</v>
      </c>
      <c r="AB166" s="39">
        <v>20</v>
      </c>
      <c r="AC166" s="39">
        <v>5</v>
      </c>
      <c r="AD166" s="39">
        <v>5</v>
      </c>
      <c r="AE166" s="25" t="s">
        <v>1453</v>
      </c>
      <c r="AF166" s="39">
        <v>50</v>
      </c>
      <c r="AG166" s="39">
        <v>5</v>
      </c>
      <c r="AH166" s="39">
        <v>8</v>
      </c>
      <c r="AI166" s="25" t="s">
        <v>1454</v>
      </c>
      <c r="AJ166" s="39">
        <v>100</v>
      </c>
      <c r="AK166" s="39">
        <v>10</v>
      </c>
      <c r="AL166" s="39">
        <v>10</v>
      </c>
      <c r="AM166" s="25" t="s">
        <v>1455</v>
      </c>
      <c r="AN166" s="39">
        <v>200</v>
      </c>
      <c r="AO166" s="39">
        <v>15</v>
      </c>
      <c r="AP166" s="39">
        <v>12</v>
      </c>
      <c r="AR166" s="39"/>
    </row>
    <row r="167" spans="1:44" x14ac:dyDescent="0.2">
      <c r="A167" s="25" t="s">
        <v>60</v>
      </c>
      <c r="B167" s="25" t="s">
        <v>2689</v>
      </c>
      <c r="T167" s="25" t="s">
        <v>49</v>
      </c>
      <c r="U167" s="25">
        <v>18003</v>
      </c>
      <c r="V167" s="25" t="s">
        <v>3530</v>
      </c>
      <c r="W167" s="38" t="s">
        <v>3531</v>
      </c>
      <c r="X167" s="25">
        <v>46</v>
      </c>
      <c r="Y167" s="25" t="s">
        <v>1582</v>
      </c>
      <c r="Z167" s="25" t="s">
        <v>1451</v>
      </c>
      <c r="AA167" s="25" t="s">
        <v>2164</v>
      </c>
      <c r="AB167" s="39">
        <v>140</v>
      </c>
      <c r="AC167" s="39" t="s">
        <v>244</v>
      </c>
      <c r="AD167" s="39">
        <v>7</v>
      </c>
      <c r="AE167" s="25" t="s">
        <v>2002</v>
      </c>
      <c r="AF167" s="39">
        <v>180</v>
      </c>
      <c r="AG167" s="39" t="s">
        <v>244</v>
      </c>
      <c r="AH167" s="39">
        <v>9</v>
      </c>
      <c r="AI167" s="25" t="s">
        <v>2004</v>
      </c>
      <c r="AJ167" s="39">
        <v>240</v>
      </c>
      <c r="AK167" s="39" t="s">
        <v>244</v>
      </c>
      <c r="AL167" s="39">
        <v>12</v>
      </c>
      <c r="AM167" s="25" t="s">
        <v>3532</v>
      </c>
      <c r="AN167" s="39">
        <v>350</v>
      </c>
      <c r="AO167" s="39" t="s">
        <v>244</v>
      </c>
      <c r="AP167" s="39">
        <v>15</v>
      </c>
      <c r="AR167" s="39"/>
    </row>
    <row r="168" spans="1:44" x14ac:dyDescent="0.2">
      <c r="A168" s="25" t="s">
        <v>60</v>
      </c>
      <c r="B168" s="25" t="s">
        <v>2006</v>
      </c>
      <c r="T168" s="25" t="s">
        <v>39</v>
      </c>
      <c r="U168" s="25">
        <v>23002</v>
      </c>
      <c r="V168" s="25" t="s">
        <v>3745</v>
      </c>
      <c r="W168" s="38" t="s">
        <v>6506</v>
      </c>
      <c r="X168" s="25">
        <v>58</v>
      </c>
      <c r="Y168" s="25" t="s">
        <v>1582</v>
      </c>
      <c r="Z168" s="25" t="s">
        <v>1451</v>
      </c>
      <c r="AA168" s="25" t="s">
        <v>3741</v>
      </c>
      <c r="AB168" s="39">
        <v>100</v>
      </c>
      <c r="AC168" s="39">
        <v>10</v>
      </c>
      <c r="AD168" s="39">
        <v>8</v>
      </c>
      <c r="AE168" s="25" t="s">
        <v>3742</v>
      </c>
      <c r="AF168" s="39">
        <v>180</v>
      </c>
      <c r="AG168" s="39">
        <v>20</v>
      </c>
      <c r="AH168" s="39">
        <v>10</v>
      </c>
      <c r="AI168" s="25" t="s">
        <v>3743</v>
      </c>
      <c r="AJ168" s="39">
        <v>240</v>
      </c>
      <c r="AK168" s="39">
        <v>25</v>
      </c>
      <c r="AL168" s="39">
        <v>12</v>
      </c>
      <c r="AM168" s="25" t="s">
        <v>3744</v>
      </c>
      <c r="AN168" s="39">
        <v>300</v>
      </c>
      <c r="AO168" s="39">
        <v>30</v>
      </c>
      <c r="AP168" s="39">
        <v>15</v>
      </c>
      <c r="AR168" s="39" t="s">
        <v>6456</v>
      </c>
    </row>
    <row r="169" spans="1:44" x14ac:dyDescent="0.2">
      <c r="A169" s="25" t="s">
        <v>60</v>
      </c>
      <c r="B169" s="25" t="s">
        <v>2998</v>
      </c>
      <c r="T169" s="25" t="s">
        <v>29</v>
      </c>
      <c r="U169" s="25">
        <v>23001</v>
      </c>
      <c r="V169" s="25" t="s">
        <v>3740</v>
      </c>
      <c r="W169" s="38" t="s">
        <v>6477</v>
      </c>
      <c r="X169" s="25">
        <v>58</v>
      </c>
      <c r="Y169" s="25" t="s">
        <v>1582</v>
      </c>
      <c r="Z169" s="25" t="s">
        <v>1451</v>
      </c>
      <c r="AA169" s="25" t="s">
        <v>3741</v>
      </c>
      <c r="AB169" s="39">
        <v>100</v>
      </c>
      <c r="AC169" s="39">
        <v>10</v>
      </c>
      <c r="AD169" s="39">
        <v>8</v>
      </c>
      <c r="AE169" s="25" t="s">
        <v>3742</v>
      </c>
      <c r="AF169" s="39">
        <v>180</v>
      </c>
      <c r="AG169" s="39">
        <v>20</v>
      </c>
      <c r="AH169" s="39">
        <v>10</v>
      </c>
      <c r="AI169" s="25" t="s">
        <v>3743</v>
      </c>
      <c r="AJ169" s="39">
        <v>240</v>
      </c>
      <c r="AK169" s="39">
        <v>25</v>
      </c>
      <c r="AL169" s="39">
        <v>12</v>
      </c>
      <c r="AM169" s="25" t="s">
        <v>3744</v>
      </c>
      <c r="AN169" s="39">
        <v>300</v>
      </c>
      <c r="AO169" s="39">
        <v>30</v>
      </c>
      <c r="AP169" s="39">
        <v>15</v>
      </c>
      <c r="AR169" s="39" t="s">
        <v>6456</v>
      </c>
    </row>
    <row r="170" spans="1:44" x14ac:dyDescent="0.2">
      <c r="A170" s="25" t="s">
        <v>60</v>
      </c>
      <c r="B170" s="25" t="s">
        <v>3139</v>
      </c>
      <c r="T170" s="25" t="s">
        <v>49</v>
      </c>
      <c r="U170" s="25">
        <v>31003</v>
      </c>
      <c r="V170" s="25" t="s">
        <v>4070</v>
      </c>
      <c r="W170" s="38" t="s">
        <v>6531</v>
      </c>
      <c r="X170" s="25">
        <v>78</v>
      </c>
      <c r="Y170" s="25" t="s">
        <v>164</v>
      </c>
      <c r="Z170" s="25" t="s">
        <v>1451</v>
      </c>
      <c r="AA170" s="25" t="s">
        <v>4071</v>
      </c>
      <c r="AB170" s="39">
        <v>250</v>
      </c>
      <c r="AC170" s="39">
        <v>50</v>
      </c>
      <c r="AD170" s="39">
        <v>9</v>
      </c>
      <c r="AE170" s="25" t="s">
        <v>4072</v>
      </c>
      <c r="AF170" s="39">
        <v>400</v>
      </c>
      <c r="AG170" s="39">
        <v>80</v>
      </c>
      <c r="AH170" s="39">
        <v>12</v>
      </c>
      <c r="AI170" s="25" t="s">
        <v>3780</v>
      </c>
      <c r="AJ170" s="39">
        <v>600</v>
      </c>
      <c r="AK170" s="39">
        <v>120</v>
      </c>
      <c r="AL170" s="39">
        <v>15</v>
      </c>
      <c r="AM170" s="25" t="s">
        <v>3781</v>
      </c>
      <c r="AN170" s="39">
        <v>1000</v>
      </c>
      <c r="AO170" s="39">
        <v>200</v>
      </c>
      <c r="AP170" s="39">
        <v>17</v>
      </c>
      <c r="AR170" s="39" t="s">
        <v>6456</v>
      </c>
    </row>
    <row r="171" spans="1:44" x14ac:dyDescent="0.2">
      <c r="A171" s="25" t="s">
        <v>60</v>
      </c>
      <c r="B171" s="25" t="s">
        <v>3232</v>
      </c>
      <c r="T171" s="25" t="s">
        <v>94</v>
      </c>
      <c r="U171" s="25">
        <v>12010</v>
      </c>
      <c r="V171" s="25" t="s">
        <v>3238</v>
      </c>
      <c r="W171" s="38" t="s">
        <v>6623</v>
      </c>
      <c r="X171" s="25">
        <v>40</v>
      </c>
      <c r="Y171" s="25" t="s">
        <v>1498</v>
      </c>
      <c r="Z171" s="25" t="s">
        <v>1451</v>
      </c>
      <c r="AA171" s="25" t="s">
        <v>3239</v>
      </c>
      <c r="AB171" s="39">
        <v>60</v>
      </c>
      <c r="AC171" s="39">
        <v>5</v>
      </c>
      <c r="AD171" s="39">
        <v>7</v>
      </c>
      <c r="AE171" s="25" t="s">
        <v>3240</v>
      </c>
      <c r="AF171" s="39">
        <v>90</v>
      </c>
      <c r="AG171" s="39">
        <v>5</v>
      </c>
      <c r="AH171" s="39">
        <v>10</v>
      </c>
      <c r="AI171" s="25" t="s">
        <v>3241</v>
      </c>
      <c r="AJ171" s="39">
        <v>120</v>
      </c>
      <c r="AK171" s="39">
        <v>10</v>
      </c>
      <c r="AL171" s="39">
        <v>13</v>
      </c>
      <c r="AM171" s="25" t="s">
        <v>3242</v>
      </c>
      <c r="AN171" s="39">
        <v>150</v>
      </c>
      <c r="AO171" s="39">
        <v>10</v>
      </c>
      <c r="AP171" s="39">
        <v>15</v>
      </c>
      <c r="AR171" s="39" t="s">
        <v>6456</v>
      </c>
    </row>
    <row r="172" spans="1:44" x14ac:dyDescent="0.2">
      <c r="A172" s="25" t="s">
        <v>60</v>
      </c>
      <c r="B172" s="25" t="s">
        <v>3327</v>
      </c>
      <c r="T172" s="25" t="s">
        <v>60</v>
      </c>
      <c r="U172" s="25">
        <v>25008</v>
      </c>
      <c r="V172" s="25" t="s">
        <v>3839</v>
      </c>
      <c r="W172" s="38" t="s">
        <v>6531</v>
      </c>
      <c r="X172" s="25">
        <v>82</v>
      </c>
      <c r="Y172" s="25" t="s">
        <v>164</v>
      </c>
      <c r="Z172" s="25" t="s">
        <v>1451</v>
      </c>
      <c r="AA172" s="25" t="s">
        <v>3835</v>
      </c>
      <c r="AB172" s="39">
        <v>250</v>
      </c>
      <c r="AC172" s="39">
        <v>50</v>
      </c>
      <c r="AD172" s="39">
        <v>10</v>
      </c>
      <c r="AE172" s="25" t="s">
        <v>3778</v>
      </c>
      <c r="AF172" s="39">
        <v>350</v>
      </c>
      <c r="AG172" s="39">
        <v>70</v>
      </c>
      <c r="AH172" s="39">
        <v>12</v>
      </c>
      <c r="AI172" s="25" t="s">
        <v>3245</v>
      </c>
      <c r="AJ172" s="39">
        <v>500</v>
      </c>
      <c r="AK172" s="39">
        <v>100</v>
      </c>
      <c r="AL172" s="39">
        <v>14</v>
      </c>
      <c r="AM172" s="25" t="s">
        <v>3836</v>
      </c>
      <c r="AN172" s="39">
        <v>700</v>
      </c>
      <c r="AO172" s="39">
        <v>140</v>
      </c>
      <c r="AP172" s="39">
        <v>16</v>
      </c>
      <c r="AR172" s="39" t="s">
        <v>6456</v>
      </c>
    </row>
    <row r="173" spans="1:44" x14ac:dyDescent="0.2">
      <c r="A173" s="25" t="s">
        <v>60</v>
      </c>
      <c r="B173" s="25" t="s">
        <v>3383</v>
      </c>
      <c r="T173" s="25" t="s">
        <v>1619</v>
      </c>
      <c r="U173" s="25">
        <v>1115</v>
      </c>
      <c r="V173" s="25" t="s">
        <v>1620</v>
      </c>
      <c r="W173" s="38" t="s">
        <v>1621</v>
      </c>
      <c r="X173" s="25" t="s">
        <v>1622</v>
      </c>
      <c r="Y173" s="25" t="s">
        <v>164</v>
      </c>
      <c r="Z173" s="25" t="s">
        <v>1451</v>
      </c>
      <c r="AA173" s="25" t="s">
        <v>1623</v>
      </c>
      <c r="AB173" s="39">
        <v>40</v>
      </c>
      <c r="AC173" s="39">
        <v>5</v>
      </c>
      <c r="AD173" s="39">
        <v>6</v>
      </c>
      <c r="AE173" s="25" t="s">
        <v>1624</v>
      </c>
      <c r="AF173" s="39">
        <v>80</v>
      </c>
      <c r="AG173" s="39">
        <v>10</v>
      </c>
      <c r="AH173" s="39">
        <v>9</v>
      </c>
      <c r="AI173" s="25" t="s">
        <v>1625</v>
      </c>
      <c r="AJ173" s="39">
        <v>120</v>
      </c>
      <c r="AK173" s="39">
        <v>15</v>
      </c>
      <c r="AL173" s="39">
        <v>11</v>
      </c>
      <c r="AM173" s="25" t="s">
        <v>1626</v>
      </c>
      <c r="AN173" s="39">
        <v>160</v>
      </c>
      <c r="AO173" s="39">
        <v>20</v>
      </c>
      <c r="AP173" s="39">
        <v>13</v>
      </c>
      <c r="AQ173" s="25" t="s">
        <v>61</v>
      </c>
      <c r="AR173" s="39"/>
    </row>
    <row r="174" spans="1:44" x14ac:dyDescent="0.2">
      <c r="A174" s="25" t="s">
        <v>60</v>
      </c>
      <c r="B174" s="25" t="s">
        <v>3426</v>
      </c>
      <c r="T174" s="25" t="s">
        <v>60</v>
      </c>
      <c r="U174" s="25">
        <v>1008</v>
      </c>
      <c r="V174" s="25" t="s">
        <v>1485</v>
      </c>
      <c r="W174" s="38" t="s">
        <v>1486</v>
      </c>
      <c r="X174" s="25">
        <v>2</v>
      </c>
      <c r="Y174" s="25" t="s">
        <v>164</v>
      </c>
      <c r="Z174" s="25" t="s">
        <v>1451</v>
      </c>
      <c r="AA174" s="25" t="s">
        <v>1487</v>
      </c>
      <c r="AB174" s="39">
        <v>30</v>
      </c>
      <c r="AC174" s="39">
        <v>5</v>
      </c>
      <c r="AD174" s="39">
        <v>5</v>
      </c>
      <c r="AE174" s="25" t="s">
        <v>1488</v>
      </c>
      <c r="AF174" s="39">
        <v>60</v>
      </c>
      <c r="AG174" s="39">
        <v>10</v>
      </c>
      <c r="AH174" s="39">
        <v>8</v>
      </c>
      <c r="AI174" s="25" t="s">
        <v>1489</v>
      </c>
      <c r="AJ174" s="39">
        <v>90</v>
      </c>
      <c r="AK174" s="39">
        <v>10</v>
      </c>
      <c r="AL174" s="39">
        <v>10</v>
      </c>
      <c r="AM174" s="25" t="s">
        <v>1490</v>
      </c>
      <c r="AN174" s="39">
        <v>120</v>
      </c>
      <c r="AO174" s="39">
        <v>15</v>
      </c>
      <c r="AP174" s="39">
        <v>12</v>
      </c>
      <c r="AR174" s="39"/>
    </row>
    <row r="175" spans="1:44" x14ac:dyDescent="0.2">
      <c r="A175" s="25" t="s">
        <v>60</v>
      </c>
      <c r="B175" s="25" t="s">
        <v>3471</v>
      </c>
      <c r="T175" s="25" t="s">
        <v>94</v>
      </c>
      <c r="U175" s="25">
        <v>20010</v>
      </c>
      <c r="V175" s="25" t="s">
        <v>3652</v>
      </c>
      <c r="W175" s="38" t="s">
        <v>3653</v>
      </c>
      <c r="X175" s="25">
        <v>66</v>
      </c>
      <c r="Y175" s="25" t="s">
        <v>1582</v>
      </c>
      <c r="Z175" s="25" t="s">
        <v>1451</v>
      </c>
      <c r="AA175" s="25" t="s">
        <v>1668</v>
      </c>
      <c r="AB175" s="39">
        <v>60</v>
      </c>
      <c r="AC175" s="39">
        <v>10</v>
      </c>
      <c r="AD175" s="39">
        <v>7</v>
      </c>
      <c r="AE175" s="25" t="s">
        <v>1586</v>
      </c>
      <c r="AF175" s="39">
        <v>100</v>
      </c>
      <c r="AG175" s="39">
        <v>10</v>
      </c>
      <c r="AH175" s="39">
        <v>10</v>
      </c>
      <c r="AI175" s="25" t="s">
        <v>1669</v>
      </c>
      <c r="AJ175" s="39">
        <v>140</v>
      </c>
      <c r="AK175" s="39">
        <v>15</v>
      </c>
      <c r="AL175" s="39">
        <v>12</v>
      </c>
      <c r="AM175" s="25" t="s">
        <v>2104</v>
      </c>
      <c r="AN175" s="39">
        <v>200</v>
      </c>
      <c r="AO175" s="39">
        <v>15</v>
      </c>
      <c r="AP175" s="39">
        <v>14</v>
      </c>
      <c r="AR175" s="39"/>
    </row>
    <row r="176" spans="1:44" x14ac:dyDescent="0.2">
      <c r="A176" s="25" t="s">
        <v>60</v>
      </c>
      <c r="B176" s="25" t="s">
        <v>3515</v>
      </c>
      <c r="T176" s="25" t="s">
        <v>65</v>
      </c>
      <c r="U176" s="25">
        <v>14006</v>
      </c>
      <c r="V176" s="25" t="s">
        <v>3371</v>
      </c>
      <c r="W176" s="38" t="s">
        <v>3372</v>
      </c>
      <c r="X176" s="25">
        <v>46</v>
      </c>
      <c r="Y176" s="25" t="s">
        <v>1582</v>
      </c>
      <c r="Z176" s="25" t="s">
        <v>1451</v>
      </c>
      <c r="AA176" s="25" t="s">
        <v>3373</v>
      </c>
      <c r="AB176" s="39">
        <v>80</v>
      </c>
      <c r="AC176" s="39">
        <v>5</v>
      </c>
      <c r="AD176" s="39">
        <v>8</v>
      </c>
      <c r="AE176" s="25" t="s">
        <v>3374</v>
      </c>
      <c r="AF176" s="39">
        <v>120</v>
      </c>
      <c r="AG176" s="39">
        <v>10</v>
      </c>
      <c r="AH176" s="39">
        <v>10</v>
      </c>
      <c r="AI176" s="25" t="s">
        <v>3375</v>
      </c>
      <c r="AJ176" s="39">
        <v>150</v>
      </c>
      <c r="AK176" s="39">
        <v>15</v>
      </c>
      <c r="AL176" s="39">
        <v>12</v>
      </c>
      <c r="AM176" s="25" t="s">
        <v>3376</v>
      </c>
      <c r="AN176" s="39">
        <v>200</v>
      </c>
      <c r="AO176" s="39">
        <v>20</v>
      </c>
      <c r="AP176" s="39">
        <v>14</v>
      </c>
      <c r="AR176" s="39"/>
    </row>
    <row r="177" spans="1:44" x14ac:dyDescent="0.2">
      <c r="A177" s="25" t="s">
        <v>60</v>
      </c>
      <c r="B177" s="25" t="s">
        <v>3548</v>
      </c>
      <c r="T177" s="25" t="s">
        <v>70</v>
      </c>
      <c r="U177" s="25">
        <v>21005</v>
      </c>
      <c r="V177" s="25" t="s">
        <v>3670</v>
      </c>
      <c r="W177" s="38" t="s">
        <v>3671</v>
      </c>
      <c r="X177" s="25">
        <v>70</v>
      </c>
      <c r="Y177" s="25" t="s">
        <v>1582</v>
      </c>
      <c r="Z177" s="25" t="s">
        <v>1451</v>
      </c>
      <c r="AA177" s="25" t="s">
        <v>3672</v>
      </c>
      <c r="AB177" s="39">
        <v>100</v>
      </c>
      <c r="AC177" s="39" t="s">
        <v>244</v>
      </c>
      <c r="AD177" s="39">
        <v>9</v>
      </c>
      <c r="AE177" s="25" t="s">
        <v>3673</v>
      </c>
      <c r="AF177" s="39">
        <v>140</v>
      </c>
      <c r="AG177" s="39" t="s">
        <v>244</v>
      </c>
      <c r="AH177" s="39">
        <v>11</v>
      </c>
      <c r="AI177" s="25" t="s">
        <v>3674</v>
      </c>
      <c r="AJ177" s="39">
        <v>200</v>
      </c>
      <c r="AK177" s="39" t="s">
        <v>244</v>
      </c>
      <c r="AL177" s="39">
        <v>13</v>
      </c>
      <c r="AM177" s="25" t="s">
        <v>3675</v>
      </c>
      <c r="AN177" s="39">
        <v>280</v>
      </c>
      <c r="AO177" s="39" t="s">
        <v>244</v>
      </c>
      <c r="AP177" s="39">
        <v>16</v>
      </c>
      <c r="AR177" s="39"/>
    </row>
    <row r="178" spans="1:44" x14ac:dyDescent="0.2">
      <c r="A178" s="25" t="s">
        <v>60</v>
      </c>
      <c r="B178" s="25" t="s">
        <v>3597</v>
      </c>
      <c r="T178" s="25" t="s">
        <v>70</v>
      </c>
      <c r="U178" s="25">
        <v>16005</v>
      </c>
      <c r="V178" s="25" t="s">
        <v>3455</v>
      </c>
      <c r="W178" s="38" t="s">
        <v>3456</v>
      </c>
      <c r="X178" s="25">
        <v>52</v>
      </c>
      <c r="Y178" s="25" t="s">
        <v>164</v>
      </c>
      <c r="Z178" s="25" t="s">
        <v>1451</v>
      </c>
      <c r="AA178" s="25" t="s">
        <v>2167</v>
      </c>
      <c r="AB178" s="39">
        <v>100</v>
      </c>
      <c r="AC178" s="39">
        <v>10</v>
      </c>
      <c r="AD178" s="39">
        <v>8</v>
      </c>
      <c r="AE178" s="25" t="s">
        <v>3457</v>
      </c>
      <c r="AF178" s="39">
        <v>120</v>
      </c>
      <c r="AG178" s="39">
        <v>15</v>
      </c>
      <c r="AH178" s="39">
        <v>11</v>
      </c>
      <c r="AI178" s="25" t="s">
        <v>3458</v>
      </c>
      <c r="AJ178" s="39">
        <v>140</v>
      </c>
      <c r="AK178" s="39">
        <v>15</v>
      </c>
      <c r="AL178" s="39">
        <v>13</v>
      </c>
      <c r="AM178" s="25" t="s">
        <v>3459</v>
      </c>
      <c r="AN178" s="39">
        <v>160</v>
      </c>
      <c r="AO178" s="39">
        <v>20</v>
      </c>
      <c r="AP178" s="39">
        <v>16</v>
      </c>
      <c r="AR178" s="39"/>
    </row>
    <row r="179" spans="1:44" x14ac:dyDescent="0.2">
      <c r="A179" s="25" t="s">
        <v>60</v>
      </c>
      <c r="B179" s="25" t="s">
        <v>3641</v>
      </c>
      <c r="T179" s="25" t="s">
        <v>29</v>
      </c>
      <c r="U179" s="25">
        <v>21001</v>
      </c>
      <c r="V179" s="25" t="s">
        <v>3656</v>
      </c>
      <c r="W179" s="38" t="s">
        <v>3657</v>
      </c>
      <c r="X179" s="25">
        <v>52</v>
      </c>
      <c r="Y179" s="25" t="s">
        <v>164</v>
      </c>
      <c r="Z179" s="25" t="s">
        <v>1451</v>
      </c>
      <c r="AA179" s="25" t="s">
        <v>3658</v>
      </c>
      <c r="AB179" s="39">
        <v>100</v>
      </c>
      <c r="AC179" s="39">
        <v>10</v>
      </c>
      <c r="AD179" s="39">
        <v>8</v>
      </c>
      <c r="AE179" s="25" t="s">
        <v>3659</v>
      </c>
      <c r="AF179" s="39">
        <v>120</v>
      </c>
      <c r="AG179" s="39">
        <v>15</v>
      </c>
      <c r="AH179" s="39">
        <v>11</v>
      </c>
      <c r="AI179" s="25" t="s">
        <v>3660</v>
      </c>
      <c r="AJ179" s="39">
        <v>140</v>
      </c>
      <c r="AK179" s="39">
        <v>15</v>
      </c>
      <c r="AL179" s="39">
        <v>13</v>
      </c>
      <c r="AM179" s="25" t="s">
        <v>3661</v>
      </c>
      <c r="AN179" s="39">
        <v>160</v>
      </c>
      <c r="AO179" s="39">
        <v>20</v>
      </c>
      <c r="AP179" s="39">
        <v>16</v>
      </c>
      <c r="AR179" s="39"/>
    </row>
    <row r="180" spans="1:44" x14ac:dyDescent="0.2">
      <c r="A180" s="25" t="s">
        <v>60</v>
      </c>
      <c r="B180" s="25" t="s">
        <v>3680</v>
      </c>
      <c r="T180" s="25" t="s">
        <v>1655</v>
      </c>
      <c r="U180" s="25">
        <v>8615</v>
      </c>
      <c r="V180" s="25" t="s">
        <v>2795</v>
      </c>
      <c r="W180" s="38" t="s">
        <v>2796</v>
      </c>
      <c r="X180" s="25" t="s">
        <v>1658</v>
      </c>
      <c r="Y180" s="25" t="s">
        <v>164</v>
      </c>
      <c r="Z180" s="25" t="s">
        <v>1451</v>
      </c>
      <c r="AA180" s="25" t="s">
        <v>2797</v>
      </c>
      <c r="AB180" s="39">
        <v>100</v>
      </c>
      <c r="AC180" s="39">
        <v>10</v>
      </c>
      <c r="AD180" s="39">
        <v>8</v>
      </c>
      <c r="AE180" s="25" t="s">
        <v>2798</v>
      </c>
      <c r="AF180" s="39">
        <v>120</v>
      </c>
      <c r="AG180" s="39">
        <v>15</v>
      </c>
      <c r="AH180" s="39">
        <v>11</v>
      </c>
      <c r="AI180" s="25" t="s">
        <v>2799</v>
      </c>
      <c r="AJ180" s="39">
        <v>140</v>
      </c>
      <c r="AK180" s="39">
        <v>15</v>
      </c>
      <c r="AL180" s="39">
        <v>13</v>
      </c>
      <c r="AM180" s="25" t="s">
        <v>2800</v>
      </c>
      <c r="AN180" s="39">
        <v>160</v>
      </c>
      <c r="AO180" s="39">
        <v>20</v>
      </c>
      <c r="AP180" s="39">
        <v>16</v>
      </c>
      <c r="AQ180" s="25" t="s">
        <v>35</v>
      </c>
      <c r="AR180" s="39"/>
    </row>
    <row r="181" spans="1:44" x14ac:dyDescent="0.2">
      <c r="A181" s="25" t="s">
        <v>60</v>
      </c>
      <c r="B181" s="25" t="s">
        <v>3727</v>
      </c>
      <c r="T181" s="25" t="s">
        <v>39</v>
      </c>
      <c r="U181" s="25">
        <v>21002</v>
      </c>
      <c r="V181" s="25" t="s">
        <v>3662</v>
      </c>
      <c r="W181" s="38" t="s">
        <v>3663</v>
      </c>
      <c r="X181" s="25">
        <v>52</v>
      </c>
      <c r="Y181" s="25" t="s">
        <v>164</v>
      </c>
      <c r="Z181" s="25" t="s">
        <v>1451</v>
      </c>
      <c r="AA181" s="25" t="s">
        <v>3658</v>
      </c>
      <c r="AB181" s="39">
        <v>100</v>
      </c>
      <c r="AC181" s="39">
        <v>10</v>
      </c>
      <c r="AD181" s="39">
        <v>8</v>
      </c>
      <c r="AE181" s="25" t="s">
        <v>3659</v>
      </c>
      <c r="AF181" s="39">
        <v>120</v>
      </c>
      <c r="AG181" s="39">
        <v>15</v>
      </c>
      <c r="AH181" s="39">
        <v>11</v>
      </c>
      <c r="AI181" s="25" t="s">
        <v>3664</v>
      </c>
      <c r="AJ181" s="39">
        <v>140</v>
      </c>
      <c r="AK181" s="39">
        <v>15</v>
      </c>
      <c r="AL181" s="39">
        <v>13</v>
      </c>
      <c r="AM181" s="25" t="s">
        <v>3665</v>
      </c>
      <c r="AN181" s="39">
        <v>160</v>
      </c>
      <c r="AO181" s="39">
        <v>20</v>
      </c>
      <c r="AP181" s="39">
        <v>16</v>
      </c>
      <c r="AR181" s="39"/>
    </row>
    <row r="182" spans="1:44" x14ac:dyDescent="0.2">
      <c r="A182" s="25" t="s">
        <v>60</v>
      </c>
      <c r="B182" s="25" t="s">
        <v>3764</v>
      </c>
      <c r="T182" s="25" t="s">
        <v>65</v>
      </c>
      <c r="U182" s="25">
        <v>16006</v>
      </c>
      <c r="V182" s="25" t="s">
        <v>3460</v>
      </c>
      <c r="W182" s="38" t="s">
        <v>3461</v>
      </c>
      <c r="X182" s="25">
        <v>52</v>
      </c>
      <c r="Y182" s="25" t="s">
        <v>164</v>
      </c>
      <c r="Z182" s="25" t="s">
        <v>1451</v>
      </c>
      <c r="AA182" s="25" t="s">
        <v>2167</v>
      </c>
      <c r="AB182" s="39">
        <v>100</v>
      </c>
      <c r="AC182" s="39">
        <v>10</v>
      </c>
      <c r="AD182" s="39">
        <v>8</v>
      </c>
      <c r="AE182" s="25" t="s">
        <v>3462</v>
      </c>
      <c r="AF182" s="39">
        <v>120</v>
      </c>
      <c r="AG182" s="39">
        <v>15</v>
      </c>
      <c r="AH182" s="39">
        <v>11</v>
      </c>
      <c r="AI182" s="25" t="s">
        <v>3463</v>
      </c>
      <c r="AJ182" s="39">
        <v>140</v>
      </c>
      <c r="AK182" s="39">
        <v>15</v>
      </c>
      <c r="AL182" s="39">
        <v>13</v>
      </c>
      <c r="AM182" s="25" t="s">
        <v>3464</v>
      </c>
      <c r="AN182" s="39">
        <v>160</v>
      </c>
      <c r="AO182" s="39">
        <v>20</v>
      </c>
      <c r="AP182" s="39">
        <v>16</v>
      </c>
      <c r="AR182" s="39"/>
    </row>
    <row r="183" spans="1:44" x14ac:dyDescent="0.2">
      <c r="A183" s="25" t="s">
        <v>60</v>
      </c>
      <c r="B183" s="25" t="s">
        <v>3806</v>
      </c>
      <c r="T183" s="25" t="s">
        <v>101</v>
      </c>
      <c r="U183" s="25">
        <v>12011</v>
      </c>
      <c r="V183" s="25" t="s">
        <v>3243</v>
      </c>
      <c r="W183" s="38" t="s">
        <v>6593</v>
      </c>
      <c r="X183" s="25">
        <v>30</v>
      </c>
      <c r="Y183" s="25" t="s">
        <v>164</v>
      </c>
      <c r="Z183" s="25" t="s">
        <v>1451</v>
      </c>
      <c r="AA183" s="25" t="s">
        <v>3244</v>
      </c>
      <c r="AB183" s="39">
        <v>80</v>
      </c>
      <c r="AC183" s="39">
        <v>10</v>
      </c>
      <c r="AD183" s="39">
        <v>8</v>
      </c>
      <c r="AE183" s="25" t="s">
        <v>3245</v>
      </c>
      <c r="AF183" s="39">
        <v>100</v>
      </c>
      <c r="AG183" s="39">
        <v>10</v>
      </c>
      <c r="AH183" s="39">
        <v>10</v>
      </c>
      <c r="AI183" s="25" t="s">
        <v>2548</v>
      </c>
      <c r="AJ183" s="39">
        <v>120</v>
      </c>
      <c r="AK183" s="39">
        <v>15</v>
      </c>
      <c r="AL183" s="39">
        <v>12</v>
      </c>
      <c r="AM183" s="25" t="s">
        <v>3246</v>
      </c>
      <c r="AN183" s="39">
        <v>140</v>
      </c>
      <c r="AO183" s="39">
        <v>15</v>
      </c>
      <c r="AP183" s="39">
        <v>14</v>
      </c>
      <c r="AR183" s="39" t="s">
        <v>6456</v>
      </c>
    </row>
    <row r="184" spans="1:44" x14ac:dyDescent="0.2">
      <c r="A184" s="25" t="s">
        <v>60</v>
      </c>
      <c r="B184" s="25" t="s">
        <v>3839</v>
      </c>
      <c r="T184" s="25" t="s">
        <v>35</v>
      </c>
      <c r="U184" s="25">
        <v>16007</v>
      </c>
      <c r="V184" s="25" t="s">
        <v>3465</v>
      </c>
      <c r="W184" s="38" t="s">
        <v>3466</v>
      </c>
      <c r="X184" s="25">
        <v>52</v>
      </c>
      <c r="Y184" s="25" t="s">
        <v>164</v>
      </c>
      <c r="Z184" s="25" t="s">
        <v>1451</v>
      </c>
      <c r="AA184" s="25" t="s">
        <v>3467</v>
      </c>
      <c r="AB184" s="39">
        <v>100</v>
      </c>
      <c r="AC184" s="39">
        <v>10</v>
      </c>
      <c r="AD184" s="39">
        <v>8</v>
      </c>
      <c r="AE184" s="25" t="s">
        <v>3468</v>
      </c>
      <c r="AF184" s="39">
        <v>120</v>
      </c>
      <c r="AG184" s="39">
        <v>15</v>
      </c>
      <c r="AH184" s="39">
        <v>11</v>
      </c>
      <c r="AI184" s="25" t="s">
        <v>3469</v>
      </c>
      <c r="AJ184" s="39">
        <v>140</v>
      </c>
      <c r="AK184" s="39">
        <v>15</v>
      </c>
      <c r="AL184" s="39">
        <v>13</v>
      </c>
      <c r="AM184" s="25" t="s">
        <v>3470</v>
      </c>
      <c r="AN184" s="39">
        <v>160</v>
      </c>
      <c r="AO184" s="39">
        <v>20</v>
      </c>
      <c r="AP184" s="39">
        <v>16</v>
      </c>
      <c r="AR184" s="39"/>
    </row>
    <row r="185" spans="1:44" x14ac:dyDescent="0.2">
      <c r="A185" s="25" t="s">
        <v>60</v>
      </c>
      <c r="B185" s="25" t="s">
        <v>3875</v>
      </c>
      <c r="T185" s="25" t="s">
        <v>61</v>
      </c>
      <c r="U185" s="25">
        <v>18004</v>
      </c>
      <c r="V185" s="25" t="s">
        <v>3533</v>
      </c>
      <c r="W185" s="38" t="s">
        <v>3534</v>
      </c>
      <c r="X185" s="25">
        <v>46</v>
      </c>
      <c r="Y185" s="25" t="s">
        <v>116</v>
      </c>
      <c r="Z185" s="25" t="s">
        <v>1451</v>
      </c>
      <c r="AA185" s="25" t="s">
        <v>3218</v>
      </c>
      <c r="AB185" s="39">
        <v>100</v>
      </c>
      <c r="AC185" s="39" t="s">
        <v>244</v>
      </c>
      <c r="AD185" s="39">
        <v>7</v>
      </c>
      <c r="AE185" s="25" t="s">
        <v>3219</v>
      </c>
      <c r="AF185" s="39">
        <v>180</v>
      </c>
      <c r="AG185" s="39" t="s">
        <v>244</v>
      </c>
      <c r="AH185" s="39">
        <v>10</v>
      </c>
      <c r="AI185" s="25" t="s">
        <v>3535</v>
      </c>
      <c r="AJ185" s="39">
        <v>240</v>
      </c>
      <c r="AK185" s="39" t="s">
        <v>244</v>
      </c>
      <c r="AL185" s="39">
        <v>12</v>
      </c>
      <c r="AM185" s="25" t="s">
        <v>3536</v>
      </c>
      <c r="AN185" s="39">
        <v>300</v>
      </c>
      <c r="AO185" s="39" t="s">
        <v>244</v>
      </c>
      <c r="AP185" s="39">
        <v>15</v>
      </c>
      <c r="AR185" s="39"/>
    </row>
    <row r="186" spans="1:44" x14ac:dyDescent="0.2">
      <c r="A186" s="25" t="s">
        <v>60</v>
      </c>
      <c r="B186" s="25" t="s">
        <v>3922</v>
      </c>
      <c r="T186" s="25" t="s">
        <v>49</v>
      </c>
      <c r="U186" s="25">
        <v>8003</v>
      </c>
      <c r="V186" s="25" t="s">
        <v>2667</v>
      </c>
      <c r="W186" s="38" t="s">
        <v>2668</v>
      </c>
      <c r="X186" s="25">
        <v>20</v>
      </c>
      <c r="Y186" s="25" t="s">
        <v>164</v>
      </c>
      <c r="Z186" s="25" t="s">
        <v>1451</v>
      </c>
      <c r="AA186" s="25" t="s">
        <v>2669</v>
      </c>
      <c r="AB186" s="39">
        <v>80</v>
      </c>
      <c r="AC186" s="39" t="s">
        <v>244</v>
      </c>
      <c r="AD186" s="39">
        <v>8</v>
      </c>
      <c r="AE186" s="25" t="s">
        <v>2670</v>
      </c>
      <c r="AF186" s="39">
        <v>120</v>
      </c>
      <c r="AG186" s="39" t="s">
        <v>244</v>
      </c>
      <c r="AH186" s="39">
        <v>10</v>
      </c>
      <c r="AI186" s="25" t="s">
        <v>2671</v>
      </c>
      <c r="AJ186" s="39">
        <v>150</v>
      </c>
      <c r="AK186" s="39" t="s">
        <v>244</v>
      </c>
      <c r="AL186" s="39">
        <v>12</v>
      </c>
      <c r="AM186" s="25" t="s">
        <v>2672</v>
      </c>
      <c r="AN186" s="39">
        <v>200</v>
      </c>
      <c r="AO186" s="39" t="s">
        <v>244</v>
      </c>
      <c r="AP186" s="39">
        <v>14</v>
      </c>
      <c r="AR186" s="39"/>
    </row>
    <row r="187" spans="1:44" x14ac:dyDescent="0.2">
      <c r="A187" s="25" t="s">
        <v>60</v>
      </c>
      <c r="B187" s="25" t="s">
        <v>3969</v>
      </c>
      <c r="T187" s="25" t="s">
        <v>1631</v>
      </c>
      <c r="U187" s="25">
        <v>11315</v>
      </c>
      <c r="V187" s="25" t="s">
        <v>3169</v>
      </c>
      <c r="W187" s="38" t="s">
        <v>3170</v>
      </c>
      <c r="X187" s="25" t="s">
        <v>1633</v>
      </c>
      <c r="Y187" s="25" t="s">
        <v>164</v>
      </c>
      <c r="Z187" s="25" t="s">
        <v>1451</v>
      </c>
      <c r="AA187" s="25" t="s">
        <v>3171</v>
      </c>
      <c r="AB187" s="39">
        <v>80</v>
      </c>
      <c r="AC187" s="39" t="s">
        <v>244</v>
      </c>
      <c r="AD187" s="39">
        <v>8</v>
      </c>
      <c r="AE187" s="25" t="s">
        <v>3172</v>
      </c>
      <c r="AF187" s="39">
        <v>140</v>
      </c>
      <c r="AG187" s="39" t="s">
        <v>244</v>
      </c>
      <c r="AH187" s="39">
        <v>11</v>
      </c>
      <c r="AI187" s="25" t="s">
        <v>3173</v>
      </c>
      <c r="AJ187" s="39">
        <v>200</v>
      </c>
      <c r="AK187" s="39" t="s">
        <v>244</v>
      </c>
      <c r="AL187" s="39">
        <v>13</v>
      </c>
      <c r="AM187" s="25" t="s">
        <v>3174</v>
      </c>
      <c r="AN187" s="39">
        <v>300</v>
      </c>
      <c r="AO187" s="39" t="s">
        <v>244</v>
      </c>
      <c r="AP187" s="39">
        <v>16</v>
      </c>
      <c r="AQ187" s="25" t="s">
        <v>698</v>
      </c>
      <c r="AR187" s="39"/>
    </row>
    <row r="188" spans="1:44" x14ac:dyDescent="0.2">
      <c r="A188" s="25" t="s">
        <v>60</v>
      </c>
      <c r="B188" s="25" t="s">
        <v>4001</v>
      </c>
      <c r="T188" s="25" t="s">
        <v>1646</v>
      </c>
      <c r="U188" s="25">
        <v>5515</v>
      </c>
      <c r="V188" s="25" t="s">
        <v>2313</v>
      </c>
      <c r="W188" s="38" t="s">
        <v>2314</v>
      </c>
      <c r="X188" s="25" t="s">
        <v>1649</v>
      </c>
      <c r="Y188" s="25" t="s">
        <v>164</v>
      </c>
      <c r="Z188" s="25" t="s">
        <v>1451</v>
      </c>
      <c r="AA188" s="25" t="s">
        <v>2315</v>
      </c>
      <c r="AB188" s="39">
        <v>100</v>
      </c>
      <c r="AC188" s="39" t="s">
        <v>244</v>
      </c>
      <c r="AD188" s="39">
        <v>8</v>
      </c>
      <c r="AE188" s="25" t="s">
        <v>2316</v>
      </c>
      <c r="AF188" s="39">
        <v>140</v>
      </c>
      <c r="AG188" s="39" t="s">
        <v>244</v>
      </c>
      <c r="AH188" s="39">
        <v>10</v>
      </c>
      <c r="AI188" s="25" t="s">
        <v>2317</v>
      </c>
      <c r="AJ188" s="39">
        <v>180</v>
      </c>
      <c r="AK188" s="39" t="s">
        <v>244</v>
      </c>
      <c r="AL188" s="39">
        <v>13</v>
      </c>
      <c r="AM188" s="25" t="s">
        <v>2318</v>
      </c>
      <c r="AN188" s="39">
        <v>220</v>
      </c>
      <c r="AO188" s="39" t="s">
        <v>244</v>
      </c>
      <c r="AP188" s="39">
        <v>16</v>
      </c>
      <c r="AQ188" s="25" t="s">
        <v>61</v>
      </c>
      <c r="AR188" s="39"/>
    </row>
    <row r="189" spans="1:44" x14ac:dyDescent="0.2">
      <c r="A189" s="25" t="s">
        <v>60</v>
      </c>
      <c r="B189" s="25" t="s">
        <v>4047</v>
      </c>
      <c r="T189" s="25" t="s">
        <v>61</v>
      </c>
      <c r="U189" s="25">
        <v>17004</v>
      </c>
      <c r="V189" s="25" t="s">
        <v>3499</v>
      </c>
      <c r="W189" s="38" t="s">
        <v>3500</v>
      </c>
      <c r="X189" s="25">
        <v>42</v>
      </c>
      <c r="Y189" s="25" t="s">
        <v>164</v>
      </c>
      <c r="Z189" s="25" t="s">
        <v>1451</v>
      </c>
      <c r="AA189" s="25" t="s">
        <v>3501</v>
      </c>
      <c r="AB189" s="39">
        <v>120</v>
      </c>
      <c r="AC189" s="39" t="s">
        <v>244</v>
      </c>
      <c r="AD189" s="39">
        <v>7</v>
      </c>
      <c r="AE189" s="25" t="s">
        <v>3502</v>
      </c>
      <c r="AF189" s="39">
        <v>180</v>
      </c>
      <c r="AG189" s="39" t="s">
        <v>244</v>
      </c>
      <c r="AH189" s="39">
        <v>10</v>
      </c>
      <c r="AI189" s="25" t="s">
        <v>3503</v>
      </c>
      <c r="AJ189" s="39">
        <v>240</v>
      </c>
      <c r="AK189" s="39" t="s">
        <v>244</v>
      </c>
      <c r="AL189" s="39">
        <v>12</v>
      </c>
      <c r="AM189" s="25" t="s">
        <v>3504</v>
      </c>
      <c r="AN189" s="39">
        <v>300</v>
      </c>
      <c r="AO189" s="39" t="s">
        <v>244</v>
      </c>
      <c r="AP189" s="39">
        <v>15</v>
      </c>
      <c r="AR189" s="39"/>
    </row>
    <row r="190" spans="1:44" x14ac:dyDescent="0.2">
      <c r="A190" s="25" t="s">
        <v>1516</v>
      </c>
      <c r="B190" s="25" t="s">
        <v>1517</v>
      </c>
      <c r="T190" s="25" t="s">
        <v>1655</v>
      </c>
      <c r="U190" s="25">
        <v>7615</v>
      </c>
      <c r="V190" s="25" t="s">
        <v>2645</v>
      </c>
      <c r="W190" s="38" t="s">
        <v>2646</v>
      </c>
      <c r="X190" s="25" t="s">
        <v>1658</v>
      </c>
      <c r="Y190" s="25" t="s">
        <v>1582</v>
      </c>
      <c r="Z190" s="25" t="s">
        <v>1451</v>
      </c>
      <c r="AA190" s="25" t="s">
        <v>1667</v>
      </c>
      <c r="AB190" s="39">
        <v>80</v>
      </c>
      <c r="AC190" s="39">
        <v>10</v>
      </c>
      <c r="AD190" s="39">
        <v>9</v>
      </c>
      <c r="AE190" s="25" t="s">
        <v>1668</v>
      </c>
      <c r="AF190" s="39">
        <v>100</v>
      </c>
      <c r="AG190" s="39">
        <v>10</v>
      </c>
      <c r="AH190" s="39">
        <v>11</v>
      </c>
      <c r="AI190" s="25" t="s">
        <v>1586</v>
      </c>
      <c r="AJ190" s="39">
        <v>120</v>
      </c>
      <c r="AK190" s="39">
        <v>15</v>
      </c>
      <c r="AL190" s="39">
        <v>14</v>
      </c>
      <c r="AM190" s="25" t="s">
        <v>1669</v>
      </c>
      <c r="AN190" s="39">
        <v>140</v>
      </c>
      <c r="AO190" s="39">
        <v>15</v>
      </c>
      <c r="AP190" s="39">
        <v>16</v>
      </c>
      <c r="AQ190" s="25" t="s">
        <v>49</v>
      </c>
      <c r="AR190" s="39"/>
    </row>
    <row r="191" spans="1:44" x14ac:dyDescent="0.2">
      <c r="A191" s="25" t="s">
        <v>1516</v>
      </c>
      <c r="B191" s="25" t="s">
        <v>1750</v>
      </c>
      <c r="T191" s="25" t="s">
        <v>1554</v>
      </c>
      <c r="U191" s="25">
        <v>7022</v>
      </c>
      <c r="V191" s="25" t="s">
        <v>2583</v>
      </c>
      <c r="W191" s="38" t="s">
        <v>2584</v>
      </c>
      <c r="X191" s="25">
        <v>64</v>
      </c>
      <c r="Y191" s="25" t="s">
        <v>164</v>
      </c>
      <c r="Z191" s="25" t="s">
        <v>1451</v>
      </c>
      <c r="AA191" s="25" t="s">
        <v>2323</v>
      </c>
      <c r="AB191" s="39">
        <v>50</v>
      </c>
      <c r="AC191" s="39">
        <v>10</v>
      </c>
      <c r="AD191" s="39">
        <v>6</v>
      </c>
      <c r="AE191" s="25" t="s">
        <v>2324</v>
      </c>
      <c r="AF191" s="39">
        <v>80</v>
      </c>
      <c r="AG191" s="39">
        <v>10</v>
      </c>
      <c r="AH191" s="39">
        <v>9</v>
      </c>
      <c r="AI191" s="25" t="s">
        <v>2325</v>
      </c>
      <c r="AJ191" s="39">
        <v>110</v>
      </c>
      <c r="AK191" s="39">
        <v>15</v>
      </c>
      <c r="AL191" s="39">
        <v>12</v>
      </c>
      <c r="AM191" s="25" t="s">
        <v>2326</v>
      </c>
      <c r="AN191" s="39">
        <v>140</v>
      </c>
      <c r="AO191" s="39">
        <v>15</v>
      </c>
      <c r="AP191" s="39">
        <v>15</v>
      </c>
      <c r="AQ191" s="25" t="s">
        <v>1562</v>
      </c>
      <c r="AR191" s="39"/>
    </row>
    <row r="192" spans="1:44" x14ac:dyDescent="0.2">
      <c r="A192" s="25" t="s">
        <v>1516</v>
      </c>
      <c r="B192" s="25" t="s">
        <v>1915</v>
      </c>
      <c r="T192" s="25" t="s">
        <v>1554</v>
      </c>
      <c r="U192" s="25">
        <v>3022</v>
      </c>
      <c r="V192" s="25" t="s">
        <v>1943</v>
      </c>
      <c r="W192" s="38" t="s">
        <v>1944</v>
      </c>
      <c r="X192" s="25">
        <v>24</v>
      </c>
      <c r="Y192" s="25" t="s">
        <v>164</v>
      </c>
      <c r="Z192" s="25" t="s">
        <v>1451</v>
      </c>
      <c r="AA192" s="25" t="s">
        <v>1945</v>
      </c>
      <c r="AB192" s="39">
        <v>60</v>
      </c>
      <c r="AC192" s="39">
        <v>10</v>
      </c>
      <c r="AD192" s="39">
        <v>6</v>
      </c>
      <c r="AE192" s="25" t="s">
        <v>1946</v>
      </c>
      <c r="AF192" s="39">
        <v>100</v>
      </c>
      <c r="AG192" s="39">
        <v>10</v>
      </c>
      <c r="AH192" s="39">
        <v>8</v>
      </c>
      <c r="AI192" s="25" t="s">
        <v>1947</v>
      </c>
      <c r="AJ192" s="39">
        <v>140</v>
      </c>
      <c r="AK192" s="39">
        <v>15</v>
      </c>
      <c r="AL192" s="39">
        <v>10</v>
      </c>
      <c r="AM192" s="25" t="s">
        <v>1948</v>
      </c>
      <c r="AN192" s="39">
        <v>200</v>
      </c>
      <c r="AO192" s="39">
        <v>20</v>
      </c>
      <c r="AP192" s="39">
        <v>12</v>
      </c>
      <c r="AQ192" s="25" t="s">
        <v>1562</v>
      </c>
      <c r="AR192" s="39"/>
    </row>
    <row r="193" spans="1:44" x14ac:dyDescent="0.2">
      <c r="A193" s="25" t="s">
        <v>1516</v>
      </c>
      <c r="B193" s="25" t="s">
        <v>2072</v>
      </c>
      <c r="T193" s="25" t="s">
        <v>1579</v>
      </c>
      <c r="U193" s="25">
        <v>6025</v>
      </c>
      <c r="V193" s="25" t="s">
        <v>2432</v>
      </c>
      <c r="W193" s="38" t="s">
        <v>2433</v>
      </c>
      <c r="X193" s="25">
        <v>54</v>
      </c>
      <c r="Y193" s="25" t="s">
        <v>1582</v>
      </c>
      <c r="Z193" s="25" t="s">
        <v>1451</v>
      </c>
      <c r="AA193" s="25" t="s">
        <v>2434</v>
      </c>
      <c r="AB193" s="39">
        <v>100</v>
      </c>
      <c r="AC193" s="39">
        <v>10</v>
      </c>
      <c r="AD193" s="39">
        <v>6</v>
      </c>
      <c r="AE193" s="25" t="s">
        <v>2435</v>
      </c>
      <c r="AF193" s="39">
        <v>150</v>
      </c>
      <c r="AG193" s="39">
        <v>15</v>
      </c>
      <c r="AH193" s="39">
        <v>9</v>
      </c>
      <c r="AI193" s="25" t="s">
        <v>2436</v>
      </c>
      <c r="AJ193" s="39">
        <v>200</v>
      </c>
      <c r="AK193" s="39">
        <v>20</v>
      </c>
      <c r="AL193" s="39">
        <v>12</v>
      </c>
      <c r="AM193" s="25" t="s">
        <v>2437</v>
      </c>
      <c r="AN193" s="39">
        <v>250</v>
      </c>
      <c r="AO193" s="39">
        <v>25</v>
      </c>
      <c r="AP193" s="39">
        <v>15</v>
      </c>
      <c r="AQ193" s="25" t="s">
        <v>1587</v>
      </c>
      <c r="AR193" s="39"/>
    </row>
    <row r="194" spans="1:44" x14ac:dyDescent="0.2">
      <c r="A194" s="25" t="s">
        <v>1516</v>
      </c>
      <c r="B194" s="25" t="s">
        <v>2229</v>
      </c>
      <c r="T194" s="25" t="s">
        <v>61</v>
      </c>
      <c r="U194" s="25">
        <v>15004</v>
      </c>
      <c r="V194" s="25" t="s">
        <v>3411</v>
      </c>
      <c r="W194" s="38" t="s">
        <v>3412</v>
      </c>
      <c r="X194" s="25">
        <v>38</v>
      </c>
      <c r="Y194" s="25" t="s">
        <v>1582</v>
      </c>
      <c r="Z194" s="25" t="s">
        <v>1451</v>
      </c>
      <c r="AA194" s="25" t="s">
        <v>1667</v>
      </c>
      <c r="AB194" s="39">
        <v>100</v>
      </c>
      <c r="AC194" s="39" t="s">
        <v>244</v>
      </c>
      <c r="AD194" s="39">
        <v>8</v>
      </c>
      <c r="AE194" s="25" t="s">
        <v>1668</v>
      </c>
      <c r="AF194" s="39">
        <v>200</v>
      </c>
      <c r="AG194" s="39" t="s">
        <v>244</v>
      </c>
      <c r="AH194" s="39">
        <v>10</v>
      </c>
      <c r="AI194" s="25" t="s">
        <v>1586</v>
      </c>
      <c r="AJ194" s="39">
        <v>300</v>
      </c>
      <c r="AK194" s="39" t="s">
        <v>244</v>
      </c>
      <c r="AL194" s="39">
        <v>13</v>
      </c>
      <c r="AM194" s="25" t="s">
        <v>2104</v>
      </c>
      <c r="AN194" s="39">
        <v>500</v>
      </c>
      <c r="AO194" s="39" t="s">
        <v>244</v>
      </c>
      <c r="AP194" s="39">
        <v>16</v>
      </c>
      <c r="AR194" s="39"/>
    </row>
    <row r="195" spans="1:44" x14ac:dyDescent="0.2">
      <c r="A195" s="25" t="s">
        <v>1516</v>
      </c>
      <c r="B195" s="25" t="s">
        <v>2397</v>
      </c>
      <c r="T195" s="25" t="s">
        <v>61</v>
      </c>
      <c r="U195" s="25">
        <v>14004</v>
      </c>
      <c r="V195" s="25" t="s">
        <v>3359</v>
      </c>
      <c r="W195" s="38" t="s">
        <v>3360</v>
      </c>
      <c r="X195" s="25">
        <v>36</v>
      </c>
      <c r="Y195" s="25" t="s">
        <v>116</v>
      </c>
      <c r="Z195" s="25" t="s">
        <v>1451</v>
      </c>
      <c r="AA195" s="25" t="s">
        <v>3361</v>
      </c>
      <c r="AB195" s="39">
        <v>80</v>
      </c>
      <c r="AC195" s="39" t="s">
        <v>244</v>
      </c>
      <c r="AD195" s="39">
        <v>6</v>
      </c>
      <c r="AE195" s="25" t="s">
        <v>3362</v>
      </c>
      <c r="AF195" s="39">
        <v>140</v>
      </c>
      <c r="AG195" s="39" t="s">
        <v>244</v>
      </c>
      <c r="AH195" s="39">
        <v>9</v>
      </c>
      <c r="AI195" s="25" t="s">
        <v>3363</v>
      </c>
      <c r="AJ195" s="39">
        <v>140</v>
      </c>
      <c r="AK195" s="39" t="s">
        <v>244</v>
      </c>
      <c r="AL195" s="39">
        <v>12</v>
      </c>
      <c r="AM195" s="25" t="s">
        <v>3364</v>
      </c>
      <c r="AN195" s="39">
        <v>320</v>
      </c>
      <c r="AO195" s="39" t="s">
        <v>244</v>
      </c>
      <c r="AP195" s="39">
        <v>16</v>
      </c>
      <c r="AR195" s="39"/>
    </row>
    <row r="196" spans="1:44" x14ac:dyDescent="0.2">
      <c r="A196" s="25" t="s">
        <v>1516</v>
      </c>
      <c r="B196" s="25" t="s">
        <v>2556</v>
      </c>
      <c r="T196" s="25" t="s">
        <v>101</v>
      </c>
      <c r="U196" s="25">
        <v>27011</v>
      </c>
      <c r="V196" s="25" t="s">
        <v>3933</v>
      </c>
      <c r="W196" s="38" t="s">
        <v>3934</v>
      </c>
      <c r="X196" s="25">
        <v>68</v>
      </c>
      <c r="Y196" s="25" t="s">
        <v>116</v>
      </c>
      <c r="Z196" s="25" t="s">
        <v>1451</v>
      </c>
      <c r="AA196" s="25" t="s">
        <v>3361</v>
      </c>
      <c r="AB196" s="39">
        <v>140</v>
      </c>
      <c r="AC196" s="39" t="s">
        <v>244</v>
      </c>
      <c r="AD196" s="39">
        <v>9</v>
      </c>
      <c r="AE196" s="25" t="s">
        <v>3319</v>
      </c>
      <c r="AF196" s="39">
        <v>260</v>
      </c>
      <c r="AG196" s="39" t="s">
        <v>244</v>
      </c>
      <c r="AH196" s="39">
        <v>11</v>
      </c>
      <c r="AI196" s="25" t="s">
        <v>3935</v>
      </c>
      <c r="AJ196" s="39">
        <v>380</v>
      </c>
      <c r="AK196" s="39" t="s">
        <v>244</v>
      </c>
      <c r="AL196" s="39">
        <v>13</v>
      </c>
      <c r="AM196" s="25" t="s">
        <v>3936</v>
      </c>
      <c r="AN196" s="39">
        <v>500</v>
      </c>
      <c r="AO196" s="39" t="s">
        <v>244</v>
      </c>
      <c r="AP196" s="39">
        <v>16</v>
      </c>
      <c r="AR196" s="39"/>
    </row>
    <row r="197" spans="1:44" x14ac:dyDescent="0.2">
      <c r="A197" s="25" t="s">
        <v>1516</v>
      </c>
      <c r="B197" s="25" t="s">
        <v>2712</v>
      </c>
      <c r="T197" s="25" t="s">
        <v>70</v>
      </c>
      <c r="U197" s="25">
        <v>9005</v>
      </c>
      <c r="V197" s="25" t="s">
        <v>2830</v>
      </c>
      <c r="W197" s="38" t="s">
        <v>2831</v>
      </c>
      <c r="X197" s="25">
        <v>30</v>
      </c>
      <c r="Y197" s="25" t="s">
        <v>116</v>
      </c>
      <c r="Z197" s="25" t="s">
        <v>1451</v>
      </c>
      <c r="AA197" s="25" t="s">
        <v>2832</v>
      </c>
      <c r="AB197" s="39">
        <v>60</v>
      </c>
      <c r="AC197" s="39" t="s">
        <v>244</v>
      </c>
      <c r="AD197" s="39">
        <v>6</v>
      </c>
      <c r="AE197" s="25" t="s">
        <v>2833</v>
      </c>
      <c r="AF197" s="39">
        <v>90</v>
      </c>
      <c r="AG197" s="39" t="s">
        <v>244</v>
      </c>
      <c r="AH197" s="39">
        <v>9</v>
      </c>
      <c r="AI197" s="25" t="s">
        <v>2834</v>
      </c>
      <c r="AJ197" s="39">
        <v>120</v>
      </c>
      <c r="AK197" s="39" t="s">
        <v>244</v>
      </c>
      <c r="AL197" s="39">
        <v>12</v>
      </c>
      <c r="AM197" s="25" t="s">
        <v>2835</v>
      </c>
      <c r="AN197" s="39">
        <v>150</v>
      </c>
      <c r="AO197" s="39" t="s">
        <v>244</v>
      </c>
      <c r="AP197" s="39">
        <v>15</v>
      </c>
      <c r="AR197" s="39"/>
    </row>
    <row r="198" spans="1:44" x14ac:dyDescent="0.2">
      <c r="A198" s="25" t="s">
        <v>1516</v>
      </c>
      <c r="B198" s="25" t="s">
        <v>2865</v>
      </c>
      <c r="T198" s="25" t="s">
        <v>29</v>
      </c>
      <c r="U198" s="25">
        <v>9001</v>
      </c>
      <c r="V198" s="25" t="s">
        <v>2813</v>
      </c>
      <c r="W198" s="38" t="s">
        <v>2814</v>
      </c>
      <c r="X198" s="25">
        <v>22</v>
      </c>
      <c r="Y198" s="25" t="s">
        <v>116</v>
      </c>
      <c r="Z198" s="25" t="s">
        <v>1451</v>
      </c>
      <c r="AA198" s="25" t="s">
        <v>2815</v>
      </c>
      <c r="AB198" s="39">
        <v>50</v>
      </c>
      <c r="AC198" s="39" t="s">
        <v>244</v>
      </c>
      <c r="AD198" s="39">
        <v>6</v>
      </c>
      <c r="AE198" s="25" t="s">
        <v>2816</v>
      </c>
      <c r="AF198" s="39">
        <v>90</v>
      </c>
      <c r="AG198" s="39" t="s">
        <v>244</v>
      </c>
      <c r="AH198" s="39">
        <v>9</v>
      </c>
      <c r="AI198" s="25" t="s">
        <v>2817</v>
      </c>
      <c r="AJ198" s="39">
        <v>120</v>
      </c>
      <c r="AK198" s="39" t="s">
        <v>244</v>
      </c>
      <c r="AL198" s="39">
        <v>12</v>
      </c>
      <c r="AM198" s="25" t="s">
        <v>2818</v>
      </c>
      <c r="AN198" s="39">
        <v>150</v>
      </c>
      <c r="AO198" s="39" t="s">
        <v>244</v>
      </c>
      <c r="AP198" s="39">
        <v>15</v>
      </c>
      <c r="AR198" s="39"/>
    </row>
    <row r="199" spans="1:44" x14ac:dyDescent="0.2">
      <c r="A199" s="25" t="s">
        <v>1516</v>
      </c>
      <c r="B199" s="25" t="s">
        <v>3017</v>
      </c>
      <c r="T199" s="25" t="s">
        <v>1631</v>
      </c>
      <c r="U199" s="25">
        <v>8315</v>
      </c>
      <c r="V199" s="25" t="s">
        <v>2782</v>
      </c>
      <c r="W199" s="38" t="s">
        <v>2783</v>
      </c>
      <c r="X199" s="25" t="s">
        <v>1633</v>
      </c>
      <c r="Y199" s="25" t="s">
        <v>116</v>
      </c>
      <c r="Z199" s="25" t="s">
        <v>1451</v>
      </c>
      <c r="AA199" s="25" t="s">
        <v>2784</v>
      </c>
      <c r="AB199" s="39">
        <v>60</v>
      </c>
      <c r="AC199" s="39" t="s">
        <v>244</v>
      </c>
      <c r="AD199" s="39">
        <v>6</v>
      </c>
      <c r="AE199" s="25" t="s">
        <v>2785</v>
      </c>
      <c r="AF199" s="39">
        <v>90</v>
      </c>
      <c r="AG199" s="39" t="s">
        <v>244</v>
      </c>
      <c r="AH199" s="39">
        <v>9</v>
      </c>
      <c r="AI199" s="25" t="s">
        <v>2786</v>
      </c>
      <c r="AJ199" s="39">
        <v>120</v>
      </c>
      <c r="AK199" s="39" t="s">
        <v>244</v>
      </c>
      <c r="AL199" s="39">
        <v>11</v>
      </c>
      <c r="AM199" s="25" t="s">
        <v>2787</v>
      </c>
      <c r="AN199" s="39">
        <v>150</v>
      </c>
      <c r="AO199" s="39" t="s">
        <v>244</v>
      </c>
      <c r="AP199" s="39">
        <v>14</v>
      </c>
      <c r="AQ199" s="25" t="s">
        <v>49</v>
      </c>
      <c r="AR199" s="39"/>
    </row>
    <row r="200" spans="1:44" x14ac:dyDescent="0.2">
      <c r="A200" s="25" t="s">
        <v>1571</v>
      </c>
      <c r="B200" s="25" t="s">
        <v>1572</v>
      </c>
      <c r="T200" s="25" t="s">
        <v>101</v>
      </c>
      <c r="U200" s="25">
        <v>10011</v>
      </c>
      <c r="V200" s="25" t="s">
        <v>3008</v>
      </c>
      <c r="W200" s="38" t="s">
        <v>3009</v>
      </c>
      <c r="X200" s="25">
        <v>26</v>
      </c>
      <c r="Y200" s="25" t="s">
        <v>116</v>
      </c>
      <c r="Z200" s="25" t="s">
        <v>1451</v>
      </c>
      <c r="AA200" s="25" t="s">
        <v>2290</v>
      </c>
      <c r="AB200" s="39">
        <v>60</v>
      </c>
      <c r="AC200" s="39" t="s">
        <v>244</v>
      </c>
      <c r="AD200" s="39">
        <v>6</v>
      </c>
      <c r="AE200" s="25" t="s">
        <v>2787</v>
      </c>
      <c r="AF200" s="39">
        <v>90</v>
      </c>
      <c r="AG200" s="39" t="s">
        <v>244</v>
      </c>
      <c r="AH200" s="39">
        <v>9</v>
      </c>
      <c r="AI200" s="25" t="s">
        <v>3010</v>
      </c>
      <c r="AJ200" s="39">
        <v>120</v>
      </c>
      <c r="AK200" s="39" t="s">
        <v>244</v>
      </c>
      <c r="AL200" s="39">
        <v>12</v>
      </c>
      <c r="AM200" s="25" t="s">
        <v>3011</v>
      </c>
      <c r="AN200" s="39">
        <v>150</v>
      </c>
      <c r="AO200" s="39" t="s">
        <v>244</v>
      </c>
      <c r="AP200" s="39">
        <v>15</v>
      </c>
      <c r="AR200" s="39"/>
    </row>
    <row r="201" spans="1:44" x14ac:dyDescent="0.2">
      <c r="A201" s="25" t="s">
        <v>1571</v>
      </c>
      <c r="B201" s="25" t="s">
        <v>1571</v>
      </c>
      <c r="T201" s="25" t="s">
        <v>61</v>
      </c>
      <c r="U201" s="25">
        <v>25004</v>
      </c>
      <c r="V201" s="25" t="s">
        <v>3829</v>
      </c>
      <c r="W201" s="38" t="s">
        <v>3830</v>
      </c>
      <c r="X201" s="25">
        <v>62</v>
      </c>
      <c r="Y201" s="25" t="s">
        <v>116</v>
      </c>
      <c r="Z201" s="25" t="s">
        <v>1451</v>
      </c>
      <c r="AA201" s="25" t="s">
        <v>2818</v>
      </c>
      <c r="AB201" s="39">
        <v>150</v>
      </c>
      <c r="AC201" s="39" t="s">
        <v>168</v>
      </c>
      <c r="AD201" s="39">
        <v>8</v>
      </c>
      <c r="AE201" s="25" t="s">
        <v>3831</v>
      </c>
      <c r="AF201" s="39">
        <v>300</v>
      </c>
      <c r="AG201" s="39" t="s">
        <v>244</v>
      </c>
      <c r="AH201" s="39">
        <v>10</v>
      </c>
      <c r="AI201" s="25" t="s">
        <v>3832</v>
      </c>
      <c r="AJ201" s="39">
        <v>450</v>
      </c>
      <c r="AK201" s="39" t="s">
        <v>244</v>
      </c>
      <c r="AL201" s="39">
        <v>13</v>
      </c>
      <c r="AM201" s="25" t="s">
        <v>3833</v>
      </c>
      <c r="AN201" s="39">
        <v>600</v>
      </c>
      <c r="AO201" s="39" t="s">
        <v>244</v>
      </c>
      <c r="AP201" s="39">
        <v>16</v>
      </c>
      <c r="AR201" s="39"/>
    </row>
    <row r="202" spans="1:44" x14ac:dyDescent="0.2">
      <c r="A202" s="25" t="s">
        <v>1571</v>
      </c>
      <c r="B202" s="25" t="s">
        <v>1955</v>
      </c>
      <c r="T202" s="25" t="s">
        <v>39</v>
      </c>
      <c r="U202" s="25">
        <v>9002</v>
      </c>
      <c r="V202" s="25" t="s">
        <v>2819</v>
      </c>
      <c r="W202" s="38" t="s">
        <v>2814</v>
      </c>
      <c r="X202" s="25">
        <v>22</v>
      </c>
      <c r="Y202" s="25" t="s">
        <v>116</v>
      </c>
      <c r="Z202" s="25" t="s">
        <v>1451</v>
      </c>
      <c r="AA202" s="25" t="s">
        <v>2815</v>
      </c>
      <c r="AB202" s="39">
        <v>50</v>
      </c>
      <c r="AC202" s="39" t="s">
        <v>244</v>
      </c>
      <c r="AD202" s="39">
        <v>6</v>
      </c>
      <c r="AE202" s="25" t="s">
        <v>2816</v>
      </c>
      <c r="AF202" s="39">
        <v>90</v>
      </c>
      <c r="AG202" s="39" t="s">
        <v>244</v>
      </c>
      <c r="AH202" s="39">
        <v>9</v>
      </c>
      <c r="AI202" s="25" t="s">
        <v>2817</v>
      </c>
      <c r="AJ202" s="39">
        <v>120</v>
      </c>
      <c r="AK202" s="39" t="s">
        <v>244</v>
      </c>
      <c r="AL202" s="39">
        <v>12</v>
      </c>
      <c r="AM202" s="25" t="s">
        <v>2818</v>
      </c>
      <c r="AN202" s="39">
        <v>150</v>
      </c>
      <c r="AO202" s="39" t="s">
        <v>244</v>
      </c>
      <c r="AP202" s="39">
        <v>15</v>
      </c>
      <c r="AR202" s="39"/>
    </row>
    <row r="203" spans="1:44" x14ac:dyDescent="0.2">
      <c r="A203" s="25" t="s">
        <v>1571</v>
      </c>
      <c r="B203" s="25" t="s">
        <v>2105</v>
      </c>
      <c r="T203" s="25" t="s">
        <v>61</v>
      </c>
      <c r="U203" s="25">
        <v>40004</v>
      </c>
      <c r="V203" s="25" t="s">
        <v>4260</v>
      </c>
      <c r="W203" s="38" t="s">
        <v>4261</v>
      </c>
      <c r="X203" s="25">
        <v>100</v>
      </c>
      <c r="Y203" s="25" t="s">
        <v>1498</v>
      </c>
      <c r="Z203" s="25" t="s">
        <v>1451</v>
      </c>
      <c r="AA203" s="25" t="s">
        <v>1668</v>
      </c>
      <c r="AB203" s="39">
        <v>1000</v>
      </c>
      <c r="AC203" s="39" t="s">
        <v>244</v>
      </c>
      <c r="AD203" s="39">
        <v>17</v>
      </c>
      <c r="AE203" s="25" t="s">
        <v>1586</v>
      </c>
      <c r="AF203" s="39">
        <v>2500</v>
      </c>
      <c r="AG203" s="39" t="s">
        <v>244</v>
      </c>
      <c r="AH203" s="39">
        <v>18</v>
      </c>
      <c r="AI203" s="25" t="s">
        <v>2104</v>
      </c>
      <c r="AJ203" s="39">
        <v>5000</v>
      </c>
      <c r="AK203" s="39" t="s">
        <v>244</v>
      </c>
      <c r="AL203" s="39">
        <v>19</v>
      </c>
      <c r="AM203" s="25" t="s">
        <v>2223</v>
      </c>
      <c r="AN203" s="39">
        <v>10000</v>
      </c>
      <c r="AO203" s="39" t="s">
        <v>244</v>
      </c>
      <c r="AP203" s="39">
        <v>20</v>
      </c>
      <c r="AR203" s="39"/>
    </row>
    <row r="204" spans="1:44" x14ac:dyDescent="0.2">
      <c r="A204" s="25" t="s">
        <v>1571</v>
      </c>
      <c r="B204" s="25" t="s">
        <v>2265</v>
      </c>
      <c r="T204" s="25" t="s">
        <v>1671</v>
      </c>
      <c r="U204" s="25">
        <v>1815</v>
      </c>
      <c r="V204" s="25" t="s">
        <v>1672</v>
      </c>
      <c r="W204" s="38" t="s">
        <v>1673</v>
      </c>
      <c r="X204" s="25" t="s">
        <v>1674</v>
      </c>
      <c r="Y204" s="25" t="s">
        <v>164</v>
      </c>
      <c r="Z204" s="25" t="s">
        <v>1451</v>
      </c>
      <c r="AA204" s="25" t="s">
        <v>1675</v>
      </c>
      <c r="AB204" s="39">
        <v>200</v>
      </c>
      <c r="AC204" s="39" t="s">
        <v>244</v>
      </c>
      <c r="AD204" s="39">
        <v>10</v>
      </c>
      <c r="AE204" s="25" t="s">
        <v>1676</v>
      </c>
      <c r="AF204" s="39">
        <v>250</v>
      </c>
      <c r="AG204" s="39" t="s">
        <v>244</v>
      </c>
      <c r="AH204" s="39">
        <v>13</v>
      </c>
      <c r="AI204" s="25" t="s">
        <v>1677</v>
      </c>
      <c r="AJ204" s="39">
        <v>320</v>
      </c>
      <c r="AK204" s="39" t="s">
        <v>244</v>
      </c>
      <c r="AL204" s="39">
        <v>15</v>
      </c>
      <c r="AM204" s="25" t="s">
        <v>1678</v>
      </c>
      <c r="AN204" s="39">
        <v>400</v>
      </c>
      <c r="AO204" s="39" t="s">
        <v>244</v>
      </c>
      <c r="AP204" s="39">
        <v>17</v>
      </c>
      <c r="AQ204" s="25" t="s">
        <v>49</v>
      </c>
      <c r="AR204" s="39"/>
    </row>
    <row r="205" spans="1:44" x14ac:dyDescent="0.2">
      <c r="A205" s="25" t="s">
        <v>1571</v>
      </c>
      <c r="B205" s="25" t="s">
        <v>2426</v>
      </c>
      <c r="T205" s="25" t="s">
        <v>1596</v>
      </c>
      <c r="U205" s="25">
        <v>7027</v>
      </c>
      <c r="V205" s="25" t="s">
        <v>2601</v>
      </c>
      <c r="W205" s="38" t="s">
        <v>2602</v>
      </c>
      <c r="X205" s="25">
        <v>64</v>
      </c>
      <c r="Y205" s="25" t="s">
        <v>164</v>
      </c>
      <c r="Z205" s="25" t="s">
        <v>1451</v>
      </c>
      <c r="AA205" s="25" t="s">
        <v>2603</v>
      </c>
      <c r="AB205" s="39">
        <v>200</v>
      </c>
      <c r="AC205" s="39" t="s">
        <v>744</v>
      </c>
      <c r="AD205" s="39">
        <v>11</v>
      </c>
      <c r="AE205" s="25" t="s">
        <v>2604</v>
      </c>
      <c r="AF205" s="39">
        <v>350</v>
      </c>
      <c r="AG205" s="39" t="s">
        <v>744</v>
      </c>
      <c r="AH205" s="39">
        <v>14</v>
      </c>
      <c r="AI205" s="25" t="s">
        <v>2605</v>
      </c>
      <c r="AJ205" s="39">
        <v>500</v>
      </c>
      <c r="AK205" s="39" t="s">
        <v>744</v>
      </c>
      <c r="AL205" s="39">
        <v>16</v>
      </c>
      <c r="AM205" s="25" t="s">
        <v>2606</v>
      </c>
      <c r="AN205" s="39">
        <v>800</v>
      </c>
      <c r="AO205" s="39" t="s">
        <v>744</v>
      </c>
      <c r="AP205" s="39">
        <v>18</v>
      </c>
      <c r="AQ205" s="25" t="s">
        <v>1603</v>
      </c>
      <c r="AR205" s="39"/>
    </row>
    <row r="206" spans="1:44" x14ac:dyDescent="0.2">
      <c r="A206" s="25" t="s">
        <v>1571</v>
      </c>
      <c r="B206" s="25" t="s">
        <v>2591</v>
      </c>
      <c r="T206" s="25" t="s">
        <v>1509</v>
      </c>
      <c r="U206" s="25">
        <v>10015</v>
      </c>
      <c r="V206" s="25" t="s">
        <v>1831</v>
      </c>
      <c r="W206" s="38" t="s">
        <v>3012</v>
      </c>
      <c r="X206" s="25" t="s">
        <v>1512</v>
      </c>
      <c r="Y206" s="25" t="s">
        <v>164</v>
      </c>
      <c r="Z206" s="25" t="s">
        <v>1451</v>
      </c>
      <c r="AA206" s="25" t="s">
        <v>3013</v>
      </c>
      <c r="AB206" s="39">
        <v>40</v>
      </c>
      <c r="AC206" s="39" t="s">
        <v>244</v>
      </c>
      <c r="AD206" s="39">
        <v>5</v>
      </c>
      <c r="AE206" s="25" t="s">
        <v>3014</v>
      </c>
      <c r="AF206" s="39">
        <v>80</v>
      </c>
      <c r="AG206" s="39" t="s">
        <v>244</v>
      </c>
      <c r="AH206" s="39">
        <v>8</v>
      </c>
      <c r="AI206" s="25" t="s">
        <v>3015</v>
      </c>
      <c r="AJ206" s="39">
        <v>120</v>
      </c>
      <c r="AK206" s="39" t="s">
        <v>244</v>
      </c>
      <c r="AL206" s="39">
        <v>10</v>
      </c>
      <c r="AM206" s="25" t="s">
        <v>3016</v>
      </c>
      <c r="AN206" s="39">
        <v>160</v>
      </c>
      <c r="AO206" s="39" t="s">
        <v>244</v>
      </c>
      <c r="AP206" s="39">
        <v>12</v>
      </c>
      <c r="AQ206" s="25" t="s">
        <v>49</v>
      </c>
      <c r="AR206" s="39"/>
    </row>
    <row r="207" spans="1:44" x14ac:dyDescent="0.2">
      <c r="A207" s="25" t="s">
        <v>1571</v>
      </c>
      <c r="B207" s="25" t="s">
        <v>2741</v>
      </c>
      <c r="T207" s="25" t="s">
        <v>1638</v>
      </c>
      <c r="U207" s="25">
        <v>2415</v>
      </c>
      <c r="V207" s="25" t="s">
        <v>1831</v>
      </c>
      <c r="W207" s="38" t="s">
        <v>1832</v>
      </c>
      <c r="X207" s="25" t="s">
        <v>1641</v>
      </c>
      <c r="Y207" s="25" t="s">
        <v>164</v>
      </c>
      <c r="Z207" s="25" t="s">
        <v>1451</v>
      </c>
      <c r="AA207" s="25" t="s">
        <v>1833</v>
      </c>
      <c r="AB207" s="39">
        <v>100</v>
      </c>
      <c r="AC207" s="39" t="s">
        <v>244</v>
      </c>
      <c r="AD207" s="39">
        <v>8</v>
      </c>
      <c r="AE207" s="25" t="s">
        <v>1834</v>
      </c>
      <c r="AF207" s="39">
        <v>140</v>
      </c>
      <c r="AG207" s="39" t="s">
        <v>244</v>
      </c>
      <c r="AH207" s="39">
        <v>10</v>
      </c>
      <c r="AI207" s="25" t="s">
        <v>1835</v>
      </c>
      <c r="AJ207" s="39">
        <v>180</v>
      </c>
      <c r="AK207" s="39" t="s">
        <v>244</v>
      </c>
      <c r="AL207" s="39">
        <v>12</v>
      </c>
      <c r="AM207" s="25" t="s">
        <v>1836</v>
      </c>
      <c r="AN207" s="39">
        <v>240</v>
      </c>
      <c r="AO207" s="39" t="s">
        <v>244</v>
      </c>
      <c r="AP207" s="39">
        <v>15</v>
      </c>
      <c r="AQ207" s="25" t="s">
        <v>49</v>
      </c>
      <c r="AR207" s="39"/>
    </row>
    <row r="208" spans="1:44" x14ac:dyDescent="0.2">
      <c r="A208" s="25" t="s">
        <v>1571</v>
      </c>
      <c r="B208" s="25" t="s">
        <v>2897</v>
      </c>
      <c r="T208" s="25" t="s">
        <v>61</v>
      </c>
      <c r="U208" s="25">
        <v>2004</v>
      </c>
      <c r="V208" s="25" t="s">
        <v>1701</v>
      </c>
      <c r="W208" s="38" t="s">
        <v>1702</v>
      </c>
      <c r="X208" s="25">
        <v>6</v>
      </c>
      <c r="Y208" s="25" t="s">
        <v>164</v>
      </c>
      <c r="Z208" s="25" t="s">
        <v>1451</v>
      </c>
      <c r="AA208" s="25" t="s">
        <v>1634</v>
      </c>
      <c r="AB208" s="39">
        <v>40</v>
      </c>
      <c r="AC208" s="39" t="s">
        <v>244</v>
      </c>
      <c r="AD208" s="39">
        <v>5</v>
      </c>
      <c r="AE208" s="25" t="s">
        <v>1700</v>
      </c>
      <c r="AF208" s="39">
        <v>140</v>
      </c>
      <c r="AG208" s="39" t="s">
        <v>244</v>
      </c>
      <c r="AH208" s="39">
        <v>8</v>
      </c>
      <c r="AI208" s="25" t="s">
        <v>1676</v>
      </c>
      <c r="AJ208" s="39">
        <v>200</v>
      </c>
      <c r="AK208" s="39" t="s">
        <v>244</v>
      </c>
      <c r="AL208" s="39">
        <v>10</v>
      </c>
      <c r="AM208" s="25" t="s">
        <v>1677</v>
      </c>
      <c r="AN208" s="39">
        <v>280</v>
      </c>
      <c r="AO208" s="39" t="s">
        <v>244</v>
      </c>
      <c r="AP208" s="39">
        <v>12</v>
      </c>
      <c r="AR208" s="39"/>
    </row>
    <row r="209" spans="1:44" x14ac:dyDescent="0.2">
      <c r="A209" s="25" t="s">
        <v>1571</v>
      </c>
      <c r="B209" s="25" t="s">
        <v>3047</v>
      </c>
      <c r="T209" s="25" t="s">
        <v>1646</v>
      </c>
      <c r="U209" s="25">
        <v>11515</v>
      </c>
      <c r="V209" s="25" t="s">
        <v>3181</v>
      </c>
      <c r="W209" s="38" t="s">
        <v>3182</v>
      </c>
      <c r="X209" s="25" t="s">
        <v>1649</v>
      </c>
      <c r="Y209" s="25" t="s">
        <v>1498</v>
      </c>
      <c r="Z209" s="25" t="s">
        <v>1451</v>
      </c>
      <c r="AA209" s="25" t="s">
        <v>3183</v>
      </c>
      <c r="AB209" s="39">
        <v>80</v>
      </c>
      <c r="AC209" s="39">
        <v>10</v>
      </c>
      <c r="AD209" s="39">
        <v>8</v>
      </c>
      <c r="AE209" s="25" t="s">
        <v>3184</v>
      </c>
      <c r="AF209" s="39">
        <v>100</v>
      </c>
      <c r="AG209" s="39">
        <v>10</v>
      </c>
      <c r="AH209" s="39">
        <v>10</v>
      </c>
      <c r="AI209" s="25" t="s">
        <v>3185</v>
      </c>
      <c r="AJ209" s="39">
        <v>120</v>
      </c>
      <c r="AK209" s="39">
        <v>15</v>
      </c>
      <c r="AL209" s="39">
        <v>12</v>
      </c>
      <c r="AM209" s="25" t="s">
        <v>3186</v>
      </c>
      <c r="AN209" s="39">
        <v>140</v>
      </c>
      <c r="AO209" s="39">
        <v>15</v>
      </c>
      <c r="AP209" s="39">
        <v>14</v>
      </c>
      <c r="AQ209" s="25" t="s">
        <v>49</v>
      </c>
      <c r="AR209" s="39"/>
    </row>
    <row r="210" spans="1:44" x14ac:dyDescent="0.2">
      <c r="A210" s="25" t="s">
        <v>49</v>
      </c>
      <c r="B210" s="25" t="s">
        <v>1458</v>
      </c>
      <c r="T210" s="25" t="s">
        <v>1588</v>
      </c>
      <c r="U210" s="25">
        <v>8026</v>
      </c>
      <c r="V210" s="25" t="s">
        <v>2753</v>
      </c>
      <c r="W210" s="38" t="s">
        <v>2754</v>
      </c>
      <c r="X210" s="25">
        <v>74</v>
      </c>
      <c r="Y210" s="25" t="s">
        <v>1582</v>
      </c>
      <c r="Z210" s="25" t="s">
        <v>1451</v>
      </c>
      <c r="AA210" s="25" t="s">
        <v>1584</v>
      </c>
      <c r="AB210" s="39">
        <v>100</v>
      </c>
      <c r="AC210" s="39" t="s">
        <v>744</v>
      </c>
      <c r="AD210" s="39">
        <v>10</v>
      </c>
      <c r="AE210" s="25" t="s">
        <v>1585</v>
      </c>
      <c r="AF210" s="39">
        <v>120</v>
      </c>
      <c r="AG210" s="39" t="s">
        <v>744</v>
      </c>
      <c r="AH210" s="39">
        <v>12</v>
      </c>
      <c r="AI210" s="25" t="s">
        <v>1957</v>
      </c>
      <c r="AJ210" s="39">
        <v>140</v>
      </c>
      <c r="AK210" s="39" t="s">
        <v>744</v>
      </c>
      <c r="AL210" s="39">
        <v>14</v>
      </c>
      <c r="AM210" s="25" t="s">
        <v>1958</v>
      </c>
      <c r="AN210" s="39">
        <v>160</v>
      </c>
      <c r="AO210" s="39" t="s">
        <v>744</v>
      </c>
      <c r="AP210" s="39">
        <v>16</v>
      </c>
      <c r="AQ210" s="25" t="s">
        <v>1595</v>
      </c>
      <c r="AR210" s="39"/>
    </row>
    <row r="211" spans="1:44" x14ac:dyDescent="0.2">
      <c r="A211" s="25" t="s">
        <v>49</v>
      </c>
      <c r="B211" s="25" t="s">
        <v>1698</v>
      </c>
      <c r="T211" s="25" t="s">
        <v>39</v>
      </c>
      <c r="U211" s="25">
        <v>27002</v>
      </c>
      <c r="V211" s="25" t="s">
        <v>3903</v>
      </c>
      <c r="W211" s="38" t="s">
        <v>3904</v>
      </c>
      <c r="X211" s="25">
        <v>68</v>
      </c>
      <c r="Y211" s="25" t="s">
        <v>1582</v>
      </c>
      <c r="Z211" s="25" t="s">
        <v>1451</v>
      </c>
      <c r="AA211" s="25" t="s">
        <v>1667</v>
      </c>
      <c r="AB211" s="39">
        <v>100</v>
      </c>
      <c r="AC211" s="39">
        <v>10</v>
      </c>
      <c r="AD211" s="39">
        <v>6</v>
      </c>
      <c r="AE211" s="25" t="s">
        <v>1586</v>
      </c>
      <c r="AF211" s="39">
        <v>180</v>
      </c>
      <c r="AG211" s="39">
        <v>20</v>
      </c>
      <c r="AH211" s="39">
        <v>9</v>
      </c>
      <c r="AI211" s="25" t="s">
        <v>2104</v>
      </c>
      <c r="AJ211" s="39">
        <v>240</v>
      </c>
      <c r="AK211" s="39">
        <v>25</v>
      </c>
      <c r="AL211" s="39">
        <v>12</v>
      </c>
      <c r="AM211" s="25" t="s">
        <v>2223</v>
      </c>
      <c r="AN211" s="39">
        <v>30</v>
      </c>
      <c r="AO211" s="39">
        <v>30</v>
      </c>
      <c r="AP211" s="39">
        <v>15</v>
      </c>
      <c r="AR211" s="39"/>
    </row>
    <row r="212" spans="1:44" x14ac:dyDescent="0.2">
      <c r="A212" s="25" t="s">
        <v>49</v>
      </c>
      <c r="B212" s="25" t="s">
        <v>1872</v>
      </c>
      <c r="T212" s="25" t="s">
        <v>61</v>
      </c>
      <c r="U212" s="25">
        <v>38004</v>
      </c>
      <c r="V212" s="25" t="s">
        <v>4216</v>
      </c>
      <c r="W212" s="38" t="s">
        <v>4217</v>
      </c>
      <c r="X212" s="25">
        <v>96</v>
      </c>
      <c r="Y212" s="25" t="s">
        <v>1498</v>
      </c>
      <c r="Z212" s="25" t="s">
        <v>1451</v>
      </c>
      <c r="AA212" s="25" t="s">
        <v>4218</v>
      </c>
      <c r="AB212" s="39">
        <v>500</v>
      </c>
      <c r="AC212" s="39" t="s">
        <v>244</v>
      </c>
      <c r="AD212" s="39">
        <v>13</v>
      </c>
      <c r="AE212" s="25" t="s">
        <v>3884</v>
      </c>
      <c r="AF212" s="39">
        <v>800</v>
      </c>
      <c r="AG212" s="39" t="s">
        <v>244</v>
      </c>
      <c r="AH212" s="39">
        <v>15</v>
      </c>
      <c r="AI212" s="25" t="s">
        <v>4219</v>
      </c>
      <c r="AJ212" s="39">
        <v>1500</v>
      </c>
      <c r="AK212" s="39" t="s">
        <v>244</v>
      </c>
      <c r="AL212" s="39">
        <v>17</v>
      </c>
      <c r="AM212" s="25" t="s">
        <v>4220</v>
      </c>
      <c r="AN212" s="39">
        <v>2500</v>
      </c>
      <c r="AO212" s="39" t="s">
        <v>244</v>
      </c>
      <c r="AP212" s="39">
        <v>19</v>
      </c>
      <c r="AR212" s="39"/>
    </row>
    <row r="213" spans="1:44" x14ac:dyDescent="0.2">
      <c r="A213" s="25" t="s">
        <v>49</v>
      </c>
      <c r="B213" s="25" t="s">
        <v>100</v>
      </c>
      <c r="T213" s="25" t="s">
        <v>61</v>
      </c>
      <c r="U213" s="25">
        <v>11004</v>
      </c>
      <c r="V213" s="25" t="s">
        <v>3121</v>
      </c>
      <c r="W213" s="38" t="s">
        <v>3122</v>
      </c>
      <c r="X213" s="25">
        <v>28</v>
      </c>
      <c r="Y213" s="25" t="s">
        <v>1582</v>
      </c>
      <c r="Z213" s="25" t="s">
        <v>1451</v>
      </c>
      <c r="AA213" s="25" t="s">
        <v>1668</v>
      </c>
      <c r="AB213" s="39">
        <v>80</v>
      </c>
      <c r="AC213" s="39" t="s">
        <v>244</v>
      </c>
      <c r="AD213" s="39">
        <v>6</v>
      </c>
      <c r="AE213" s="25" t="s">
        <v>1586</v>
      </c>
      <c r="AF213" s="39">
        <v>140</v>
      </c>
      <c r="AG213" s="39" t="s">
        <v>244</v>
      </c>
      <c r="AH213" s="39">
        <v>9</v>
      </c>
      <c r="AI213" s="25" t="s">
        <v>1669</v>
      </c>
      <c r="AJ213" s="39">
        <v>220</v>
      </c>
      <c r="AK213" s="39" t="s">
        <v>244</v>
      </c>
      <c r="AL213" s="39">
        <v>12</v>
      </c>
      <c r="AM213" s="25" t="s">
        <v>1670</v>
      </c>
      <c r="AN213" s="39">
        <v>300</v>
      </c>
      <c r="AO213" s="39" t="s">
        <v>244</v>
      </c>
      <c r="AP213" s="39">
        <v>15</v>
      </c>
      <c r="AR213" s="39"/>
    </row>
    <row r="214" spans="1:44" x14ac:dyDescent="0.2">
      <c r="A214" s="25" t="s">
        <v>49</v>
      </c>
      <c r="B214" s="25" t="s">
        <v>2183</v>
      </c>
      <c r="T214" s="25" t="s">
        <v>39</v>
      </c>
      <c r="U214" s="25">
        <v>7002</v>
      </c>
      <c r="V214" s="25" t="s">
        <v>2502</v>
      </c>
      <c r="W214" s="38" t="s">
        <v>2503</v>
      </c>
      <c r="X214" s="25">
        <v>18</v>
      </c>
      <c r="Y214" s="25" t="s">
        <v>1705</v>
      </c>
      <c r="Z214" s="25" t="s">
        <v>1451</v>
      </c>
      <c r="AA214" s="25" t="s">
        <v>2498</v>
      </c>
      <c r="AB214" s="39">
        <v>60</v>
      </c>
      <c r="AC214" s="39">
        <v>10</v>
      </c>
      <c r="AD214" s="39">
        <v>6</v>
      </c>
      <c r="AE214" s="25" t="s">
        <v>2499</v>
      </c>
      <c r="AF214" s="39">
        <v>100</v>
      </c>
      <c r="AG214" s="39">
        <v>10</v>
      </c>
      <c r="AH214" s="39">
        <v>9</v>
      </c>
      <c r="AI214" s="25" t="s">
        <v>2500</v>
      </c>
      <c r="AJ214" s="39">
        <v>150</v>
      </c>
      <c r="AK214" s="39">
        <v>15</v>
      </c>
      <c r="AL214" s="39">
        <v>12</v>
      </c>
      <c r="AM214" s="25" t="s">
        <v>2501</v>
      </c>
      <c r="AN214" s="39">
        <v>250</v>
      </c>
      <c r="AO214" s="39">
        <v>25</v>
      </c>
      <c r="AP214" s="39">
        <v>15</v>
      </c>
      <c r="AR214" s="39"/>
    </row>
    <row r="215" spans="1:44" x14ac:dyDescent="0.2">
      <c r="A215" s="25" t="s">
        <v>49</v>
      </c>
      <c r="B215" s="25" t="s">
        <v>2345</v>
      </c>
      <c r="T215" s="25" t="s">
        <v>61</v>
      </c>
      <c r="U215" s="25">
        <v>7004</v>
      </c>
      <c r="V215" s="25" t="s">
        <v>2509</v>
      </c>
      <c r="W215" s="38" t="s">
        <v>2510</v>
      </c>
      <c r="X215" s="25">
        <v>18</v>
      </c>
      <c r="Y215" s="25" t="s">
        <v>164</v>
      </c>
      <c r="Z215" s="25" t="s">
        <v>1557</v>
      </c>
      <c r="AA215" s="25" t="s">
        <v>2511</v>
      </c>
      <c r="AB215" s="39">
        <v>60</v>
      </c>
      <c r="AC215" s="39" t="s">
        <v>244</v>
      </c>
      <c r="AD215" s="39">
        <v>6</v>
      </c>
      <c r="AE215" s="25" t="s">
        <v>2512</v>
      </c>
      <c r="AF215" s="39">
        <v>150</v>
      </c>
      <c r="AG215" s="39" t="s">
        <v>244</v>
      </c>
      <c r="AH215" s="39">
        <v>9</v>
      </c>
      <c r="AI215" s="25" t="s">
        <v>2513</v>
      </c>
      <c r="AJ215" s="39">
        <v>300</v>
      </c>
      <c r="AK215" s="39" t="s">
        <v>244</v>
      </c>
      <c r="AL215" s="39">
        <v>12</v>
      </c>
      <c r="AM215" s="25" t="s">
        <v>2514</v>
      </c>
      <c r="AN215" s="39">
        <v>500</v>
      </c>
      <c r="AO215" s="39" t="s">
        <v>244</v>
      </c>
      <c r="AP215" s="39">
        <v>16</v>
      </c>
      <c r="AR215" s="39"/>
    </row>
    <row r="216" spans="1:44" x14ac:dyDescent="0.2">
      <c r="A216" s="25" t="s">
        <v>49</v>
      </c>
      <c r="B216" s="25" t="s">
        <v>2504</v>
      </c>
      <c r="T216" s="25" t="s">
        <v>61</v>
      </c>
      <c r="U216" s="25">
        <v>9004</v>
      </c>
      <c r="V216" s="25" t="s">
        <v>2825</v>
      </c>
      <c r="W216" s="38" t="s">
        <v>2826</v>
      </c>
      <c r="X216" s="25">
        <v>22</v>
      </c>
      <c r="Y216" s="25" t="s">
        <v>164</v>
      </c>
      <c r="Z216" s="25" t="s">
        <v>1557</v>
      </c>
      <c r="AA216" s="25" t="s">
        <v>119</v>
      </c>
      <c r="AB216" s="39">
        <v>80</v>
      </c>
      <c r="AC216" s="39" t="s">
        <v>244</v>
      </c>
      <c r="AD216" s="39">
        <v>6</v>
      </c>
      <c r="AE216" s="25" t="s">
        <v>2827</v>
      </c>
      <c r="AF216" s="39">
        <v>140</v>
      </c>
      <c r="AG216" s="39" t="s">
        <v>244</v>
      </c>
      <c r="AH216" s="39">
        <v>9</v>
      </c>
      <c r="AI216" s="25" t="s">
        <v>2828</v>
      </c>
      <c r="AJ216" s="39">
        <v>240</v>
      </c>
      <c r="AK216" s="39" t="s">
        <v>244</v>
      </c>
      <c r="AL216" s="39">
        <v>12</v>
      </c>
      <c r="AM216" s="25" t="s">
        <v>2829</v>
      </c>
      <c r="AN216" s="39">
        <v>320</v>
      </c>
      <c r="AO216" s="39" t="s">
        <v>244</v>
      </c>
      <c r="AP216" s="39">
        <v>16</v>
      </c>
      <c r="AR216" s="39"/>
    </row>
    <row r="217" spans="1:44" x14ac:dyDescent="0.2">
      <c r="A217" s="25" t="s">
        <v>49</v>
      </c>
      <c r="B217" s="25" t="s">
        <v>2667</v>
      </c>
      <c r="T217" s="25" t="s">
        <v>61</v>
      </c>
      <c r="U217" s="25">
        <v>13004</v>
      </c>
      <c r="V217" s="25" t="s">
        <v>3308</v>
      </c>
      <c r="W217" s="38" t="s">
        <v>3309</v>
      </c>
      <c r="X217" s="25">
        <v>32</v>
      </c>
      <c r="Y217" s="25" t="s">
        <v>1582</v>
      </c>
      <c r="Z217" s="25" t="s">
        <v>1451</v>
      </c>
      <c r="AA217" s="25" t="s">
        <v>1989</v>
      </c>
      <c r="AB217" s="39">
        <v>100</v>
      </c>
      <c r="AC217" s="39">
        <v>5</v>
      </c>
      <c r="AD217" s="39">
        <v>8</v>
      </c>
      <c r="AE217" s="25" t="s">
        <v>1667</v>
      </c>
      <c r="AF217" s="39">
        <v>140</v>
      </c>
      <c r="AG217" s="39">
        <v>10</v>
      </c>
      <c r="AH217" s="39">
        <v>10</v>
      </c>
      <c r="AI217" s="25" t="s">
        <v>1668</v>
      </c>
      <c r="AJ217" s="39">
        <v>200</v>
      </c>
      <c r="AK217" s="39">
        <v>15</v>
      </c>
      <c r="AL217" s="39">
        <v>12</v>
      </c>
      <c r="AM217" s="25" t="s">
        <v>1669</v>
      </c>
      <c r="AN217" s="39">
        <v>180</v>
      </c>
      <c r="AO217" s="39">
        <v>15</v>
      </c>
      <c r="AP217" s="39">
        <v>15</v>
      </c>
      <c r="AR217" s="39"/>
    </row>
    <row r="218" spans="1:44" x14ac:dyDescent="0.2">
      <c r="A218" s="25" t="s">
        <v>49</v>
      </c>
      <c r="B218" s="25" t="s">
        <v>2820</v>
      </c>
      <c r="T218" s="25" t="s">
        <v>29</v>
      </c>
      <c r="U218" s="25">
        <v>7001</v>
      </c>
      <c r="V218" s="25" t="s">
        <v>2496</v>
      </c>
      <c r="W218" s="38" t="s">
        <v>2497</v>
      </c>
      <c r="X218" s="25">
        <v>18</v>
      </c>
      <c r="Y218" s="25" t="s">
        <v>1705</v>
      </c>
      <c r="Z218" s="25" t="s">
        <v>1451</v>
      </c>
      <c r="AA218" s="25" t="s">
        <v>2498</v>
      </c>
      <c r="AB218" s="39">
        <v>60</v>
      </c>
      <c r="AC218" s="39">
        <v>10</v>
      </c>
      <c r="AD218" s="39">
        <v>6</v>
      </c>
      <c r="AE218" s="25" t="s">
        <v>2499</v>
      </c>
      <c r="AF218" s="39">
        <v>100</v>
      </c>
      <c r="AG218" s="39">
        <v>10</v>
      </c>
      <c r="AH218" s="39">
        <v>9</v>
      </c>
      <c r="AI218" s="25" t="s">
        <v>2500</v>
      </c>
      <c r="AJ218" s="39">
        <v>150</v>
      </c>
      <c r="AK218" s="39">
        <v>15</v>
      </c>
      <c r="AL218" s="39">
        <v>12</v>
      </c>
      <c r="AM218" s="25" t="s">
        <v>2501</v>
      </c>
      <c r="AN218" s="39">
        <v>250</v>
      </c>
      <c r="AO218" s="39">
        <v>25</v>
      </c>
      <c r="AP218" s="39">
        <v>15</v>
      </c>
      <c r="AR218" s="39"/>
    </row>
    <row r="219" spans="1:44" x14ac:dyDescent="0.2">
      <c r="A219" s="25" t="s">
        <v>49</v>
      </c>
      <c r="B219" s="25" t="s">
        <v>2971</v>
      </c>
      <c r="T219" s="25" t="s">
        <v>61</v>
      </c>
      <c r="U219" s="25">
        <v>34004</v>
      </c>
      <c r="V219" s="25" t="s">
        <v>4129</v>
      </c>
      <c r="W219" s="38" t="s">
        <v>4130</v>
      </c>
      <c r="X219" s="25">
        <v>86</v>
      </c>
      <c r="Y219" s="25" t="s">
        <v>164</v>
      </c>
      <c r="Z219" s="25" t="s">
        <v>1451</v>
      </c>
      <c r="AA219" s="25" t="s">
        <v>4131</v>
      </c>
      <c r="AB219" s="39">
        <v>200</v>
      </c>
      <c r="AC219" s="39" t="s">
        <v>244</v>
      </c>
      <c r="AD219" s="39">
        <v>10</v>
      </c>
      <c r="AE219" s="25" t="s">
        <v>4132</v>
      </c>
      <c r="AF219" s="39">
        <v>400</v>
      </c>
      <c r="AG219" s="39" t="s">
        <v>244</v>
      </c>
      <c r="AH219" s="39">
        <v>12</v>
      </c>
      <c r="AI219" s="25" t="s">
        <v>4133</v>
      </c>
      <c r="AJ219" s="39">
        <v>600</v>
      </c>
      <c r="AK219" s="39" t="s">
        <v>244</v>
      </c>
      <c r="AL219" s="39">
        <v>14</v>
      </c>
      <c r="AM219" s="25" t="s">
        <v>4134</v>
      </c>
      <c r="AN219" s="39">
        <v>700</v>
      </c>
      <c r="AO219" s="39" t="s">
        <v>244</v>
      </c>
      <c r="AP219" s="39">
        <v>16</v>
      </c>
      <c r="AR219" s="39"/>
    </row>
    <row r="220" spans="1:44" x14ac:dyDescent="0.2">
      <c r="A220" s="25" t="s">
        <v>49</v>
      </c>
      <c r="B220" s="25" t="s">
        <v>3116</v>
      </c>
      <c r="T220" s="25" t="s">
        <v>1523</v>
      </c>
      <c r="U220" s="25">
        <v>4017</v>
      </c>
      <c r="V220" s="25" t="s">
        <v>2076</v>
      </c>
      <c r="W220" s="38" t="s">
        <v>2077</v>
      </c>
      <c r="X220" s="25">
        <v>34</v>
      </c>
      <c r="Y220" s="25" t="s">
        <v>164</v>
      </c>
      <c r="Z220" s="25" t="s">
        <v>1451</v>
      </c>
      <c r="AA220" s="25" t="s">
        <v>2078</v>
      </c>
      <c r="AB220" s="39">
        <v>80</v>
      </c>
      <c r="AC220" s="39">
        <v>5</v>
      </c>
      <c r="AD220" s="39">
        <v>7</v>
      </c>
      <c r="AE220" s="25" t="s">
        <v>2079</v>
      </c>
      <c r="AF220" s="39">
        <v>120</v>
      </c>
      <c r="AG220" s="39">
        <v>15</v>
      </c>
      <c r="AH220" s="39">
        <v>9</v>
      </c>
      <c r="AI220" s="25" t="s">
        <v>2080</v>
      </c>
      <c r="AJ220" s="39">
        <v>160</v>
      </c>
      <c r="AK220" s="39">
        <v>20</v>
      </c>
      <c r="AL220" s="39">
        <v>12</v>
      </c>
      <c r="AM220" s="25" t="s">
        <v>2081</v>
      </c>
      <c r="AN220" s="39">
        <v>200</v>
      </c>
      <c r="AO220" s="39">
        <v>20</v>
      </c>
      <c r="AP220" s="39">
        <v>15</v>
      </c>
      <c r="AQ220" s="25" t="s">
        <v>1530</v>
      </c>
      <c r="AR220" s="39"/>
    </row>
    <row r="221" spans="1:44" x14ac:dyDescent="0.2">
      <c r="A221" s="25" t="s">
        <v>49</v>
      </c>
      <c r="B221" s="25" t="s">
        <v>3208</v>
      </c>
      <c r="T221" s="25" t="s">
        <v>35</v>
      </c>
      <c r="U221" s="25">
        <v>24007</v>
      </c>
      <c r="V221" s="25" t="s">
        <v>3804</v>
      </c>
      <c r="W221" s="38" t="s">
        <v>3805</v>
      </c>
      <c r="X221" s="25">
        <v>80</v>
      </c>
      <c r="Y221" s="25" t="s">
        <v>164</v>
      </c>
      <c r="Z221" s="25" t="s">
        <v>1451</v>
      </c>
      <c r="AA221" s="25" t="s">
        <v>1149</v>
      </c>
      <c r="AB221" s="39">
        <v>180</v>
      </c>
      <c r="AC221" s="39">
        <v>20</v>
      </c>
      <c r="AD221" s="39">
        <v>9</v>
      </c>
      <c r="AE221" s="25" t="s">
        <v>1484</v>
      </c>
      <c r="AF221" s="39">
        <v>250</v>
      </c>
      <c r="AG221" s="39">
        <v>25</v>
      </c>
      <c r="AH221" s="39">
        <v>12</v>
      </c>
      <c r="AI221" s="25" t="s">
        <v>1476</v>
      </c>
      <c r="AJ221" s="39">
        <v>320</v>
      </c>
      <c r="AK221" s="39">
        <v>35</v>
      </c>
      <c r="AL221" s="39">
        <v>15</v>
      </c>
      <c r="AM221" s="25" t="s">
        <v>1907</v>
      </c>
      <c r="AN221" s="39">
        <v>400</v>
      </c>
      <c r="AO221" s="39">
        <v>40</v>
      </c>
      <c r="AP221" s="39">
        <v>17</v>
      </c>
      <c r="AR221" s="39"/>
    </row>
    <row r="222" spans="1:44" x14ac:dyDescent="0.2">
      <c r="A222" s="25" t="s">
        <v>49</v>
      </c>
      <c r="B222" s="25" t="s">
        <v>3303</v>
      </c>
      <c r="T222" s="25" t="s">
        <v>61</v>
      </c>
      <c r="U222" s="25">
        <v>37004</v>
      </c>
      <c r="V222" s="25" t="s">
        <v>4193</v>
      </c>
      <c r="W222" s="38" t="s">
        <v>4194</v>
      </c>
      <c r="X222" s="25">
        <v>92</v>
      </c>
      <c r="Y222" s="25" t="s">
        <v>164</v>
      </c>
      <c r="Z222" s="25" t="s">
        <v>1451</v>
      </c>
      <c r="AA222" s="25" t="s">
        <v>4195</v>
      </c>
      <c r="AB222" s="39">
        <v>350</v>
      </c>
      <c r="AC222" s="39" t="s">
        <v>244</v>
      </c>
      <c r="AD222" s="39">
        <v>12</v>
      </c>
      <c r="AE222" s="25" t="s">
        <v>4196</v>
      </c>
      <c r="AF222" s="39">
        <v>600</v>
      </c>
      <c r="AG222" s="39" t="s">
        <v>244</v>
      </c>
      <c r="AH222" s="39">
        <v>14</v>
      </c>
      <c r="AI222" s="25" t="s">
        <v>4197</v>
      </c>
      <c r="AJ222" s="39">
        <v>900</v>
      </c>
      <c r="AK222" s="39" t="s">
        <v>244</v>
      </c>
      <c r="AL222" s="39">
        <v>16</v>
      </c>
      <c r="AM222" s="25" t="s">
        <v>4198</v>
      </c>
      <c r="AN222" s="39">
        <v>1500</v>
      </c>
      <c r="AO222" s="39" t="s">
        <v>244</v>
      </c>
      <c r="AP222" s="39">
        <v>18</v>
      </c>
      <c r="AR222" s="39"/>
    </row>
    <row r="223" spans="1:44" x14ac:dyDescent="0.2">
      <c r="A223" s="25" t="s">
        <v>49</v>
      </c>
      <c r="B223" s="25" t="s">
        <v>3353</v>
      </c>
      <c r="T223" s="25" t="s">
        <v>61</v>
      </c>
      <c r="U223" s="25">
        <v>4004</v>
      </c>
      <c r="V223" s="25" t="s">
        <v>2034</v>
      </c>
      <c r="W223" s="38" t="s">
        <v>2035</v>
      </c>
      <c r="X223" s="25">
        <v>10</v>
      </c>
      <c r="Y223" s="25" t="s">
        <v>164</v>
      </c>
      <c r="Z223" s="25" t="s">
        <v>1451</v>
      </c>
      <c r="AA223" s="25" t="s">
        <v>1634</v>
      </c>
      <c r="AB223" s="39">
        <v>50</v>
      </c>
      <c r="AC223" s="39" t="s">
        <v>244</v>
      </c>
      <c r="AD223" s="39">
        <v>6</v>
      </c>
      <c r="AE223" s="25" t="s">
        <v>1979</v>
      </c>
      <c r="AF223" s="39">
        <v>90</v>
      </c>
      <c r="AG223" s="39" t="s">
        <v>244</v>
      </c>
      <c r="AH223" s="39">
        <v>9</v>
      </c>
      <c r="AI223" s="25" t="s">
        <v>1700</v>
      </c>
      <c r="AJ223" s="39">
        <v>140</v>
      </c>
      <c r="AK223" s="39" t="s">
        <v>244</v>
      </c>
      <c r="AL223" s="39">
        <v>11</v>
      </c>
      <c r="AM223" s="25" t="s">
        <v>1675</v>
      </c>
      <c r="AN223" s="39">
        <v>180</v>
      </c>
      <c r="AO223" s="39" t="s">
        <v>244</v>
      </c>
      <c r="AP223" s="39">
        <v>13</v>
      </c>
      <c r="AR223" s="39"/>
    </row>
    <row r="224" spans="1:44" x14ac:dyDescent="0.2">
      <c r="A224" s="25" t="s">
        <v>49</v>
      </c>
      <c r="B224" s="25" t="s">
        <v>3409</v>
      </c>
      <c r="T224" s="25" t="s">
        <v>61</v>
      </c>
      <c r="U224" s="25">
        <v>31004</v>
      </c>
      <c r="V224" s="25" t="s">
        <v>4073</v>
      </c>
      <c r="W224" s="38" t="s">
        <v>4074</v>
      </c>
      <c r="X224" s="25">
        <v>78</v>
      </c>
      <c r="Y224" s="25" t="s">
        <v>1582</v>
      </c>
      <c r="Z224" s="25" t="s">
        <v>1451</v>
      </c>
      <c r="AA224" s="25" t="s">
        <v>4075</v>
      </c>
      <c r="AB224" s="39">
        <v>150</v>
      </c>
      <c r="AC224" s="39" t="s">
        <v>244</v>
      </c>
      <c r="AD224" s="39">
        <v>8</v>
      </c>
      <c r="AE224" s="25" t="s">
        <v>4076</v>
      </c>
      <c r="AF224" s="39">
        <v>250</v>
      </c>
      <c r="AG224" s="39" t="s">
        <v>244</v>
      </c>
      <c r="AH224" s="39">
        <v>10</v>
      </c>
      <c r="AI224" s="25" t="s">
        <v>4077</v>
      </c>
      <c r="AJ224" s="39">
        <v>350</v>
      </c>
      <c r="AK224" s="39" t="s">
        <v>244</v>
      </c>
      <c r="AL224" s="39">
        <v>12</v>
      </c>
      <c r="AM224" s="25" t="s">
        <v>4078</v>
      </c>
      <c r="AN224" s="39">
        <v>500</v>
      </c>
      <c r="AO224" s="39" t="s">
        <v>244</v>
      </c>
      <c r="AP224" s="39">
        <v>15</v>
      </c>
      <c r="AR224" s="39"/>
    </row>
    <row r="225" spans="1:44" x14ac:dyDescent="0.2">
      <c r="A225" s="25" t="s">
        <v>49</v>
      </c>
      <c r="B225" s="25" t="s">
        <v>3451</v>
      </c>
      <c r="T225" s="25" t="s">
        <v>94</v>
      </c>
      <c r="U225" s="25">
        <v>18010</v>
      </c>
      <c r="V225" s="25" t="s">
        <v>3555</v>
      </c>
      <c r="W225" s="38" t="s">
        <v>3556</v>
      </c>
      <c r="X225" s="25">
        <v>60</v>
      </c>
      <c r="Y225" s="25" t="s">
        <v>164</v>
      </c>
      <c r="Z225" s="25" t="s">
        <v>1451</v>
      </c>
      <c r="AA225" s="25" t="s">
        <v>3557</v>
      </c>
      <c r="AB225" s="39">
        <v>80</v>
      </c>
      <c r="AC225" s="39" t="s">
        <v>244</v>
      </c>
      <c r="AD225" s="39">
        <v>7</v>
      </c>
      <c r="AE225" s="25" t="s">
        <v>3558</v>
      </c>
      <c r="AF225" s="39">
        <v>180</v>
      </c>
      <c r="AG225" s="39" t="s">
        <v>244</v>
      </c>
      <c r="AH225" s="39">
        <v>10</v>
      </c>
      <c r="AI225" s="25" t="s">
        <v>3559</v>
      </c>
      <c r="AJ225" s="39">
        <v>300</v>
      </c>
      <c r="AK225" s="39" t="s">
        <v>244</v>
      </c>
      <c r="AL225" s="39">
        <v>12</v>
      </c>
      <c r="AM225" s="25" t="s">
        <v>3560</v>
      </c>
      <c r="AN225" s="39">
        <v>500</v>
      </c>
      <c r="AO225" s="39" t="s">
        <v>244</v>
      </c>
      <c r="AP225" s="39">
        <v>15</v>
      </c>
      <c r="AR225" s="39"/>
    </row>
    <row r="226" spans="1:44" x14ac:dyDescent="0.2">
      <c r="A226" s="25" t="s">
        <v>49</v>
      </c>
      <c r="B226" s="25" t="s">
        <v>3493</v>
      </c>
      <c r="T226" s="25" t="s">
        <v>61</v>
      </c>
      <c r="U226" s="25">
        <v>3004</v>
      </c>
      <c r="V226" s="25" t="s">
        <v>1876</v>
      </c>
      <c r="W226" s="38" t="s">
        <v>1877</v>
      </c>
      <c r="X226" s="25">
        <v>8</v>
      </c>
      <c r="Y226" s="25" t="s">
        <v>164</v>
      </c>
      <c r="Z226" s="25" t="s">
        <v>1451</v>
      </c>
      <c r="AA226" s="25" t="s">
        <v>1878</v>
      </c>
      <c r="AB226" s="39">
        <v>40</v>
      </c>
      <c r="AC226" s="39" t="s">
        <v>244</v>
      </c>
      <c r="AD226" s="39">
        <v>5</v>
      </c>
      <c r="AE226" s="25" t="s">
        <v>1879</v>
      </c>
      <c r="AF226" s="39">
        <v>80</v>
      </c>
      <c r="AG226" s="39" t="s">
        <v>244</v>
      </c>
      <c r="AH226" s="39">
        <v>8</v>
      </c>
      <c r="AI226" s="25" t="s">
        <v>1880</v>
      </c>
      <c r="AJ226" s="39">
        <v>120</v>
      </c>
      <c r="AK226" s="39" t="s">
        <v>244</v>
      </c>
      <c r="AL226" s="39">
        <v>10</v>
      </c>
      <c r="AM226" s="25" t="s">
        <v>1881</v>
      </c>
      <c r="AN226" s="39">
        <v>150</v>
      </c>
      <c r="AO226" s="39" t="s">
        <v>244</v>
      </c>
      <c r="AP226" s="39">
        <v>12</v>
      </c>
      <c r="AR226" s="39"/>
    </row>
    <row r="227" spans="1:44" x14ac:dyDescent="0.2">
      <c r="A227" s="25" t="s">
        <v>49</v>
      </c>
      <c r="B227" s="25" t="s">
        <v>3530</v>
      </c>
      <c r="T227" s="25" t="s">
        <v>61</v>
      </c>
      <c r="U227" s="25">
        <v>26004</v>
      </c>
      <c r="V227" s="25" t="s">
        <v>3858</v>
      </c>
      <c r="W227" s="38" t="s">
        <v>3859</v>
      </c>
      <c r="X227" s="25">
        <v>66</v>
      </c>
      <c r="Y227" s="25" t="s">
        <v>1582</v>
      </c>
      <c r="Z227" s="25" t="s">
        <v>1451</v>
      </c>
      <c r="AA227" s="25" t="s">
        <v>2131</v>
      </c>
      <c r="AB227" s="39">
        <v>160</v>
      </c>
      <c r="AC227" s="39">
        <v>20</v>
      </c>
      <c r="AD227" s="39">
        <v>8</v>
      </c>
      <c r="AE227" s="25" t="s">
        <v>1732</v>
      </c>
      <c r="AF227" s="39">
        <v>200</v>
      </c>
      <c r="AG227" s="39">
        <v>20</v>
      </c>
      <c r="AH227" s="39">
        <v>10</v>
      </c>
      <c r="AI227" s="25" t="s">
        <v>1733</v>
      </c>
      <c r="AJ227" s="39">
        <v>240</v>
      </c>
      <c r="AK227" s="39">
        <v>25</v>
      </c>
      <c r="AL227" s="39">
        <v>13</v>
      </c>
      <c r="AM227" s="25" t="s">
        <v>3860</v>
      </c>
      <c r="AN227" s="39">
        <v>280</v>
      </c>
      <c r="AO227" s="39">
        <v>30</v>
      </c>
      <c r="AP227" s="39">
        <v>16</v>
      </c>
      <c r="AR227" s="39"/>
    </row>
    <row r="228" spans="1:44" x14ac:dyDescent="0.2">
      <c r="A228" s="25" t="s">
        <v>49</v>
      </c>
      <c r="B228" s="25" t="s">
        <v>3574</v>
      </c>
      <c r="T228" s="25" t="s">
        <v>101</v>
      </c>
      <c r="U228" s="25">
        <v>14011</v>
      </c>
      <c r="V228" s="25" t="s">
        <v>3395</v>
      </c>
      <c r="W228" s="38" t="s">
        <v>3396</v>
      </c>
      <c r="X228" s="25">
        <v>36</v>
      </c>
      <c r="Y228" s="25" t="s">
        <v>1582</v>
      </c>
      <c r="Z228" s="25" t="s">
        <v>1451</v>
      </c>
      <c r="AA228" s="25" t="s">
        <v>1668</v>
      </c>
      <c r="AB228" s="39">
        <v>80</v>
      </c>
      <c r="AC228" s="39" t="s">
        <v>244</v>
      </c>
      <c r="AD228" s="39">
        <v>8</v>
      </c>
      <c r="AE228" s="25" t="s">
        <v>1669</v>
      </c>
      <c r="AF228" s="39">
        <v>160</v>
      </c>
      <c r="AG228" s="39" t="s">
        <v>244</v>
      </c>
      <c r="AH228" s="39">
        <v>10</v>
      </c>
      <c r="AI228" s="25" t="s">
        <v>1670</v>
      </c>
      <c r="AJ228" s="39">
        <v>240</v>
      </c>
      <c r="AK228" s="39" t="s">
        <v>244</v>
      </c>
      <c r="AL228" s="39">
        <v>13</v>
      </c>
      <c r="AM228" s="25" t="s">
        <v>3342</v>
      </c>
      <c r="AN228" s="39">
        <v>320</v>
      </c>
      <c r="AO228" s="39" t="s">
        <v>244</v>
      </c>
      <c r="AP228" s="39">
        <v>115</v>
      </c>
      <c r="AR228" s="39"/>
    </row>
    <row r="229" spans="1:44" x14ac:dyDescent="0.2">
      <c r="A229" s="25" t="s">
        <v>49</v>
      </c>
      <c r="B229" s="25" t="s">
        <v>3614</v>
      </c>
      <c r="T229" s="25" t="s">
        <v>61</v>
      </c>
      <c r="U229" s="25">
        <v>24004</v>
      </c>
      <c r="V229" s="25" t="s">
        <v>3792</v>
      </c>
      <c r="W229" s="38" t="s">
        <v>6633</v>
      </c>
      <c r="X229" s="25">
        <v>60</v>
      </c>
      <c r="Y229" s="25" t="s">
        <v>1582</v>
      </c>
      <c r="Z229" s="25" t="s">
        <v>1451</v>
      </c>
      <c r="AA229" s="25" t="s">
        <v>1667</v>
      </c>
      <c r="AB229" s="39">
        <v>140</v>
      </c>
      <c r="AC229" s="39">
        <v>15</v>
      </c>
      <c r="AD229" s="39">
        <v>7</v>
      </c>
      <c r="AE229" s="25" t="s">
        <v>1668</v>
      </c>
      <c r="AF229" s="39">
        <v>180</v>
      </c>
      <c r="AG229" s="39">
        <v>20</v>
      </c>
      <c r="AH229" s="39">
        <v>9</v>
      </c>
      <c r="AI229" s="25" t="s">
        <v>1669</v>
      </c>
      <c r="AJ229" s="39">
        <v>240</v>
      </c>
      <c r="AK229" s="39">
        <v>25</v>
      </c>
      <c r="AL229" s="39">
        <v>12</v>
      </c>
      <c r="AM229" s="25" t="s">
        <v>1670</v>
      </c>
      <c r="AN229" s="39">
        <v>300</v>
      </c>
      <c r="AO229" s="39">
        <v>30</v>
      </c>
      <c r="AP229" s="39">
        <v>15</v>
      </c>
      <c r="AR229" s="39" t="s">
        <v>6456</v>
      </c>
    </row>
    <row r="230" spans="1:44" x14ac:dyDescent="0.2">
      <c r="A230" s="25" t="s">
        <v>49</v>
      </c>
      <c r="B230" s="25" t="s">
        <v>3666</v>
      </c>
      <c r="T230" s="25" t="s">
        <v>61</v>
      </c>
      <c r="U230" s="25">
        <v>21004</v>
      </c>
      <c r="V230" s="25" t="s">
        <v>3668</v>
      </c>
      <c r="W230" s="38" t="s">
        <v>3669</v>
      </c>
      <c r="X230" s="25">
        <v>52</v>
      </c>
      <c r="Y230" s="25" t="s">
        <v>1582</v>
      </c>
      <c r="Z230" s="25" t="s">
        <v>1451</v>
      </c>
      <c r="AA230" s="25" t="s">
        <v>2164</v>
      </c>
      <c r="AB230" s="39">
        <v>140</v>
      </c>
      <c r="AC230" s="39" t="s">
        <v>244</v>
      </c>
      <c r="AD230" s="39">
        <v>7</v>
      </c>
      <c r="AE230" s="25" t="s">
        <v>2002</v>
      </c>
      <c r="AF230" s="39">
        <v>180</v>
      </c>
      <c r="AG230" s="39" t="s">
        <v>244</v>
      </c>
      <c r="AH230" s="39">
        <v>9</v>
      </c>
      <c r="AI230" s="25" t="s">
        <v>2004</v>
      </c>
      <c r="AJ230" s="39">
        <v>240</v>
      </c>
      <c r="AK230" s="39" t="s">
        <v>244</v>
      </c>
      <c r="AL230" s="39">
        <v>12</v>
      </c>
      <c r="AM230" s="25" t="s">
        <v>3532</v>
      </c>
      <c r="AN230" s="39">
        <v>350</v>
      </c>
      <c r="AO230" s="39" t="s">
        <v>244</v>
      </c>
      <c r="AP230" s="39">
        <v>15</v>
      </c>
      <c r="AR230" s="39"/>
    </row>
    <row r="231" spans="1:44" x14ac:dyDescent="0.2">
      <c r="A231" s="25" t="s">
        <v>49</v>
      </c>
      <c r="B231" s="25" t="s">
        <v>3708</v>
      </c>
      <c r="T231" s="25" t="s">
        <v>61</v>
      </c>
      <c r="U231" s="25">
        <v>16004</v>
      </c>
      <c r="V231" s="25" t="s">
        <v>3453</v>
      </c>
      <c r="W231" s="38" t="s">
        <v>3454</v>
      </c>
      <c r="X231" s="25">
        <v>40</v>
      </c>
      <c r="Y231" s="25" t="s">
        <v>1582</v>
      </c>
      <c r="Z231" s="25" t="s">
        <v>1451</v>
      </c>
      <c r="AA231" s="25" t="s">
        <v>1667</v>
      </c>
      <c r="AB231" s="39">
        <v>80</v>
      </c>
      <c r="AC231" s="39">
        <v>10</v>
      </c>
      <c r="AD231" s="39">
        <v>7</v>
      </c>
      <c r="AE231" s="25" t="s">
        <v>1586</v>
      </c>
      <c r="AF231" s="39">
        <v>160</v>
      </c>
      <c r="AG231" s="39">
        <v>20</v>
      </c>
      <c r="AH231" s="39">
        <v>9</v>
      </c>
      <c r="AI231" s="25" t="s">
        <v>2104</v>
      </c>
      <c r="AJ231" s="39">
        <v>240</v>
      </c>
      <c r="AK231" s="39">
        <v>25</v>
      </c>
      <c r="AL231" s="39">
        <v>12</v>
      </c>
      <c r="AM231" s="25" t="s">
        <v>2223</v>
      </c>
      <c r="AN231" s="39">
        <v>300</v>
      </c>
      <c r="AO231" s="39">
        <v>30</v>
      </c>
      <c r="AP231" s="39">
        <v>15</v>
      </c>
      <c r="AR231" s="39"/>
    </row>
    <row r="232" spans="1:44" x14ac:dyDescent="0.2">
      <c r="A232" s="25" t="s">
        <v>49</v>
      </c>
      <c r="B232" s="25" t="s">
        <v>3746</v>
      </c>
      <c r="T232" s="25" t="s">
        <v>29</v>
      </c>
      <c r="U232" s="25">
        <v>16001</v>
      </c>
      <c r="V232" s="25" t="s">
        <v>3443</v>
      </c>
      <c r="W232" s="38" t="s">
        <v>3444</v>
      </c>
      <c r="X232" s="25">
        <v>40</v>
      </c>
      <c r="Y232" s="25" t="s">
        <v>1582</v>
      </c>
      <c r="Z232" s="25" t="s">
        <v>1451</v>
      </c>
      <c r="AA232" s="25" t="s">
        <v>3445</v>
      </c>
      <c r="AB232" s="39">
        <v>80</v>
      </c>
      <c r="AC232" s="39" t="s">
        <v>244</v>
      </c>
      <c r="AD232" s="39">
        <v>6</v>
      </c>
      <c r="AE232" s="25" t="s">
        <v>3446</v>
      </c>
      <c r="AF232" s="39">
        <v>180</v>
      </c>
      <c r="AG232" s="39" t="s">
        <v>244</v>
      </c>
      <c r="AH232" s="39">
        <v>9</v>
      </c>
      <c r="AI232" s="25" t="s">
        <v>3447</v>
      </c>
      <c r="AJ232" s="39">
        <v>240</v>
      </c>
      <c r="AK232" s="39" t="s">
        <v>244</v>
      </c>
      <c r="AL232" s="39">
        <v>12</v>
      </c>
      <c r="AM232" s="25" t="s">
        <v>3448</v>
      </c>
      <c r="AN232" s="39">
        <v>350</v>
      </c>
      <c r="AO232" s="39" t="s">
        <v>244</v>
      </c>
      <c r="AP232" s="39">
        <v>15</v>
      </c>
      <c r="AR232" s="39"/>
    </row>
    <row r="233" spans="1:44" x14ac:dyDescent="0.2">
      <c r="A233" s="25" t="s">
        <v>49</v>
      </c>
      <c r="B233" s="25" t="s">
        <v>3791</v>
      </c>
      <c r="T233" s="25" t="s">
        <v>39</v>
      </c>
      <c r="U233" s="25">
        <v>16002</v>
      </c>
      <c r="V233" s="25" t="s">
        <v>3449</v>
      </c>
      <c r="W233" s="38" t="s">
        <v>3450</v>
      </c>
      <c r="X233" s="25">
        <v>40</v>
      </c>
      <c r="Y233" s="25" t="s">
        <v>1582</v>
      </c>
      <c r="Z233" s="25" t="s">
        <v>1451</v>
      </c>
      <c r="AA233" s="25" t="s">
        <v>3445</v>
      </c>
      <c r="AB233" s="39">
        <v>80</v>
      </c>
      <c r="AC233" s="39" t="s">
        <v>244</v>
      </c>
      <c r="AD233" s="39">
        <v>6</v>
      </c>
      <c r="AE233" s="25" t="s">
        <v>3446</v>
      </c>
      <c r="AF233" s="39">
        <v>180</v>
      </c>
      <c r="AG233" s="39" t="s">
        <v>244</v>
      </c>
      <c r="AH233" s="39">
        <v>9</v>
      </c>
      <c r="AI233" s="25" t="s">
        <v>3447</v>
      </c>
      <c r="AJ233" s="39">
        <v>240</v>
      </c>
      <c r="AK233" s="39" t="s">
        <v>244</v>
      </c>
      <c r="AL233" s="39">
        <v>12</v>
      </c>
      <c r="AM233" s="25" t="s">
        <v>3448</v>
      </c>
      <c r="AN233" s="39">
        <v>350</v>
      </c>
      <c r="AO233" s="39" t="s">
        <v>244</v>
      </c>
      <c r="AP233" s="39">
        <v>15</v>
      </c>
      <c r="AR233" s="39"/>
    </row>
    <row r="234" spans="1:44" x14ac:dyDescent="0.2">
      <c r="A234" s="25" t="s">
        <v>49</v>
      </c>
      <c r="B234" s="25" t="s">
        <v>3826</v>
      </c>
      <c r="T234" s="25" t="s">
        <v>1663</v>
      </c>
      <c r="U234" s="25">
        <v>7715</v>
      </c>
      <c r="V234" s="25" t="s">
        <v>2647</v>
      </c>
      <c r="W234" s="38" t="s">
        <v>2648</v>
      </c>
      <c r="X234" s="25" t="s">
        <v>1666</v>
      </c>
      <c r="Y234" s="25" t="s">
        <v>2649</v>
      </c>
      <c r="Z234" s="25" t="s">
        <v>1557</v>
      </c>
      <c r="AA234" s="25" t="s">
        <v>1668</v>
      </c>
      <c r="AB234" s="39">
        <v>100</v>
      </c>
      <c r="AC234" s="39" t="s">
        <v>244</v>
      </c>
      <c r="AD234" s="39">
        <v>9</v>
      </c>
      <c r="AE234" s="25" t="s">
        <v>1586</v>
      </c>
      <c r="AF234" s="39">
        <v>160</v>
      </c>
      <c r="AG234" s="39" t="s">
        <v>244</v>
      </c>
      <c r="AH234" s="39">
        <v>11</v>
      </c>
      <c r="AI234" s="25" t="s">
        <v>2104</v>
      </c>
      <c r="AJ234" s="39">
        <v>220</v>
      </c>
      <c r="AK234" s="39" t="s">
        <v>244</v>
      </c>
      <c r="AL234" s="39">
        <v>13</v>
      </c>
      <c r="AM234" s="25" t="s">
        <v>2223</v>
      </c>
      <c r="AN234" s="39">
        <v>300</v>
      </c>
      <c r="AO234" s="39" t="s">
        <v>244</v>
      </c>
      <c r="AP234" s="39">
        <v>16</v>
      </c>
      <c r="AQ234" s="25" t="s">
        <v>70</v>
      </c>
      <c r="AR234" s="39"/>
    </row>
    <row r="235" spans="1:44" x14ac:dyDescent="0.2">
      <c r="A235" s="25" t="s">
        <v>49</v>
      </c>
      <c r="B235" s="25" t="s">
        <v>3856</v>
      </c>
      <c r="T235" s="25" t="s">
        <v>1509</v>
      </c>
      <c r="U235" s="25">
        <v>8015</v>
      </c>
      <c r="V235" s="25" t="s">
        <v>2706</v>
      </c>
      <c r="W235" s="38" t="s">
        <v>2707</v>
      </c>
      <c r="X235" s="25" t="s">
        <v>1512</v>
      </c>
      <c r="Y235" s="25" t="s">
        <v>164</v>
      </c>
      <c r="Z235" s="25" t="s">
        <v>1451</v>
      </c>
      <c r="AA235" s="25" t="s">
        <v>2708</v>
      </c>
      <c r="AB235" s="39">
        <v>40</v>
      </c>
      <c r="AC235" s="39">
        <v>5</v>
      </c>
      <c r="AD235" s="39">
        <v>5</v>
      </c>
      <c r="AE235" s="25" t="s">
        <v>2709</v>
      </c>
      <c r="AF235" s="39">
        <v>80</v>
      </c>
      <c r="AG235" s="39">
        <v>5</v>
      </c>
      <c r="AH235" s="39">
        <v>8</v>
      </c>
      <c r="AI235" s="25" t="s">
        <v>2710</v>
      </c>
      <c r="AJ235" s="39">
        <v>120</v>
      </c>
      <c r="AK235" s="39">
        <v>10</v>
      </c>
      <c r="AL235" s="39">
        <v>10</v>
      </c>
      <c r="AM235" s="25" t="s">
        <v>2711</v>
      </c>
      <c r="AN235" s="39">
        <v>150</v>
      </c>
      <c r="AO235" s="39">
        <v>10</v>
      </c>
      <c r="AP235" s="39">
        <v>12</v>
      </c>
      <c r="AQ235" s="25" t="s">
        <v>39</v>
      </c>
      <c r="AR235" s="39"/>
    </row>
    <row r="236" spans="1:44" x14ac:dyDescent="0.2">
      <c r="A236" s="25" t="s">
        <v>49</v>
      </c>
      <c r="B236" s="25" t="s">
        <v>3905</v>
      </c>
      <c r="T236" s="25" t="s">
        <v>101</v>
      </c>
      <c r="U236" s="25">
        <v>6011</v>
      </c>
      <c r="V236" s="25" t="s">
        <v>2385</v>
      </c>
      <c r="W236" s="38" t="s">
        <v>2386</v>
      </c>
      <c r="X236" s="25">
        <v>16</v>
      </c>
      <c r="Y236" s="25" t="s">
        <v>1482</v>
      </c>
      <c r="Z236" s="25" t="s">
        <v>1451</v>
      </c>
      <c r="AA236" s="25" t="s">
        <v>2387</v>
      </c>
      <c r="AB236" s="39">
        <v>50</v>
      </c>
      <c r="AC236" s="39">
        <v>5</v>
      </c>
      <c r="AD236" s="39">
        <v>6</v>
      </c>
      <c r="AE236" s="25" t="s">
        <v>1824</v>
      </c>
      <c r="AF236" s="39">
        <v>80</v>
      </c>
      <c r="AG236" s="39">
        <v>10</v>
      </c>
      <c r="AH236" s="39">
        <v>9</v>
      </c>
      <c r="AI236" s="25" t="s">
        <v>2388</v>
      </c>
      <c r="AJ236" s="39">
        <v>100</v>
      </c>
      <c r="AK236" s="39">
        <v>10</v>
      </c>
      <c r="AL236" s="39">
        <v>11</v>
      </c>
      <c r="AM236" s="25" t="s">
        <v>2389</v>
      </c>
      <c r="AN236" s="39">
        <v>120</v>
      </c>
      <c r="AO236" s="39">
        <v>15</v>
      </c>
      <c r="AP236" s="39">
        <v>13</v>
      </c>
      <c r="AR236" s="39"/>
    </row>
    <row r="237" spans="1:44" x14ac:dyDescent="0.2">
      <c r="A237" s="25" t="s">
        <v>49</v>
      </c>
      <c r="B237" s="25" t="s">
        <v>3945</v>
      </c>
      <c r="T237" s="25" t="s">
        <v>1554</v>
      </c>
      <c r="U237" s="25">
        <v>4022</v>
      </c>
      <c r="V237" s="25" t="s">
        <v>2096</v>
      </c>
      <c r="W237" s="38" t="s">
        <v>2097</v>
      </c>
      <c r="X237" s="25">
        <v>34</v>
      </c>
      <c r="Y237" s="25" t="s">
        <v>1482</v>
      </c>
      <c r="Z237" s="25" t="s">
        <v>1451</v>
      </c>
      <c r="AA237" s="25" t="s">
        <v>2098</v>
      </c>
      <c r="AB237" s="39">
        <v>80</v>
      </c>
      <c r="AC237" s="39">
        <v>10</v>
      </c>
      <c r="AD237" s="39">
        <v>8</v>
      </c>
      <c r="AE237" s="25" t="s">
        <v>2099</v>
      </c>
      <c r="AF237" s="39">
        <v>100</v>
      </c>
      <c r="AG237" s="39">
        <v>10</v>
      </c>
      <c r="AH237" s="39">
        <v>10</v>
      </c>
      <c r="AI237" s="25" t="s">
        <v>2100</v>
      </c>
      <c r="AJ237" s="39">
        <v>120</v>
      </c>
      <c r="AK237" s="39">
        <v>15</v>
      </c>
      <c r="AL237" s="39">
        <v>12</v>
      </c>
      <c r="AM237" s="25" t="s">
        <v>2101</v>
      </c>
      <c r="AN237" s="39">
        <v>140</v>
      </c>
      <c r="AO237" s="39">
        <v>15</v>
      </c>
      <c r="AP237" s="39">
        <v>14</v>
      </c>
      <c r="AQ237" s="25" t="s">
        <v>1562</v>
      </c>
      <c r="AR237" s="39"/>
    </row>
    <row r="238" spans="1:44" x14ac:dyDescent="0.2">
      <c r="A238" s="25" t="s">
        <v>49</v>
      </c>
      <c r="B238" s="25" t="s">
        <v>3992</v>
      </c>
      <c r="T238" s="25" t="s">
        <v>90</v>
      </c>
      <c r="U238" s="25">
        <v>2009</v>
      </c>
      <c r="V238" s="25" t="s">
        <v>1729</v>
      </c>
      <c r="W238" s="38" t="s">
        <v>1730</v>
      </c>
      <c r="X238" s="25">
        <v>6</v>
      </c>
      <c r="Y238" s="25" t="s">
        <v>1498</v>
      </c>
      <c r="Z238" s="25" t="s">
        <v>1451</v>
      </c>
      <c r="AA238" s="25" t="s">
        <v>1731</v>
      </c>
      <c r="AB238" s="39">
        <v>30</v>
      </c>
      <c r="AC238" s="39">
        <v>5</v>
      </c>
      <c r="AD238" s="39">
        <v>5</v>
      </c>
      <c r="AE238" s="25" t="s">
        <v>1732</v>
      </c>
      <c r="AF238" s="39">
        <v>60</v>
      </c>
      <c r="AG238" s="39">
        <v>10</v>
      </c>
      <c r="AH238" s="39">
        <v>8</v>
      </c>
      <c r="AI238" s="25" t="s">
        <v>1733</v>
      </c>
      <c r="AJ238" s="39">
        <v>100</v>
      </c>
      <c r="AK238" s="39">
        <v>10</v>
      </c>
      <c r="AL238" s="39">
        <v>10</v>
      </c>
      <c r="AM238" s="25" t="s">
        <v>1734</v>
      </c>
      <c r="AN238" s="39">
        <v>140</v>
      </c>
      <c r="AO238" s="39">
        <v>15</v>
      </c>
      <c r="AP238" s="39">
        <v>12</v>
      </c>
      <c r="AR238" s="39"/>
    </row>
    <row r="239" spans="1:44" x14ac:dyDescent="0.2">
      <c r="A239" s="25" t="s">
        <v>49</v>
      </c>
      <c r="B239" s="25" t="s">
        <v>4025</v>
      </c>
      <c r="T239" s="25" t="s">
        <v>94</v>
      </c>
      <c r="U239" s="25">
        <v>5010</v>
      </c>
      <c r="V239" s="25" t="s">
        <v>2215</v>
      </c>
      <c r="W239" s="38" t="s">
        <v>2216</v>
      </c>
      <c r="X239" s="25">
        <v>16</v>
      </c>
      <c r="Y239" s="25" t="s">
        <v>1498</v>
      </c>
      <c r="Z239" s="25" t="s">
        <v>1451</v>
      </c>
      <c r="AA239" s="25" t="s">
        <v>2217</v>
      </c>
      <c r="AB239" s="39">
        <v>60</v>
      </c>
      <c r="AC239" s="39">
        <v>10</v>
      </c>
      <c r="AD239" s="39">
        <v>6</v>
      </c>
      <c r="AE239" s="25" t="s">
        <v>2218</v>
      </c>
      <c r="AF239" s="39">
        <v>160</v>
      </c>
      <c r="AG239" s="39">
        <v>20</v>
      </c>
      <c r="AH239" s="39">
        <v>8</v>
      </c>
      <c r="AI239" s="25" t="s">
        <v>2219</v>
      </c>
      <c r="AJ239" s="39">
        <v>200</v>
      </c>
      <c r="AK239" s="39">
        <v>20</v>
      </c>
      <c r="AL239" s="39">
        <v>10</v>
      </c>
      <c r="AM239" s="25" t="s">
        <v>2220</v>
      </c>
      <c r="AN239" s="39">
        <v>240</v>
      </c>
      <c r="AO239" s="39">
        <v>25</v>
      </c>
      <c r="AP239" s="39">
        <v>12</v>
      </c>
      <c r="AR239" s="39"/>
    </row>
    <row r="240" spans="1:44" x14ac:dyDescent="0.2">
      <c r="A240" s="25" t="s">
        <v>49</v>
      </c>
      <c r="B240" s="25" t="s">
        <v>4070</v>
      </c>
      <c r="T240" s="25" t="s">
        <v>29</v>
      </c>
      <c r="U240" s="25">
        <v>8001</v>
      </c>
      <c r="V240" s="25" t="s">
        <v>2656</v>
      </c>
      <c r="W240" s="38" t="s">
        <v>2657</v>
      </c>
      <c r="X240" s="25">
        <v>20</v>
      </c>
      <c r="Y240" s="25" t="s">
        <v>1482</v>
      </c>
      <c r="Z240" s="25" t="s">
        <v>1451</v>
      </c>
      <c r="AA240" s="25" t="s">
        <v>2658</v>
      </c>
      <c r="AB240" s="39">
        <v>50</v>
      </c>
      <c r="AC240" s="39">
        <v>5</v>
      </c>
      <c r="AD240" s="39">
        <v>6</v>
      </c>
      <c r="AE240" s="25" t="s">
        <v>2659</v>
      </c>
      <c r="AF240" s="39">
        <v>100</v>
      </c>
      <c r="AG240" s="39">
        <v>10</v>
      </c>
      <c r="AH240" s="39">
        <v>9</v>
      </c>
      <c r="AI240" s="25" t="s">
        <v>2660</v>
      </c>
      <c r="AJ240" s="39">
        <v>160</v>
      </c>
      <c r="AK240" s="39">
        <v>20</v>
      </c>
      <c r="AL240" s="39">
        <v>12</v>
      </c>
      <c r="AM240" s="25" t="s">
        <v>2661</v>
      </c>
      <c r="AN240" s="39">
        <v>280</v>
      </c>
      <c r="AO240" s="39">
        <v>30</v>
      </c>
      <c r="AP240" s="39">
        <v>15</v>
      </c>
      <c r="AR240" s="39"/>
    </row>
    <row r="241" spans="1:44" x14ac:dyDescent="0.2">
      <c r="A241" s="25" t="s">
        <v>49</v>
      </c>
      <c r="B241" s="25" t="s">
        <v>4088</v>
      </c>
      <c r="T241" s="25" t="s">
        <v>94</v>
      </c>
      <c r="U241" s="25">
        <v>14010</v>
      </c>
      <c r="V241" s="25" t="s">
        <v>3394</v>
      </c>
      <c r="W241" s="38" t="s">
        <v>6522</v>
      </c>
      <c r="X241" s="25">
        <v>46</v>
      </c>
      <c r="Y241" s="25" t="s">
        <v>1498</v>
      </c>
      <c r="Z241" s="25" t="s">
        <v>1451</v>
      </c>
      <c r="AA241" s="25" t="s">
        <v>2124</v>
      </c>
      <c r="AB241" s="39">
        <v>80</v>
      </c>
      <c r="AC241" s="39">
        <v>10</v>
      </c>
      <c r="AD241" s="39">
        <v>7</v>
      </c>
      <c r="AE241" s="25" t="s">
        <v>2125</v>
      </c>
      <c r="AF241" s="39">
        <v>120</v>
      </c>
      <c r="AG241" s="39">
        <v>15</v>
      </c>
      <c r="AH241" s="39">
        <v>10</v>
      </c>
      <c r="AI241" s="25" t="s">
        <v>2126</v>
      </c>
      <c r="AJ241" s="39">
        <v>160</v>
      </c>
      <c r="AK241" s="39">
        <v>20</v>
      </c>
      <c r="AL241" s="39">
        <v>13</v>
      </c>
      <c r="AM241" s="25" t="s">
        <v>2127</v>
      </c>
      <c r="AN241" s="39">
        <v>200</v>
      </c>
      <c r="AO241" s="39">
        <v>20</v>
      </c>
      <c r="AP241" s="39">
        <v>15</v>
      </c>
      <c r="AR241" s="39" t="s">
        <v>6456</v>
      </c>
    </row>
    <row r="242" spans="1:44" x14ac:dyDescent="0.2">
      <c r="A242" s="25" t="s">
        <v>49</v>
      </c>
      <c r="B242" s="25" t="s">
        <v>4108</v>
      </c>
      <c r="T242" s="25" t="s">
        <v>35</v>
      </c>
      <c r="U242" s="25">
        <v>1007</v>
      </c>
      <c r="V242" s="25" t="s">
        <v>1480</v>
      </c>
      <c r="W242" s="38" t="s">
        <v>1481</v>
      </c>
      <c r="X242" s="25">
        <v>2</v>
      </c>
      <c r="Y242" s="25" t="s">
        <v>1482</v>
      </c>
      <c r="Z242" s="25" t="s">
        <v>1451</v>
      </c>
      <c r="AA242" s="25" t="s">
        <v>1483</v>
      </c>
      <c r="AB242" s="39">
        <v>20</v>
      </c>
      <c r="AC242" s="39" t="s">
        <v>244</v>
      </c>
      <c r="AD242" s="39">
        <v>5</v>
      </c>
      <c r="AE242" s="25" t="s">
        <v>1484</v>
      </c>
      <c r="AF242" s="39">
        <v>60</v>
      </c>
      <c r="AG242" s="39" t="s">
        <v>244</v>
      </c>
      <c r="AH242" s="39">
        <v>8</v>
      </c>
      <c r="AI242" s="25">
        <v>150</v>
      </c>
      <c r="AJ242" s="39">
        <v>100</v>
      </c>
      <c r="AK242" s="39" t="s">
        <v>244</v>
      </c>
      <c r="AL242" s="39">
        <v>10</v>
      </c>
      <c r="AM242" s="25" t="s">
        <v>1478</v>
      </c>
      <c r="AN242" s="39">
        <v>140</v>
      </c>
      <c r="AO242" s="39" t="s">
        <v>244</v>
      </c>
      <c r="AP242" s="39">
        <v>12</v>
      </c>
      <c r="AR242" s="39"/>
    </row>
    <row r="243" spans="1:44" x14ac:dyDescent="0.2">
      <c r="A243" s="25" t="s">
        <v>49</v>
      </c>
      <c r="B243" s="25" t="s">
        <v>177</v>
      </c>
      <c r="T243" s="25" t="s">
        <v>29</v>
      </c>
      <c r="U243" s="25">
        <v>13001</v>
      </c>
      <c r="V243" s="25" t="s">
        <v>3293</v>
      </c>
      <c r="W243" s="38" t="s">
        <v>3294</v>
      </c>
      <c r="X243" s="25">
        <v>32</v>
      </c>
      <c r="Y243" s="25" t="s">
        <v>1482</v>
      </c>
      <c r="Z243" s="25" t="s">
        <v>1451</v>
      </c>
      <c r="AA243" s="25" t="s">
        <v>3295</v>
      </c>
      <c r="AB243" s="39">
        <v>60</v>
      </c>
      <c r="AC243" s="39">
        <v>5</v>
      </c>
      <c r="AD243" s="39">
        <v>6</v>
      </c>
      <c r="AE243" s="25" t="s">
        <v>3296</v>
      </c>
      <c r="AF243" s="39">
        <v>100</v>
      </c>
      <c r="AG243" s="39">
        <v>10</v>
      </c>
      <c r="AH243" s="39">
        <v>9</v>
      </c>
      <c r="AI243" s="25" t="s">
        <v>3297</v>
      </c>
      <c r="AJ243" s="39">
        <v>150</v>
      </c>
      <c r="AK243" s="39">
        <v>15</v>
      </c>
      <c r="AL243" s="39">
        <v>12</v>
      </c>
      <c r="AM243" s="25" t="s">
        <v>2501</v>
      </c>
      <c r="AN243" s="39">
        <v>300</v>
      </c>
      <c r="AO243" s="39">
        <v>30</v>
      </c>
      <c r="AP243" s="39">
        <v>15</v>
      </c>
      <c r="AR243" s="39"/>
    </row>
    <row r="244" spans="1:44" x14ac:dyDescent="0.2">
      <c r="A244" s="25" t="s">
        <v>49</v>
      </c>
      <c r="B244" s="25" t="s">
        <v>4148</v>
      </c>
      <c r="T244" s="25" t="s">
        <v>1509</v>
      </c>
      <c r="U244" s="25">
        <v>9015</v>
      </c>
      <c r="V244" s="25" t="s">
        <v>2859</v>
      </c>
      <c r="W244" s="38" t="s">
        <v>2860</v>
      </c>
      <c r="X244" s="25" t="s">
        <v>1512</v>
      </c>
      <c r="Y244" s="25" t="s">
        <v>164</v>
      </c>
      <c r="Z244" s="25" t="s">
        <v>1557</v>
      </c>
      <c r="AA244" s="25" t="s">
        <v>2861</v>
      </c>
      <c r="AB244" s="39">
        <v>40</v>
      </c>
      <c r="AC244" s="39">
        <v>5</v>
      </c>
      <c r="AD244" s="39">
        <v>5</v>
      </c>
      <c r="AE244" s="25" t="s">
        <v>2862</v>
      </c>
      <c r="AF244" s="39">
        <v>80</v>
      </c>
      <c r="AG244" s="39">
        <v>15</v>
      </c>
      <c r="AH244" s="39">
        <v>8</v>
      </c>
      <c r="AI244" s="25" t="s">
        <v>2863</v>
      </c>
      <c r="AJ244" s="39">
        <v>160</v>
      </c>
      <c r="AK244" s="39">
        <v>20</v>
      </c>
      <c r="AL244" s="39">
        <v>10</v>
      </c>
      <c r="AM244" s="25" t="s">
        <v>2864</v>
      </c>
      <c r="AN244" s="39">
        <v>240</v>
      </c>
      <c r="AO244" s="39">
        <v>25</v>
      </c>
      <c r="AP244" s="39">
        <v>12</v>
      </c>
      <c r="AQ244" s="25" t="s">
        <v>35</v>
      </c>
      <c r="AR244" s="39"/>
    </row>
    <row r="245" spans="1:44" x14ac:dyDescent="0.2">
      <c r="A245" s="25" t="s">
        <v>49</v>
      </c>
      <c r="B245" s="25" t="s">
        <v>4168</v>
      </c>
      <c r="T245" s="25" t="s">
        <v>1596</v>
      </c>
      <c r="U245" s="25">
        <v>5027</v>
      </c>
      <c r="V245" s="25" t="s">
        <v>2280</v>
      </c>
      <c r="W245" s="38" t="s">
        <v>6468</v>
      </c>
      <c r="X245" s="25">
        <v>44</v>
      </c>
      <c r="Y245" s="25" t="s">
        <v>1498</v>
      </c>
      <c r="Z245" s="25" t="s">
        <v>1451</v>
      </c>
      <c r="AA245" s="25" t="s">
        <v>2281</v>
      </c>
      <c r="AB245" s="39">
        <v>200</v>
      </c>
      <c r="AC245" s="39">
        <v>40</v>
      </c>
      <c r="AD245" s="39">
        <v>9</v>
      </c>
      <c r="AE245" s="25" t="s">
        <v>2282</v>
      </c>
      <c r="AF245" s="39">
        <v>300</v>
      </c>
      <c r="AG245" s="39">
        <v>60</v>
      </c>
      <c r="AH245" s="39">
        <v>12</v>
      </c>
      <c r="AI245" s="25" t="s">
        <v>2283</v>
      </c>
      <c r="AJ245" s="39">
        <v>400</v>
      </c>
      <c r="AK245" s="39">
        <v>80</v>
      </c>
      <c r="AL245" s="39">
        <v>14</v>
      </c>
      <c r="AM245" s="25" t="s">
        <v>2284</v>
      </c>
      <c r="AN245" s="39">
        <v>500</v>
      </c>
      <c r="AO245" s="39">
        <v>100</v>
      </c>
      <c r="AP245" s="39">
        <v>16</v>
      </c>
      <c r="AQ245" s="25" t="s">
        <v>1603</v>
      </c>
      <c r="AR245" s="39" t="s">
        <v>6456</v>
      </c>
    </row>
    <row r="246" spans="1:44" x14ac:dyDescent="0.2">
      <c r="A246" s="25" t="s">
        <v>49</v>
      </c>
      <c r="B246" s="25" t="s">
        <v>4190</v>
      </c>
      <c r="T246" s="25" t="s">
        <v>1535</v>
      </c>
      <c r="U246" s="25">
        <v>9019</v>
      </c>
      <c r="V246" s="25" t="s">
        <v>2876</v>
      </c>
      <c r="W246" s="38" t="s">
        <v>2877</v>
      </c>
      <c r="X246" s="25">
        <v>84</v>
      </c>
      <c r="Y246" s="25" t="s">
        <v>164</v>
      </c>
      <c r="Z246" s="25" t="s">
        <v>1557</v>
      </c>
      <c r="AA246" s="25" t="s">
        <v>2878</v>
      </c>
      <c r="AB246" s="39">
        <v>350</v>
      </c>
      <c r="AC246" s="39">
        <v>15</v>
      </c>
      <c r="AD246" s="39">
        <v>10</v>
      </c>
      <c r="AE246" s="25" t="s">
        <v>2879</v>
      </c>
      <c r="AF246" s="39">
        <v>500</v>
      </c>
      <c r="AG246" s="39">
        <v>25</v>
      </c>
      <c r="AH246" s="39">
        <v>12</v>
      </c>
      <c r="AI246" s="25" t="s">
        <v>2880</v>
      </c>
      <c r="AJ246" s="39">
        <v>800</v>
      </c>
      <c r="AK246" s="39">
        <v>40</v>
      </c>
      <c r="AL246" s="39">
        <v>14</v>
      </c>
      <c r="AM246" s="25" t="s">
        <v>2881</v>
      </c>
      <c r="AN246" s="39">
        <v>1200</v>
      </c>
      <c r="AO246" s="39">
        <v>60</v>
      </c>
      <c r="AP246" s="39">
        <v>16</v>
      </c>
      <c r="AQ246" s="25" t="s">
        <v>1542</v>
      </c>
      <c r="AR246" s="39"/>
    </row>
    <row r="247" spans="1:44" x14ac:dyDescent="0.2">
      <c r="A247" s="25" t="s">
        <v>49</v>
      </c>
      <c r="B247" s="25" t="s">
        <v>4212</v>
      </c>
      <c r="T247" s="25" t="s">
        <v>70</v>
      </c>
      <c r="U247" s="25">
        <v>27005</v>
      </c>
      <c r="V247" s="25" t="s">
        <v>3912</v>
      </c>
      <c r="W247" s="38" t="s">
        <v>3913</v>
      </c>
      <c r="X247" s="25">
        <v>90</v>
      </c>
      <c r="Y247" s="25" t="s">
        <v>116</v>
      </c>
      <c r="Z247" s="25" t="s">
        <v>1451</v>
      </c>
      <c r="AA247" s="25" t="s">
        <v>1479</v>
      </c>
      <c r="AB247" s="39">
        <v>200</v>
      </c>
      <c r="AC247" s="39" t="s">
        <v>244</v>
      </c>
      <c r="AD247" s="39">
        <v>10</v>
      </c>
      <c r="AE247" s="25" t="s">
        <v>3590</v>
      </c>
      <c r="AF247" s="39">
        <v>300</v>
      </c>
      <c r="AG247" s="39" t="s">
        <v>244</v>
      </c>
      <c r="AH247" s="39">
        <v>13</v>
      </c>
      <c r="AI247" s="25" t="s">
        <v>1761</v>
      </c>
      <c r="AJ247" s="39">
        <v>400</v>
      </c>
      <c r="AK247" s="39" t="s">
        <v>244</v>
      </c>
      <c r="AL247" s="39">
        <v>16</v>
      </c>
      <c r="AM247" s="25" t="s">
        <v>3726</v>
      </c>
      <c r="AN247" s="39">
        <v>500</v>
      </c>
      <c r="AO247" s="39" t="s">
        <v>244</v>
      </c>
      <c r="AP247" s="39">
        <v>18</v>
      </c>
      <c r="AR247" s="39"/>
    </row>
    <row r="248" spans="1:44" x14ac:dyDescent="0.2">
      <c r="A248" s="25" t="s">
        <v>49</v>
      </c>
      <c r="B248" s="25" t="s">
        <v>4230</v>
      </c>
      <c r="T248" s="25" t="s">
        <v>1671</v>
      </c>
      <c r="U248" s="25">
        <v>10815</v>
      </c>
      <c r="V248" s="25" t="s">
        <v>3104</v>
      </c>
      <c r="W248" s="38" t="s">
        <v>3105</v>
      </c>
      <c r="X248" s="25" t="s">
        <v>1674</v>
      </c>
      <c r="Y248" s="25" t="s">
        <v>1498</v>
      </c>
      <c r="Z248" s="25" t="s">
        <v>1557</v>
      </c>
      <c r="AA248" s="25" t="s">
        <v>1854</v>
      </c>
      <c r="AB248" s="39">
        <v>150</v>
      </c>
      <c r="AC248" s="39" t="s">
        <v>244</v>
      </c>
      <c r="AD248" s="39">
        <v>10</v>
      </c>
      <c r="AE248" s="25" t="s">
        <v>2463</v>
      </c>
      <c r="AF248" s="39">
        <v>200</v>
      </c>
      <c r="AG248" s="39" t="s">
        <v>244</v>
      </c>
      <c r="AH248" s="39">
        <v>12</v>
      </c>
      <c r="AI248" s="25" t="s">
        <v>1855</v>
      </c>
      <c r="AJ248" s="39">
        <v>240</v>
      </c>
      <c r="AK248" s="39" t="s">
        <v>244</v>
      </c>
      <c r="AL248" s="39">
        <v>14</v>
      </c>
      <c r="AM248" s="25" t="s">
        <v>3106</v>
      </c>
      <c r="AN248" s="39">
        <v>280</v>
      </c>
      <c r="AO248" s="39" t="s">
        <v>244</v>
      </c>
      <c r="AP248" s="39">
        <v>16</v>
      </c>
      <c r="AQ248" s="25" t="s">
        <v>698</v>
      </c>
      <c r="AR248" s="39"/>
    </row>
    <row r="249" spans="1:44" x14ac:dyDescent="0.2">
      <c r="A249" s="25" t="s">
        <v>49</v>
      </c>
      <c r="B249" s="25" t="s">
        <v>4254</v>
      </c>
      <c r="T249" s="25" t="s">
        <v>90</v>
      </c>
      <c r="U249" s="25">
        <v>19009</v>
      </c>
      <c r="V249" s="25" t="s">
        <v>3603</v>
      </c>
      <c r="W249" s="38" t="s">
        <v>3604</v>
      </c>
      <c r="X249" s="25">
        <v>62</v>
      </c>
      <c r="Y249" s="25" t="s">
        <v>1582</v>
      </c>
      <c r="Z249" s="25" t="s">
        <v>1451</v>
      </c>
      <c r="AA249" s="25" t="s">
        <v>1667</v>
      </c>
      <c r="AB249" s="39">
        <v>100</v>
      </c>
      <c r="AC249" s="39" t="s">
        <v>244</v>
      </c>
      <c r="AD249" s="39">
        <v>8</v>
      </c>
      <c r="AE249" s="25" t="s">
        <v>1586</v>
      </c>
      <c r="AF249" s="39">
        <v>180</v>
      </c>
      <c r="AG249" s="39" t="s">
        <v>244</v>
      </c>
      <c r="AH249" s="39">
        <v>10</v>
      </c>
      <c r="AI249" s="25" t="s">
        <v>1669</v>
      </c>
      <c r="AJ249" s="39">
        <v>240</v>
      </c>
      <c r="AK249" s="39" t="s">
        <v>244</v>
      </c>
      <c r="AL249" s="39">
        <v>12</v>
      </c>
      <c r="AM249" s="25" t="s">
        <v>1670</v>
      </c>
      <c r="AN249" s="39">
        <v>300</v>
      </c>
      <c r="AO249" s="39" t="s">
        <v>244</v>
      </c>
      <c r="AP249" s="39">
        <v>15</v>
      </c>
      <c r="AR249" s="39"/>
    </row>
    <row r="250" spans="1:44" x14ac:dyDescent="0.2">
      <c r="A250" s="25" t="s">
        <v>61</v>
      </c>
      <c r="B250" s="25" t="s">
        <v>1464</v>
      </c>
      <c r="T250" s="25" t="s">
        <v>1531</v>
      </c>
      <c r="U250" s="25">
        <v>3018</v>
      </c>
      <c r="V250" s="25" t="s">
        <v>1927</v>
      </c>
      <c r="W250" s="38" t="s">
        <v>6541</v>
      </c>
      <c r="X250" s="25">
        <v>24</v>
      </c>
      <c r="Y250" s="25" t="s">
        <v>164</v>
      </c>
      <c r="Z250" s="25" t="s">
        <v>1451</v>
      </c>
      <c r="AA250" s="25" t="s">
        <v>1928</v>
      </c>
      <c r="AB250" s="39">
        <v>100</v>
      </c>
      <c r="AC250" s="39">
        <v>5</v>
      </c>
      <c r="AD250" s="39">
        <v>6</v>
      </c>
      <c r="AE250" s="25" t="s">
        <v>1929</v>
      </c>
      <c r="AF250" s="39">
        <v>180</v>
      </c>
      <c r="AG250" s="39">
        <v>20</v>
      </c>
      <c r="AH250" s="39">
        <v>9</v>
      </c>
      <c r="AI250" s="25" t="s">
        <v>1541</v>
      </c>
      <c r="AJ250" s="39">
        <v>240</v>
      </c>
      <c r="AK250" s="39">
        <v>25</v>
      </c>
      <c r="AL250" s="39">
        <v>12</v>
      </c>
      <c r="AM250" s="25" t="s">
        <v>1930</v>
      </c>
      <c r="AN250" s="39">
        <v>300</v>
      </c>
      <c r="AO250" s="39">
        <v>30</v>
      </c>
      <c r="AP250" s="39">
        <v>15</v>
      </c>
      <c r="AQ250" s="25" t="s">
        <v>1534</v>
      </c>
      <c r="AR250" s="39" t="s">
        <v>6456</v>
      </c>
    </row>
    <row r="251" spans="1:44" x14ac:dyDescent="0.2">
      <c r="A251" s="25" t="s">
        <v>61</v>
      </c>
      <c r="B251" s="25" t="s">
        <v>1701</v>
      </c>
      <c r="T251" s="25" t="s">
        <v>101</v>
      </c>
      <c r="U251" s="25">
        <v>3011</v>
      </c>
      <c r="V251" s="25" t="s">
        <v>1905</v>
      </c>
      <c r="W251" s="38" t="s">
        <v>1906</v>
      </c>
      <c r="X251" s="25">
        <v>8</v>
      </c>
      <c r="Y251" s="25" t="s">
        <v>164</v>
      </c>
      <c r="Z251" s="25" t="s">
        <v>1451</v>
      </c>
      <c r="AA251" s="25" t="s">
        <v>1483</v>
      </c>
      <c r="AB251" s="39">
        <v>40</v>
      </c>
      <c r="AC251" s="39">
        <v>5</v>
      </c>
      <c r="AD251" s="39">
        <v>6</v>
      </c>
      <c r="AE251" s="25" t="s">
        <v>1907</v>
      </c>
      <c r="AF251" s="39">
        <v>120</v>
      </c>
      <c r="AG251" s="39">
        <v>10</v>
      </c>
      <c r="AH251" s="39">
        <v>8</v>
      </c>
      <c r="AI251" s="25" t="s">
        <v>1478</v>
      </c>
      <c r="AJ251" s="39">
        <v>200</v>
      </c>
      <c r="AK251" s="39">
        <v>10</v>
      </c>
      <c r="AL251" s="39">
        <v>11</v>
      </c>
      <c r="AM251" s="25" t="s">
        <v>1908</v>
      </c>
      <c r="AN251" s="39">
        <v>300</v>
      </c>
      <c r="AO251" s="39">
        <v>15</v>
      </c>
      <c r="AP251" s="39">
        <v>13</v>
      </c>
      <c r="AR251" s="39"/>
    </row>
    <row r="252" spans="1:44" x14ac:dyDescent="0.2">
      <c r="A252" s="25" t="s">
        <v>61</v>
      </c>
      <c r="B252" s="25" t="s">
        <v>1876</v>
      </c>
      <c r="T252" s="25" t="s">
        <v>101</v>
      </c>
      <c r="U252" s="25">
        <v>19011</v>
      </c>
      <c r="V252" s="25" t="s">
        <v>3607</v>
      </c>
      <c r="W252" s="38" t="s">
        <v>6596</v>
      </c>
      <c r="X252" s="25">
        <v>48</v>
      </c>
      <c r="Y252" s="25" t="s">
        <v>1582</v>
      </c>
      <c r="Z252" s="25" t="s">
        <v>1451</v>
      </c>
      <c r="AA252" s="25" t="s">
        <v>1989</v>
      </c>
      <c r="AB252" s="39">
        <v>140</v>
      </c>
      <c r="AC252" s="39">
        <v>30</v>
      </c>
      <c r="AD252" s="39">
        <v>9</v>
      </c>
      <c r="AE252" s="25" t="s">
        <v>1667</v>
      </c>
      <c r="AF252" s="39">
        <v>180</v>
      </c>
      <c r="AG252" s="39">
        <v>40</v>
      </c>
      <c r="AH252" s="39">
        <v>11</v>
      </c>
      <c r="AI252" s="25" t="s">
        <v>1668</v>
      </c>
      <c r="AJ252" s="39">
        <v>240</v>
      </c>
      <c r="AK252" s="39">
        <v>50</v>
      </c>
      <c r="AL252" s="39">
        <v>13</v>
      </c>
      <c r="AM252" s="25" t="s">
        <v>1586</v>
      </c>
      <c r="AN252" s="39">
        <v>300</v>
      </c>
      <c r="AO252" s="39">
        <v>60</v>
      </c>
      <c r="AP252" s="39">
        <v>15</v>
      </c>
      <c r="AR252" s="39" t="s">
        <v>6456</v>
      </c>
    </row>
    <row r="253" spans="1:44" x14ac:dyDescent="0.2">
      <c r="A253" s="25" t="s">
        <v>61</v>
      </c>
      <c r="B253" s="25" t="s">
        <v>2034</v>
      </c>
      <c r="T253" s="25" t="s">
        <v>90</v>
      </c>
      <c r="U253" s="25">
        <v>28009</v>
      </c>
      <c r="V253" s="25" t="s">
        <v>2162</v>
      </c>
      <c r="W253" s="38" t="s">
        <v>6579</v>
      </c>
      <c r="X253" s="25">
        <v>92</v>
      </c>
      <c r="Y253" s="25" t="s">
        <v>1498</v>
      </c>
      <c r="Z253" s="25" t="s">
        <v>1451</v>
      </c>
      <c r="AA253" s="25" t="s">
        <v>3975</v>
      </c>
      <c r="AB253" s="39">
        <v>300</v>
      </c>
      <c r="AC253" s="39">
        <v>60</v>
      </c>
      <c r="AD253" s="39">
        <v>10</v>
      </c>
      <c r="AE253" s="25" t="s">
        <v>3976</v>
      </c>
      <c r="AF253" s="39">
        <v>500</v>
      </c>
      <c r="AG253" s="39">
        <v>75</v>
      </c>
      <c r="AH253" s="39">
        <v>13</v>
      </c>
      <c r="AI253" s="25" t="s">
        <v>3977</v>
      </c>
      <c r="AJ253" s="39">
        <v>750</v>
      </c>
      <c r="AK253" s="39">
        <v>85</v>
      </c>
      <c r="AL253" s="39">
        <v>15</v>
      </c>
      <c r="AM253" s="25" t="s">
        <v>3978</v>
      </c>
      <c r="AN253" s="39">
        <v>1000</v>
      </c>
      <c r="AO253" s="39">
        <v>100</v>
      </c>
      <c r="AP253" s="39">
        <v>18</v>
      </c>
      <c r="AR253" s="39" t="s">
        <v>6456</v>
      </c>
    </row>
    <row r="254" spans="1:44" x14ac:dyDescent="0.2">
      <c r="A254" s="25" t="s">
        <v>61</v>
      </c>
      <c r="B254" s="25" t="s">
        <v>2185</v>
      </c>
      <c r="T254" s="25" t="s">
        <v>1663</v>
      </c>
      <c r="U254" s="25">
        <v>4715</v>
      </c>
      <c r="V254" s="25" t="s">
        <v>2162</v>
      </c>
      <c r="W254" s="38" t="s">
        <v>2163</v>
      </c>
      <c r="X254" s="25" t="s">
        <v>1666</v>
      </c>
      <c r="Y254" s="25" t="s">
        <v>1582</v>
      </c>
      <c r="Z254" s="25" t="s">
        <v>1451</v>
      </c>
      <c r="AA254" s="25" t="s">
        <v>2164</v>
      </c>
      <c r="AB254" s="39">
        <v>160</v>
      </c>
      <c r="AC254" s="39">
        <v>20</v>
      </c>
      <c r="AD254" s="39">
        <v>9</v>
      </c>
      <c r="AE254" s="25" t="s">
        <v>2002</v>
      </c>
      <c r="AF254" s="39">
        <v>200</v>
      </c>
      <c r="AG254" s="39">
        <v>20</v>
      </c>
      <c r="AH254" s="39">
        <v>11</v>
      </c>
      <c r="AI254" s="25" t="s">
        <v>2003</v>
      </c>
      <c r="AJ254" s="39">
        <v>240</v>
      </c>
      <c r="AK254" s="39">
        <v>25</v>
      </c>
      <c r="AL254" s="39">
        <v>13</v>
      </c>
      <c r="AM254" s="25" t="s">
        <v>2165</v>
      </c>
      <c r="AN254" s="39">
        <v>280</v>
      </c>
      <c r="AO254" s="39">
        <v>30</v>
      </c>
      <c r="AP254" s="39">
        <v>16</v>
      </c>
      <c r="AQ254" s="25" t="s">
        <v>698</v>
      </c>
      <c r="AR254" s="39"/>
    </row>
    <row r="255" spans="1:44" x14ac:dyDescent="0.2">
      <c r="A255" s="25" t="s">
        <v>61</v>
      </c>
      <c r="B255" s="25" t="s">
        <v>2350</v>
      </c>
      <c r="T255" s="25" t="s">
        <v>29</v>
      </c>
      <c r="U255" s="25">
        <v>12001</v>
      </c>
      <c r="V255" s="25" t="s">
        <v>3201</v>
      </c>
      <c r="W255" s="38" t="s">
        <v>3202</v>
      </c>
      <c r="X255" s="25">
        <v>30</v>
      </c>
      <c r="Y255" s="25" t="s">
        <v>1705</v>
      </c>
      <c r="Z255" s="25" t="s">
        <v>1451</v>
      </c>
      <c r="AA255" s="25" t="s">
        <v>3203</v>
      </c>
      <c r="AB255" s="39">
        <v>50</v>
      </c>
      <c r="AC255" s="39">
        <v>5</v>
      </c>
      <c r="AD255" s="39">
        <v>6</v>
      </c>
      <c r="AE255" s="25" t="s">
        <v>2659</v>
      </c>
      <c r="AF255" s="39">
        <v>150</v>
      </c>
      <c r="AG255" s="39">
        <v>20</v>
      </c>
      <c r="AH255" s="39">
        <v>9</v>
      </c>
      <c r="AI255" s="25" t="s">
        <v>3204</v>
      </c>
      <c r="AJ255" s="39">
        <v>250</v>
      </c>
      <c r="AK255" s="39">
        <v>25</v>
      </c>
      <c r="AL255" s="39">
        <v>12</v>
      </c>
      <c r="AM255" s="25" t="s">
        <v>3205</v>
      </c>
      <c r="AN255" s="39">
        <v>350</v>
      </c>
      <c r="AO255" s="39">
        <v>30</v>
      </c>
      <c r="AP255" s="39">
        <v>16</v>
      </c>
      <c r="AR255" s="39"/>
    </row>
    <row r="256" spans="1:44" x14ac:dyDescent="0.2">
      <c r="A256" s="25" t="s">
        <v>61</v>
      </c>
      <c r="B256" s="25" t="s">
        <v>2509</v>
      </c>
      <c r="T256" s="25" t="s">
        <v>39</v>
      </c>
      <c r="U256" s="25">
        <v>12002</v>
      </c>
      <c r="V256" s="25" t="s">
        <v>3206</v>
      </c>
      <c r="W256" s="38" t="s">
        <v>3207</v>
      </c>
      <c r="X256" s="25">
        <v>30</v>
      </c>
      <c r="Y256" s="25" t="s">
        <v>1705</v>
      </c>
      <c r="Z256" s="25" t="s">
        <v>1451</v>
      </c>
      <c r="AA256" s="25" t="s">
        <v>3203</v>
      </c>
      <c r="AB256" s="39">
        <v>50</v>
      </c>
      <c r="AC256" s="39">
        <v>5</v>
      </c>
      <c r="AD256" s="39">
        <v>6</v>
      </c>
      <c r="AE256" s="25" t="s">
        <v>2659</v>
      </c>
      <c r="AF256" s="39">
        <v>150</v>
      </c>
      <c r="AG256" s="39">
        <v>20</v>
      </c>
      <c r="AH256" s="39">
        <v>9</v>
      </c>
      <c r="AI256" s="25" t="s">
        <v>3204</v>
      </c>
      <c r="AJ256" s="39">
        <v>250</v>
      </c>
      <c r="AK256" s="39">
        <v>25</v>
      </c>
      <c r="AL256" s="39">
        <v>12</v>
      </c>
      <c r="AM256" s="25" t="s">
        <v>3205</v>
      </c>
      <c r="AN256" s="39">
        <v>350</v>
      </c>
      <c r="AO256" s="39">
        <v>30</v>
      </c>
      <c r="AP256" s="39">
        <v>16</v>
      </c>
      <c r="AR256" s="39"/>
    </row>
    <row r="257" spans="1:44" x14ac:dyDescent="0.2">
      <c r="A257" s="25" t="s">
        <v>61</v>
      </c>
      <c r="B257" s="25" t="s">
        <v>2673</v>
      </c>
      <c r="T257" s="25" t="s">
        <v>1646</v>
      </c>
      <c r="U257" s="25">
        <v>12515</v>
      </c>
      <c r="V257" s="25" t="s">
        <v>3269</v>
      </c>
      <c r="W257" s="38" t="s">
        <v>6559</v>
      </c>
      <c r="X257" s="25" t="s">
        <v>1649</v>
      </c>
      <c r="Y257" s="25" t="s">
        <v>1582</v>
      </c>
      <c r="Z257" s="25" t="s">
        <v>1451</v>
      </c>
      <c r="AA257" s="25" t="s">
        <v>3270</v>
      </c>
      <c r="AB257" s="39">
        <v>80</v>
      </c>
      <c r="AC257" s="39">
        <v>10</v>
      </c>
      <c r="AD257" s="39">
        <v>8</v>
      </c>
      <c r="AE257" s="25" t="s">
        <v>3271</v>
      </c>
      <c r="AF257" s="39">
        <v>120</v>
      </c>
      <c r="AG257" s="39">
        <v>10</v>
      </c>
      <c r="AH257" s="39">
        <v>10</v>
      </c>
      <c r="AI257" s="25" t="s">
        <v>1500</v>
      </c>
      <c r="AJ257" s="39">
        <v>160</v>
      </c>
      <c r="AK257" s="39">
        <v>15</v>
      </c>
      <c r="AL257" s="39">
        <v>12</v>
      </c>
      <c r="AM257" s="25" t="s">
        <v>1501</v>
      </c>
      <c r="AN257" s="39">
        <v>200</v>
      </c>
      <c r="AO257" s="39">
        <v>15</v>
      </c>
      <c r="AP257" s="39">
        <v>14</v>
      </c>
      <c r="AQ257" s="25" t="s">
        <v>698</v>
      </c>
      <c r="AR257" s="39" t="s">
        <v>6456</v>
      </c>
    </row>
    <row r="258" spans="1:44" x14ac:dyDescent="0.2">
      <c r="A258" s="25" t="s">
        <v>61</v>
      </c>
      <c r="B258" s="25" t="s">
        <v>2825</v>
      </c>
      <c r="T258" s="25" t="s">
        <v>1531</v>
      </c>
      <c r="U258" s="25">
        <v>8018</v>
      </c>
      <c r="V258" s="25" t="s">
        <v>2721</v>
      </c>
      <c r="W258" s="38" t="s">
        <v>2722</v>
      </c>
      <c r="X258" s="25">
        <v>74</v>
      </c>
      <c r="Y258" s="25" t="s">
        <v>164</v>
      </c>
      <c r="Z258" s="25" t="s">
        <v>1451</v>
      </c>
      <c r="AA258" s="25" t="s">
        <v>2723</v>
      </c>
      <c r="AB258" s="39">
        <v>280</v>
      </c>
      <c r="AC258" s="39" t="s">
        <v>744</v>
      </c>
      <c r="AD258" s="39">
        <v>10</v>
      </c>
      <c r="AE258" s="25">
        <v>80</v>
      </c>
      <c r="AF258" s="39">
        <v>320</v>
      </c>
      <c r="AG258" s="39" t="s">
        <v>744</v>
      </c>
      <c r="AH258" s="39">
        <v>12</v>
      </c>
      <c r="AI258" s="25">
        <v>120</v>
      </c>
      <c r="AJ258" s="39">
        <v>480</v>
      </c>
      <c r="AK258" s="39" t="s">
        <v>744</v>
      </c>
      <c r="AL258" s="39">
        <v>14</v>
      </c>
      <c r="AM258" s="25">
        <v>160</v>
      </c>
      <c r="AN258" s="39">
        <v>700</v>
      </c>
      <c r="AO258" s="39" t="s">
        <v>744</v>
      </c>
      <c r="AP258" s="39">
        <v>16</v>
      </c>
      <c r="AQ258" s="25" t="s">
        <v>1534</v>
      </c>
      <c r="AR258" s="39"/>
    </row>
    <row r="259" spans="1:44" x14ac:dyDescent="0.2">
      <c r="A259" s="25" t="s">
        <v>61</v>
      </c>
      <c r="B259" s="25" t="s">
        <v>2976</v>
      </c>
      <c r="T259" s="25" t="s">
        <v>101</v>
      </c>
      <c r="U259" s="25">
        <v>31011</v>
      </c>
      <c r="V259" s="25" t="s">
        <v>4079</v>
      </c>
      <c r="W259" s="38" t="s">
        <v>4080</v>
      </c>
      <c r="X259" s="25">
        <v>78</v>
      </c>
      <c r="Y259" s="25" t="s">
        <v>1582</v>
      </c>
      <c r="Z259" s="25" t="s">
        <v>1451</v>
      </c>
      <c r="AA259" s="25" t="s">
        <v>1667</v>
      </c>
      <c r="AB259" s="39">
        <v>200</v>
      </c>
      <c r="AC259" s="39" t="s">
        <v>244</v>
      </c>
      <c r="AD259" s="39">
        <v>10</v>
      </c>
      <c r="AE259" s="25" t="s">
        <v>1668</v>
      </c>
      <c r="AF259" s="39">
        <v>240</v>
      </c>
      <c r="AG259" s="39" t="s">
        <v>244</v>
      </c>
      <c r="AH259" s="39">
        <v>12</v>
      </c>
      <c r="AI259" s="25" t="s">
        <v>1586</v>
      </c>
      <c r="AJ259" s="39">
        <v>280</v>
      </c>
      <c r="AK259" s="39" t="s">
        <v>244</v>
      </c>
      <c r="AL259" s="39">
        <v>14</v>
      </c>
      <c r="AM259" s="25" t="s">
        <v>1669</v>
      </c>
      <c r="AN259" s="39">
        <v>320</v>
      </c>
      <c r="AO259" s="39" t="s">
        <v>244</v>
      </c>
      <c r="AP259" s="39">
        <v>16</v>
      </c>
      <c r="AR259" s="39"/>
    </row>
    <row r="260" spans="1:44" x14ac:dyDescent="0.2">
      <c r="A260" s="25" t="s">
        <v>61</v>
      </c>
      <c r="B260" s="25" t="s">
        <v>3121</v>
      </c>
      <c r="T260" s="25" t="s">
        <v>101</v>
      </c>
      <c r="U260" s="25">
        <v>15011</v>
      </c>
      <c r="V260" s="25" t="s">
        <v>3441</v>
      </c>
      <c r="W260" s="38" t="s">
        <v>3442</v>
      </c>
      <c r="X260" s="25">
        <v>38</v>
      </c>
      <c r="Y260" s="25" t="s">
        <v>1582</v>
      </c>
      <c r="Z260" s="25" t="s">
        <v>1451</v>
      </c>
      <c r="AA260" s="25" t="s">
        <v>1668</v>
      </c>
      <c r="AB260" s="39">
        <v>60</v>
      </c>
      <c r="AC260" s="39">
        <v>5</v>
      </c>
      <c r="AD260" s="39">
        <v>8</v>
      </c>
      <c r="AE260" s="25" t="s">
        <v>1669</v>
      </c>
      <c r="AF260" s="39">
        <v>150</v>
      </c>
      <c r="AG260" s="39">
        <v>10</v>
      </c>
      <c r="AH260" s="39">
        <v>10</v>
      </c>
      <c r="AI260" s="25" t="s">
        <v>1670</v>
      </c>
      <c r="AJ260" s="39">
        <v>240</v>
      </c>
      <c r="AK260" s="39">
        <v>15</v>
      </c>
      <c r="AL260" s="39">
        <v>13</v>
      </c>
      <c r="AM260" s="25" t="s">
        <v>3342</v>
      </c>
      <c r="AN260" s="39">
        <v>320</v>
      </c>
      <c r="AO260" s="39">
        <v>15</v>
      </c>
      <c r="AP260" s="39">
        <v>15</v>
      </c>
      <c r="AR260" s="39"/>
    </row>
    <row r="261" spans="1:44" x14ac:dyDescent="0.2">
      <c r="A261" s="25" t="s">
        <v>61</v>
      </c>
      <c r="B261" s="25" t="s">
        <v>3211</v>
      </c>
      <c r="T261" s="25" t="s">
        <v>101</v>
      </c>
      <c r="U261" s="25">
        <v>13011</v>
      </c>
      <c r="V261" s="25" t="s">
        <v>3340</v>
      </c>
      <c r="W261" s="38" t="s">
        <v>3341</v>
      </c>
      <c r="X261" s="25">
        <v>32</v>
      </c>
      <c r="Y261" s="25" t="s">
        <v>1582</v>
      </c>
      <c r="Z261" s="25" t="s">
        <v>1451</v>
      </c>
      <c r="AA261" s="25" t="s">
        <v>1668</v>
      </c>
      <c r="AB261" s="39">
        <v>60</v>
      </c>
      <c r="AC261" s="39" t="s">
        <v>244</v>
      </c>
      <c r="AD261" s="39">
        <v>8</v>
      </c>
      <c r="AE261" s="25" t="s">
        <v>1669</v>
      </c>
      <c r="AF261" s="39">
        <v>140</v>
      </c>
      <c r="AG261" s="39" t="s">
        <v>244</v>
      </c>
      <c r="AH261" s="39">
        <v>10</v>
      </c>
      <c r="AI261" s="25" t="s">
        <v>1670</v>
      </c>
      <c r="AJ261" s="39">
        <v>220</v>
      </c>
      <c r="AK261" s="39" t="s">
        <v>244</v>
      </c>
      <c r="AL261" s="39">
        <v>13</v>
      </c>
      <c r="AM261" s="25" t="s">
        <v>3342</v>
      </c>
      <c r="AN261" s="39">
        <v>300</v>
      </c>
      <c r="AO261" s="39" t="s">
        <v>244</v>
      </c>
      <c r="AP261" s="39">
        <v>15</v>
      </c>
      <c r="AR261" s="39"/>
    </row>
    <row r="262" spans="1:44" x14ac:dyDescent="0.2">
      <c r="A262" s="25" t="s">
        <v>61</v>
      </c>
      <c r="B262" s="25" t="s">
        <v>3308</v>
      </c>
      <c r="T262" s="25" t="s">
        <v>101</v>
      </c>
      <c r="U262" s="25">
        <v>5011</v>
      </c>
      <c r="V262" s="25" t="s">
        <v>2221</v>
      </c>
      <c r="W262" s="38" t="s">
        <v>2222</v>
      </c>
      <c r="X262" s="25">
        <v>12</v>
      </c>
      <c r="Y262" s="25" t="s">
        <v>1582</v>
      </c>
      <c r="Z262" s="25" t="s">
        <v>1451</v>
      </c>
      <c r="AA262" s="25" t="s">
        <v>1989</v>
      </c>
      <c r="AB262" s="39">
        <v>50</v>
      </c>
      <c r="AC262" s="39" t="s">
        <v>244</v>
      </c>
      <c r="AD262" s="39">
        <v>6</v>
      </c>
      <c r="AE262" s="25" t="s">
        <v>1668</v>
      </c>
      <c r="AF262" s="39">
        <v>140</v>
      </c>
      <c r="AG262" s="39" t="s">
        <v>244</v>
      </c>
      <c r="AH262" s="39">
        <v>9</v>
      </c>
      <c r="AI262" s="25" t="s">
        <v>1669</v>
      </c>
      <c r="AJ262" s="39">
        <v>230</v>
      </c>
      <c r="AK262" s="39" t="s">
        <v>244</v>
      </c>
      <c r="AL262" s="39">
        <v>12</v>
      </c>
      <c r="AM262" s="25" t="s">
        <v>2223</v>
      </c>
      <c r="AN262" s="39">
        <v>320</v>
      </c>
      <c r="AO262" s="39" t="s">
        <v>244</v>
      </c>
      <c r="AP262" s="39">
        <v>14</v>
      </c>
      <c r="AR262" s="39"/>
    </row>
    <row r="263" spans="1:44" x14ac:dyDescent="0.2">
      <c r="A263" s="25" t="s">
        <v>61</v>
      </c>
      <c r="B263" s="25" t="s">
        <v>3359</v>
      </c>
      <c r="T263" s="25" t="s">
        <v>101</v>
      </c>
      <c r="U263" s="25">
        <v>40011</v>
      </c>
      <c r="V263" s="25" t="s">
        <v>4262</v>
      </c>
      <c r="W263" s="38" t="s">
        <v>6474</v>
      </c>
      <c r="X263" s="25">
        <v>100</v>
      </c>
      <c r="Y263" s="25" t="s">
        <v>1498</v>
      </c>
      <c r="Z263" s="25" t="s">
        <v>1451</v>
      </c>
      <c r="AA263" s="25" t="s">
        <v>2546</v>
      </c>
      <c r="AB263" s="39">
        <v>900</v>
      </c>
      <c r="AC263" s="39">
        <v>45</v>
      </c>
      <c r="AD263" s="39">
        <v>17</v>
      </c>
      <c r="AE263" s="25" t="s">
        <v>4263</v>
      </c>
      <c r="AF263" s="39">
        <v>2000</v>
      </c>
      <c r="AG263" s="39">
        <v>100</v>
      </c>
      <c r="AH263" s="39">
        <v>18</v>
      </c>
      <c r="AI263" s="25" t="s">
        <v>3781</v>
      </c>
      <c r="AJ263" s="39">
        <v>3500</v>
      </c>
      <c r="AK263" s="39">
        <v>175</v>
      </c>
      <c r="AL263" s="39">
        <v>19</v>
      </c>
      <c r="AM263" s="25" t="s">
        <v>3982</v>
      </c>
      <c r="AN263" s="39">
        <v>5000</v>
      </c>
      <c r="AO263" s="39">
        <v>250</v>
      </c>
      <c r="AP263" s="39">
        <v>20</v>
      </c>
      <c r="AR263" s="39" t="s">
        <v>6456</v>
      </c>
    </row>
    <row r="264" spans="1:44" x14ac:dyDescent="0.2">
      <c r="A264" s="25" t="s">
        <v>61</v>
      </c>
      <c r="B264" s="25" t="s">
        <v>3411</v>
      </c>
      <c r="T264" s="25" t="s">
        <v>94</v>
      </c>
      <c r="U264" s="25">
        <v>22010</v>
      </c>
      <c r="V264" s="25" t="s">
        <v>3736</v>
      </c>
      <c r="W264" s="38" t="s">
        <v>6603</v>
      </c>
      <c r="X264" s="25">
        <v>72</v>
      </c>
      <c r="Y264" s="25" t="s">
        <v>1582</v>
      </c>
      <c r="Z264" s="25" t="s">
        <v>1451</v>
      </c>
      <c r="AA264" s="25" t="s">
        <v>2125</v>
      </c>
      <c r="AB264" s="39">
        <v>120</v>
      </c>
      <c r="AC264" s="39">
        <v>15</v>
      </c>
      <c r="AD264" s="39">
        <v>8</v>
      </c>
      <c r="AE264" s="25" t="s">
        <v>2126</v>
      </c>
      <c r="AF264" s="39">
        <v>180</v>
      </c>
      <c r="AG264" s="39">
        <v>20</v>
      </c>
      <c r="AH264" s="39">
        <v>10</v>
      </c>
      <c r="AI264" s="25" t="s">
        <v>2127</v>
      </c>
      <c r="AJ264" s="39">
        <v>240</v>
      </c>
      <c r="AK264" s="39">
        <v>25</v>
      </c>
      <c r="AL264" s="39">
        <v>13</v>
      </c>
      <c r="AM264" s="25" t="s">
        <v>2286</v>
      </c>
      <c r="AN264" s="39">
        <v>320</v>
      </c>
      <c r="AO264" s="39">
        <v>35</v>
      </c>
      <c r="AP264" s="39">
        <v>16</v>
      </c>
      <c r="AR264" s="39" t="s">
        <v>6456</v>
      </c>
    </row>
    <row r="265" spans="1:44" x14ac:dyDescent="0.2">
      <c r="A265" s="25" t="s">
        <v>61</v>
      </c>
      <c r="B265" s="25" t="s">
        <v>3453</v>
      </c>
      <c r="T265" s="25" t="s">
        <v>49</v>
      </c>
      <c r="U265" s="25">
        <v>39003</v>
      </c>
      <c r="V265" s="25" t="s">
        <v>4230</v>
      </c>
      <c r="W265" s="38" t="s">
        <v>4231</v>
      </c>
      <c r="X265" s="25">
        <v>98</v>
      </c>
      <c r="Y265" s="25" t="s">
        <v>164</v>
      </c>
      <c r="Z265" s="25" t="s">
        <v>1451</v>
      </c>
      <c r="AA265" s="25" t="s">
        <v>4232</v>
      </c>
      <c r="AB265" s="39">
        <v>800</v>
      </c>
      <c r="AC265" s="39" t="s">
        <v>244</v>
      </c>
      <c r="AD265" s="39">
        <v>16</v>
      </c>
      <c r="AE265" s="25" t="s">
        <v>4233</v>
      </c>
      <c r="AF265" s="39">
        <v>2000</v>
      </c>
      <c r="AG265" s="39" t="s">
        <v>244</v>
      </c>
      <c r="AH265" s="39">
        <v>17</v>
      </c>
      <c r="AI265" s="25" t="s">
        <v>4234</v>
      </c>
      <c r="AJ265" s="39">
        <v>4000</v>
      </c>
      <c r="AK265" s="39" t="s">
        <v>244</v>
      </c>
      <c r="AL265" s="39">
        <v>18</v>
      </c>
      <c r="AM265" s="25" t="s">
        <v>4235</v>
      </c>
      <c r="AN265" s="39">
        <v>8000</v>
      </c>
      <c r="AO265" s="39" t="s">
        <v>244</v>
      </c>
      <c r="AP265" s="39">
        <v>19</v>
      </c>
      <c r="AR265" s="39"/>
    </row>
    <row r="266" spans="1:44" x14ac:dyDescent="0.2">
      <c r="A266" s="25" t="s">
        <v>61</v>
      </c>
      <c r="B266" s="25" t="s">
        <v>3499</v>
      </c>
      <c r="T266" s="25" t="s">
        <v>1679</v>
      </c>
      <c r="U266" s="25">
        <v>3915</v>
      </c>
      <c r="V266" s="25" t="s">
        <v>2017</v>
      </c>
      <c r="W266" s="38" t="s">
        <v>6482</v>
      </c>
      <c r="X266" s="25" t="s">
        <v>1682</v>
      </c>
      <c r="Y266" s="25" t="s">
        <v>164</v>
      </c>
      <c r="Z266" s="25" t="s">
        <v>1451</v>
      </c>
      <c r="AA266" s="25" t="s">
        <v>2018</v>
      </c>
      <c r="AB266" s="39">
        <v>200</v>
      </c>
      <c r="AC266" s="39">
        <v>30</v>
      </c>
      <c r="AD266" s="39">
        <v>10</v>
      </c>
      <c r="AE266" s="25" t="s">
        <v>2019</v>
      </c>
      <c r="AF266" s="39">
        <v>300</v>
      </c>
      <c r="AG266" s="39">
        <v>45</v>
      </c>
      <c r="AH266" s="39">
        <v>12</v>
      </c>
      <c r="AI266" s="25" t="s">
        <v>2020</v>
      </c>
      <c r="AJ266" s="39">
        <v>400</v>
      </c>
      <c r="AK266" s="39">
        <v>60</v>
      </c>
      <c r="AL266" s="39">
        <v>14</v>
      </c>
      <c r="AM266" s="25" t="s">
        <v>2021</v>
      </c>
      <c r="AN266" s="39">
        <v>500</v>
      </c>
      <c r="AO266" s="39">
        <v>75</v>
      </c>
      <c r="AP266" s="39">
        <v>16</v>
      </c>
      <c r="AQ266" s="25" t="s">
        <v>61</v>
      </c>
      <c r="AR266" s="39" t="s">
        <v>6456</v>
      </c>
    </row>
    <row r="267" spans="1:44" x14ac:dyDescent="0.2">
      <c r="A267" s="25" t="s">
        <v>61</v>
      </c>
      <c r="B267" s="25" t="s">
        <v>3533</v>
      </c>
      <c r="T267" s="25" t="s">
        <v>1679</v>
      </c>
      <c r="U267" s="25">
        <v>11915</v>
      </c>
      <c r="V267" s="25" t="s">
        <v>3198</v>
      </c>
      <c r="W267" s="38" t="s">
        <v>6539</v>
      </c>
      <c r="X267" s="25" t="s">
        <v>1682</v>
      </c>
      <c r="Y267" s="25" t="s">
        <v>1498</v>
      </c>
      <c r="Z267" s="25" t="s">
        <v>1451</v>
      </c>
      <c r="AA267" s="25" t="s">
        <v>1652</v>
      </c>
      <c r="AB267" s="39">
        <v>450</v>
      </c>
      <c r="AC267" s="39">
        <v>45</v>
      </c>
      <c r="AD267" s="39">
        <v>12</v>
      </c>
      <c r="AE267" s="25" t="s">
        <v>2000</v>
      </c>
      <c r="AF267" s="39">
        <v>600</v>
      </c>
      <c r="AG267" s="39">
        <v>60</v>
      </c>
      <c r="AH267" s="39">
        <v>14</v>
      </c>
      <c r="AI267" s="25" t="s">
        <v>3199</v>
      </c>
      <c r="AJ267" s="39">
        <v>800</v>
      </c>
      <c r="AK267" s="39">
        <v>80</v>
      </c>
      <c r="AL267" s="39">
        <v>16</v>
      </c>
      <c r="AM267" s="25" t="s">
        <v>3200</v>
      </c>
      <c r="AN267" s="39">
        <v>1000</v>
      </c>
      <c r="AO267" s="39">
        <v>100</v>
      </c>
      <c r="AP267" s="39">
        <v>18</v>
      </c>
      <c r="AQ267" s="25" t="s">
        <v>698</v>
      </c>
      <c r="AR267" s="39" t="s">
        <v>6456</v>
      </c>
    </row>
    <row r="268" spans="1:44" x14ac:dyDescent="0.2">
      <c r="A268" s="25" t="s">
        <v>61</v>
      </c>
      <c r="B268" s="25" t="s">
        <v>3578</v>
      </c>
      <c r="T268" s="25" t="s">
        <v>264</v>
      </c>
      <c r="U268" s="25">
        <v>10028</v>
      </c>
      <c r="V268" s="25" t="s">
        <v>3067</v>
      </c>
      <c r="W268" s="38" t="s">
        <v>3068</v>
      </c>
      <c r="X268" s="25">
        <v>94</v>
      </c>
      <c r="Y268" s="25" t="s">
        <v>2084</v>
      </c>
      <c r="Z268" s="25" t="s">
        <v>1451</v>
      </c>
      <c r="AA268" s="25" t="s">
        <v>2124</v>
      </c>
      <c r="AB268" s="39">
        <v>250</v>
      </c>
      <c r="AC268" s="39" t="s">
        <v>744</v>
      </c>
      <c r="AD268" s="39">
        <v>11</v>
      </c>
      <c r="AE268" s="25" t="s">
        <v>2125</v>
      </c>
      <c r="AF268" s="39">
        <v>350</v>
      </c>
      <c r="AG268" s="39" t="s">
        <v>744</v>
      </c>
      <c r="AH268" s="39">
        <v>13</v>
      </c>
      <c r="AI268" s="25" t="s">
        <v>2286</v>
      </c>
      <c r="AJ268" s="39">
        <v>450</v>
      </c>
      <c r="AK268" s="39" t="s">
        <v>744</v>
      </c>
      <c r="AL268" s="39">
        <v>15</v>
      </c>
      <c r="AM268" s="25" t="s">
        <v>2287</v>
      </c>
      <c r="AN268" s="39">
        <v>600</v>
      </c>
      <c r="AO268" s="39" t="s">
        <v>744</v>
      </c>
      <c r="AP268" s="39">
        <v>17</v>
      </c>
      <c r="AQ268" s="25" t="s">
        <v>1610</v>
      </c>
      <c r="AR268" s="39"/>
    </row>
    <row r="269" spans="1:44" x14ac:dyDescent="0.2">
      <c r="A269" s="25" t="s">
        <v>61</v>
      </c>
      <c r="B269" s="25" t="s">
        <v>3620</v>
      </c>
      <c r="T269" s="25" t="s">
        <v>132</v>
      </c>
      <c r="U269" s="25">
        <v>10021</v>
      </c>
      <c r="V269" s="25" t="s">
        <v>3035</v>
      </c>
      <c r="W269" s="38" t="s">
        <v>6493</v>
      </c>
      <c r="X269" s="25">
        <v>94</v>
      </c>
      <c r="Y269" s="25" t="s">
        <v>164</v>
      </c>
      <c r="Z269" s="25" t="s">
        <v>1451</v>
      </c>
      <c r="AA269" s="25" t="s">
        <v>3036</v>
      </c>
      <c r="AB269" s="39">
        <v>300</v>
      </c>
      <c r="AC269" s="39">
        <v>15</v>
      </c>
      <c r="AD269" s="39">
        <v>10</v>
      </c>
      <c r="AE269" s="25" t="s">
        <v>3037</v>
      </c>
      <c r="AF269" s="39">
        <v>450</v>
      </c>
      <c r="AG269" s="39">
        <v>15</v>
      </c>
      <c r="AH269" s="39">
        <v>13</v>
      </c>
      <c r="AI269" s="25" t="s">
        <v>3038</v>
      </c>
      <c r="AJ269" s="39">
        <v>500</v>
      </c>
      <c r="AK269" s="39">
        <v>20</v>
      </c>
      <c r="AL269" s="39">
        <v>15</v>
      </c>
      <c r="AM269" s="25" t="s">
        <v>3039</v>
      </c>
      <c r="AN269" s="39">
        <v>700</v>
      </c>
      <c r="AO269" s="39">
        <v>25</v>
      </c>
      <c r="AP269" s="39">
        <v>17</v>
      </c>
      <c r="AQ269" s="25" t="s">
        <v>1553</v>
      </c>
      <c r="AR269" s="39" t="s">
        <v>6456</v>
      </c>
    </row>
    <row r="270" spans="1:44" x14ac:dyDescent="0.2">
      <c r="A270" s="25" t="s">
        <v>61</v>
      </c>
      <c r="B270" s="25" t="s">
        <v>3668</v>
      </c>
      <c r="T270" s="25" t="s">
        <v>60</v>
      </c>
      <c r="U270" s="25">
        <v>11008</v>
      </c>
      <c r="V270" s="25" t="s">
        <v>3139</v>
      </c>
      <c r="W270" s="38" t="s">
        <v>6625</v>
      </c>
      <c r="X270" s="25">
        <v>36</v>
      </c>
      <c r="Y270" s="25" t="s">
        <v>164</v>
      </c>
      <c r="Z270" s="25" t="s">
        <v>1451</v>
      </c>
      <c r="AA270" s="25" t="s">
        <v>3140</v>
      </c>
      <c r="AB270" s="39">
        <v>80</v>
      </c>
      <c r="AC270" s="39">
        <v>10</v>
      </c>
      <c r="AD270" s="39">
        <v>7</v>
      </c>
      <c r="AE270" s="25" t="s">
        <v>3141</v>
      </c>
      <c r="AF270" s="39">
        <v>120</v>
      </c>
      <c r="AG270" s="39">
        <v>15</v>
      </c>
      <c r="AH270" s="39">
        <v>10</v>
      </c>
      <c r="AI270" s="25" t="s">
        <v>3142</v>
      </c>
      <c r="AJ270" s="39">
        <v>160</v>
      </c>
      <c r="AK270" s="39">
        <v>20</v>
      </c>
      <c r="AL270" s="39">
        <v>13</v>
      </c>
      <c r="AM270" s="25" t="s">
        <v>3143</v>
      </c>
      <c r="AN270" s="39">
        <v>240</v>
      </c>
      <c r="AO270" s="39">
        <v>25</v>
      </c>
      <c r="AP270" s="39">
        <v>15</v>
      </c>
      <c r="AR270" s="39" t="s">
        <v>6456</v>
      </c>
    </row>
    <row r="271" spans="1:44" x14ac:dyDescent="0.2">
      <c r="A271" s="25" t="s">
        <v>61</v>
      </c>
      <c r="B271" s="25" t="s">
        <v>3714</v>
      </c>
      <c r="T271" s="25" t="s">
        <v>1646</v>
      </c>
      <c r="U271" s="25">
        <v>6515</v>
      </c>
      <c r="V271" s="25" t="s">
        <v>2470</v>
      </c>
      <c r="W271" s="38" t="s">
        <v>2471</v>
      </c>
      <c r="X271" s="25" t="s">
        <v>1649</v>
      </c>
      <c r="Y271" s="25" t="s">
        <v>164</v>
      </c>
      <c r="Z271" s="25" t="s">
        <v>1451</v>
      </c>
      <c r="AA271" s="25" t="s">
        <v>2472</v>
      </c>
      <c r="AB271" s="39">
        <v>80</v>
      </c>
      <c r="AC271" s="39" t="s">
        <v>244</v>
      </c>
      <c r="AD271" s="39">
        <v>8</v>
      </c>
      <c r="AE271" s="25" t="s">
        <v>2473</v>
      </c>
      <c r="AF271" s="39">
        <v>100</v>
      </c>
      <c r="AG271" s="39" t="s">
        <v>244</v>
      </c>
      <c r="AH271" s="39">
        <v>10</v>
      </c>
      <c r="AI271" s="25" t="s">
        <v>2474</v>
      </c>
      <c r="AJ271" s="39">
        <v>120</v>
      </c>
      <c r="AK271" s="39" t="s">
        <v>244</v>
      </c>
      <c r="AL271" s="39">
        <v>12</v>
      </c>
      <c r="AM271" s="25" t="s">
        <v>2475</v>
      </c>
      <c r="AN271" s="39">
        <v>140</v>
      </c>
      <c r="AO271" s="39" t="s">
        <v>244</v>
      </c>
      <c r="AP271" s="39">
        <v>14</v>
      </c>
      <c r="AQ271" s="25" t="s">
        <v>39</v>
      </c>
      <c r="AR271" s="39"/>
    </row>
    <row r="272" spans="1:44" x14ac:dyDescent="0.2">
      <c r="A272" s="25" t="s">
        <v>61</v>
      </c>
      <c r="B272" s="25" t="s">
        <v>3748</v>
      </c>
      <c r="T272" s="25" t="s">
        <v>1631</v>
      </c>
      <c r="U272" s="25">
        <v>6315</v>
      </c>
      <c r="V272" s="25" t="s">
        <v>2459</v>
      </c>
      <c r="W272" s="38" t="s">
        <v>2460</v>
      </c>
      <c r="X272" s="25" t="s">
        <v>1633</v>
      </c>
      <c r="Y272" s="25" t="s">
        <v>164</v>
      </c>
      <c r="Z272" s="25" t="s">
        <v>1451</v>
      </c>
      <c r="AA272" s="25" t="s">
        <v>2461</v>
      </c>
      <c r="AB272" s="39">
        <v>150</v>
      </c>
      <c r="AC272" s="39" t="s">
        <v>244</v>
      </c>
      <c r="AD272" s="39">
        <v>7</v>
      </c>
      <c r="AE272" s="25" t="s">
        <v>2462</v>
      </c>
      <c r="AF272" s="39">
        <v>200</v>
      </c>
      <c r="AG272" s="39" t="s">
        <v>244</v>
      </c>
      <c r="AH272" s="39">
        <v>10</v>
      </c>
      <c r="AI272" s="25" t="s">
        <v>1854</v>
      </c>
      <c r="AJ272" s="39">
        <v>240</v>
      </c>
      <c r="AK272" s="39" t="s">
        <v>244</v>
      </c>
      <c r="AL272" s="39">
        <v>12</v>
      </c>
      <c r="AM272" s="25" t="s">
        <v>2463</v>
      </c>
      <c r="AN272" s="39">
        <v>280</v>
      </c>
      <c r="AO272" s="39" t="s">
        <v>244</v>
      </c>
      <c r="AP272" s="39">
        <v>14</v>
      </c>
      <c r="AQ272" s="25" t="s">
        <v>49</v>
      </c>
      <c r="AR272" s="39"/>
    </row>
    <row r="273" spans="1:44" x14ac:dyDescent="0.2">
      <c r="A273" s="25" t="s">
        <v>61</v>
      </c>
      <c r="B273" s="25" t="s">
        <v>3792</v>
      </c>
      <c r="T273" s="25" t="s">
        <v>1631</v>
      </c>
      <c r="U273" s="25">
        <v>9315</v>
      </c>
      <c r="V273" s="25" t="s">
        <v>2939</v>
      </c>
      <c r="W273" s="38" t="s">
        <v>6549</v>
      </c>
      <c r="X273" s="25" t="s">
        <v>1633</v>
      </c>
      <c r="Y273" s="25" t="s">
        <v>164</v>
      </c>
      <c r="Z273" s="25" t="s">
        <v>1451</v>
      </c>
      <c r="AA273" s="25" t="s">
        <v>1667</v>
      </c>
      <c r="AB273" s="39">
        <v>50</v>
      </c>
      <c r="AC273" s="39">
        <v>5</v>
      </c>
      <c r="AD273" s="39">
        <v>6</v>
      </c>
      <c r="AE273" s="25" t="s">
        <v>1586</v>
      </c>
      <c r="AF273" s="39">
        <v>100</v>
      </c>
      <c r="AG273" s="39">
        <v>10</v>
      </c>
      <c r="AH273" s="39">
        <v>9</v>
      </c>
      <c r="AI273" s="25" t="s">
        <v>2104</v>
      </c>
      <c r="AJ273" s="39">
        <v>150</v>
      </c>
      <c r="AK273" s="39">
        <v>15</v>
      </c>
      <c r="AL273" s="39">
        <v>11</v>
      </c>
      <c r="AM273" s="25" t="s">
        <v>2223</v>
      </c>
      <c r="AN273" s="39">
        <v>200</v>
      </c>
      <c r="AO273" s="39">
        <v>15</v>
      </c>
      <c r="AP273" s="39">
        <v>14</v>
      </c>
      <c r="AQ273" s="25" t="s">
        <v>2940</v>
      </c>
      <c r="AR273" s="39" t="s">
        <v>6456</v>
      </c>
    </row>
    <row r="274" spans="1:44" x14ac:dyDescent="0.2">
      <c r="A274" s="25" t="s">
        <v>61</v>
      </c>
      <c r="B274" s="25" t="s">
        <v>3829</v>
      </c>
      <c r="T274" s="25" t="s">
        <v>1671</v>
      </c>
      <c r="U274" s="25">
        <v>4815</v>
      </c>
      <c r="V274" s="25" t="s">
        <v>2166</v>
      </c>
      <c r="W274" s="38" t="s">
        <v>6565</v>
      </c>
      <c r="X274" s="25" t="s">
        <v>1674</v>
      </c>
      <c r="Y274" s="25" t="s">
        <v>164</v>
      </c>
      <c r="Z274" s="25" t="s">
        <v>1451</v>
      </c>
      <c r="AA274" s="25" t="s">
        <v>2167</v>
      </c>
      <c r="AB274" s="39">
        <v>300</v>
      </c>
      <c r="AC274" s="39">
        <v>15</v>
      </c>
      <c r="AD274" s="39">
        <v>10</v>
      </c>
      <c r="AE274" s="25" t="s">
        <v>2168</v>
      </c>
      <c r="AF274" s="39">
        <v>360</v>
      </c>
      <c r="AG274" s="39">
        <v>20</v>
      </c>
      <c r="AH274" s="39">
        <v>12</v>
      </c>
      <c r="AI274" s="25" t="s">
        <v>2169</v>
      </c>
      <c r="AJ274" s="39">
        <v>420</v>
      </c>
      <c r="AK274" s="39">
        <v>25</v>
      </c>
      <c r="AL274" s="39">
        <v>14</v>
      </c>
      <c r="AM274" s="25" t="s">
        <v>2170</v>
      </c>
      <c r="AN274" s="39">
        <v>480</v>
      </c>
      <c r="AO274" s="39">
        <v>25</v>
      </c>
      <c r="AP274" s="39">
        <v>16</v>
      </c>
      <c r="AQ274" s="25" t="s">
        <v>90</v>
      </c>
      <c r="AR274" s="39" t="s">
        <v>6456</v>
      </c>
    </row>
    <row r="275" spans="1:44" x14ac:dyDescent="0.2">
      <c r="A275" s="25" t="s">
        <v>61</v>
      </c>
      <c r="B275" s="25" t="s">
        <v>3858</v>
      </c>
      <c r="T275" s="25" t="s">
        <v>39</v>
      </c>
      <c r="U275" s="25">
        <v>24002</v>
      </c>
      <c r="V275" s="25" t="s">
        <v>3787</v>
      </c>
      <c r="W275" s="38" t="s">
        <v>3788</v>
      </c>
      <c r="X275" s="25">
        <v>60</v>
      </c>
      <c r="Y275" s="25" t="s">
        <v>164</v>
      </c>
      <c r="Z275" s="25" t="s">
        <v>1451</v>
      </c>
      <c r="AA275" s="25" t="s">
        <v>1484</v>
      </c>
      <c r="AB275" s="39">
        <v>100</v>
      </c>
      <c r="AC275" s="39" t="s">
        <v>244</v>
      </c>
      <c r="AD275" s="39">
        <v>8</v>
      </c>
      <c r="AE275" s="25" t="s">
        <v>1477</v>
      </c>
      <c r="AF275" s="39">
        <v>200</v>
      </c>
      <c r="AG275" s="39" t="s">
        <v>244</v>
      </c>
      <c r="AH275" s="39">
        <v>10</v>
      </c>
      <c r="AI275" s="25" t="s">
        <v>3789</v>
      </c>
      <c r="AJ275" s="39">
        <v>300</v>
      </c>
      <c r="AK275" s="39" t="s">
        <v>244</v>
      </c>
      <c r="AL275" s="39">
        <v>13</v>
      </c>
      <c r="AM275" s="25" t="s">
        <v>3790</v>
      </c>
      <c r="AN275" s="39">
        <v>400</v>
      </c>
      <c r="AO275" s="39" t="s">
        <v>244</v>
      </c>
      <c r="AP275" s="39">
        <v>16</v>
      </c>
      <c r="AR275" s="39"/>
    </row>
    <row r="276" spans="1:44" x14ac:dyDescent="0.2">
      <c r="A276" s="25" t="s">
        <v>61</v>
      </c>
      <c r="B276" s="25" t="s">
        <v>3909</v>
      </c>
      <c r="T276" s="25" t="s">
        <v>65</v>
      </c>
      <c r="U276" s="25">
        <v>27006</v>
      </c>
      <c r="V276" s="25" t="s">
        <v>3914</v>
      </c>
      <c r="W276" s="38" t="s">
        <v>6512</v>
      </c>
      <c r="X276" s="25">
        <v>90</v>
      </c>
      <c r="Y276" s="25" t="s">
        <v>164</v>
      </c>
      <c r="Z276" s="25" t="s">
        <v>1451</v>
      </c>
      <c r="AA276" s="25" t="s">
        <v>1478</v>
      </c>
      <c r="AB276" s="39">
        <v>300</v>
      </c>
      <c r="AC276" s="39">
        <v>30</v>
      </c>
      <c r="AD276" s="39">
        <v>9</v>
      </c>
      <c r="AE276" s="25" t="s">
        <v>1908</v>
      </c>
      <c r="AF276" s="39">
        <v>480</v>
      </c>
      <c r="AG276" s="39">
        <v>50</v>
      </c>
      <c r="AH276" s="39">
        <v>12</v>
      </c>
      <c r="AI276" s="25" t="s">
        <v>3590</v>
      </c>
      <c r="AJ276" s="39">
        <v>600</v>
      </c>
      <c r="AK276" s="39">
        <v>60</v>
      </c>
      <c r="AL276" s="39">
        <v>15</v>
      </c>
      <c r="AM276" s="25" t="s">
        <v>3915</v>
      </c>
      <c r="AN276" s="39">
        <v>800</v>
      </c>
      <c r="AO276" s="39">
        <v>70</v>
      </c>
      <c r="AP276" s="39">
        <v>17</v>
      </c>
      <c r="AR276" s="39" t="s">
        <v>6456</v>
      </c>
    </row>
    <row r="277" spans="1:44" x14ac:dyDescent="0.2">
      <c r="A277" s="25" t="s">
        <v>61</v>
      </c>
      <c r="B277" s="25" t="s">
        <v>3951</v>
      </c>
      <c r="T277" s="25" t="s">
        <v>1619</v>
      </c>
      <c r="U277" s="25">
        <v>3115</v>
      </c>
      <c r="V277" s="25" t="s">
        <v>1978</v>
      </c>
      <c r="W277" s="38" t="s">
        <v>6574</v>
      </c>
      <c r="X277" s="25" t="s">
        <v>1622</v>
      </c>
      <c r="Y277" s="25" t="s">
        <v>164</v>
      </c>
      <c r="Z277" s="25" t="s">
        <v>1451</v>
      </c>
      <c r="AA277" s="25" t="s">
        <v>1979</v>
      </c>
      <c r="AB277" s="39">
        <v>50</v>
      </c>
      <c r="AC277" s="39">
        <v>5</v>
      </c>
      <c r="AD277" s="39">
        <v>6</v>
      </c>
      <c r="AE277" s="25" t="s">
        <v>1636</v>
      </c>
      <c r="AF277" s="39">
        <v>80</v>
      </c>
      <c r="AG277" s="39">
        <v>5</v>
      </c>
      <c r="AH277" s="39">
        <v>9</v>
      </c>
      <c r="AI277" s="25" t="s">
        <v>1980</v>
      </c>
      <c r="AJ277" s="39">
        <v>110</v>
      </c>
      <c r="AK277" s="39">
        <v>10</v>
      </c>
      <c r="AL277" s="39">
        <v>11</v>
      </c>
      <c r="AM277" s="25" t="s">
        <v>1981</v>
      </c>
      <c r="AN277" s="39">
        <v>130</v>
      </c>
      <c r="AO277" s="39">
        <v>10</v>
      </c>
      <c r="AP277" s="39">
        <v>13</v>
      </c>
      <c r="AQ277" s="25" t="s">
        <v>698</v>
      </c>
      <c r="AR277" s="39" t="s">
        <v>6456</v>
      </c>
    </row>
    <row r="278" spans="1:44" x14ac:dyDescent="0.2">
      <c r="A278" s="25" t="s">
        <v>61</v>
      </c>
      <c r="B278" s="25" t="s">
        <v>1535</v>
      </c>
      <c r="T278" s="25" t="s">
        <v>264</v>
      </c>
      <c r="U278" s="25">
        <v>9028</v>
      </c>
      <c r="V278" s="25" t="s">
        <v>2919</v>
      </c>
      <c r="W278" s="38" t="s">
        <v>2920</v>
      </c>
      <c r="X278" s="25">
        <v>84</v>
      </c>
      <c r="Y278" s="25" t="s">
        <v>2084</v>
      </c>
      <c r="Z278" s="25" t="s">
        <v>1451</v>
      </c>
      <c r="AA278" s="25" t="s">
        <v>2921</v>
      </c>
      <c r="AB278" s="39">
        <v>150</v>
      </c>
      <c r="AC278" s="39">
        <v>15</v>
      </c>
      <c r="AD278" s="39">
        <v>10</v>
      </c>
      <c r="AE278" s="25" t="s">
        <v>2922</v>
      </c>
      <c r="AF278" s="39">
        <v>250</v>
      </c>
      <c r="AG278" s="39">
        <v>25</v>
      </c>
      <c r="AH278" s="39">
        <v>12</v>
      </c>
      <c r="AI278" s="25" t="s">
        <v>2923</v>
      </c>
      <c r="AJ278" s="39">
        <v>500</v>
      </c>
      <c r="AK278" s="39">
        <v>50</v>
      </c>
      <c r="AL278" s="39">
        <v>15</v>
      </c>
      <c r="AM278" s="25" t="s">
        <v>2924</v>
      </c>
      <c r="AN278" s="39">
        <v>700</v>
      </c>
      <c r="AO278" s="39">
        <v>70</v>
      </c>
      <c r="AP278" s="39">
        <v>18</v>
      </c>
      <c r="AQ278" s="25" t="s">
        <v>1610</v>
      </c>
      <c r="AR278" s="39"/>
    </row>
    <row r="279" spans="1:44" x14ac:dyDescent="0.2">
      <c r="A279" s="25" t="s">
        <v>61</v>
      </c>
      <c r="B279" s="25" t="s">
        <v>4029</v>
      </c>
      <c r="T279" s="25" t="s">
        <v>29</v>
      </c>
      <c r="U279" s="25">
        <v>26001</v>
      </c>
      <c r="V279" s="25" t="s">
        <v>3848</v>
      </c>
      <c r="W279" s="38" t="s">
        <v>3849</v>
      </c>
      <c r="X279" s="25">
        <v>66</v>
      </c>
      <c r="Y279" s="25" t="s">
        <v>1482</v>
      </c>
      <c r="Z279" s="25" t="s">
        <v>1451</v>
      </c>
      <c r="AA279" s="25" t="s">
        <v>1668</v>
      </c>
      <c r="AB279" s="39">
        <v>160</v>
      </c>
      <c r="AC279" s="39" t="s">
        <v>244</v>
      </c>
      <c r="AD279" s="39">
        <v>8</v>
      </c>
      <c r="AE279" s="25" t="s">
        <v>1669</v>
      </c>
      <c r="AF279" s="39">
        <v>200</v>
      </c>
      <c r="AG279" s="39" t="s">
        <v>244</v>
      </c>
      <c r="AH279" s="39">
        <v>10</v>
      </c>
      <c r="AI279" s="25" t="s">
        <v>1670</v>
      </c>
      <c r="AJ279" s="39">
        <v>260</v>
      </c>
      <c r="AK279" s="39" t="s">
        <v>244</v>
      </c>
      <c r="AL279" s="39">
        <v>13</v>
      </c>
      <c r="AM279" s="25" t="s">
        <v>3342</v>
      </c>
      <c r="AN279" s="39">
        <v>320</v>
      </c>
      <c r="AO279" s="39" t="s">
        <v>244</v>
      </c>
      <c r="AP279" s="39">
        <v>16</v>
      </c>
      <c r="AR279" s="39"/>
    </row>
    <row r="280" spans="1:44" x14ac:dyDescent="0.2">
      <c r="A280" s="25" t="s">
        <v>61</v>
      </c>
      <c r="B280" s="25" t="s">
        <v>4073</v>
      </c>
      <c r="T280" s="25" t="s">
        <v>94</v>
      </c>
      <c r="U280" s="25">
        <v>28010</v>
      </c>
      <c r="V280" s="25" t="s">
        <v>3979</v>
      </c>
      <c r="W280" s="38" t="s">
        <v>6629</v>
      </c>
      <c r="X280" s="25">
        <v>92</v>
      </c>
      <c r="Y280" s="25" t="s">
        <v>164</v>
      </c>
      <c r="Z280" s="25" t="s">
        <v>1451</v>
      </c>
      <c r="AA280" s="25" t="s">
        <v>3980</v>
      </c>
      <c r="AB280" s="39">
        <v>500</v>
      </c>
      <c r="AC280" s="39">
        <v>100</v>
      </c>
      <c r="AD280" s="39">
        <v>13</v>
      </c>
      <c r="AE280" s="25" t="s">
        <v>3981</v>
      </c>
      <c r="AF280" s="39">
        <v>800</v>
      </c>
      <c r="AG280" s="39">
        <v>160</v>
      </c>
      <c r="AH280" s="39">
        <v>15</v>
      </c>
      <c r="AI280" s="25" t="s">
        <v>3982</v>
      </c>
      <c r="AJ280" s="39">
        <v>1200</v>
      </c>
      <c r="AK280" s="39">
        <v>240</v>
      </c>
      <c r="AL280" s="39">
        <v>17</v>
      </c>
      <c r="AM280" s="25" t="s">
        <v>3983</v>
      </c>
      <c r="AN280" s="39">
        <v>1500</v>
      </c>
      <c r="AO280" s="39">
        <v>300</v>
      </c>
      <c r="AP280" s="39">
        <v>19</v>
      </c>
      <c r="AR280" s="39" t="s">
        <v>6456</v>
      </c>
    </row>
    <row r="281" spans="1:44" x14ac:dyDescent="0.2">
      <c r="A281" s="25" t="s">
        <v>61</v>
      </c>
      <c r="B281" s="25" t="s">
        <v>4094</v>
      </c>
      <c r="T281" s="25" t="s">
        <v>94</v>
      </c>
      <c r="U281" s="25">
        <v>6010</v>
      </c>
      <c r="V281" s="25" t="s">
        <v>2379</v>
      </c>
      <c r="W281" s="38" t="s">
        <v>2380</v>
      </c>
      <c r="X281" s="25">
        <v>20</v>
      </c>
      <c r="Y281" s="25" t="s">
        <v>164</v>
      </c>
      <c r="Z281" s="25" t="s">
        <v>1451</v>
      </c>
      <c r="AA281" s="25" t="s">
        <v>2381</v>
      </c>
      <c r="AB281" s="39">
        <v>50</v>
      </c>
      <c r="AC281" s="39">
        <v>5</v>
      </c>
      <c r="AD281" s="39">
        <v>6</v>
      </c>
      <c r="AE281" s="25" t="s">
        <v>2382</v>
      </c>
      <c r="AF281" s="39">
        <v>80</v>
      </c>
      <c r="AG281" s="39">
        <v>10</v>
      </c>
      <c r="AH281" s="39">
        <v>8</v>
      </c>
      <c r="AI281" s="25" t="s">
        <v>2383</v>
      </c>
      <c r="AJ281" s="39">
        <v>100</v>
      </c>
      <c r="AK281" s="39">
        <v>10</v>
      </c>
      <c r="AL281" s="39">
        <v>10</v>
      </c>
      <c r="AM281" s="25" t="s">
        <v>2384</v>
      </c>
      <c r="AN281" s="39">
        <v>120</v>
      </c>
      <c r="AO281" s="39">
        <v>15</v>
      </c>
      <c r="AP281" s="39">
        <v>13</v>
      </c>
      <c r="AR281" s="39"/>
    </row>
    <row r="282" spans="1:44" x14ac:dyDescent="0.2">
      <c r="A282" s="25" t="s">
        <v>61</v>
      </c>
      <c r="B282" s="25" t="s">
        <v>4111</v>
      </c>
      <c r="T282" s="25" t="s">
        <v>1638</v>
      </c>
      <c r="U282" s="25">
        <v>11415</v>
      </c>
      <c r="V282" s="25" t="s">
        <v>3175</v>
      </c>
      <c r="W282" s="38" t="s">
        <v>3176</v>
      </c>
      <c r="X282" s="25" t="s">
        <v>1641</v>
      </c>
      <c r="Y282" s="25" t="s">
        <v>1582</v>
      </c>
      <c r="Z282" s="25" t="s">
        <v>1451</v>
      </c>
      <c r="AA282" s="25" t="s">
        <v>3177</v>
      </c>
      <c r="AB282" s="39">
        <v>60</v>
      </c>
      <c r="AC282" s="39">
        <v>10</v>
      </c>
      <c r="AD282" s="39">
        <v>8</v>
      </c>
      <c r="AE282" s="25" t="s">
        <v>3178</v>
      </c>
      <c r="AF282" s="39">
        <v>90</v>
      </c>
      <c r="AG282" s="39">
        <v>10</v>
      </c>
      <c r="AH282" s="39">
        <v>10</v>
      </c>
      <c r="AI282" s="25" t="s">
        <v>3179</v>
      </c>
      <c r="AJ282" s="39">
        <v>120</v>
      </c>
      <c r="AK282" s="39">
        <v>15</v>
      </c>
      <c r="AL282" s="39">
        <v>12</v>
      </c>
      <c r="AM282" s="25" t="s">
        <v>3180</v>
      </c>
      <c r="AN282" s="39">
        <v>150</v>
      </c>
      <c r="AO282" s="39">
        <v>15</v>
      </c>
      <c r="AP282" s="39">
        <v>15</v>
      </c>
      <c r="AQ282" s="25" t="s">
        <v>60</v>
      </c>
      <c r="AR282" s="39"/>
    </row>
    <row r="283" spans="1:44" x14ac:dyDescent="0.2">
      <c r="A283" s="25" t="s">
        <v>61</v>
      </c>
      <c r="B283" s="25" t="s">
        <v>4129</v>
      </c>
      <c r="T283" s="25" t="s">
        <v>65</v>
      </c>
      <c r="U283" s="25">
        <v>24006</v>
      </c>
      <c r="V283" s="25" t="s">
        <v>3798</v>
      </c>
      <c r="W283" s="38" t="s">
        <v>3799</v>
      </c>
      <c r="X283" s="25">
        <v>80</v>
      </c>
      <c r="Y283" s="25" t="s">
        <v>1498</v>
      </c>
      <c r="Z283" s="25" t="s">
        <v>1451</v>
      </c>
      <c r="AA283" s="25" t="s">
        <v>3800</v>
      </c>
      <c r="AB283" s="39">
        <v>200</v>
      </c>
      <c r="AC283" s="39">
        <v>20</v>
      </c>
      <c r="AD283" s="39">
        <v>10</v>
      </c>
      <c r="AE283" s="25" t="s">
        <v>3801</v>
      </c>
      <c r="AF283" s="39">
        <v>320</v>
      </c>
      <c r="AG283" s="39">
        <v>25</v>
      </c>
      <c r="AH283" s="39">
        <v>12</v>
      </c>
      <c r="AI283" s="25" t="s">
        <v>3802</v>
      </c>
      <c r="AJ283" s="39">
        <v>450</v>
      </c>
      <c r="AK283" s="39">
        <v>30</v>
      </c>
      <c r="AL283" s="39">
        <v>14</v>
      </c>
      <c r="AM283" s="25" t="s">
        <v>3803</v>
      </c>
      <c r="AN283" s="39">
        <v>600</v>
      </c>
      <c r="AO283" s="39">
        <v>35</v>
      </c>
      <c r="AP283" s="39">
        <v>16</v>
      </c>
      <c r="AR283" s="39"/>
    </row>
    <row r="284" spans="1:44" x14ac:dyDescent="0.2">
      <c r="A284" s="25" t="s">
        <v>61</v>
      </c>
      <c r="B284" s="25" t="s">
        <v>4150</v>
      </c>
      <c r="T284" s="25" t="s">
        <v>1588</v>
      </c>
      <c r="U284" s="25">
        <v>9026</v>
      </c>
      <c r="V284" s="25" t="s">
        <v>2908</v>
      </c>
      <c r="W284" s="38" t="s">
        <v>6545</v>
      </c>
      <c r="X284" s="25">
        <v>84</v>
      </c>
      <c r="Y284" s="25" t="s">
        <v>164</v>
      </c>
      <c r="Z284" s="25" t="s">
        <v>1451</v>
      </c>
      <c r="AA284" s="25" t="s">
        <v>2909</v>
      </c>
      <c r="AB284" s="39">
        <v>400</v>
      </c>
      <c r="AC284" s="39">
        <v>80</v>
      </c>
      <c r="AD284" s="39">
        <v>13</v>
      </c>
      <c r="AE284" s="25" t="s">
        <v>2910</v>
      </c>
      <c r="AF284" s="39">
        <v>500</v>
      </c>
      <c r="AG284" s="39">
        <v>100</v>
      </c>
      <c r="AH284" s="39">
        <v>15</v>
      </c>
      <c r="AI284" s="25" t="s">
        <v>2911</v>
      </c>
      <c r="AJ284" s="39">
        <v>700</v>
      </c>
      <c r="AK284" s="39">
        <v>140</v>
      </c>
      <c r="AL284" s="39">
        <v>17</v>
      </c>
      <c r="AM284" s="25" t="s">
        <v>2912</v>
      </c>
      <c r="AN284" s="39">
        <v>900</v>
      </c>
      <c r="AO284" s="39">
        <v>180</v>
      </c>
      <c r="AP284" s="39">
        <v>19</v>
      </c>
      <c r="AQ284" s="25" t="s">
        <v>1595</v>
      </c>
      <c r="AR284" s="39" t="s">
        <v>6456</v>
      </c>
    </row>
    <row r="285" spans="1:44" x14ac:dyDescent="0.2">
      <c r="A285" s="25" t="s">
        <v>61</v>
      </c>
      <c r="B285" s="25" t="s">
        <v>4173</v>
      </c>
      <c r="T285" s="25" t="s">
        <v>1627</v>
      </c>
      <c r="U285" s="25">
        <v>10215</v>
      </c>
      <c r="V285" s="25" t="s">
        <v>3079</v>
      </c>
      <c r="W285" s="38" t="s">
        <v>3080</v>
      </c>
      <c r="X285" s="25" t="s">
        <v>1629</v>
      </c>
      <c r="Y285" s="25" t="s">
        <v>164</v>
      </c>
      <c r="Z285" s="25" t="s">
        <v>1451</v>
      </c>
      <c r="AA285" s="25" t="s">
        <v>3081</v>
      </c>
      <c r="AB285" s="39">
        <v>80</v>
      </c>
      <c r="AC285" s="39" t="s">
        <v>244</v>
      </c>
      <c r="AD285" s="39">
        <v>6</v>
      </c>
      <c r="AE285" s="25" t="s">
        <v>3082</v>
      </c>
      <c r="AF285" s="39">
        <v>100</v>
      </c>
      <c r="AG285" s="39" t="s">
        <v>244</v>
      </c>
      <c r="AH285" s="39">
        <v>9</v>
      </c>
      <c r="AI285" s="25" t="s">
        <v>3083</v>
      </c>
      <c r="AJ285" s="39">
        <v>120</v>
      </c>
      <c r="AK285" s="39" t="s">
        <v>244</v>
      </c>
      <c r="AL285" s="39">
        <v>11</v>
      </c>
      <c r="AM285" s="25" t="s">
        <v>3084</v>
      </c>
      <c r="AN285" s="39">
        <v>140</v>
      </c>
      <c r="AO285" s="39" t="s">
        <v>244</v>
      </c>
      <c r="AP285" s="39">
        <v>13</v>
      </c>
      <c r="AQ285" s="25" t="s">
        <v>698</v>
      </c>
      <c r="AR285" s="39"/>
    </row>
    <row r="286" spans="1:44" x14ac:dyDescent="0.2">
      <c r="A286" s="25" t="s">
        <v>61</v>
      </c>
      <c r="B286" s="25" t="s">
        <v>4193</v>
      </c>
      <c r="T286" s="25" t="s">
        <v>1638</v>
      </c>
      <c r="U286" s="25">
        <v>6415</v>
      </c>
      <c r="V286" s="25" t="s">
        <v>2464</v>
      </c>
      <c r="W286" s="38" t="s">
        <v>2465</v>
      </c>
      <c r="X286" s="25" t="s">
        <v>1641</v>
      </c>
      <c r="Y286" s="25" t="s">
        <v>1498</v>
      </c>
      <c r="Z286" s="25" t="s">
        <v>1451</v>
      </c>
      <c r="AA286" s="25" t="s">
        <v>2466</v>
      </c>
      <c r="AB286" s="39">
        <v>120</v>
      </c>
      <c r="AC286" s="39" t="s">
        <v>244</v>
      </c>
      <c r="AD286" s="39">
        <v>8</v>
      </c>
      <c r="AE286" s="25" t="s">
        <v>2467</v>
      </c>
      <c r="AF286" s="39">
        <v>180</v>
      </c>
      <c r="AG286" s="39" t="s">
        <v>244</v>
      </c>
      <c r="AH286" s="39">
        <v>10</v>
      </c>
      <c r="AI286" s="25" t="s">
        <v>2468</v>
      </c>
      <c r="AJ286" s="39">
        <v>240</v>
      </c>
      <c r="AK286" s="39" t="s">
        <v>244</v>
      </c>
      <c r="AL286" s="39">
        <v>12</v>
      </c>
      <c r="AM286" s="25" t="s">
        <v>2469</v>
      </c>
      <c r="AN286" s="39">
        <v>300</v>
      </c>
      <c r="AO286" s="39" t="s">
        <v>244</v>
      </c>
      <c r="AP286" s="39">
        <v>15</v>
      </c>
      <c r="AQ286" s="25" t="s">
        <v>698</v>
      </c>
      <c r="AR286" s="39"/>
    </row>
    <row r="287" spans="1:44" x14ac:dyDescent="0.2">
      <c r="A287" s="25" t="s">
        <v>61</v>
      </c>
      <c r="B287" s="25" t="s">
        <v>4216</v>
      </c>
      <c r="T287" s="25" t="s">
        <v>1563</v>
      </c>
      <c r="U287" s="25">
        <v>9023</v>
      </c>
      <c r="V287" s="25" t="s">
        <v>2895</v>
      </c>
      <c r="W287" s="38" t="s">
        <v>2896</v>
      </c>
      <c r="X287" s="25">
        <v>84</v>
      </c>
      <c r="Y287" s="25" t="s">
        <v>1582</v>
      </c>
      <c r="Z287" s="25" t="s">
        <v>1451</v>
      </c>
      <c r="AA287" s="25" t="s">
        <v>1667</v>
      </c>
      <c r="AB287" s="39">
        <v>100</v>
      </c>
      <c r="AC287" s="39">
        <v>5</v>
      </c>
      <c r="AD287" s="39">
        <v>9</v>
      </c>
      <c r="AE287" s="25" t="s">
        <v>1668</v>
      </c>
      <c r="AF287" s="39">
        <v>150</v>
      </c>
      <c r="AG287" s="39">
        <v>5</v>
      </c>
      <c r="AH287" s="39">
        <v>11</v>
      </c>
      <c r="AI287" s="25" t="s">
        <v>1586</v>
      </c>
      <c r="AJ287" s="39">
        <v>200</v>
      </c>
      <c r="AK287" s="39">
        <v>10</v>
      </c>
      <c r="AL287" s="39">
        <v>13</v>
      </c>
      <c r="AM287" s="25" t="s">
        <v>1669</v>
      </c>
      <c r="AN287" s="39">
        <v>250</v>
      </c>
      <c r="AO287" s="39">
        <v>10</v>
      </c>
      <c r="AP287" s="39">
        <v>15</v>
      </c>
      <c r="AQ287" s="25" t="s">
        <v>1570</v>
      </c>
      <c r="AR287" s="39"/>
    </row>
    <row r="288" spans="1:44" x14ac:dyDescent="0.2">
      <c r="A288" s="25" t="s">
        <v>61</v>
      </c>
      <c r="B288" s="25" t="s">
        <v>1516</v>
      </c>
      <c r="T288" s="25" t="s">
        <v>1554</v>
      </c>
      <c r="U288" s="25">
        <v>2022</v>
      </c>
      <c r="V288" s="25" t="s">
        <v>1777</v>
      </c>
      <c r="W288" s="38" t="s">
        <v>6555</v>
      </c>
      <c r="X288" s="25">
        <v>14</v>
      </c>
      <c r="Y288" s="25" t="s">
        <v>164</v>
      </c>
      <c r="Z288" s="25" t="s">
        <v>1557</v>
      </c>
      <c r="AA288" s="25" t="s">
        <v>1778</v>
      </c>
      <c r="AB288" s="39">
        <v>120</v>
      </c>
      <c r="AC288" s="39">
        <v>15</v>
      </c>
      <c r="AD288" s="39">
        <v>6</v>
      </c>
      <c r="AE288" s="25" t="s">
        <v>1779</v>
      </c>
      <c r="AF288" s="39">
        <v>180</v>
      </c>
      <c r="AG288" s="39">
        <v>20</v>
      </c>
      <c r="AH288" s="39">
        <v>9</v>
      </c>
      <c r="AI288" s="25" t="s">
        <v>1780</v>
      </c>
      <c r="AJ288" s="39">
        <v>240</v>
      </c>
      <c r="AK288" s="39">
        <v>25</v>
      </c>
      <c r="AL288" s="39">
        <v>12</v>
      </c>
      <c r="AM288" s="25" t="s">
        <v>1781</v>
      </c>
      <c r="AN288" s="39">
        <v>300</v>
      </c>
      <c r="AO288" s="39">
        <v>30</v>
      </c>
      <c r="AP288" s="39">
        <v>15</v>
      </c>
      <c r="AQ288" s="25" t="s">
        <v>1562</v>
      </c>
      <c r="AR288" s="39" t="s">
        <v>6456</v>
      </c>
    </row>
    <row r="289" spans="1:44" x14ac:dyDescent="0.2">
      <c r="A289" s="25" t="s">
        <v>61</v>
      </c>
      <c r="B289" s="25" t="s">
        <v>4260</v>
      </c>
      <c r="T289" s="25" t="s">
        <v>1663</v>
      </c>
      <c r="U289" s="25">
        <v>5715</v>
      </c>
      <c r="V289" s="25" t="s">
        <v>2321</v>
      </c>
      <c r="W289" s="38" t="s">
        <v>2322</v>
      </c>
      <c r="X289" s="25" t="s">
        <v>1666</v>
      </c>
      <c r="Y289" s="25" t="s">
        <v>164</v>
      </c>
      <c r="Z289" s="25" t="s">
        <v>1451</v>
      </c>
      <c r="AA289" s="25" t="s">
        <v>2323</v>
      </c>
      <c r="AB289" s="39">
        <v>80</v>
      </c>
      <c r="AC289" s="39">
        <v>10</v>
      </c>
      <c r="AD289" s="39">
        <v>9</v>
      </c>
      <c r="AE289" s="25" t="s">
        <v>2324</v>
      </c>
      <c r="AF289" s="39">
        <v>120</v>
      </c>
      <c r="AG289" s="39">
        <v>10</v>
      </c>
      <c r="AH289" s="39">
        <v>11</v>
      </c>
      <c r="AI289" s="25" t="s">
        <v>2325</v>
      </c>
      <c r="AJ289" s="39">
        <v>160</v>
      </c>
      <c r="AK289" s="39">
        <v>15</v>
      </c>
      <c r="AL289" s="39">
        <v>13</v>
      </c>
      <c r="AM289" s="25" t="s">
        <v>2326</v>
      </c>
      <c r="AN289" s="39">
        <v>200</v>
      </c>
      <c r="AO289" s="39">
        <v>15</v>
      </c>
      <c r="AP289" s="39">
        <v>16</v>
      </c>
      <c r="AQ289" s="25" t="s">
        <v>61</v>
      </c>
      <c r="AR289" s="39"/>
    </row>
    <row r="290" spans="1:44" x14ac:dyDescent="0.2">
      <c r="A290" s="25" t="s">
        <v>90</v>
      </c>
      <c r="B290" s="25" t="s">
        <v>1491</v>
      </c>
      <c r="T290" s="25" t="s">
        <v>1663</v>
      </c>
      <c r="U290" s="25">
        <v>11715</v>
      </c>
      <c r="V290" s="25" t="s">
        <v>3193</v>
      </c>
      <c r="W290" s="38" t="s">
        <v>3194</v>
      </c>
      <c r="X290" s="25" t="s">
        <v>1666</v>
      </c>
      <c r="Y290" s="25" t="s">
        <v>164</v>
      </c>
      <c r="Z290" s="25" t="s">
        <v>1451</v>
      </c>
      <c r="AA290" s="25" t="s">
        <v>2323</v>
      </c>
      <c r="AB290" s="39">
        <v>80</v>
      </c>
      <c r="AC290" s="39">
        <v>10</v>
      </c>
      <c r="AD290" s="39">
        <v>9</v>
      </c>
      <c r="AE290" s="25" t="s">
        <v>2324</v>
      </c>
      <c r="AF290" s="39">
        <v>120</v>
      </c>
      <c r="AG290" s="39">
        <v>10</v>
      </c>
      <c r="AH290" s="39">
        <v>11</v>
      </c>
      <c r="AI290" s="25" t="s">
        <v>2325</v>
      </c>
      <c r="AJ290" s="39">
        <v>160</v>
      </c>
      <c r="AK290" s="39">
        <v>15</v>
      </c>
      <c r="AL290" s="39">
        <v>13</v>
      </c>
      <c r="AM290" s="25" t="s">
        <v>2326</v>
      </c>
      <c r="AN290" s="39">
        <v>200</v>
      </c>
      <c r="AO290" s="39">
        <v>15</v>
      </c>
      <c r="AP290" s="39">
        <v>16</v>
      </c>
      <c r="AQ290" s="25" t="s">
        <v>49</v>
      </c>
      <c r="AR290" s="39"/>
    </row>
    <row r="291" spans="1:44" x14ac:dyDescent="0.2">
      <c r="A291" s="25" t="s">
        <v>90</v>
      </c>
      <c r="B291" s="25" t="s">
        <v>1729</v>
      </c>
      <c r="T291" s="25" t="s">
        <v>35</v>
      </c>
      <c r="U291" s="25">
        <v>22007</v>
      </c>
      <c r="V291" s="25" t="s">
        <v>3724</v>
      </c>
      <c r="W291" s="38" t="s">
        <v>3725</v>
      </c>
      <c r="X291" s="25">
        <v>72</v>
      </c>
      <c r="Y291" s="25" t="s">
        <v>164</v>
      </c>
      <c r="Z291" s="25" t="s">
        <v>1451</v>
      </c>
      <c r="AA291" s="25" t="s">
        <v>1478</v>
      </c>
      <c r="AB291" s="39">
        <v>120</v>
      </c>
      <c r="AC291" s="39" t="s">
        <v>244</v>
      </c>
      <c r="AD291" s="39">
        <v>7</v>
      </c>
      <c r="AE291" s="25" t="s">
        <v>3589</v>
      </c>
      <c r="AF291" s="39">
        <v>270</v>
      </c>
      <c r="AG291" s="39" t="s">
        <v>244</v>
      </c>
      <c r="AH291" s="39">
        <v>10</v>
      </c>
      <c r="AI291" s="25" t="s">
        <v>1761</v>
      </c>
      <c r="AJ291" s="39">
        <v>360</v>
      </c>
      <c r="AK291" s="39" t="s">
        <v>244</v>
      </c>
      <c r="AL291" s="39">
        <v>12</v>
      </c>
      <c r="AM291" s="25" t="s">
        <v>3726</v>
      </c>
      <c r="AN291" s="39">
        <v>450</v>
      </c>
      <c r="AO291" s="39" t="s">
        <v>244</v>
      </c>
      <c r="AP291" s="39">
        <v>15</v>
      </c>
      <c r="AR291" s="39"/>
    </row>
    <row r="292" spans="1:44" x14ac:dyDescent="0.2">
      <c r="A292" s="25" t="s">
        <v>90</v>
      </c>
      <c r="B292" s="25" t="s">
        <v>1898</v>
      </c>
      <c r="T292" s="25" t="s">
        <v>90</v>
      </c>
      <c r="U292" s="25">
        <v>20009</v>
      </c>
      <c r="V292" s="25" t="s">
        <v>3647</v>
      </c>
      <c r="W292" s="38" t="s">
        <v>6543</v>
      </c>
      <c r="X292" s="25">
        <v>66</v>
      </c>
      <c r="Y292" s="25" t="s">
        <v>1498</v>
      </c>
      <c r="Z292" s="25" t="s">
        <v>1451</v>
      </c>
      <c r="AA292" s="25" t="s">
        <v>3648</v>
      </c>
      <c r="AB292" s="39">
        <v>120</v>
      </c>
      <c r="AC292" s="39">
        <v>15</v>
      </c>
      <c r="AD292" s="39">
        <v>8</v>
      </c>
      <c r="AE292" s="25" t="s">
        <v>3649</v>
      </c>
      <c r="AF292" s="39">
        <v>180</v>
      </c>
      <c r="AG292" s="39">
        <v>20</v>
      </c>
      <c r="AH292" s="39">
        <v>10</v>
      </c>
      <c r="AI292" s="25" t="s">
        <v>3650</v>
      </c>
      <c r="AJ292" s="39">
        <v>240</v>
      </c>
      <c r="AK292" s="39">
        <v>25</v>
      </c>
      <c r="AL292" s="39">
        <v>13</v>
      </c>
      <c r="AM292" s="25" t="s">
        <v>3651</v>
      </c>
      <c r="AN292" s="39">
        <v>300</v>
      </c>
      <c r="AO292" s="39">
        <v>30</v>
      </c>
      <c r="AP292" s="39">
        <v>15</v>
      </c>
      <c r="AR292" s="39" t="s">
        <v>6456</v>
      </c>
    </row>
    <row r="293" spans="1:44" x14ac:dyDescent="0.2">
      <c r="A293" s="25" t="s">
        <v>90</v>
      </c>
      <c r="B293" s="25" t="s">
        <v>2052</v>
      </c>
      <c r="T293" s="25" t="s">
        <v>29</v>
      </c>
      <c r="U293" s="25">
        <v>25001</v>
      </c>
      <c r="V293" s="25" t="s">
        <v>3822</v>
      </c>
      <c r="W293" s="38" t="s">
        <v>6572</v>
      </c>
      <c r="X293" s="25">
        <v>62</v>
      </c>
      <c r="Y293" s="25" t="s">
        <v>1498</v>
      </c>
      <c r="Z293" s="25" t="s">
        <v>1451</v>
      </c>
      <c r="AA293" s="25" t="s">
        <v>3823</v>
      </c>
      <c r="AB293" s="39">
        <v>140</v>
      </c>
      <c r="AC293" s="39">
        <v>15</v>
      </c>
      <c r="AD293" s="39">
        <v>7</v>
      </c>
      <c r="AE293" s="25" t="s">
        <v>1501</v>
      </c>
      <c r="AF293" s="39">
        <v>180</v>
      </c>
      <c r="AG293" s="39">
        <v>20</v>
      </c>
      <c r="AH293" s="39">
        <v>9</v>
      </c>
      <c r="AI293" s="25" t="s">
        <v>1502</v>
      </c>
      <c r="AJ293" s="39">
        <v>240</v>
      </c>
      <c r="AK293" s="39">
        <v>25</v>
      </c>
      <c r="AL293" s="39">
        <v>12</v>
      </c>
      <c r="AM293" s="25" t="s">
        <v>3824</v>
      </c>
      <c r="AN293" s="39">
        <v>300</v>
      </c>
      <c r="AO293" s="39">
        <v>30</v>
      </c>
      <c r="AP293" s="39">
        <v>15</v>
      </c>
      <c r="AR293" s="39" t="s">
        <v>6456</v>
      </c>
    </row>
    <row r="294" spans="1:44" x14ac:dyDescent="0.2">
      <c r="A294" s="25" t="s">
        <v>90</v>
      </c>
      <c r="B294" s="25" t="s">
        <v>2213</v>
      </c>
      <c r="T294" s="25" t="s">
        <v>39</v>
      </c>
      <c r="U294" s="25">
        <v>25002</v>
      </c>
      <c r="V294" s="25" t="s">
        <v>3825</v>
      </c>
      <c r="W294" s="38" t="s">
        <v>6466</v>
      </c>
      <c r="X294" s="25">
        <v>62</v>
      </c>
      <c r="Y294" s="25" t="s">
        <v>1498</v>
      </c>
      <c r="Z294" s="25" t="s">
        <v>1451</v>
      </c>
      <c r="AA294" s="25" t="s">
        <v>3823</v>
      </c>
      <c r="AB294" s="39">
        <v>140</v>
      </c>
      <c r="AC294" s="39">
        <v>15</v>
      </c>
      <c r="AD294" s="39">
        <v>7</v>
      </c>
      <c r="AE294" s="25" t="s">
        <v>1501</v>
      </c>
      <c r="AF294" s="39">
        <v>180</v>
      </c>
      <c r="AG294" s="39">
        <v>20</v>
      </c>
      <c r="AH294" s="39">
        <v>9</v>
      </c>
      <c r="AI294" s="25" t="s">
        <v>1502</v>
      </c>
      <c r="AJ294" s="39">
        <v>240</v>
      </c>
      <c r="AK294" s="39">
        <v>25</v>
      </c>
      <c r="AL294" s="39">
        <v>12</v>
      </c>
      <c r="AM294" s="25" t="s">
        <v>3824</v>
      </c>
      <c r="AN294" s="39">
        <v>300</v>
      </c>
      <c r="AO294" s="39">
        <v>30</v>
      </c>
      <c r="AP294" s="39">
        <v>15</v>
      </c>
      <c r="AR294" s="39" t="s">
        <v>6456</v>
      </c>
    </row>
    <row r="295" spans="1:44" x14ac:dyDescent="0.2">
      <c r="A295" s="25" t="s">
        <v>90</v>
      </c>
      <c r="B295" s="25" t="s">
        <v>2375</v>
      </c>
      <c r="T295" s="25" t="s">
        <v>1679</v>
      </c>
      <c r="U295" s="25">
        <v>4915</v>
      </c>
      <c r="V295" s="25" t="s">
        <v>2171</v>
      </c>
      <c r="W295" s="38" t="s">
        <v>6537</v>
      </c>
      <c r="X295" s="25" t="s">
        <v>1682</v>
      </c>
      <c r="Y295" s="25" t="s">
        <v>1498</v>
      </c>
      <c r="Z295" s="25" t="s">
        <v>1451</v>
      </c>
      <c r="AA295" s="25" t="s">
        <v>2172</v>
      </c>
      <c r="AB295" s="39">
        <v>300</v>
      </c>
      <c r="AC295" s="39">
        <v>30</v>
      </c>
      <c r="AD295" s="39">
        <v>11</v>
      </c>
      <c r="AE295" s="25" t="s">
        <v>2173</v>
      </c>
      <c r="AF295" s="39">
        <v>360</v>
      </c>
      <c r="AG295" s="39">
        <v>40</v>
      </c>
      <c r="AH295" s="39">
        <v>13</v>
      </c>
      <c r="AI295" s="25" t="s">
        <v>2174</v>
      </c>
      <c r="AJ295" s="39">
        <v>420</v>
      </c>
      <c r="AK295" s="39">
        <v>45</v>
      </c>
      <c r="AL295" s="39">
        <v>15</v>
      </c>
      <c r="AM295" s="25" t="s">
        <v>2175</v>
      </c>
      <c r="AN295" s="39">
        <v>480</v>
      </c>
      <c r="AO295" s="39">
        <v>50</v>
      </c>
      <c r="AP295" s="39">
        <v>17</v>
      </c>
      <c r="AQ295" s="25" t="s">
        <v>49</v>
      </c>
      <c r="AR295" s="39" t="s">
        <v>6456</v>
      </c>
    </row>
    <row r="296" spans="1:44" x14ac:dyDescent="0.2">
      <c r="A296" s="25" t="s">
        <v>90</v>
      </c>
      <c r="B296" s="25" t="s">
        <v>2538</v>
      </c>
      <c r="T296" s="25" t="s">
        <v>29</v>
      </c>
      <c r="U296" s="25">
        <v>4001</v>
      </c>
      <c r="V296" s="25" t="s">
        <v>2022</v>
      </c>
      <c r="W296" s="38" t="s">
        <v>2023</v>
      </c>
      <c r="X296" s="25">
        <v>10</v>
      </c>
      <c r="Y296" s="25" t="s">
        <v>117</v>
      </c>
      <c r="Z296" s="25" t="s">
        <v>1557</v>
      </c>
      <c r="AA296" s="25" t="s">
        <v>2024</v>
      </c>
      <c r="AB296" s="39">
        <v>50</v>
      </c>
      <c r="AC296" s="39">
        <v>5</v>
      </c>
      <c r="AD296" s="39">
        <v>6</v>
      </c>
      <c r="AE296" s="25" t="s">
        <v>2025</v>
      </c>
      <c r="AF296" s="39">
        <v>120</v>
      </c>
      <c r="AG296" s="39">
        <v>15</v>
      </c>
      <c r="AH296" s="39">
        <v>8</v>
      </c>
      <c r="AI296" s="25" t="s">
        <v>2026</v>
      </c>
      <c r="AJ296" s="39">
        <v>180</v>
      </c>
      <c r="AK296" s="39">
        <v>20</v>
      </c>
      <c r="AL296" s="39">
        <v>10</v>
      </c>
      <c r="AM296" s="25" t="s">
        <v>2027</v>
      </c>
      <c r="AN296" s="39">
        <v>250</v>
      </c>
      <c r="AO296" s="39">
        <v>25</v>
      </c>
      <c r="AP296" s="39">
        <v>14</v>
      </c>
      <c r="AR296" s="39"/>
    </row>
    <row r="297" spans="1:44" x14ac:dyDescent="0.2">
      <c r="A297" s="25" t="s">
        <v>90</v>
      </c>
      <c r="B297" s="25" t="s">
        <v>2695</v>
      </c>
      <c r="T297" s="25" t="s">
        <v>1531</v>
      </c>
      <c r="U297" s="25">
        <v>5018</v>
      </c>
      <c r="V297" s="25" t="s">
        <v>2241</v>
      </c>
      <c r="W297" s="38" t="s">
        <v>2242</v>
      </c>
      <c r="X297" s="25">
        <v>44</v>
      </c>
      <c r="Y297" s="25" t="s">
        <v>117</v>
      </c>
      <c r="Z297" s="25" t="s">
        <v>1557</v>
      </c>
      <c r="AA297" s="25" t="s">
        <v>2243</v>
      </c>
      <c r="AB297" s="39">
        <v>150</v>
      </c>
      <c r="AC297" s="39">
        <v>15</v>
      </c>
      <c r="AD297" s="39">
        <v>8</v>
      </c>
      <c r="AE297" s="25">
        <v>500</v>
      </c>
      <c r="AF297" s="39">
        <v>200</v>
      </c>
      <c r="AG297" s="39">
        <v>20</v>
      </c>
      <c r="AH297" s="39">
        <v>10</v>
      </c>
      <c r="AI297" s="25">
        <v>800</v>
      </c>
      <c r="AJ297" s="39">
        <v>200</v>
      </c>
      <c r="AK297" s="39">
        <v>25</v>
      </c>
      <c r="AL297" s="39">
        <v>12</v>
      </c>
      <c r="AM297" s="25">
        <v>1200</v>
      </c>
      <c r="AN297" s="39">
        <v>300</v>
      </c>
      <c r="AO297" s="39">
        <v>30</v>
      </c>
      <c r="AP297" s="39">
        <v>15</v>
      </c>
      <c r="AQ297" s="25" t="s">
        <v>1534</v>
      </c>
      <c r="AR297" s="39"/>
    </row>
    <row r="298" spans="1:44" x14ac:dyDescent="0.2">
      <c r="A298" s="25" t="s">
        <v>90</v>
      </c>
      <c r="B298" s="25" t="s">
        <v>2846</v>
      </c>
      <c r="T298" s="25" t="s">
        <v>1611</v>
      </c>
      <c r="U298" s="25">
        <v>3029</v>
      </c>
      <c r="V298" s="25" t="s">
        <v>1972</v>
      </c>
      <c r="W298" s="38" t="s">
        <v>1973</v>
      </c>
      <c r="X298" s="25">
        <v>24</v>
      </c>
      <c r="Y298" s="25" t="s">
        <v>520</v>
      </c>
      <c r="Z298" s="25" t="s">
        <v>1557</v>
      </c>
      <c r="AA298" s="25" t="s">
        <v>1974</v>
      </c>
      <c r="AB298" s="39">
        <v>50</v>
      </c>
      <c r="AC298" s="39">
        <v>5</v>
      </c>
      <c r="AD298" s="39">
        <v>6</v>
      </c>
      <c r="AE298" s="25" t="s">
        <v>1975</v>
      </c>
      <c r="AF298" s="39">
        <v>90</v>
      </c>
      <c r="AG298" s="39">
        <v>20</v>
      </c>
      <c r="AH298" s="39">
        <v>9</v>
      </c>
      <c r="AI298" s="25" t="s">
        <v>1976</v>
      </c>
      <c r="AJ298" s="39">
        <v>120</v>
      </c>
      <c r="AK298" s="39">
        <v>25</v>
      </c>
      <c r="AL298" s="39">
        <v>12</v>
      </c>
      <c r="AM298" s="25" t="s">
        <v>1977</v>
      </c>
      <c r="AN298" s="39">
        <v>150</v>
      </c>
      <c r="AO298" s="39">
        <v>30</v>
      </c>
      <c r="AP298" s="39">
        <v>15</v>
      </c>
      <c r="AQ298" s="25" t="s">
        <v>1618</v>
      </c>
      <c r="AR298" s="39"/>
    </row>
    <row r="299" spans="1:44" x14ac:dyDescent="0.2">
      <c r="A299" s="25" t="s">
        <v>90</v>
      </c>
      <c r="B299" s="25" t="s">
        <v>3004</v>
      </c>
      <c r="T299" s="25" t="s">
        <v>101</v>
      </c>
      <c r="U299" s="25">
        <v>4011</v>
      </c>
      <c r="V299" s="25" t="s">
        <v>2063</v>
      </c>
      <c r="W299" s="38" t="s">
        <v>2064</v>
      </c>
      <c r="X299" s="25">
        <v>10</v>
      </c>
      <c r="Y299" s="25" t="s">
        <v>520</v>
      </c>
      <c r="Z299" s="25" t="s">
        <v>1557</v>
      </c>
      <c r="AA299" s="25" t="s">
        <v>2065</v>
      </c>
      <c r="AB299" s="39">
        <v>40</v>
      </c>
      <c r="AC299" s="39">
        <v>5</v>
      </c>
      <c r="AD299" s="39">
        <v>6</v>
      </c>
      <c r="AE299" s="25" t="s">
        <v>2066</v>
      </c>
      <c r="AF299" s="39">
        <v>60</v>
      </c>
      <c r="AG299" s="39">
        <v>5</v>
      </c>
      <c r="AH299" s="39">
        <v>9</v>
      </c>
      <c r="AI299" s="25" t="s">
        <v>2067</v>
      </c>
      <c r="AJ299" s="39">
        <v>80</v>
      </c>
      <c r="AK299" s="39">
        <v>10</v>
      </c>
      <c r="AL299" s="39">
        <v>11</v>
      </c>
      <c r="AM299" s="25" t="s">
        <v>2068</v>
      </c>
      <c r="AN299" s="39">
        <v>100</v>
      </c>
      <c r="AO299" s="39">
        <v>15</v>
      </c>
      <c r="AP299" s="39">
        <v>13</v>
      </c>
      <c r="AR299" s="39"/>
    </row>
    <row r="300" spans="1:44" x14ac:dyDescent="0.2">
      <c r="A300" s="25" t="s">
        <v>90</v>
      </c>
      <c r="B300" s="25" t="s">
        <v>3144</v>
      </c>
      <c r="T300" s="25" t="s">
        <v>1627</v>
      </c>
      <c r="U300" s="25">
        <v>4215</v>
      </c>
      <c r="V300" s="25" t="s">
        <v>2139</v>
      </c>
      <c r="W300" s="38" t="s">
        <v>2140</v>
      </c>
      <c r="X300" s="25" t="s">
        <v>1629</v>
      </c>
      <c r="Y300" s="25" t="s">
        <v>117</v>
      </c>
      <c r="Z300" s="25" t="s">
        <v>1557</v>
      </c>
      <c r="AA300" s="25" t="s">
        <v>2141</v>
      </c>
      <c r="AB300" s="39">
        <v>60</v>
      </c>
      <c r="AC300" s="39">
        <v>10</v>
      </c>
      <c r="AD300" s="39">
        <v>6</v>
      </c>
      <c r="AE300" s="25" t="s">
        <v>2142</v>
      </c>
      <c r="AF300" s="39">
        <v>120</v>
      </c>
      <c r="AG300" s="39">
        <v>20</v>
      </c>
      <c r="AH300" s="39">
        <v>9</v>
      </c>
      <c r="AI300" s="25" t="s">
        <v>2143</v>
      </c>
      <c r="AJ300" s="39">
        <v>180</v>
      </c>
      <c r="AK300" s="39">
        <v>20</v>
      </c>
      <c r="AL300" s="39">
        <v>11</v>
      </c>
      <c r="AM300" s="25" t="s">
        <v>2144</v>
      </c>
      <c r="AN300" s="39">
        <v>240</v>
      </c>
      <c r="AO300" s="39">
        <v>25</v>
      </c>
      <c r="AP300" s="39">
        <v>13</v>
      </c>
      <c r="AQ300" s="25" t="s">
        <v>61</v>
      </c>
      <c r="AR300" s="39"/>
    </row>
    <row r="301" spans="1:44" x14ac:dyDescent="0.2">
      <c r="A301" s="25" t="s">
        <v>90</v>
      </c>
      <c r="B301" s="25" t="s">
        <v>3236</v>
      </c>
      <c r="T301" s="25" t="s">
        <v>35</v>
      </c>
      <c r="U301" s="25">
        <v>9007</v>
      </c>
      <c r="V301" s="25" t="s">
        <v>2837</v>
      </c>
      <c r="W301" s="38" t="s">
        <v>2838</v>
      </c>
      <c r="X301" s="25">
        <v>30</v>
      </c>
      <c r="Y301" s="25" t="s">
        <v>117</v>
      </c>
      <c r="Z301" s="25" t="s">
        <v>1557</v>
      </c>
      <c r="AA301" s="25" t="s">
        <v>2024</v>
      </c>
      <c r="AB301" s="39">
        <v>50</v>
      </c>
      <c r="AC301" s="39">
        <v>5</v>
      </c>
      <c r="AD301" s="39">
        <v>6</v>
      </c>
      <c r="AE301" s="25" t="s">
        <v>2839</v>
      </c>
      <c r="AF301" s="39">
        <v>90</v>
      </c>
      <c r="AG301" s="39">
        <v>10</v>
      </c>
      <c r="AH301" s="39">
        <v>8</v>
      </c>
      <c r="AI301" s="25" t="s">
        <v>2840</v>
      </c>
      <c r="AJ301" s="39">
        <v>120</v>
      </c>
      <c r="AK301" s="39">
        <v>10</v>
      </c>
      <c r="AL301" s="39">
        <v>11</v>
      </c>
      <c r="AM301" s="25" t="s">
        <v>2841</v>
      </c>
      <c r="AN301" s="39">
        <v>160</v>
      </c>
      <c r="AO301" s="39">
        <v>20</v>
      </c>
      <c r="AP301" s="39">
        <v>14</v>
      </c>
      <c r="AR301" s="39"/>
    </row>
    <row r="302" spans="1:44" x14ac:dyDescent="0.2">
      <c r="A302" s="25" t="s">
        <v>90</v>
      </c>
      <c r="B302" s="25" t="s">
        <v>3329</v>
      </c>
      <c r="T302" s="25" t="s">
        <v>101</v>
      </c>
      <c r="U302" s="25">
        <v>18011</v>
      </c>
      <c r="V302" s="25" t="s">
        <v>3561</v>
      </c>
      <c r="W302" s="38" t="s">
        <v>3562</v>
      </c>
      <c r="X302" s="25">
        <v>46</v>
      </c>
      <c r="Y302" s="25" t="s">
        <v>117</v>
      </c>
      <c r="Z302" s="25" t="s">
        <v>1451</v>
      </c>
      <c r="AA302" s="25" t="s">
        <v>2142</v>
      </c>
      <c r="AB302" s="39">
        <v>80</v>
      </c>
      <c r="AC302" s="39">
        <v>5</v>
      </c>
      <c r="AD302" s="39">
        <v>9</v>
      </c>
      <c r="AE302" s="25" t="s">
        <v>2143</v>
      </c>
      <c r="AF302" s="39">
        <v>160</v>
      </c>
      <c r="AG302" s="39">
        <v>10</v>
      </c>
      <c r="AH302" s="39">
        <v>11</v>
      </c>
      <c r="AI302" s="25" t="s">
        <v>3563</v>
      </c>
      <c r="AJ302" s="39">
        <v>240</v>
      </c>
      <c r="AK302" s="39">
        <v>15</v>
      </c>
      <c r="AL302" s="39">
        <v>13</v>
      </c>
      <c r="AM302" s="25" t="s">
        <v>2507</v>
      </c>
      <c r="AN302" s="39">
        <v>300</v>
      </c>
      <c r="AO302" s="39">
        <v>15</v>
      </c>
      <c r="AP302" s="39">
        <v>15</v>
      </c>
      <c r="AR302" s="39"/>
    </row>
    <row r="303" spans="1:44" x14ac:dyDescent="0.2">
      <c r="A303" s="25" t="s">
        <v>90</v>
      </c>
      <c r="B303" s="25" t="s">
        <v>3389</v>
      </c>
      <c r="T303" s="25" t="s">
        <v>39</v>
      </c>
      <c r="U303" s="25">
        <v>4002</v>
      </c>
      <c r="V303" s="25" t="s">
        <v>2028</v>
      </c>
      <c r="W303" s="38" t="s">
        <v>2029</v>
      </c>
      <c r="X303" s="25">
        <v>10</v>
      </c>
      <c r="Y303" s="25" t="s">
        <v>117</v>
      </c>
      <c r="Z303" s="25" t="s">
        <v>1557</v>
      </c>
      <c r="AA303" s="25" t="s">
        <v>2024</v>
      </c>
      <c r="AB303" s="39">
        <v>50</v>
      </c>
      <c r="AC303" s="39">
        <v>5</v>
      </c>
      <c r="AD303" s="39">
        <v>6</v>
      </c>
      <c r="AE303" s="25" t="s">
        <v>2025</v>
      </c>
      <c r="AF303" s="39">
        <v>120</v>
      </c>
      <c r="AG303" s="39">
        <v>15</v>
      </c>
      <c r="AH303" s="39">
        <v>8</v>
      </c>
      <c r="AI303" s="25" t="s">
        <v>2026</v>
      </c>
      <c r="AJ303" s="39">
        <v>180</v>
      </c>
      <c r="AK303" s="39">
        <v>20</v>
      </c>
      <c r="AL303" s="39">
        <v>10</v>
      </c>
      <c r="AM303" s="25" t="s">
        <v>2027</v>
      </c>
      <c r="AN303" s="39">
        <v>250</v>
      </c>
      <c r="AO303" s="39">
        <v>25</v>
      </c>
      <c r="AP303" s="39">
        <v>14</v>
      </c>
      <c r="AR303" s="39"/>
    </row>
    <row r="304" spans="1:44" x14ac:dyDescent="0.2">
      <c r="A304" s="25" t="s">
        <v>90</v>
      </c>
      <c r="B304" s="25" t="s">
        <v>3429</v>
      </c>
      <c r="T304" s="25" t="s">
        <v>49</v>
      </c>
      <c r="U304" s="25">
        <v>24003</v>
      </c>
      <c r="V304" s="25" t="s">
        <v>3791</v>
      </c>
      <c r="W304" s="38" t="s">
        <v>6595</v>
      </c>
      <c r="X304" s="25">
        <v>60</v>
      </c>
      <c r="Y304" s="25" t="s">
        <v>117</v>
      </c>
      <c r="Z304" s="25" t="s">
        <v>1451</v>
      </c>
      <c r="AA304" s="25" t="s">
        <v>2858</v>
      </c>
      <c r="AB304" s="39">
        <v>150</v>
      </c>
      <c r="AC304" s="39">
        <v>8</v>
      </c>
      <c r="AD304" s="39">
        <v>15</v>
      </c>
      <c r="AE304" s="25" t="s">
        <v>2671</v>
      </c>
      <c r="AF304" s="39">
        <v>200</v>
      </c>
      <c r="AG304" s="39">
        <v>20</v>
      </c>
      <c r="AH304" s="39">
        <v>10</v>
      </c>
      <c r="AI304" s="25" t="s">
        <v>2506</v>
      </c>
      <c r="AJ304" s="39">
        <v>300</v>
      </c>
      <c r="AK304" s="39">
        <v>30</v>
      </c>
      <c r="AL304" s="39">
        <v>13</v>
      </c>
      <c r="AM304" s="25" t="s">
        <v>2142</v>
      </c>
      <c r="AN304" s="39">
        <v>400</v>
      </c>
      <c r="AO304" s="39">
        <v>40</v>
      </c>
      <c r="AP304" s="39">
        <v>16</v>
      </c>
      <c r="AR304" s="39" t="s">
        <v>6456</v>
      </c>
    </row>
    <row r="305" spans="1:44" x14ac:dyDescent="0.2">
      <c r="A305" s="25" t="s">
        <v>90</v>
      </c>
      <c r="B305" s="25" t="s">
        <v>3476</v>
      </c>
      <c r="T305" s="25" t="s">
        <v>49</v>
      </c>
      <c r="U305" s="25">
        <v>7003</v>
      </c>
      <c r="V305" s="25" t="s">
        <v>2504</v>
      </c>
      <c r="W305" s="38" t="s">
        <v>2505</v>
      </c>
      <c r="X305" s="25">
        <v>18</v>
      </c>
      <c r="Y305" s="25" t="s">
        <v>117</v>
      </c>
      <c r="Z305" s="25" t="s">
        <v>1451</v>
      </c>
      <c r="AA305" s="25" t="s">
        <v>2506</v>
      </c>
      <c r="AB305" s="39">
        <v>40</v>
      </c>
      <c r="AC305" s="39">
        <v>5</v>
      </c>
      <c r="AD305" s="39">
        <v>6</v>
      </c>
      <c r="AE305" s="25" t="s">
        <v>2144</v>
      </c>
      <c r="AF305" s="39">
        <v>150</v>
      </c>
      <c r="AG305" s="39">
        <v>15</v>
      </c>
      <c r="AH305" s="39">
        <v>8</v>
      </c>
      <c r="AI305" s="25" t="s">
        <v>2507</v>
      </c>
      <c r="AJ305" s="39">
        <v>260</v>
      </c>
      <c r="AK305" s="39">
        <v>15</v>
      </c>
      <c r="AL305" s="39">
        <v>10</v>
      </c>
      <c r="AM305" s="25" t="s">
        <v>2508</v>
      </c>
      <c r="AN305" s="39">
        <v>400</v>
      </c>
      <c r="AO305" s="39">
        <v>20</v>
      </c>
      <c r="AP305" s="39">
        <v>12</v>
      </c>
      <c r="AR305" s="39"/>
    </row>
    <row r="306" spans="1:44" x14ac:dyDescent="0.2">
      <c r="A306" s="25" t="s">
        <v>90</v>
      </c>
      <c r="B306" s="25" t="s">
        <v>3519</v>
      </c>
      <c r="T306" s="25" t="s">
        <v>1554</v>
      </c>
      <c r="U306" s="25">
        <v>1022</v>
      </c>
      <c r="V306" s="25" t="s">
        <v>1555</v>
      </c>
      <c r="W306" s="38" t="s">
        <v>1556</v>
      </c>
      <c r="X306" s="25">
        <v>4</v>
      </c>
      <c r="Y306" s="25" t="s">
        <v>117</v>
      </c>
      <c r="Z306" s="25" t="s">
        <v>1557</v>
      </c>
      <c r="AA306" s="25" t="s">
        <v>1558</v>
      </c>
      <c r="AB306" s="39">
        <v>50</v>
      </c>
      <c r="AC306" s="39">
        <v>5</v>
      </c>
      <c r="AD306" s="39">
        <v>6</v>
      </c>
      <c r="AE306" s="25" t="s">
        <v>1559</v>
      </c>
      <c r="AF306" s="39">
        <v>100</v>
      </c>
      <c r="AG306" s="39">
        <v>15</v>
      </c>
      <c r="AH306" s="39">
        <v>8</v>
      </c>
      <c r="AI306" s="25" t="s">
        <v>1560</v>
      </c>
      <c r="AJ306" s="39">
        <v>160</v>
      </c>
      <c r="AK306" s="39">
        <v>20</v>
      </c>
      <c r="AL306" s="39">
        <v>10</v>
      </c>
      <c r="AM306" s="25" t="s">
        <v>1561</v>
      </c>
      <c r="AN306" s="39">
        <v>240</v>
      </c>
      <c r="AO306" s="39">
        <v>25</v>
      </c>
      <c r="AP306" s="39">
        <v>14</v>
      </c>
      <c r="AQ306" s="25" t="s">
        <v>1562</v>
      </c>
      <c r="AR306" s="39"/>
    </row>
    <row r="307" spans="1:44" x14ac:dyDescent="0.2">
      <c r="A307" s="25" t="s">
        <v>90</v>
      </c>
      <c r="B307" s="25" t="s">
        <v>3553</v>
      </c>
      <c r="T307" s="25" t="s">
        <v>61</v>
      </c>
      <c r="U307" s="25">
        <v>28004</v>
      </c>
      <c r="V307" s="25" t="s">
        <v>3951</v>
      </c>
      <c r="W307" s="38" t="s">
        <v>3952</v>
      </c>
      <c r="X307" s="25">
        <v>70</v>
      </c>
      <c r="Y307" s="25" t="s">
        <v>164</v>
      </c>
      <c r="Z307" s="25" t="s">
        <v>1451</v>
      </c>
      <c r="AA307" s="25" t="s">
        <v>3953</v>
      </c>
      <c r="AB307" s="39">
        <v>150</v>
      </c>
      <c r="AC307" s="39">
        <v>15</v>
      </c>
      <c r="AD307" s="39">
        <v>9</v>
      </c>
      <c r="AE307" s="25" t="s">
        <v>3954</v>
      </c>
      <c r="AF307" s="39">
        <v>200</v>
      </c>
      <c r="AG307" s="39">
        <v>20</v>
      </c>
      <c r="AH307" s="39">
        <v>12</v>
      </c>
      <c r="AI307" s="25" t="s">
        <v>3955</v>
      </c>
      <c r="AJ307" s="39">
        <v>250</v>
      </c>
      <c r="AK307" s="39">
        <v>25</v>
      </c>
      <c r="AL307" s="39">
        <v>14</v>
      </c>
      <c r="AM307" s="25" t="s">
        <v>3956</v>
      </c>
      <c r="AN307" s="39">
        <v>300</v>
      </c>
      <c r="AO307" s="39">
        <v>30</v>
      </c>
      <c r="AP307" s="39">
        <v>16</v>
      </c>
      <c r="AR307" s="39"/>
    </row>
    <row r="308" spans="1:44" x14ac:dyDescent="0.2">
      <c r="A308" s="25" t="s">
        <v>90</v>
      </c>
      <c r="B308" s="25" t="s">
        <v>3603</v>
      </c>
      <c r="T308" s="25" t="s">
        <v>29</v>
      </c>
      <c r="U308" s="25">
        <v>38001</v>
      </c>
      <c r="V308" s="25" t="s">
        <v>4205</v>
      </c>
      <c r="W308" s="38" t="s">
        <v>4206</v>
      </c>
      <c r="X308" s="25">
        <v>96</v>
      </c>
      <c r="Y308" s="25" t="s">
        <v>164</v>
      </c>
      <c r="Z308" s="25" t="s">
        <v>1451</v>
      </c>
      <c r="AA308" s="25" t="s">
        <v>4207</v>
      </c>
      <c r="AB308" s="39">
        <v>200</v>
      </c>
      <c r="AC308" s="39" t="s">
        <v>244</v>
      </c>
      <c r="AD308" s="39">
        <v>12</v>
      </c>
      <c r="AE308" s="25" t="s">
        <v>4208</v>
      </c>
      <c r="AF308" s="39">
        <v>400</v>
      </c>
      <c r="AG308" s="39" t="s">
        <v>244</v>
      </c>
      <c r="AH308" s="39">
        <v>14</v>
      </c>
      <c r="AI308" s="25" t="s">
        <v>4209</v>
      </c>
      <c r="AJ308" s="39">
        <v>600</v>
      </c>
      <c r="AK308" s="39" t="s">
        <v>244</v>
      </c>
      <c r="AL308" s="39">
        <v>16</v>
      </c>
      <c r="AM308" s="25" t="s">
        <v>4210</v>
      </c>
      <c r="AN308" s="39">
        <v>800</v>
      </c>
      <c r="AO308" s="39" t="s">
        <v>244</v>
      </c>
      <c r="AP308" s="39">
        <v>18</v>
      </c>
      <c r="AR308" s="39"/>
    </row>
    <row r="309" spans="1:44" x14ac:dyDescent="0.2">
      <c r="A309" s="25" t="s">
        <v>90</v>
      </c>
      <c r="B309" s="25" t="s">
        <v>3647</v>
      </c>
      <c r="T309" s="25" t="s">
        <v>39</v>
      </c>
      <c r="U309" s="25">
        <v>38002</v>
      </c>
      <c r="V309" s="25" t="s">
        <v>4211</v>
      </c>
      <c r="W309" s="38" t="s">
        <v>4206</v>
      </c>
      <c r="X309" s="25">
        <v>96</v>
      </c>
      <c r="Y309" s="25" t="s">
        <v>164</v>
      </c>
      <c r="Z309" s="25" t="s">
        <v>1451</v>
      </c>
      <c r="AA309" s="25" t="s">
        <v>4207</v>
      </c>
      <c r="AB309" s="39">
        <v>200</v>
      </c>
      <c r="AC309" s="39" t="s">
        <v>244</v>
      </c>
      <c r="AD309" s="39">
        <v>12</v>
      </c>
      <c r="AE309" s="25" t="s">
        <v>4208</v>
      </c>
      <c r="AF309" s="39">
        <v>400</v>
      </c>
      <c r="AG309" s="39" t="s">
        <v>244</v>
      </c>
      <c r="AH309" s="39">
        <v>14</v>
      </c>
      <c r="AI309" s="25" t="s">
        <v>4209</v>
      </c>
      <c r="AJ309" s="39">
        <v>600</v>
      </c>
      <c r="AK309" s="39" t="s">
        <v>244</v>
      </c>
      <c r="AL309" s="39">
        <v>16</v>
      </c>
      <c r="AM309" s="25" t="s">
        <v>4210</v>
      </c>
      <c r="AN309" s="39">
        <v>800</v>
      </c>
      <c r="AO309" s="39" t="s">
        <v>244</v>
      </c>
      <c r="AP309" s="39">
        <v>18</v>
      </c>
      <c r="AR309" s="39"/>
    </row>
    <row r="310" spans="1:44" x14ac:dyDescent="0.2">
      <c r="A310" s="25" t="s">
        <v>90</v>
      </c>
      <c r="B310" s="25" t="s">
        <v>3684</v>
      </c>
      <c r="T310" s="25" t="s">
        <v>29</v>
      </c>
      <c r="U310" s="25">
        <v>18001</v>
      </c>
      <c r="V310" s="25" t="s">
        <v>3523</v>
      </c>
      <c r="W310" s="38" t="s">
        <v>3524</v>
      </c>
      <c r="X310" s="25">
        <v>46</v>
      </c>
      <c r="Y310" s="25" t="s">
        <v>116</v>
      </c>
      <c r="Z310" s="25" t="s">
        <v>1451</v>
      </c>
      <c r="AA310" s="25" t="s">
        <v>3525</v>
      </c>
      <c r="AB310" s="39">
        <v>120</v>
      </c>
      <c r="AC310" s="39">
        <v>15</v>
      </c>
      <c r="AD310" s="39">
        <v>6</v>
      </c>
      <c r="AE310" s="25" t="s">
        <v>3526</v>
      </c>
      <c r="AF310" s="39">
        <v>180</v>
      </c>
      <c r="AG310" s="39">
        <v>20</v>
      </c>
      <c r="AH310" s="39">
        <v>9</v>
      </c>
      <c r="AI310" s="25" t="s">
        <v>3527</v>
      </c>
      <c r="AJ310" s="39">
        <v>240</v>
      </c>
      <c r="AK310" s="39">
        <v>25</v>
      </c>
      <c r="AL310" s="39">
        <v>12</v>
      </c>
      <c r="AM310" s="25" t="s">
        <v>3528</v>
      </c>
      <c r="AN310" s="39">
        <v>300</v>
      </c>
      <c r="AO310" s="39">
        <v>30</v>
      </c>
      <c r="AP310" s="39">
        <v>15</v>
      </c>
      <c r="AR310" s="39"/>
    </row>
    <row r="311" spans="1:44" x14ac:dyDescent="0.2">
      <c r="A311" s="25" t="s">
        <v>90</v>
      </c>
      <c r="B311" s="25" t="s">
        <v>3730</v>
      </c>
      <c r="T311" s="25" t="s">
        <v>61</v>
      </c>
      <c r="U311" s="25">
        <v>5004</v>
      </c>
      <c r="V311" s="25" t="s">
        <v>2185</v>
      </c>
      <c r="W311" s="38" t="s">
        <v>2186</v>
      </c>
      <c r="X311" s="25">
        <v>12</v>
      </c>
      <c r="Y311" s="25" t="s">
        <v>116</v>
      </c>
      <c r="Z311" s="25" t="s">
        <v>1451</v>
      </c>
      <c r="AA311" s="25" t="s">
        <v>2187</v>
      </c>
      <c r="AB311" s="39">
        <v>30</v>
      </c>
      <c r="AC311" s="39" t="s">
        <v>244</v>
      </c>
      <c r="AD311" s="39">
        <v>5</v>
      </c>
      <c r="AE311" s="25" t="s">
        <v>2188</v>
      </c>
      <c r="AF311" s="39">
        <v>60</v>
      </c>
      <c r="AG311" s="39" t="s">
        <v>244</v>
      </c>
      <c r="AH311" s="39">
        <v>8</v>
      </c>
      <c r="AI311" s="25" t="s">
        <v>2189</v>
      </c>
      <c r="AJ311" s="39">
        <v>100</v>
      </c>
      <c r="AK311" s="39" t="s">
        <v>244</v>
      </c>
      <c r="AL311" s="39">
        <v>10</v>
      </c>
      <c r="AM311" s="25" t="s">
        <v>2190</v>
      </c>
      <c r="AN311" s="39">
        <v>150</v>
      </c>
      <c r="AO311" s="39" t="s">
        <v>244</v>
      </c>
      <c r="AP311" s="39">
        <v>13</v>
      </c>
      <c r="AR311" s="39"/>
    </row>
    <row r="312" spans="1:44" x14ac:dyDescent="0.2">
      <c r="A312" s="25" t="s">
        <v>90</v>
      </c>
      <c r="B312" s="25" t="s">
        <v>3769</v>
      </c>
      <c r="T312" s="25" t="s">
        <v>1663</v>
      </c>
      <c r="U312" s="25">
        <v>2715</v>
      </c>
      <c r="V312" s="25" t="s">
        <v>1847</v>
      </c>
      <c r="W312" s="38" t="s">
        <v>6642</v>
      </c>
      <c r="X312" s="25" t="s">
        <v>1666</v>
      </c>
      <c r="Y312" s="25" t="s">
        <v>1582</v>
      </c>
      <c r="Z312" s="25" t="s">
        <v>1451</v>
      </c>
      <c r="AA312" s="25" t="s">
        <v>1848</v>
      </c>
      <c r="AB312" s="39">
        <v>150</v>
      </c>
      <c r="AC312" s="39">
        <v>15</v>
      </c>
      <c r="AD312" s="39">
        <v>8</v>
      </c>
      <c r="AE312" s="25" t="s">
        <v>1849</v>
      </c>
      <c r="AF312" s="39">
        <v>200</v>
      </c>
      <c r="AG312" s="39">
        <v>20</v>
      </c>
      <c r="AH312" s="39">
        <v>11</v>
      </c>
      <c r="AI312" s="25" t="s">
        <v>1850</v>
      </c>
      <c r="AJ312" s="39">
        <v>250</v>
      </c>
      <c r="AK312" s="39">
        <v>25</v>
      </c>
      <c r="AL312" s="39">
        <v>13</v>
      </c>
      <c r="AM312" s="25" t="s">
        <v>1851</v>
      </c>
      <c r="AN312" s="39">
        <v>300</v>
      </c>
      <c r="AO312" s="39">
        <v>30</v>
      </c>
      <c r="AP312" s="39">
        <v>16</v>
      </c>
      <c r="AQ312" s="25" t="s">
        <v>1852</v>
      </c>
      <c r="AR312" s="39" t="s">
        <v>6456</v>
      </c>
    </row>
    <row r="313" spans="1:44" x14ac:dyDescent="0.2">
      <c r="A313" s="25" t="s">
        <v>90</v>
      </c>
      <c r="B313" s="25" t="s">
        <v>3807</v>
      </c>
      <c r="T313" s="25" t="s">
        <v>39</v>
      </c>
      <c r="U313" s="25">
        <v>18002</v>
      </c>
      <c r="V313" s="25" t="s">
        <v>3529</v>
      </c>
      <c r="W313" s="38" t="s">
        <v>3524</v>
      </c>
      <c r="X313" s="25">
        <v>46</v>
      </c>
      <c r="Y313" s="25" t="s">
        <v>116</v>
      </c>
      <c r="Z313" s="25" t="s">
        <v>1451</v>
      </c>
      <c r="AA313" s="25" t="s">
        <v>3525</v>
      </c>
      <c r="AB313" s="39">
        <v>120</v>
      </c>
      <c r="AC313" s="39">
        <v>15</v>
      </c>
      <c r="AD313" s="39">
        <v>6</v>
      </c>
      <c r="AE313" s="25" t="s">
        <v>3526</v>
      </c>
      <c r="AF313" s="39">
        <v>180</v>
      </c>
      <c r="AG313" s="39">
        <v>20</v>
      </c>
      <c r="AH313" s="39">
        <v>9</v>
      </c>
      <c r="AI313" s="25" t="s">
        <v>3527</v>
      </c>
      <c r="AJ313" s="39">
        <v>240</v>
      </c>
      <c r="AK313" s="39">
        <v>25</v>
      </c>
      <c r="AL313" s="39">
        <v>12</v>
      </c>
      <c r="AM313" s="25" t="s">
        <v>3528</v>
      </c>
      <c r="AN313" s="39">
        <v>300</v>
      </c>
      <c r="AO313" s="39">
        <v>30</v>
      </c>
      <c r="AP313" s="39">
        <v>15</v>
      </c>
      <c r="AR313" s="39"/>
    </row>
    <row r="314" spans="1:44" x14ac:dyDescent="0.2">
      <c r="A314" s="25" t="s">
        <v>90</v>
      </c>
      <c r="B314" s="25" t="s">
        <v>3840</v>
      </c>
      <c r="T314" s="25" t="s">
        <v>29</v>
      </c>
      <c r="U314" s="25">
        <v>14001</v>
      </c>
      <c r="V314" s="25" t="s">
        <v>3343</v>
      </c>
      <c r="W314" s="38" t="s">
        <v>6643</v>
      </c>
      <c r="X314" s="25">
        <v>36</v>
      </c>
      <c r="Y314" s="25" t="s">
        <v>164</v>
      </c>
      <c r="Z314" s="25" t="s">
        <v>1451</v>
      </c>
      <c r="AA314" s="25" t="s">
        <v>3344</v>
      </c>
      <c r="AB314" s="39">
        <v>100</v>
      </c>
      <c r="AC314" s="39">
        <v>20</v>
      </c>
      <c r="AD314" s="39">
        <v>6</v>
      </c>
      <c r="AE314" s="25" t="s">
        <v>3345</v>
      </c>
      <c r="AF314" s="39">
        <v>200</v>
      </c>
      <c r="AG314" s="39">
        <v>40</v>
      </c>
      <c r="AH314" s="39">
        <v>9</v>
      </c>
      <c r="AI314" s="25" t="s">
        <v>3346</v>
      </c>
      <c r="AJ314" s="39">
        <v>300</v>
      </c>
      <c r="AK314" s="39">
        <v>60</v>
      </c>
      <c r="AL314" s="39">
        <v>12</v>
      </c>
      <c r="AM314" s="25" t="s">
        <v>3347</v>
      </c>
      <c r="AN314" s="39">
        <v>400</v>
      </c>
      <c r="AO314" s="39">
        <v>80</v>
      </c>
      <c r="AP314" s="39">
        <v>15</v>
      </c>
      <c r="AR314" s="39" t="s">
        <v>6456</v>
      </c>
    </row>
    <row r="315" spans="1:44" x14ac:dyDescent="0.2">
      <c r="A315" s="25" t="s">
        <v>90</v>
      </c>
      <c r="B315" s="25" t="s">
        <v>3880</v>
      </c>
      <c r="T315" s="25" t="s">
        <v>1588</v>
      </c>
      <c r="U315" s="25">
        <v>3026</v>
      </c>
      <c r="V315" s="25" t="s">
        <v>1962</v>
      </c>
      <c r="W315" s="38" t="s">
        <v>6586</v>
      </c>
      <c r="X315" s="25">
        <v>24</v>
      </c>
      <c r="Y315" s="25" t="s">
        <v>1582</v>
      </c>
      <c r="Z315" s="25" t="s">
        <v>1451</v>
      </c>
      <c r="AA315" s="25" t="s">
        <v>1957</v>
      </c>
      <c r="AB315" s="39">
        <v>60</v>
      </c>
      <c r="AC315" s="39">
        <v>10</v>
      </c>
      <c r="AD315" s="39">
        <v>6</v>
      </c>
      <c r="AE315" s="25" t="s">
        <v>1586</v>
      </c>
      <c r="AF315" s="39">
        <v>80</v>
      </c>
      <c r="AG315" s="39">
        <v>10</v>
      </c>
      <c r="AH315" s="39">
        <v>8</v>
      </c>
      <c r="AI315" s="25" t="s">
        <v>1959</v>
      </c>
      <c r="AJ315" s="39">
        <v>100</v>
      </c>
      <c r="AK315" s="39">
        <v>10</v>
      </c>
      <c r="AL315" s="39">
        <v>10</v>
      </c>
      <c r="AM315" s="25" t="s">
        <v>1963</v>
      </c>
      <c r="AN315" s="39">
        <v>120</v>
      </c>
      <c r="AO315" s="39">
        <v>15</v>
      </c>
      <c r="AP315" s="39">
        <v>12</v>
      </c>
      <c r="AQ315" s="25" t="s">
        <v>1595</v>
      </c>
      <c r="AR315" s="39" t="s">
        <v>6456</v>
      </c>
    </row>
    <row r="316" spans="1:44" x14ac:dyDescent="0.2">
      <c r="A316" s="25" t="s">
        <v>90</v>
      </c>
      <c r="B316" s="25" t="s">
        <v>3927</v>
      </c>
      <c r="T316" s="25" t="s">
        <v>35</v>
      </c>
      <c r="U316" s="25">
        <v>11007</v>
      </c>
      <c r="V316" s="25" t="s">
        <v>3133</v>
      </c>
      <c r="W316" s="38" t="s">
        <v>3134</v>
      </c>
      <c r="X316" s="25">
        <v>36</v>
      </c>
      <c r="Y316" s="25" t="s">
        <v>116</v>
      </c>
      <c r="Z316" s="25" t="s">
        <v>1451</v>
      </c>
      <c r="AA316" s="25" t="s">
        <v>3135</v>
      </c>
      <c r="AB316" s="39">
        <v>80</v>
      </c>
      <c r="AC316" s="39" t="s">
        <v>244</v>
      </c>
      <c r="AD316" s="39">
        <v>8</v>
      </c>
      <c r="AE316" s="25" t="s">
        <v>3136</v>
      </c>
      <c r="AF316" s="39">
        <v>120</v>
      </c>
      <c r="AG316" s="39" t="s">
        <v>244</v>
      </c>
      <c r="AH316" s="39">
        <v>10</v>
      </c>
      <c r="AI316" s="25" t="s">
        <v>3137</v>
      </c>
      <c r="AJ316" s="39">
        <v>150</v>
      </c>
      <c r="AK316" s="39" t="s">
        <v>244</v>
      </c>
      <c r="AL316" s="39">
        <v>12</v>
      </c>
      <c r="AM316" s="25" t="s">
        <v>3138</v>
      </c>
      <c r="AN316" s="39">
        <v>200</v>
      </c>
      <c r="AO316" s="39" t="s">
        <v>244</v>
      </c>
      <c r="AP316" s="39">
        <v>14</v>
      </c>
      <c r="AR316" s="39"/>
    </row>
    <row r="317" spans="1:44" x14ac:dyDescent="0.2">
      <c r="A317" s="25" t="s">
        <v>90</v>
      </c>
      <c r="B317" s="25" t="s">
        <v>2162</v>
      </c>
      <c r="T317" s="25" t="s">
        <v>29</v>
      </c>
      <c r="U317" s="25">
        <v>28001</v>
      </c>
      <c r="V317" s="25" t="s">
        <v>3937</v>
      </c>
      <c r="W317" s="38" t="s">
        <v>3938</v>
      </c>
      <c r="X317" s="25">
        <v>70</v>
      </c>
      <c r="Y317" s="25" t="s">
        <v>1498</v>
      </c>
      <c r="Z317" s="25" t="s">
        <v>1451</v>
      </c>
      <c r="AA317" s="25" t="s">
        <v>3939</v>
      </c>
      <c r="AB317" s="39">
        <v>140</v>
      </c>
      <c r="AC317" s="39">
        <v>5</v>
      </c>
      <c r="AD317" s="39">
        <v>10</v>
      </c>
      <c r="AE317" s="25" t="s">
        <v>3940</v>
      </c>
      <c r="AF317" s="39">
        <v>200</v>
      </c>
      <c r="AG317" s="39">
        <v>10</v>
      </c>
      <c r="AH317" s="39">
        <v>12</v>
      </c>
      <c r="AI317" s="25" t="s">
        <v>3941</v>
      </c>
      <c r="AJ317" s="39">
        <v>280</v>
      </c>
      <c r="AK317" s="39">
        <v>10</v>
      </c>
      <c r="AL317" s="39">
        <v>14</v>
      </c>
      <c r="AM317" s="25" t="s">
        <v>3942</v>
      </c>
      <c r="AN317" s="39">
        <v>360</v>
      </c>
      <c r="AO317" s="39">
        <v>15</v>
      </c>
      <c r="AP317" s="39">
        <v>16</v>
      </c>
      <c r="AR317" s="39"/>
    </row>
    <row r="318" spans="1:44" x14ac:dyDescent="0.2">
      <c r="A318" s="25" t="s">
        <v>90</v>
      </c>
      <c r="B318" s="25" t="s">
        <v>4002</v>
      </c>
      <c r="T318" s="25" t="s">
        <v>1663</v>
      </c>
      <c r="U318" s="25">
        <v>8715</v>
      </c>
      <c r="V318" s="25" t="s">
        <v>2801</v>
      </c>
      <c r="W318" s="38" t="s">
        <v>2802</v>
      </c>
      <c r="X318" s="25" t="s">
        <v>1666</v>
      </c>
      <c r="Y318" s="25" t="s">
        <v>164</v>
      </c>
      <c r="Z318" s="25" t="s">
        <v>1451</v>
      </c>
      <c r="AA318" s="25" t="s">
        <v>2462</v>
      </c>
      <c r="AB318" s="39">
        <v>150</v>
      </c>
      <c r="AC318" s="39" t="s">
        <v>244</v>
      </c>
      <c r="AD318" s="39">
        <v>9</v>
      </c>
      <c r="AE318" s="25" t="s">
        <v>2463</v>
      </c>
      <c r="AF318" s="39">
        <v>200</v>
      </c>
      <c r="AG318" s="39" t="s">
        <v>244</v>
      </c>
      <c r="AH318" s="39">
        <v>11</v>
      </c>
      <c r="AI318" s="25" t="s">
        <v>1856</v>
      </c>
      <c r="AJ318" s="39">
        <v>250</v>
      </c>
      <c r="AK318" s="39" t="s">
        <v>244</v>
      </c>
      <c r="AL318" s="39">
        <v>13</v>
      </c>
      <c r="AM318" s="25" t="s">
        <v>2803</v>
      </c>
      <c r="AN318" s="39">
        <v>300</v>
      </c>
      <c r="AO318" s="39" t="s">
        <v>244</v>
      </c>
      <c r="AP318" s="39">
        <v>16</v>
      </c>
      <c r="AQ318" s="25" t="s">
        <v>60</v>
      </c>
      <c r="AR318" s="39"/>
    </row>
    <row r="319" spans="1:44" x14ac:dyDescent="0.2">
      <c r="A319" s="25" t="s">
        <v>90</v>
      </c>
      <c r="B319" s="25" t="s">
        <v>4053</v>
      </c>
      <c r="T319" s="25" t="s">
        <v>1596</v>
      </c>
      <c r="U319" s="25">
        <v>4027</v>
      </c>
      <c r="V319" s="25" t="s">
        <v>2118</v>
      </c>
      <c r="W319" s="38" t="s">
        <v>2119</v>
      </c>
      <c r="X319" s="25">
        <v>34</v>
      </c>
      <c r="Y319" s="25" t="s">
        <v>1498</v>
      </c>
      <c r="Z319" s="25" t="s">
        <v>1451</v>
      </c>
      <c r="AA319" s="25" t="s">
        <v>2120</v>
      </c>
      <c r="AB319" s="39">
        <v>150</v>
      </c>
      <c r="AC319" s="39">
        <v>15</v>
      </c>
      <c r="AD319" s="39">
        <v>8</v>
      </c>
      <c r="AE319" s="25" t="s">
        <v>1483</v>
      </c>
      <c r="AF319" s="39">
        <v>200</v>
      </c>
      <c r="AG319" s="39">
        <v>20</v>
      </c>
      <c r="AH319" s="39">
        <v>11</v>
      </c>
      <c r="AI319" s="25" t="s">
        <v>2121</v>
      </c>
      <c r="AJ319" s="39">
        <v>280</v>
      </c>
      <c r="AK319" s="39">
        <v>30</v>
      </c>
      <c r="AL319" s="39">
        <v>13</v>
      </c>
      <c r="AM319" s="25" t="s">
        <v>1484</v>
      </c>
      <c r="AN319" s="39">
        <v>380</v>
      </c>
      <c r="AO319" s="39">
        <v>40</v>
      </c>
      <c r="AP319" s="39">
        <v>15</v>
      </c>
      <c r="AQ319" s="25" t="s">
        <v>1603</v>
      </c>
      <c r="AR319" s="39"/>
    </row>
    <row r="320" spans="1:44" x14ac:dyDescent="0.2">
      <c r="A320" s="25" t="s">
        <v>70</v>
      </c>
      <c r="B320" s="25" t="s">
        <v>1470</v>
      </c>
      <c r="T320" s="25" t="s">
        <v>49</v>
      </c>
      <c r="U320" s="25">
        <v>23003</v>
      </c>
      <c r="V320" s="25" t="s">
        <v>3746</v>
      </c>
      <c r="W320" s="38" t="s">
        <v>3747</v>
      </c>
      <c r="X320" s="25">
        <v>58</v>
      </c>
      <c r="Y320" s="25" t="s">
        <v>1582</v>
      </c>
      <c r="Z320" s="25" t="s">
        <v>1451</v>
      </c>
      <c r="AA320" s="25" t="s">
        <v>1989</v>
      </c>
      <c r="AB320" s="39">
        <v>150</v>
      </c>
      <c r="AC320" s="39">
        <v>15</v>
      </c>
      <c r="AD320" s="39">
        <v>8</v>
      </c>
      <c r="AE320" s="25" t="s">
        <v>1667</v>
      </c>
      <c r="AF320" s="39">
        <v>200</v>
      </c>
      <c r="AG320" s="39">
        <v>20</v>
      </c>
      <c r="AH320" s="39">
        <v>10</v>
      </c>
      <c r="AI320" s="25" t="s">
        <v>1668</v>
      </c>
      <c r="AJ320" s="39">
        <v>250</v>
      </c>
      <c r="AK320" s="39">
        <v>25</v>
      </c>
      <c r="AL320" s="39">
        <v>12</v>
      </c>
      <c r="AM320" s="25" t="s">
        <v>1669</v>
      </c>
      <c r="AN320" s="39">
        <v>300</v>
      </c>
      <c r="AO320" s="39">
        <v>30</v>
      </c>
      <c r="AP320" s="39">
        <v>15</v>
      </c>
      <c r="AR320" s="39"/>
    </row>
    <row r="321" spans="1:44" x14ac:dyDescent="0.2">
      <c r="A321" s="25" t="s">
        <v>70</v>
      </c>
      <c r="B321" s="25" t="s">
        <v>1703</v>
      </c>
      <c r="T321" s="25" t="s">
        <v>101</v>
      </c>
      <c r="U321" s="25">
        <v>20011</v>
      </c>
      <c r="V321" s="25" t="s">
        <v>3654</v>
      </c>
      <c r="W321" s="38" t="s">
        <v>3655</v>
      </c>
      <c r="X321" s="25">
        <v>50</v>
      </c>
      <c r="Y321" s="25" t="s">
        <v>164</v>
      </c>
      <c r="Z321" s="25" t="s">
        <v>1451</v>
      </c>
      <c r="AA321" s="40">
        <v>0.2</v>
      </c>
      <c r="AB321" s="39">
        <v>140</v>
      </c>
      <c r="AC321" s="39">
        <v>15</v>
      </c>
      <c r="AD321" s="39">
        <v>9</v>
      </c>
      <c r="AE321" s="40">
        <v>0.4</v>
      </c>
      <c r="AF321" s="39">
        <v>180</v>
      </c>
      <c r="AG321" s="39">
        <v>20</v>
      </c>
      <c r="AH321" s="39">
        <v>11</v>
      </c>
      <c r="AI321" s="40">
        <v>0.60000000000000009</v>
      </c>
      <c r="AJ321" s="39">
        <v>240</v>
      </c>
      <c r="AK321" s="39">
        <v>25</v>
      </c>
      <c r="AL321" s="39">
        <v>13</v>
      </c>
      <c r="AM321" s="40">
        <v>1</v>
      </c>
      <c r="AN321" s="39">
        <v>300</v>
      </c>
      <c r="AO321" s="39">
        <v>30</v>
      </c>
      <c r="AP321" s="39">
        <v>15</v>
      </c>
      <c r="AR321" s="39"/>
    </row>
    <row r="322" spans="1:44" x14ac:dyDescent="0.2">
      <c r="A322" s="25" t="s">
        <v>70</v>
      </c>
      <c r="B322" s="25" t="s">
        <v>1882</v>
      </c>
      <c r="T322" s="25" t="s">
        <v>90</v>
      </c>
      <c r="U322" s="25">
        <v>24009</v>
      </c>
      <c r="V322" s="25" t="s">
        <v>3807</v>
      </c>
      <c r="W322" s="38" t="s">
        <v>3808</v>
      </c>
      <c r="X322" s="25">
        <v>80</v>
      </c>
      <c r="Y322" s="25" t="s">
        <v>164</v>
      </c>
      <c r="Z322" s="25" t="s">
        <v>1451</v>
      </c>
      <c r="AA322" s="25" t="s">
        <v>3809</v>
      </c>
      <c r="AB322" s="39">
        <v>250</v>
      </c>
      <c r="AC322" s="39" t="s">
        <v>244</v>
      </c>
      <c r="AD322" s="39">
        <v>10</v>
      </c>
      <c r="AE322" s="25" t="s">
        <v>3810</v>
      </c>
      <c r="AF322" s="39">
        <v>500</v>
      </c>
      <c r="AG322" s="39" t="s">
        <v>244</v>
      </c>
      <c r="AH322" s="39">
        <v>13</v>
      </c>
      <c r="AI322" s="25" t="s">
        <v>3811</v>
      </c>
      <c r="AJ322" s="39">
        <v>1000</v>
      </c>
      <c r="AK322" s="39" t="s">
        <v>244</v>
      </c>
      <c r="AL322" s="39">
        <v>150</v>
      </c>
      <c r="AM322" s="25" t="s">
        <v>3812</v>
      </c>
      <c r="AN322" s="39">
        <v>2500</v>
      </c>
      <c r="AO322" s="39" t="s">
        <v>244</v>
      </c>
      <c r="AP322" s="39">
        <v>17</v>
      </c>
      <c r="AR322" s="39"/>
    </row>
    <row r="323" spans="1:44" x14ac:dyDescent="0.2">
      <c r="A323" s="25" t="s">
        <v>70</v>
      </c>
      <c r="B323" s="25" t="s">
        <v>2036</v>
      </c>
      <c r="T323" s="25" t="s">
        <v>29</v>
      </c>
      <c r="U323" s="25">
        <v>15001</v>
      </c>
      <c r="V323" s="25" t="s">
        <v>3397</v>
      </c>
      <c r="W323" s="38" t="s">
        <v>3398</v>
      </c>
      <c r="X323" s="25">
        <v>38</v>
      </c>
      <c r="Y323" s="25" t="s">
        <v>1582</v>
      </c>
      <c r="Z323" s="25" t="s">
        <v>1451</v>
      </c>
      <c r="AA323" s="25" t="s">
        <v>3399</v>
      </c>
      <c r="AB323" s="39">
        <v>60</v>
      </c>
      <c r="AC323" s="39">
        <v>10</v>
      </c>
      <c r="AD323" s="39">
        <v>6</v>
      </c>
      <c r="AE323" s="25" t="s">
        <v>3400</v>
      </c>
      <c r="AF323" s="39">
        <v>90</v>
      </c>
      <c r="AG323" s="39">
        <v>10</v>
      </c>
      <c r="AH323" s="39">
        <v>9</v>
      </c>
      <c r="AI323" s="25" t="s">
        <v>3401</v>
      </c>
      <c r="AJ323" s="39">
        <v>120</v>
      </c>
      <c r="AK323" s="39">
        <v>15</v>
      </c>
      <c r="AL323" s="39">
        <v>12</v>
      </c>
      <c r="AM323" s="25" t="s">
        <v>3402</v>
      </c>
      <c r="AN323" s="39">
        <v>150</v>
      </c>
      <c r="AO323" s="39">
        <v>15</v>
      </c>
      <c r="AP323" s="39">
        <v>15</v>
      </c>
      <c r="AR323" s="39"/>
    </row>
    <row r="324" spans="1:44" x14ac:dyDescent="0.2">
      <c r="A324" s="25" t="s">
        <v>70</v>
      </c>
      <c r="B324" s="25" t="s">
        <v>2191</v>
      </c>
      <c r="T324" s="25" t="s">
        <v>1631</v>
      </c>
      <c r="U324" s="25">
        <v>10315</v>
      </c>
      <c r="V324" s="25" t="s">
        <v>3085</v>
      </c>
      <c r="W324" s="38" t="s">
        <v>6640</v>
      </c>
      <c r="X324" s="25" t="s">
        <v>1633</v>
      </c>
      <c r="Y324" s="25" t="s">
        <v>164</v>
      </c>
      <c r="Z324" s="25" t="s">
        <v>1451</v>
      </c>
      <c r="AA324" s="25" t="s">
        <v>1127</v>
      </c>
      <c r="AB324" s="39">
        <v>100</v>
      </c>
      <c r="AC324" s="39">
        <v>10</v>
      </c>
      <c r="AD324" s="39">
        <v>7</v>
      </c>
      <c r="AE324" s="25" t="s">
        <v>2121</v>
      </c>
      <c r="AF324" s="39">
        <v>150</v>
      </c>
      <c r="AG324" s="39">
        <v>15</v>
      </c>
      <c r="AH324" s="39">
        <v>10</v>
      </c>
      <c r="AI324" s="25" t="s">
        <v>1484</v>
      </c>
      <c r="AJ324" s="39">
        <v>200</v>
      </c>
      <c r="AK324" s="39">
        <v>20</v>
      </c>
      <c r="AL324" s="39">
        <v>12</v>
      </c>
      <c r="AM324" s="25" t="s">
        <v>3086</v>
      </c>
      <c r="AN324" s="39">
        <v>250</v>
      </c>
      <c r="AO324" s="39">
        <v>25</v>
      </c>
      <c r="AP324" s="39">
        <v>15</v>
      </c>
      <c r="AQ324" s="25" t="s">
        <v>698</v>
      </c>
      <c r="AR324" s="39" t="s">
        <v>6456</v>
      </c>
    </row>
    <row r="325" spans="1:44" x14ac:dyDescent="0.2">
      <c r="A325" s="25" t="s">
        <v>70</v>
      </c>
      <c r="B325" s="25" t="s">
        <v>2351</v>
      </c>
      <c r="T325" s="25" t="s">
        <v>1535</v>
      </c>
      <c r="U325" s="25">
        <v>3019</v>
      </c>
      <c r="V325" s="25" t="s">
        <v>1931</v>
      </c>
      <c r="W325" s="38" t="s">
        <v>1932</v>
      </c>
      <c r="X325" s="25">
        <v>24</v>
      </c>
      <c r="Y325" s="25" t="s">
        <v>1933</v>
      </c>
      <c r="Z325" s="25" t="s">
        <v>1451</v>
      </c>
      <c r="AA325" s="25" t="s">
        <v>1934</v>
      </c>
      <c r="AB325" s="39">
        <v>80</v>
      </c>
      <c r="AC325" s="39" t="s">
        <v>744</v>
      </c>
      <c r="AD325" s="39">
        <v>7</v>
      </c>
      <c r="AE325" s="25" t="s">
        <v>1935</v>
      </c>
      <c r="AF325" s="39">
        <v>100</v>
      </c>
      <c r="AG325" s="39" t="s">
        <v>744</v>
      </c>
      <c r="AH325" s="39">
        <v>9</v>
      </c>
      <c r="AI325" s="25" t="s">
        <v>1936</v>
      </c>
      <c r="AJ325" s="39">
        <v>120</v>
      </c>
      <c r="AK325" s="39" t="s">
        <v>744</v>
      </c>
      <c r="AL325" s="39">
        <v>11</v>
      </c>
      <c r="AM325" s="25" t="s">
        <v>1937</v>
      </c>
      <c r="AN325" s="39">
        <v>140</v>
      </c>
      <c r="AO325" s="39" t="s">
        <v>744</v>
      </c>
      <c r="AP325" s="39">
        <v>13</v>
      </c>
      <c r="AQ325" s="25" t="s">
        <v>1542</v>
      </c>
      <c r="AR325" s="39"/>
    </row>
    <row r="326" spans="1:44" x14ac:dyDescent="0.2">
      <c r="A326" s="25" t="s">
        <v>70</v>
      </c>
      <c r="B326" s="25" t="s">
        <v>2515</v>
      </c>
      <c r="T326" s="25" t="s">
        <v>94</v>
      </c>
      <c r="U326" s="25">
        <v>16010</v>
      </c>
      <c r="V326" s="25" t="s">
        <v>3482</v>
      </c>
      <c r="W326" s="38" t="s">
        <v>6605</v>
      </c>
      <c r="X326" s="25">
        <v>52</v>
      </c>
      <c r="Y326" s="25" t="s">
        <v>1498</v>
      </c>
      <c r="Z326" s="25" t="s">
        <v>1451</v>
      </c>
      <c r="AA326" s="25" t="s">
        <v>2131</v>
      </c>
      <c r="AB326" s="39">
        <v>120</v>
      </c>
      <c r="AC326" s="39">
        <v>15</v>
      </c>
      <c r="AD326" s="39">
        <v>7</v>
      </c>
      <c r="AE326" s="25" t="s">
        <v>2061</v>
      </c>
      <c r="AF326" s="39">
        <v>180</v>
      </c>
      <c r="AG326" s="39">
        <v>20</v>
      </c>
      <c r="AH326" s="39">
        <v>10</v>
      </c>
      <c r="AI326" s="25" t="s">
        <v>3483</v>
      </c>
      <c r="AJ326" s="39">
        <v>240</v>
      </c>
      <c r="AK326" s="39">
        <v>25</v>
      </c>
      <c r="AL326" s="39">
        <v>13</v>
      </c>
      <c r="AM326" s="25" t="s">
        <v>3484</v>
      </c>
      <c r="AN326" s="39">
        <v>300</v>
      </c>
      <c r="AO326" s="39">
        <v>30</v>
      </c>
      <c r="AP326" s="39">
        <v>15</v>
      </c>
      <c r="AR326" s="39" t="s">
        <v>6456</v>
      </c>
    </row>
    <row r="327" spans="1:44" x14ac:dyDescent="0.2">
      <c r="A327" s="25" t="s">
        <v>70</v>
      </c>
      <c r="B327" s="25" t="s">
        <v>2676</v>
      </c>
      <c r="T327" s="25" t="s">
        <v>94</v>
      </c>
      <c r="U327" s="25">
        <v>25010</v>
      </c>
      <c r="V327" s="25" t="s">
        <v>3841</v>
      </c>
      <c r="W327" s="38" t="s">
        <v>3842</v>
      </c>
      <c r="X327" s="25">
        <v>82</v>
      </c>
      <c r="Y327" s="25" t="s">
        <v>164</v>
      </c>
      <c r="Z327" s="25" t="s">
        <v>1451</v>
      </c>
      <c r="AA327" s="25" t="s">
        <v>3843</v>
      </c>
      <c r="AB327" s="39">
        <v>250</v>
      </c>
      <c r="AC327" s="39" t="s">
        <v>244</v>
      </c>
      <c r="AD327" s="39">
        <v>9</v>
      </c>
      <c r="AE327" s="25" t="s">
        <v>2653</v>
      </c>
      <c r="AF327" s="39">
        <v>360</v>
      </c>
      <c r="AG327" s="39" t="s">
        <v>244</v>
      </c>
      <c r="AH327" s="39">
        <v>12</v>
      </c>
      <c r="AI327" s="25" t="s">
        <v>2654</v>
      </c>
      <c r="AJ327" s="39">
        <v>450</v>
      </c>
      <c r="AK327" s="39" t="s">
        <v>244</v>
      </c>
      <c r="AL327" s="39">
        <v>15</v>
      </c>
      <c r="AM327" s="25" t="s">
        <v>3844</v>
      </c>
      <c r="AN327" s="39">
        <v>600</v>
      </c>
      <c r="AO327" s="39" t="s">
        <v>244</v>
      </c>
      <c r="AP327" s="39">
        <v>18</v>
      </c>
      <c r="AR327" s="39"/>
    </row>
    <row r="328" spans="1:44" x14ac:dyDescent="0.2">
      <c r="A328" s="25" t="s">
        <v>70</v>
      </c>
      <c r="B328" s="25" t="s">
        <v>2830</v>
      </c>
      <c r="T328" s="25" t="s">
        <v>35</v>
      </c>
      <c r="U328" s="25">
        <v>5007</v>
      </c>
      <c r="V328" s="25" t="s">
        <v>2203</v>
      </c>
      <c r="W328" s="38" t="s">
        <v>6553</v>
      </c>
      <c r="X328" s="25">
        <v>16</v>
      </c>
      <c r="Y328" s="25" t="s">
        <v>164</v>
      </c>
      <c r="Z328" s="25" t="s">
        <v>1451</v>
      </c>
      <c r="AA328" s="25" t="s">
        <v>2204</v>
      </c>
      <c r="AB328" s="39">
        <v>50</v>
      </c>
      <c r="AC328" s="39">
        <v>5</v>
      </c>
      <c r="AD328" s="39">
        <v>6</v>
      </c>
      <c r="AE328" s="25" t="s">
        <v>2205</v>
      </c>
      <c r="AF328" s="39">
        <v>80</v>
      </c>
      <c r="AG328" s="39">
        <v>10</v>
      </c>
      <c r="AH328" s="39">
        <v>9</v>
      </c>
      <c r="AI328" s="25" t="s">
        <v>2206</v>
      </c>
      <c r="AJ328" s="39">
        <v>120</v>
      </c>
      <c r="AK328" s="39">
        <v>15</v>
      </c>
      <c r="AL328" s="39">
        <v>11</v>
      </c>
      <c r="AM328" s="25" t="s">
        <v>2207</v>
      </c>
      <c r="AN328" s="39">
        <v>160</v>
      </c>
      <c r="AO328" s="39">
        <v>20</v>
      </c>
      <c r="AP328" s="39">
        <v>13</v>
      </c>
      <c r="AR328" s="39" t="s">
        <v>6456</v>
      </c>
    </row>
    <row r="329" spans="1:44" x14ac:dyDescent="0.2">
      <c r="A329" s="25" t="s">
        <v>70</v>
      </c>
      <c r="B329" s="25" t="s">
        <v>2982</v>
      </c>
      <c r="T329" s="25" t="s">
        <v>29</v>
      </c>
      <c r="U329" s="25">
        <v>3001</v>
      </c>
      <c r="V329" s="25" t="s">
        <v>1864</v>
      </c>
      <c r="W329" s="38" t="s">
        <v>1865</v>
      </c>
      <c r="X329" s="25">
        <v>8</v>
      </c>
      <c r="Y329" s="25" t="s">
        <v>1498</v>
      </c>
      <c r="Z329" s="25" t="s">
        <v>1451</v>
      </c>
      <c r="AA329" s="25" t="s">
        <v>1866</v>
      </c>
      <c r="AB329" s="39">
        <v>50</v>
      </c>
      <c r="AC329" s="39" t="s">
        <v>244</v>
      </c>
      <c r="AD329" s="39">
        <v>6</v>
      </c>
      <c r="AE329" s="25" t="s">
        <v>1867</v>
      </c>
      <c r="AF329" s="39">
        <v>100</v>
      </c>
      <c r="AG329" s="39" t="s">
        <v>244</v>
      </c>
      <c r="AH329" s="39">
        <v>9</v>
      </c>
      <c r="AI329" s="25" t="s">
        <v>1868</v>
      </c>
      <c r="AJ329" s="39">
        <v>150</v>
      </c>
      <c r="AK329" s="39" t="s">
        <v>244</v>
      </c>
      <c r="AL329" s="39">
        <v>11</v>
      </c>
      <c r="AM329" s="25" t="s">
        <v>1869</v>
      </c>
      <c r="AN329" s="39">
        <v>200</v>
      </c>
      <c r="AO329" s="39" t="s">
        <v>244</v>
      </c>
      <c r="AP329" s="39">
        <v>14</v>
      </c>
      <c r="AR329" s="39"/>
    </row>
    <row r="330" spans="1:44" x14ac:dyDescent="0.2">
      <c r="A330" s="25" t="s">
        <v>70</v>
      </c>
      <c r="B330" s="25" t="s">
        <v>3123</v>
      </c>
      <c r="T330" s="25" t="s">
        <v>35</v>
      </c>
      <c r="U330" s="25">
        <v>15007</v>
      </c>
      <c r="V330" s="25" t="s">
        <v>648</v>
      </c>
      <c r="W330" s="38" t="s">
        <v>3421</v>
      </c>
      <c r="X330" s="25">
        <v>50</v>
      </c>
      <c r="Y330" s="25" t="s">
        <v>164</v>
      </c>
      <c r="Z330" s="25" t="s">
        <v>1451</v>
      </c>
      <c r="AA330" s="25" t="s">
        <v>3422</v>
      </c>
      <c r="AB330" s="39">
        <v>160</v>
      </c>
      <c r="AC330" s="39" t="s">
        <v>244</v>
      </c>
      <c r="AD330" s="39">
        <v>7</v>
      </c>
      <c r="AE330" s="25" t="s">
        <v>3423</v>
      </c>
      <c r="AF330" s="39">
        <v>270</v>
      </c>
      <c r="AG330" s="39" t="s">
        <v>244</v>
      </c>
      <c r="AH330" s="39">
        <v>9</v>
      </c>
      <c r="AI330" s="25" t="s">
        <v>3424</v>
      </c>
      <c r="AJ330" s="39">
        <v>360</v>
      </c>
      <c r="AK330" s="39" t="s">
        <v>244</v>
      </c>
      <c r="AL330" s="39">
        <v>12</v>
      </c>
      <c r="AM330" s="25" t="s">
        <v>3425</v>
      </c>
      <c r="AN330" s="39">
        <v>450</v>
      </c>
      <c r="AO330" s="39" t="s">
        <v>244</v>
      </c>
      <c r="AP330" s="39">
        <v>15</v>
      </c>
      <c r="AR330" s="39"/>
    </row>
    <row r="331" spans="1:44" x14ac:dyDescent="0.2">
      <c r="A331" s="25" t="s">
        <v>70</v>
      </c>
      <c r="B331" s="25" t="s">
        <v>3217</v>
      </c>
      <c r="T331" s="25" t="s">
        <v>101</v>
      </c>
      <c r="U331" s="25">
        <v>21011</v>
      </c>
      <c r="V331" s="25" t="s">
        <v>3692</v>
      </c>
      <c r="W331" s="38" t="s">
        <v>3693</v>
      </c>
      <c r="X331" s="25">
        <v>52</v>
      </c>
      <c r="Y331" s="25" t="s">
        <v>164</v>
      </c>
      <c r="Z331" s="25" t="s">
        <v>1451</v>
      </c>
      <c r="AA331" s="25" t="s">
        <v>3694</v>
      </c>
      <c r="AB331" s="39">
        <v>100</v>
      </c>
      <c r="AC331" s="39">
        <v>10</v>
      </c>
      <c r="AD331" s="39">
        <v>10</v>
      </c>
      <c r="AE331" s="25" t="s">
        <v>3695</v>
      </c>
      <c r="AF331" s="39">
        <v>180</v>
      </c>
      <c r="AG331" s="39">
        <v>20</v>
      </c>
      <c r="AH331" s="39">
        <v>12</v>
      </c>
      <c r="AI331" s="25" t="s">
        <v>3696</v>
      </c>
      <c r="AJ331" s="39">
        <v>240</v>
      </c>
      <c r="AK331" s="39">
        <v>25</v>
      </c>
      <c r="AL331" s="39">
        <v>14</v>
      </c>
      <c r="AM331" s="25" t="s">
        <v>3697</v>
      </c>
      <c r="AN331" s="39">
        <v>300</v>
      </c>
      <c r="AO331" s="39">
        <v>30</v>
      </c>
      <c r="AP331" s="39">
        <v>16</v>
      </c>
      <c r="AR331" s="39"/>
    </row>
    <row r="332" spans="1:44" x14ac:dyDescent="0.2">
      <c r="A332" s="25" t="s">
        <v>70</v>
      </c>
      <c r="B332" s="25" t="s">
        <v>3310</v>
      </c>
      <c r="T332" s="25" t="s">
        <v>90</v>
      </c>
      <c r="U332" s="25">
        <v>16009</v>
      </c>
      <c r="V332" s="25" t="s">
        <v>3476</v>
      </c>
      <c r="W332" s="38" t="s">
        <v>3477</v>
      </c>
      <c r="X332" s="25">
        <v>52</v>
      </c>
      <c r="Y332" s="25" t="s">
        <v>164</v>
      </c>
      <c r="Z332" s="25" t="s">
        <v>1451</v>
      </c>
      <c r="AA332" s="25" t="s">
        <v>3478</v>
      </c>
      <c r="AB332" s="39">
        <v>100</v>
      </c>
      <c r="AC332" s="39">
        <v>10</v>
      </c>
      <c r="AD332" s="39">
        <v>8</v>
      </c>
      <c r="AE332" s="25" t="s">
        <v>3479</v>
      </c>
      <c r="AF332" s="39">
        <v>120</v>
      </c>
      <c r="AG332" s="39">
        <v>15</v>
      </c>
      <c r="AH332" s="39">
        <v>11</v>
      </c>
      <c r="AI332" s="25" t="s">
        <v>3480</v>
      </c>
      <c r="AJ332" s="39">
        <v>140</v>
      </c>
      <c r="AK332" s="39">
        <v>15</v>
      </c>
      <c r="AL332" s="39">
        <v>13</v>
      </c>
      <c r="AM332" s="25" t="s">
        <v>3481</v>
      </c>
      <c r="AN332" s="39">
        <v>160</v>
      </c>
      <c r="AO332" s="39">
        <v>20</v>
      </c>
      <c r="AP332" s="39">
        <v>16</v>
      </c>
      <c r="AR332" s="39"/>
    </row>
    <row r="333" spans="1:44" x14ac:dyDescent="0.2">
      <c r="A333" s="25" t="s">
        <v>70</v>
      </c>
      <c r="B333" s="25" t="s">
        <v>3365</v>
      </c>
      <c r="T333" s="25" t="s">
        <v>60</v>
      </c>
      <c r="U333" s="25">
        <v>16008</v>
      </c>
      <c r="V333" s="25" t="s">
        <v>3471</v>
      </c>
      <c r="W333" s="38" t="s">
        <v>3472</v>
      </c>
      <c r="X333" s="25">
        <v>52</v>
      </c>
      <c r="Y333" s="25" t="s">
        <v>164</v>
      </c>
      <c r="Z333" s="25" t="s">
        <v>1451</v>
      </c>
      <c r="AA333" s="25" t="s">
        <v>2167</v>
      </c>
      <c r="AB333" s="39">
        <v>100</v>
      </c>
      <c r="AC333" s="39">
        <v>10</v>
      </c>
      <c r="AD333" s="39">
        <v>8</v>
      </c>
      <c r="AE333" s="25" t="s">
        <v>3473</v>
      </c>
      <c r="AF333" s="39">
        <v>120</v>
      </c>
      <c r="AG333" s="39">
        <v>15</v>
      </c>
      <c r="AH333" s="39">
        <v>11</v>
      </c>
      <c r="AI333" s="25" t="s">
        <v>3474</v>
      </c>
      <c r="AJ333" s="39">
        <v>140</v>
      </c>
      <c r="AK333" s="39">
        <v>15</v>
      </c>
      <c r="AL333" s="39">
        <v>13</v>
      </c>
      <c r="AM333" s="25" t="s">
        <v>3475</v>
      </c>
      <c r="AN333" s="39">
        <v>160</v>
      </c>
      <c r="AO333" s="39">
        <v>20</v>
      </c>
      <c r="AP333" s="39">
        <v>16</v>
      </c>
      <c r="AR333" s="39"/>
    </row>
    <row r="334" spans="1:44" x14ac:dyDescent="0.2">
      <c r="A334" s="25" t="s">
        <v>70</v>
      </c>
      <c r="B334" s="25" t="s">
        <v>3413</v>
      </c>
      <c r="T334" s="25" t="s">
        <v>1679</v>
      </c>
      <c r="U334" s="25">
        <v>5915</v>
      </c>
      <c r="V334" s="25" t="s">
        <v>2333</v>
      </c>
      <c r="W334" s="38" t="s">
        <v>6484</v>
      </c>
      <c r="X334" s="25" t="s">
        <v>1682</v>
      </c>
      <c r="Y334" s="25" t="s">
        <v>164</v>
      </c>
      <c r="Z334" s="25" t="s">
        <v>1451</v>
      </c>
      <c r="AA334" s="25" t="s">
        <v>2334</v>
      </c>
      <c r="AB334" s="39">
        <v>200</v>
      </c>
      <c r="AC334" s="39">
        <v>20</v>
      </c>
      <c r="AD334" s="39">
        <v>11</v>
      </c>
      <c r="AE334" s="25" t="s">
        <v>2335</v>
      </c>
      <c r="AF334" s="39">
        <v>360</v>
      </c>
      <c r="AG334" s="39">
        <v>40</v>
      </c>
      <c r="AH334" s="39">
        <v>13</v>
      </c>
      <c r="AI334" s="25" t="s">
        <v>2336</v>
      </c>
      <c r="AJ334" s="39">
        <v>480</v>
      </c>
      <c r="AK334" s="39">
        <v>50</v>
      </c>
      <c r="AL334" s="39">
        <v>15</v>
      </c>
      <c r="AM334" s="25" t="s">
        <v>2337</v>
      </c>
      <c r="AN334" s="39">
        <v>600</v>
      </c>
      <c r="AO334" s="39">
        <v>60</v>
      </c>
      <c r="AP334" s="39">
        <v>17</v>
      </c>
      <c r="AQ334" s="25" t="s">
        <v>61</v>
      </c>
      <c r="AR334" s="39" t="s">
        <v>6456</v>
      </c>
    </row>
    <row r="335" spans="1:44" x14ac:dyDescent="0.2">
      <c r="A335" s="25" t="s">
        <v>70</v>
      </c>
      <c r="B335" s="25" t="s">
        <v>3455</v>
      </c>
      <c r="T335" s="25" t="s">
        <v>1543</v>
      </c>
      <c r="U335" s="25">
        <v>8020</v>
      </c>
      <c r="V335" s="25" t="s">
        <v>2725</v>
      </c>
      <c r="W335" s="38" t="s">
        <v>2726</v>
      </c>
      <c r="X335" s="25">
        <v>74</v>
      </c>
      <c r="Y335" s="25" t="s">
        <v>164</v>
      </c>
      <c r="Z335" s="25" t="s">
        <v>1451</v>
      </c>
      <c r="AA335" s="25" t="s">
        <v>2727</v>
      </c>
      <c r="AB335" s="39">
        <v>120</v>
      </c>
      <c r="AC335" s="39">
        <v>10</v>
      </c>
      <c r="AD335" s="39">
        <v>8</v>
      </c>
      <c r="AE335" s="25">
        <v>25</v>
      </c>
      <c r="AF335" s="39">
        <v>180</v>
      </c>
      <c r="AG335" s="39">
        <v>15</v>
      </c>
      <c r="AH335" s="39">
        <v>10</v>
      </c>
      <c r="AI335" s="25">
        <v>50</v>
      </c>
      <c r="AJ335" s="39">
        <v>240</v>
      </c>
      <c r="AK335" s="39">
        <v>20</v>
      </c>
      <c r="AL335" s="39">
        <v>12</v>
      </c>
      <c r="AM335" s="25">
        <v>100</v>
      </c>
      <c r="AN335" s="39">
        <v>300</v>
      </c>
      <c r="AO335" s="39">
        <v>30</v>
      </c>
      <c r="AP335" s="39">
        <v>14</v>
      </c>
      <c r="AQ335" s="25" t="s">
        <v>1547</v>
      </c>
      <c r="AR335" s="39"/>
    </row>
    <row r="336" spans="1:44" x14ac:dyDescent="0.2">
      <c r="A336" s="25" t="s">
        <v>70</v>
      </c>
      <c r="B336" s="25" t="s">
        <v>3505</v>
      </c>
      <c r="T336" s="25" t="s">
        <v>61</v>
      </c>
      <c r="U336" s="25">
        <v>1004</v>
      </c>
      <c r="V336" s="25" t="s">
        <v>1464</v>
      </c>
      <c r="W336" s="38" t="s">
        <v>1465</v>
      </c>
      <c r="X336" s="25">
        <v>2</v>
      </c>
      <c r="Y336" s="25" t="s">
        <v>164</v>
      </c>
      <c r="Z336" s="25" t="s">
        <v>1451</v>
      </c>
      <c r="AA336" s="25" t="s">
        <v>1466</v>
      </c>
      <c r="AB336" s="39">
        <v>30</v>
      </c>
      <c r="AC336" s="39">
        <v>5</v>
      </c>
      <c r="AD336" s="39">
        <v>5</v>
      </c>
      <c r="AE336" s="25" t="s">
        <v>1467</v>
      </c>
      <c r="AF336" s="39">
        <v>60</v>
      </c>
      <c r="AG336" s="39">
        <v>10</v>
      </c>
      <c r="AH336" s="39">
        <v>8</v>
      </c>
      <c r="AI336" s="25" t="s">
        <v>1468</v>
      </c>
      <c r="AJ336" s="39">
        <v>120</v>
      </c>
      <c r="AK336" s="39">
        <v>15</v>
      </c>
      <c r="AL336" s="39">
        <v>10</v>
      </c>
      <c r="AM336" s="25" t="s">
        <v>1469</v>
      </c>
      <c r="AN336" s="39">
        <v>150</v>
      </c>
      <c r="AO336" s="39">
        <v>15</v>
      </c>
      <c r="AP336" s="39">
        <v>12</v>
      </c>
      <c r="AR336" s="39"/>
    </row>
    <row r="337" spans="1:44" x14ac:dyDescent="0.2">
      <c r="A337" s="25" t="s">
        <v>70</v>
      </c>
      <c r="B337" s="25" t="s">
        <v>3537</v>
      </c>
      <c r="T337" s="25" t="s">
        <v>101</v>
      </c>
      <c r="U337" s="25">
        <v>25011</v>
      </c>
      <c r="V337" s="25" t="s">
        <v>3845</v>
      </c>
      <c r="W337" s="38" t="s">
        <v>3846</v>
      </c>
      <c r="X337" s="25">
        <v>62</v>
      </c>
      <c r="Y337" s="25" t="s">
        <v>1582</v>
      </c>
      <c r="Z337" s="25" t="s">
        <v>1451</v>
      </c>
      <c r="AA337" s="25" t="s">
        <v>1989</v>
      </c>
      <c r="AB337" s="39">
        <v>180</v>
      </c>
      <c r="AC337" s="39" t="s">
        <v>244</v>
      </c>
      <c r="AD337" s="39">
        <v>9</v>
      </c>
      <c r="AE337" s="25" t="s">
        <v>1991</v>
      </c>
      <c r="AF337" s="39">
        <v>240</v>
      </c>
      <c r="AG337" s="39" t="s">
        <v>244</v>
      </c>
      <c r="AH337" s="39">
        <v>12</v>
      </c>
      <c r="AI337" s="25" t="s">
        <v>1586</v>
      </c>
      <c r="AJ337" s="39">
        <v>300</v>
      </c>
      <c r="AK337" s="39" t="s">
        <v>244</v>
      </c>
      <c r="AL337" s="39">
        <v>15</v>
      </c>
      <c r="AM337" s="25" t="s">
        <v>3847</v>
      </c>
      <c r="AN337" s="39">
        <v>360</v>
      </c>
      <c r="AO337" s="39" t="s">
        <v>244</v>
      </c>
      <c r="AP337" s="39">
        <v>18</v>
      </c>
      <c r="AR337" s="39"/>
    </row>
    <row r="338" spans="1:44" x14ac:dyDescent="0.2">
      <c r="A338" s="25" t="s">
        <v>70</v>
      </c>
      <c r="B338" s="25" t="s">
        <v>3583</v>
      </c>
      <c r="T338" s="25" t="s">
        <v>70</v>
      </c>
      <c r="U338" s="25">
        <v>15005</v>
      </c>
      <c r="V338" s="25" t="s">
        <v>3413</v>
      </c>
      <c r="W338" s="38" t="s">
        <v>3414</v>
      </c>
      <c r="X338" s="25">
        <v>50</v>
      </c>
      <c r="Y338" s="25" t="s">
        <v>1582</v>
      </c>
      <c r="Z338" s="25" t="s">
        <v>1451</v>
      </c>
      <c r="AA338" s="25" t="s">
        <v>3415</v>
      </c>
      <c r="AB338" s="39">
        <v>80</v>
      </c>
      <c r="AC338" s="39">
        <v>10</v>
      </c>
      <c r="AD338" s="39">
        <v>8</v>
      </c>
      <c r="AE338" s="25" t="s">
        <v>3416</v>
      </c>
      <c r="AF338" s="39">
        <v>120</v>
      </c>
      <c r="AG338" s="39">
        <v>10</v>
      </c>
      <c r="AH338" s="39">
        <v>10</v>
      </c>
      <c r="AI338" s="25" t="s">
        <v>3417</v>
      </c>
      <c r="AJ338" s="39">
        <v>180</v>
      </c>
      <c r="AK338" s="39">
        <v>15</v>
      </c>
      <c r="AL338" s="39">
        <v>12</v>
      </c>
      <c r="AM338" s="25" t="s">
        <v>3418</v>
      </c>
      <c r="AN338" s="39">
        <v>240</v>
      </c>
      <c r="AO338" s="39">
        <v>15</v>
      </c>
      <c r="AP338" s="39">
        <v>14</v>
      </c>
      <c r="AR338" s="39"/>
    </row>
    <row r="339" spans="1:44" x14ac:dyDescent="0.2">
      <c r="A339" s="25" t="s">
        <v>70</v>
      </c>
      <c r="B339" s="25" t="s">
        <v>3625</v>
      </c>
      <c r="T339" s="25" t="s">
        <v>49</v>
      </c>
      <c r="U339" s="25">
        <v>17003</v>
      </c>
      <c r="V339" s="25" t="s">
        <v>3493</v>
      </c>
      <c r="W339" s="38" t="s">
        <v>3494</v>
      </c>
      <c r="X339" s="25">
        <v>42</v>
      </c>
      <c r="Y339" s="25" t="s">
        <v>164</v>
      </c>
      <c r="Z339" s="25" t="s">
        <v>1451</v>
      </c>
      <c r="AA339" s="25" t="s">
        <v>3495</v>
      </c>
      <c r="AB339" s="39">
        <v>140</v>
      </c>
      <c r="AC339" s="39">
        <v>15</v>
      </c>
      <c r="AD339" s="39">
        <v>7</v>
      </c>
      <c r="AE339" s="25" t="s">
        <v>3496</v>
      </c>
      <c r="AF339" s="39">
        <v>180</v>
      </c>
      <c r="AG339" s="39">
        <v>20</v>
      </c>
      <c r="AH339" s="39">
        <v>9</v>
      </c>
      <c r="AI339" s="25" t="s">
        <v>3497</v>
      </c>
      <c r="AJ339" s="39">
        <v>240</v>
      </c>
      <c r="AK339" s="39">
        <v>25</v>
      </c>
      <c r="AL339" s="39">
        <v>12</v>
      </c>
      <c r="AM339" s="25" t="s">
        <v>3498</v>
      </c>
      <c r="AN339" s="39">
        <v>350</v>
      </c>
      <c r="AO339" s="39">
        <v>30</v>
      </c>
      <c r="AP339" s="39">
        <v>15</v>
      </c>
      <c r="AR339" s="39"/>
    </row>
    <row r="340" spans="1:44" x14ac:dyDescent="0.2">
      <c r="A340" s="25" t="s">
        <v>70</v>
      </c>
      <c r="B340" s="25" t="s">
        <v>3670</v>
      </c>
      <c r="T340" s="25" t="s">
        <v>1646</v>
      </c>
      <c r="U340" s="25">
        <v>9515</v>
      </c>
      <c r="V340" s="25" t="s">
        <v>2945</v>
      </c>
      <c r="W340" s="38" t="s">
        <v>6602</v>
      </c>
      <c r="X340" s="25" t="s">
        <v>1649</v>
      </c>
      <c r="Y340" s="25" t="s">
        <v>164</v>
      </c>
      <c r="Z340" s="25" t="s">
        <v>1451</v>
      </c>
      <c r="AA340" s="25" t="s">
        <v>1675</v>
      </c>
      <c r="AB340" s="39">
        <v>60</v>
      </c>
      <c r="AC340" s="39">
        <v>15</v>
      </c>
      <c r="AD340" s="39">
        <v>6</v>
      </c>
      <c r="AE340" s="25" t="s">
        <v>2932</v>
      </c>
      <c r="AF340" s="39">
        <v>90</v>
      </c>
      <c r="AG340" s="39">
        <v>20</v>
      </c>
      <c r="AH340" s="39">
        <v>9</v>
      </c>
      <c r="AI340" s="25" t="s">
        <v>2946</v>
      </c>
      <c r="AJ340" s="39">
        <v>120</v>
      </c>
      <c r="AK340" s="39">
        <v>25</v>
      </c>
      <c r="AL340" s="39">
        <v>12</v>
      </c>
      <c r="AM340" s="25" t="s">
        <v>2137</v>
      </c>
      <c r="AN340" s="39">
        <v>150</v>
      </c>
      <c r="AO340" s="39">
        <v>30</v>
      </c>
      <c r="AP340" s="39">
        <v>15</v>
      </c>
      <c r="AQ340" s="25" t="s">
        <v>61</v>
      </c>
      <c r="AR340" s="39" t="s">
        <v>6456</v>
      </c>
    </row>
    <row r="341" spans="1:44" x14ac:dyDescent="0.2">
      <c r="A341" s="25" t="s">
        <v>70</v>
      </c>
      <c r="B341" s="25" t="s">
        <v>3715</v>
      </c>
      <c r="T341" s="25" t="s">
        <v>65</v>
      </c>
      <c r="U341" s="25">
        <v>21006</v>
      </c>
      <c r="V341" s="25" t="s">
        <v>3676</v>
      </c>
      <c r="W341" s="38" t="s">
        <v>6457</v>
      </c>
      <c r="X341" s="25">
        <v>70</v>
      </c>
      <c r="Y341" s="25" t="s">
        <v>164</v>
      </c>
      <c r="Z341" s="25" t="s">
        <v>1451</v>
      </c>
      <c r="AA341" s="25" t="s">
        <v>1479</v>
      </c>
      <c r="AB341" s="39">
        <v>200</v>
      </c>
      <c r="AC341" s="39">
        <v>40</v>
      </c>
      <c r="AD341" s="39">
        <v>10</v>
      </c>
      <c r="AE341" s="25" t="s">
        <v>3589</v>
      </c>
      <c r="AF341" s="39">
        <v>300</v>
      </c>
      <c r="AG341" s="39">
        <v>60</v>
      </c>
      <c r="AH341" s="39">
        <v>12</v>
      </c>
      <c r="AI341" s="25" t="s">
        <v>3590</v>
      </c>
      <c r="AJ341" s="39">
        <v>400</v>
      </c>
      <c r="AK341" s="39">
        <v>80</v>
      </c>
      <c r="AL341" s="39">
        <v>14</v>
      </c>
      <c r="AM341" s="25" t="s">
        <v>1761</v>
      </c>
      <c r="AN341" s="39">
        <v>500</v>
      </c>
      <c r="AO341" s="39">
        <v>100</v>
      </c>
      <c r="AP341" s="39">
        <v>16</v>
      </c>
      <c r="AR341" s="39" t="s">
        <v>6456</v>
      </c>
    </row>
    <row r="342" spans="1:44" x14ac:dyDescent="0.2">
      <c r="A342" s="25" t="s">
        <v>70</v>
      </c>
      <c r="B342" s="25" t="s">
        <v>3750</v>
      </c>
      <c r="T342" s="25" t="s">
        <v>60</v>
      </c>
      <c r="U342" s="25">
        <v>6008</v>
      </c>
      <c r="V342" s="25" t="s">
        <v>2369</v>
      </c>
      <c r="W342" s="38" t="s">
        <v>2370</v>
      </c>
      <c r="X342" s="25">
        <v>20</v>
      </c>
      <c r="Y342" s="25" t="s">
        <v>116</v>
      </c>
      <c r="Z342" s="25" t="s">
        <v>1451</v>
      </c>
      <c r="AA342" s="25" t="s">
        <v>2371</v>
      </c>
      <c r="AB342" s="39">
        <v>40</v>
      </c>
      <c r="AC342" s="39" t="s">
        <v>244</v>
      </c>
      <c r="AD342" s="39">
        <v>6</v>
      </c>
      <c r="AE342" s="25" t="s">
        <v>2372</v>
      </c>
      <c r="AF342" s="39">
        <v>80</v>
      </c>
      <c r="AG342" s="39" t="s">
        <v>244</v>
      </c>
      <c r="AH342" s="39">
        <v>9</v>
      </c>
      <c r="AI342" s="25" t="s">
        <v>2373</v>
      </c>
      <c r="AJ342" s="39">
        <v>140</v>
      </c>
      <c r="AK342" s="39" t="s">
        <v>244</v>
      </c>
      <c r="AL342" s="39">
        <v>11</v>
      </c>
      <c r="AM342" s="25" t="s">
        <v>2374</v>
      </c>
      <c r="AN342" s="39">
        <v>200</v>
      </c>
      <c r="AO342" s="39" t="s">
        <v>244</v>
      </c>
      <c r="AP342" s="39">
        <v>13</v>
      </c>
      <c r="AR342" s="39"/>
    </row>
    <row r="343" spans="1:44" x14ac:dyDescent="0.2">
      <c r="A343" s="25" t="s">
        <v>70</v>
      </c>
      <c r="B343" s="25" t="s">
        <v>3793</v>
      </c>
      <c r="T343" s="25" t="s">
        <v>1535</v>
      </c>
      <c r="U343" s="25">
        <v>4019</v>
      </c>
      <c r="V343" s="25" t="s">
        <v>2086</v>
      </c>
      <c r="W343" s="38" t="s">
        <v>2087</v>
      </c>
      <c r="X343" s="25">
        <v>34</v>
      </c>
      <c r="Y343" s="25" t="s">
        <v>2084</v>
      </c>
      <c r="Z343" s="25" t="s">
        <v>1451</v>
      </c>
      <c r="AA343" s="25" t="s">
        <v>2088</v>
      </c>
      <c r="AB343" s="39">
        <v>60</v>
      </c>
      <c r="AC343" s="39" t="s">
        <v>744</v>
      </c>
      <c r="AD343" s="39">
        <v>7</v>
      </c>
      <c r="AE343" s="25">
        <v>160</v>
      </c>
      <c r="AF343" s="39">
        <v>80</v>
      </c>
      <c r="AG343" s="39" t="s">
        <v>744</v>
      </c>
      <c r="AH343" s="39">
        <v>9</v>
      </c>
      <c r="AI343" s="25">
        <v>180</v>
      </c>
      <c r="AJ343" s="39">
        <v>100</v>
      </c>
      <c r="AK343" s="39" t="s">
        <v>744</v>
      </c>
      <c r="AL343" s="39">
        <v>11</v>
      </c>
      <c r="AM343" s="25">
        <v>200</v>
      </c>
      <c r="AN343" s="39">
        <v>120</v>
      </c>
      <c r="AO343" s="39" t="s">
        <v>744</v>
      </c>
      <c r="AP343" s="39">
        <v>13</v>
      </c>
      <c r="AQ343" s="25" t="s">
        <v>1542</v>
      </c>
      <c r="AR343" s="39"/>
    </row>
    <row r="344" spans="1:44" x14ac:dyDescent="0.2">
      <c r="A344" s="25" t="s">
        <v>70</v>
      </c>
      <c r="B344" s="25" t="s">
        <v>3834</v>
      </c>
      <c r="T344" s="25" t="s">
        <v>132</v>
      </c>
      <c r="U344" s="25">
        <v>6021</v>
      </c>
      <c r="V344" s="25" t="s">
        <v>2420</v>
      </c>
      <c r="W344" s="38" t="s">
        <v>2421</v>
      </c>
      <c r="X344" s="25">
        <v>54</v>
      </c>
      <c r="Y344" s="25" t="s">
        <v>2084</v>
      </c>
      <c r="Z344" s="25" t="s">
        <v>1451</v>
      </c>
      <c r="AA344" s="25" t="s">
        <v>2258</v>
      </c>
      <c r="AB344" s="39">
        <v>80</v>
      </c>
      <c r="AC344" s="39">
        <v>10</v>
      </c>
      <c r="AD344" s="39">
        <v>7</v>
      </c>
      <c r="AE344" s="25">
        <v>160</v>
      </c>
      <c r="AF344" s="39">
        <v>100</v>
      </c>
      <c r="AG344" s="39">
        <v>10</v>
      </c>
      <c r="AH344" s="39">
        <v>10</v>
      </c>
      <c r="AI344" s="25">
        <v>200</v>
      </c>
      <c r="AJ344" s="39">
        <v>120</v>
      </c>
      <c r="AK344" s="39">
        <v>15</v>
      </c>
      <c r="AL344" s="39">
        <v>12</v>
      </c>
      <c r="AM344" s="25">
        <v>240</v>
      </c>
      <c r="AN344" s="39">
        <v>150</v>
      </c>
      <c r="AO344" s="39">
        <v>15</v>
      </c>
      <c r="AP344" s="39">
        <v>14</v>
      </c>
      <c r="AQ344" s="25" t="s">
        <v>1553</v>
      </c>
      <c r="AR344" s="39"/>
    </row>
    <row r="345" spans="1:44" x14ac:dyDescent="0.2">
      <c r="A345" s="25" t="s">
        <v>70</v>
      </c>
      <c r="B345" s="25" t="s">
        <v>3861</v>
      </c>
      <c r="T345" s="25" t="s">
        <v>35</v>
      </c>
      <c r="U345" s="25">
        <v>19007</v>
      </c>
      <c r="V345" s="25" t="s">
        <v>3591</v>
      </c>
      <c r="W345" s="38" t="s">
        <v>3592</v>
      </c>
      <c r="X345" s="25">
        <v>62</v>
      </c>
      <c r="Y345" s="25" t="s">
        <v>164</v>
      </c>
      <c r="Z345" s="25" t="s">
        <v>1451</v>
      </c>
      <c r="AA345" s="25" t="s">
        <v>3593</v>
      </c>
      <c r="AB345" s="39">
        <v>150</v>
      </c>
      <c r="AC345" s="39" t="s">
        <v>244</v>
      </c>
      <c r="AD345" s="39">
        <v>8</v>
      </c>
      <c r="AE345" s="25" t="s">
        <v>3594</v>
      </c>
      <c r="AF345" s="39">
        <v>200</v>
      </c>
      <c r="AG345" s="39" t="s">
        <v>244</v>
      </c>
      <c r="AH345" s="39">
        <v>10</v>
      </c>
      <c r="AI345" s="25" t="s">
        <v>3595</v>
      </c>
      <c r="AJ345" s="39">
        <v>250</v>
      </c>
      <c r="AK345" s="39" t="s">
        <v>244</v>
      </c>
      <c r="AL345" s="39">
        <v>12</v>
      </c>
      <c r="AM345" s="25" t="s">
        <v>3596</v>
      </c>
      <c r="AN345" s="39">
        <v>300</v>
      </c>
      <c r="AO345" s="39" t="s">
        <v>244</v>
      </c>
      <c r="AP345" s="39">
        <v>14</v>
      </c>
      <c r="AR345" s="39"/>
    </row>
    <row r="346" spans="1:44" x14ac:dyDescent="0.2">
      <c r="A346" s="25" t="s">
        <v>70</v>
      </c>
      <c r="B346" s="25" t="s">
        <v>3912</v>
      </c>
      <c r="T346" s="25" t="s">
        <v>132</v>
      </c>
      <c r="U346" s="25">
        <v>4021</v>
      </c>
      <c r="V346" s="25" t="s">
        <v>2092</v>
      </c>
      <c r="W346" s="38" t="s">
        <v>6558</v>
      </c>
      <c r="X346" s="25">
        <v>34</v>
      </c>
      <c r="Y346" s="25" t="s">
        <v>164</v>
      </c>
      <c r="Z346" s="25" t="s">
        <v>1451</v>
      </c>
      <c r="AA346" s="25" t="s">
        <v>1549</v>
      </c>
      <c r="AB346" s="39">
        <v>60</v>
      </c>
      <c r="AC346" s="39">
        <v>5</v>
      </c>
      <c r="AD346" s="39">
        <v>6</v>
      </c>
      <c r="AE346" s="25" t="s">
        <v>2093</v>
      </c>
      <c r="AF346" s="39">
        <v>90</v>
      </c>
      <c r="AG346" s="39">
        <v>5</v>
      </c>
      <c r="AH346" s="39">
        <v>9</v>
      </c>
      <c r="AI346" s="25" t="s">
        <v>2094</v>
      </c>
      <c r="AJ346" s="39">
        <v>120</v>
      </c>
      <c r="AK346" s="39">
        <v>5</v>
      </c>
      <c r="AL346" s="39">
        <v>11</v>
      </c>
      <c r="AM346" s="25" t="s">
        <v>2095</v>
      </c>
      <c r="AN346" s="39">
        <v>150</v>
      </c>
      <c r="AO346" s="39">
        <v>10</v>
      </c>
      <c r="AP346" s="39">
        <v>13</v>
      </c>
      <c r="AQ346" s="25" t="s">
        <v>1553</v>
      </c>
      <c r="AR346" s="39" t="s">
        <v>6456</v>
      </c>
    </row>
    <row r="347" spans="1:44" x14ac:dyDescent="0.2">
      <c r="A347" s="25" t="s">
        <v>70</v>
      </c>
      <c r="B347" s="25" t="s">
        <v>3957</v>
      </c>
      <c r="T347" s="25" t="s">
        <v>1563</v>
      </c>
      <c r="U347" s="25">
        <v>3023</v>
      </c>
      <c r="V347" s="25" t="s">
        <v>1949</v>
      </c>
      <c r="W347" s="38" t="s">
        <v>1950</v>
      </c>
      <c r="X347" s="25">
        <v>24</v>
      </c>
      <c r="Y347" s="25" t="s">
        <v>164</v>
      </c>
      <c r="Z347" s="25" t="s">
        <v>1451</v>
      </c>
      <c r="AA347" s="25" t="s">
        <v>1951</v>
      </c>
      <c r="AB347" s="39">
        <v>60</v>
      </c>
      <c r="AC347" s="39">
        <v>5</v>
      </c>
      <c r="AD347" s="39">
        <v>7</v>
      </c>
      <c r="AE347" s="25" t="s">
        <v>1952</v>
      </c>
      <c r="AF347" s="39">
        <v>100</v>
      </c>
      <c r="AG347" s="39">
        <v>5</v>
      </c>
      <c r="AH347" s="39">
        <v>9</v>
      </c>
      <c r="AI347" s="25" t="s">
        <v>1953</v>
      </c>
      <c r="AJ347" s="39">
        <v>140</v>
      </c>
      <c r="AK347" s="39">
        <v>10</v>
      </c>
      <c r="AL347" s="39">
        <v>11</v>
      </c>
      <c r="AM347" s="25" t="s">
        <v>1954</v>
      </c>
      <c r="AN347" s="39">
        <v>180</v>
      </c>
      <c r="AO347" s="39">
        <v>10</v>
      </c>
      <c r="AP347" s="39">
        <v>13</v>
      </c>
      <c r="AQ347" s="25" t="s">
        <v>1570</v>
      </c>
      <c r="AR347" s="39"/>
    </row>
    <row r="348" spans="1:44" x14ac:dyDescent="0.2">
      <c r="A348" s="25" t="s">
        <v>70</v>
      </c>
      <c r="B348" s="25" t="s">
        <v>3995</v>
      </c>
      <c r="T348" s="25" t="s">
        <v>101</v>
      </c>
      <c r="U348" s="25">
        <v>7011</v>
      </c>
      <c r="V348" s="25" t="s">
        <v>2544</v>
      </c>
      <c r="W348" s="38" t="s">
        <v>2545</v>
      </c>
      <c r="X348" s="25">
        <v>18</v>
      </c>
      <c r="Y348" s="25" t="s">
        <v>164</v>
      </c>
      <c r="Z348" s="25" t="s">
        <v>1451</v>
      </c>
      <c r="AA348" s="25" t="s">
        <v>2546</v>
      </c>
      <c r="AB348" s="39">
        <v>60</v>
      </c>
      <c r="AC348" s="39">
        <v>5</v>
      </c>
      <c r="AD348" s="39">
        <v>6</v>
      </c>
      <c r="AE348" s="25" t="s">
        <v>2547</v>
      </c>
      <c r="AF348" s="39">
        <v>90</v>
      </c>
      <c r="AG348" s="39">
        <v>5</v>
      </c>
      <c r="AH348" s="39">
        <v>9</v>
      </c>
      <c r="AI348" s="25" t="s">
        <v>2548</v>
      </c>
      <c r="AJ348" s="39">
        <v>120</v>
      </c>
      <c r="AK348" s="39">
        <v>5</v>
      </c>
      <c r="AL348" s="39">
        <v>12</v>
      </c>
      <c r="AM348" s="25" t="s">
        <v>2549</v>
      </c>
      <c r="AN348" s="39">
        <v>150</v>
      </c>
      <c r="AO348" s="39">
        <v>5</v>
      </c>
      <c r="AP348" s="39">
        <v>15</v>
      </c>
      <c r="AR348" s="39"/>
    </row>
    <row r="349" spans="1:44" x14ac:dyDescent="0.2">
      <c r="A349" s="25" t="s">
        <v>70</v>
      </c>
      <c r="B349" s="25" t="s">
        <v>4034</v>
      </c>
      <c r="T349" s="25" t="s">
        <v>1588</v>
      </c>
      <c r="U349" s="25">
        <v>10026</v>
      </c>
      <c r="V349" s="25" t="s">
        <v>3056</v>
      </c>
      <c r="W349" s="38" t="s">
        <v>6551</v>
      </c>
      <c r="X349" s="25">
        <v>94</v>
      </c>
      <c r="Y349" s="25" t="s">
        <v>164</v>
      </c>
      <c r="Z349" s="25" t="s">
        <v>1451</v>
      </c>
      <c r="AA349" s="25" t="s">
        <v>3057</v>
      </c>
      <c r="AB349" s="39">
        <v>300</v>
      </c>
      <c r="AC349" s="39">
        <v>50</v>
      </c>
      <c r="AD349" s="39">
        <v>12</v>
      </c>
      <c r="AE349" s="25" t="s">
        <v>3058</v>
      </c>
      <c r="AF349" s="39">
        <v>600</v>
      </c>
      <c r="AG349" s="39">
        <v>60</v>
      </c>
      <c r="AH349" s="39">
        <v>14</v>
      </c>
      <c r="AI349" s="25" t="s">
        <v>3059</v>
      </c>
      <c r="AJ349" s="39">
        <v>900</v>
      </c>
      <c r="AK349" s="39">
        <v>65</v>
      </c>
      <c r="AL349" s="39">
        <v>16</v>
      </c>
      <c r="AM349" s="25" t="s">
        <v>3060</v>
      </c>
      <c r="AN349" s="39">
        <v>1200</v>
      </c>
      <c r="AO349" s="39">
        <v>75</v>
      </c>
      <c r="AP349" s="39">
        <v>18</v>
      </c>
      <c r="AQ349" s="25" t="s">
        <v>1595</v>
      </c>
      <c r="AR349" s="39" t="s">
        <v>6456</v>
      </c>
    </row>
    <row r="350" spans="1:44" x14ac:dyDescent="0.2">
      <c r="A350" s="25" t="s">
        <v>1523</v>
      </c>
      <c r="B350" s="25" t="s">
        <v>1524</v>
      </c>
      <c r="T350" s="25" t="s">
        <v>1523</v>
      </c>
      <c r="U350" s="25">
        <v>10017</v>
      </c>
      <c r="V350" s="25" t="s">
        <v>3020</v>
      </c>
      <c r="W350" s="38" t="s">
        <v>3021</v>
      </c>
      <c r="X350" s="25">
        <v>94</v>
      </c>
      <c r="Y350" s="25" t="s">
        <v>164</v>
      </c>
      <c r="Z350" s="25" t="s">
        <v>1451</v>
      </c>
      <c r="AA350" s="25" t="s">
        <v>3022</v>
      </c>
      <c r="AB350" s="39">
        <v>250</v>
      </c>
      <c r="AC350" s="39">
        <v>25</v>
      </c>
      <c r="AD350" s="39">
        <v>14</v>
      </c>
      <c r="AE350" s="25">
        <v>50</v>
      </c>
      <c r="AF350" s="39">
        <v>500</v>
      </c>
      <c r="AG350" s="39">
        <v>50</v>
      </c>
      <c r="AH350" s="39">
        <v>16</v>
      </c>
      <c r="AI350" s="25">
        <v>250</v>
      </c>
      <c r="AJ350" s="39">
        <v>750</v>
      </c>
      <c r="AK350" s="39">
        <v>75</v>
      </c>
      <c r="AL350" s="39">
        <v>18</v>
      </c>
      <c r="AM350" s="25" t="s">
        <v>3023</v>
      </c>
      <c r="AN350" s="39">
        <v>1000</v>
      </c>
      <c r="AO350" s="39">
        <v>100</v>
      </c>
      <c r="AP350" s="39">
        <v>20</v>
      </c>
      <c r="AQ350" s="25" t="s">
        <v>1530</v>
      </c>
      <c r="AR350" s="39"/>
    </row>
    <row r="351" spans="1:44" x14ac:dyDescent="0.2">
      <c r="A351" s="25" t="s">
        <v>1523</v>
      </c>
      <c r="B351" s="25" t="s">
        <v>1756</v>
      </c>
      <c r="T351" s="25" t="s">
        <v>61</v>
      </c>
      <c r="U351" s="25">
        <v>10004</v>
      </c>
      <c r="V351" s="25" t="s">
        <v>2976</v>
      </c>
      <c r="W351" s="38" t="s">
        <v>2977</v>
      </c>
      <c r="X351" s="25">
        <v>26</v>
      </c>
      <c r="Y351" s="25" t="s">
        <v>1582</v>
      </c>
      <c r="Z351" s="25" t="s">
        <v>1451</v>
      </c>
      <c r="AA351" s="25" t="s">
        <v>2978</v>
      </c>
      <c r="AB351" s="39">
        <v>80</v>
      </c>
      <c r="AC351" s="39" t="s">
        <v>244</v>
      </c>
      <c r="AD351" s="39">
        <v>6</v>
      </c>
      <c r="AE351" s="25" t="s">
        <v>2979</v>
      </c>
      <c r="AF351" s="39">
        <v>120</v>
      </c>
      <c r="AG351" s="39" t="s">
        <v>244</v>
      </c>
      <c r="AH351" s="39">
        <v>9</v>
      </c>
      <c r="AI351" s="25" t="s">
        <v>2980</v>
      </c>
      <c r="AJ351" s="39">
        <v>180</v>
      </c>
      <c r="AK351" s="39" t="s">
        <v>244</v>
      </c>
      <c r="AL351" s="39">
        <v>12</v>
      </c>
      <c r="AM351" s="25" t="s">
        <v>2981</v>
      </c>
      <c r="AN351" s="39">
        <v>300</v>
      </c>
      <c r="AO351" s="39" t="s">
        <v>244</v>
      </c>
      <c r="AP351" s="39">
        <v>15</v>
      </c>
      <c r="AR351" s="39"/>
    </row>
    <row r="352" spans="1:44" x14ac:dyDescent="0.2">
      <c r="A352" s="25" t="s">
        <v>1523</v>
      </c>
      <c r="B352" s="25" t="s">
        <v>1921</v>
      </c>
      <c r="T352" s="25" t="s">
        <v>29</v>
      </c>
      <c r="U352" s="25">
        <v>40001</v>
      </c>
      <c r="V352" s="25" t="s">
        <v>4246</v>
      </c>
      <c r="W352" s="38" t="s">
        <v>4247</v>
      </c>
      <c r="X352" s="25">
        <v>100</v>
      </c>
      <c r="Y352" s="25" t="s">
        <v>3687</v>
      </c>
      <c r="Z352" s="25" t="s">
        <v>1451</v>
      </c>
      <c r="AA352" s="25" t="s">
        <v>4248</v>
      </c>
      <c r="AB352" s="39">
        <v>600</v>
      </c>
      <c r="AC352" s="39" t="s">
        <v>244</v>
      </c>
      <c r="AD352" s="39">
        <v>14</v>
      </c>
      <c r="AE352" s="25" t="s">
        <v>4249</v>
      </c>
      <c r="AF352" s="39">
        <v>1000</v>
      </c>
      <c r="AG352" s="39" t="s">
        <v>244</v>
      </c>
      <c r="AH352" s="39">
        <v>16</v>
      </c>
      <c r="AI352" s="25" t="s">
        <v>4250</v>
      </c>
      <c r="AJ352" s="39">
        <v>2500</v>
      </c>
      <c r="AK352" s="39" t="s">
        <v>244</v>
      </c>
      <c r="AL352" s="39">
        <v>18</v>
      </c>
      <c r="AM352" s="25" t="s">
        <v>4251</v>
      </c>
      <c r="AN352" s="39">
        <v>10000</v>
      </c>
      <c r="AO352" s="39" t="s">
        <v>244</v>
      </c>
      <c r="AP352" s="39">
        <v>20</v>
      </c>
      <c r="AR352" s="39"/>
    </row>
    <row r="353" spans="1:44" x14ac:dyDescent="0.2">
      <c r="A353" s="25" t="s">
        <v>1523</v>
      </c>
      <c r="B353" s="25" t="s">
        <v>2076</v>
      </c>
      <c r="T353" s="25" t="s">
        <v>39</v>
      </c>
      <c r="U353" s="25">
        <v>40002</v>
      </c>
      <c r="V353" s="25" t="s">
        <v>4252</v>
      </c>
      <c r="W353" s="38" t="s">
        <v>4253</v>
      </c>
      <c r="X353" s="25">
        <v>100</v>
      </c>
      <c r="Y353" s="25" t="s">
        <v>3687</v>
      </c>
      <c r="Z353" s="25" t="s">
        <v>1451</v>
      </c>
      <c r="AA353" s="25" t="s">
        <v>4248</v>
      </c>
      <c r="AB353" s="39">
        <v>600</v>
      </c>
      <c r="AC353" s="39" t="s">
        <v>244</v>
      </c>
      <c r="AD353" s="39">
        <v>14</v>
      </c>
      <c r="AE353" s="25" t="s">
        <v>4249</v>
      </c>
      <c r="AF353" s="39">
        <v>1000</v>
      </c>
      <c r="AG353" s="39" t="s">
        <v>244</v>
      </c>
      <c r="AH353" s="39">
        <v>16</v>
      </c>
      <c r="AI353" s="25" t="s">
        <v>4250</v>
      </c>
      <c r="AJ353" s="39">
        <v>2500</v>
      </c>
      <c r="AK353" s="39" t="s">
        <v>244</v>
      </c>
      <c r="AL353" s="39">
        <v>18</v>
      </c>
      <c r="AM353" s="25" t="s">
        <v>4251</v>
      </c>
      <c r="AN353" s="39">
        <v>10000</v>
      </c>
      <c r="AO353" s="39" t="s">
        <v>244</v>
      </c>
      <c r="AP353" s="39">
        <v>20</v>
      </c>
      <c r="AR353" s="39"/>
    </row>
    <row r="354" spans="1:44" x14ac:dyDescent="0.2">
      <c r="A354" s="25" t="s">
        <v>1523</v>
      </c>
      <c r="B354" s="25" t="s">
        <v>2235</v>
      </c>
      <c r="T354" s="25" t="s">
        <v>29</v>
      </c>
      <c r="U354" s="25">
        <v>10001</v>
      </c>
      <c r="V354" s="25" t="s">
        <v>2960</v>
      </c>
      <c r="W354" s="38" t="s">
        <v>2961</v>
      </c>
      <c r="X354" s="25">
        <v>26</v>
      </c>
      <c r="Y354" s="25" t="s">
        <v>164</v>
      </c>
      <c r="Z354" s="25" t="s">
        <v>1451</v>
      </c>
      <c r="AA354" s="25" t="s">
        <v>2962</v>
      </c>
      <c r="AB354" s="39">
        <v>40</v>
      </c>
      <c r="AC354" s="39">
        <v>5</v>
      </c>
      <c r="AD354" s="39">
        <v>6</v>
      </c>
      <c r="AE354" s="25" t="s">
        <v>2963</v>
      </c>
      <c r="AF354" s="39">
        <v>150</v>
      </c>
      <c r="AG354" s="39">
        <v>20</v>
      </c>
      <c r="AH354" s="39">
        <v>9</v>
      </c>
      <c r="AI354" s="25" t="s">
        <v>2964</v>
      </c>
      <c r="AJ354" s="39">
        <v>250</v>
      </c>
      <c r="AK354" s="39">
        <v>25</v>
      </c>
      <c r="AL354" s="39">
        <v>12</v>
      </c>
      <c r="AM354" s="25" t="s">
        <v>2965</v>
      </c>
      <c r="AN354" s="39">
        <v>350</v>
      </c>
      <c r="AO354" s="39">
        <v>30</v>
      </c>
      <c r="AP354" s="39">
        <v>15</v>
      </c>
      <c r="AR354" s="39"/>
    </row>
    <row r="355" spans="1:44" x14ac:dyDescent="0.2">
      <c r="A355" s="25" t="s">
        <v>1523</v>
      </c>
      <c r="B355" s="25" t="s">
        <v>2402</v>
      </c>
      <c r="T355" s="25" t="s">
        <v>60</v>
      </c>
      <c r="U355" s="25">
        <v>22008</v>
      </c>
      <c r="V355" s="25" t="s">
        <v>3727</v>
      </c>
      <c r="W355" s="38" t="s">
        <v>3728</v>
      </c>
      <c r="X355" s="25">
        <v>72</v>
      </c>
      <c r="Y355" s="25" t="s">
        <v>1498</v>
      </c>
      <c r="Z355" s="25" t="s">
        <v>1451</v>
      </c>
      <c r="AA355" s="25" t="s">
        <v>1478</v>
      </c>
      <c r="AB355" s="39">
        <v>200</v>
      </c>
      <c r="AC355" s="39">
        <v>10</v>
      </c>
      <c r="AD355" s="39">
        <v>9</v>
      </c>
      <c r="AE355" s="25" t="s">
        <v>1479</v>
      </c>
      <c r="AF355" s="39">
        <v>300</v>
      </c>
      <c r="AG355" s="39">
        <v>15</v>
      </c>
      <c r="AH355" s="39">
        <v>12</v>
      </c>
      <c r="AI355" s="25" t="s">
        <v>1908</v>
      </c>
      <c r="AJ355" s="39">
        <v>450</v>
      </c>
      <c r="AK355" s="39">
        <v>20</v>
      </c>
      <c r="AL355" s="39">
        <v>14</v>
      </c>
      <c r="AM355" s="25" t="s">
        <v>3729</v>
      </c>
      <c r="AN355" s="39">
        <v>600</v>
      </c>
      <c r="AO355" s="39">
        <v>25</v>
      </c>
      <c r="AP355" s="39">
        <v>16</v>
      </c>
      <c r="AR355" s="39"/>
    </row>
    <row r="356" spans="1:44" x14ac:dyDescent="0.2">
      <c r="A356" s="25" t="s">
        <v>1523</v>
      </c>
      <c r="B356" s="25" t="s">
        <v>2561</v>
      </c>
      <c r="T356" s="25" t="s">
        <v>94</v>
      </c>
      <c r="U356" s="25">
        <v>26010</v>
      </c>
      <c r="V356" s="25" t="s">
        <v>3886</v>
      </c>
      <c r="W356" s="38" t="s">
        <v>3887</v>
      </c>
      <c r="X356" s="25">
        <v>86</v>
      </c>
      <c r="Y356" s="25" t="s">
        <v>1582</v>
      </c>
      <c r="Z356" s="25" t="s">
        <v>1451</v>
      </c>
      <c r="AA356" s="25" t="s">
        <v>2124</v>
      </c>
      <c r="AB356" s="39">
        <v>200</v>
      </c>
      <c r="AC356" s="39">
        <v>20</v>
      </c>
      <c r="AD356" s="39">
        <v>10</v>
      </c>
      <c r="AE356" s="25" t="s">
        <v>3888</v>
      </c>
      <c r="AF356" s="39">
        <v>250</v>
      </c>
      <c r="AG356" s="39">
        <v>25</v>
      </c>
      <c r="AH356" s="39">
        <v>12</v>
      </c>
      <c r="AI356" s="25" t="s">
        <v>3889</v>
      </c>
      <c r="AJ356" s="39">
        <v>300</v>
      </c>
      <c r="AK356" s="39">
        <v>30</v>
      </c>
      <c r="AL356" s="39">
        <v>14</v>
      </c>
      <c r="AM356" s="25" t="s">
        <v>3890</v>
      </c>
      <c r="AN356" s="39">
        <v>350</v>
      </c>
      <c r="AO356" s="39">
        <v>35</v>
      </c>
      <c r="AP356" s="39">
        <v>16</v>
      </c>
      <c r="AR356" s="39"/>
    </row>
    <row r="357" spans="1:44" x14ac:dyDescent="0.2">
      <c r="A357" s="25" t="s">
        <v>1523</v>
      </c>
      <c r="B357" s="25" t="s">
        <v>2718</v>
      </c>
      <c r="T357" s="25" t="s">
        <v>94</v>
      </c>
      <c r="U357" s="25">
        <v>15010</v>
      </c>
      <c r="V357" s="25" t="s">
        <v>3435</v>
      </c>
      <c r="W357" s="38" t="s">
        <v>3436</v>
      </c>
      <c r="X357" s="25">
        <v>50</v>
      </c>
      <c r="Y357" s="25" t="s">
        <v>1498</v>
      </c>
      <c r="Z357" s="25" t="s">
        <v>1451</v>
      </c>
      <c r="AA357" s="25" t="s">
        <v>3437</v>
      </c>
      <c r="AB357" s="39">
        <v>120</v>
      </c>
      <c r="AC357" s="39">
        <v>10</v>
      </c>
      <c r="AD357" s="39">
        <v>6</v>
      </c>
      <c r="AE357" s="25" t="s">
        <v>3438</v>
      </c>
      <c r="AF357" s="39">
        <v>180</v>
      </c>
      <c r="AG357" s="39">
        <v>10</v>
      </c>
      <c r="AH357" s="39">
        <v>9</v>
      </c>
      <c r="AI357" s="25" t="s">
        <v>3439</v>
      </c>
      <c r="AJ357" s="39">
        <v>240</v>
      </c>
      <c r="AK357" s="39">
        <v>15</v>
      </c>
      <c r="AL357" s="39">
        <v>12</v>
      </c>
      <c r="AM357" s="25" t="s">
        <v>3440</v>
      </c>
      <c r="AN357" s="39">
        <v>300</v>
      </c>
      <c r="AO357" s="39">
        <v>15</v>
      </c>
      <c r="AP357" s="39">
        <v>15</v>
      </c>
      <c r="AR357" s="39"/>
    </row>
    <row r="358" spans="1:44" x14ac:dyDescent="0.2">
      <c r="A358" s="25" t="s">
        <v>1523</v>
      </c>
      <c r="B358" s="25" t="s">
        <v>2871</v>
      </c>
      <c r="T358" s="25" t="s">
        <v>94</v>
      </c>
      <c r="U358" s="25">
        <v>24010</v>
      </c>
      <c r="V358" s="25" t="s">
        <v>3813</v>
      </c>
      <c r="W358" s="38" t="s">
        <v>6508</v>
      </c>
      <c r="X358" s="25">
        <v>80</v>
      </c>
      <c r="Y358" s="25" t="s">
        <v>1498</v>
      </c>
      <c r="Z358" s="25" t="s">
        <v>1451</v>
      </c>
      <c r="AA358" s="25" t="s">
        <v>3332</v>
      </c>
      <c r="AB358" s="39">
        <v>250</v>
      </c>
      <c r="AC358" s="39">
        <v>25</v>
      </c>
      <c r="AD358" s="39">
        <v>9</v>
      </c>
      <c r="AE358" s="25" t="s">
        <v>3814</v>
      </c>
      <c r="AF358" s="39">
        <v>350</v>
      </c>
      <c r="AG358" s="39">
        <v>35</v>
      </c>
      <c r="AH358" s="39">
        <v>12</v>
      </c>
      <c r="AI358" s="25" t="s">
        <v>3815</v>
      </c>
      <c r="AJ358" s="39">
        <v>500</v>
      </c>
      <c r="AK358" s="39">
        <v>50</v>
      </c>
      <c r="AL358" s="39">
        <v>15</v>
      </c>
      <c r="AM358" s="25" t="s">
        <v>3816</v>
      </c>
      <c r="AN358" s="39">
        <v>700</v>
      </c>
      <c r="AO358" s="39">
        <v>70</v>
      </c>
      <c r="AP358" s="39">
        <v>18</v>
      </c>
      <c r="AR358" s="39" t="s">
        <v>6456</v>
      </c>
    </row>
    <row r="359" spans="1:44" x14ac:dyDescent="0.2">
      <c r="A359" s="25" t="s">
        <v>1523</v>
      </c>
      <c r="B359" s="25" t="s">
        <v>3020</v>
      </c>
      <c r="T359" s="25" t="s">
        <v>94</v>
      </c>
      <c r="U359" s="25">
        <v>2010</v>
      </c>
      <c r="V359" s="25" t="s">
        <v>1735</v>
      </c>
      <c r="W359" s="38" t="s">
        <v>1736</v>
      </c>
      <c r="X359" s="25">
        <v>6</v>
      </c>
      <c r="Y359" s="25" t="s">
        <v>1498</v>
      </c>
      <c r="Z359" s="25" t="s">
        <v>1451</v>
      </c>
      <c r="AA359" s="25" t="s">
        <v>1499</v>
      </c>
      <c r="AB359" s="39">
        <v>30</v>
      </c>
      <c r="AC359" s="39">
        <v>5</v>
      </c>
      <c r="AD359" s="39">
        <v>5</v>
      </c>
      <c r="AE359" s="25" t="s">
        <v>1500</v>
      </c>
      <c r="AF359" s="39">
        <v>50</v>
      </c>
      <c r="AG359" s="39">
        <v>5</v>
      </c>
      <c r="AH359" s="39">
        <v>8</v>
      </c>
      <c r="AI359" s="25" t="s">
        <v>1501</v>
      </c>
      <c r="AJ359" s="39">
        <v>90</v>
      </c>
      <c r="AK359" s="39">
        <v>10</v>
      </c>
      <c r="AL359" s="39">
        <v>10</v>
      </c>
      <c r="AM359" s="25" t="s">
        <v>1502</v>
      </c>
      <c r="AN359" s="39">
        <v>120</v>
      </c>
      <c r="AO359" s="39">
        <v>10</v>
      </c>
      <c r="AP359" s="39">
        <v>12</v>
      </c>
      <c r="AR359" s="39"/>
    </row>
    <row r="360" spans="1:44" x14ac:dyDescent="0.2">
      <c r="A360" s="25" t="s">
        <v>94</v>
      </c>
      <c r="B360" s="25" t="s">
        <v>1496</v>
      </c>
      <c r="T360" s="25" t="s">
        <v>94</v>
      </c>
      <c r="U360" s="25">
        <v>1010</v>
      </c>
      <c r="V360" s="25" t="s">
        <v>1496</v>
      </c>
      <c r="W360" s="38" t="s">
        <v>1497</v>
      </c>
      <c r="X360" s="25">
        <v>2</v>
      </c>
      <c r="Y360" s="25" t="s">
        <v>1498</v>
      </c>
      <c r="Z360" s="25" t="s">
        <v>1451</v>
      </c>
      <c r="AA360" s="25" t="s">
        <v>1499</v>
      </c>
      <c r="AB360" s="39">
        <v>30</v>
      </c>
      <c r="AC360" s="39">
        <v>5</v>
      </c>
      <c r="AD360" s="39">
        <v>5</v>
      </c>
      <c r="AE360" s="25" t="s">
        <v>1500</v>
      </c>
      <c r="AF360" s="39">
        <v>50</v>
      </c>
      <c r="AG360" s="39">
        <v>5</v>
      </c>
      <c r="AH360" s="39">
        <v>8</v>
      </c>
      <c r="AI360" s="25" t="s">
        <v>1501</v>
      </c>
      <c r="AJ360" s="39">
        <v>90</v>
      </c>
      <c r="AK360" s="39">
        <v>10</v>
      </c>
      <c r="AL360" s="39">
        <v>10</v>
      </c>
      <c r="AM360" s="25" t="s">
        <v>1502</v>
      </c>
      <c r="AN360" s="39">
        <v>120</v>
      </c>
      <c r="AO360" s="39">
        <v>10</v>
      </c>
      <c r="AP360" s="39">
        <v>12</v>
      </c>
      <c r="AR360" s="39"/>
    </row>
    <row r="361" spans="1:44" x14ac:dyDescent="0.2">
      <c r="A361" s="25" t="s">
        <v>94</v>
      </c>
      <c r="B361" s="25" t="s">
        <v>1735</v>
      </c>
      <c r="T361" s="25" t="s">
        <v>94</v>
      </c>
      <c r="U361" s="25">
        <v>3010</v>
      </c>
      <c r="V361" s="25" t="s">
        <v>1903</v>
      </c>
      <c r="W361" s="38" t="s">
        <v>1904</v>
      </c>
      <c r="X361" s="25">
        <v>10</v>
      </c>
      <c r="Y361" s="25" t="s">
        <v>1498</v>
      </c>
      <c r="Z361" s="25" t="s">
        <v>1451</v>
      </c>
      <c r="AA361" s="25" t="s">
        <v>1499</v>
      </c>
      <c r="AB361" s="39">
        <v>30</v>
      </c>
      <c r="AC361" s="39">
        <v>5</v>
      </c>
      <c r="AD361" s="39">
        <v>5</v>
      </c>
      <c r="AE361" s="25" t="s">
        <v>1500</v>
      </c>
      <c r="AF361" s="39">
        <v>50</v>
      </c>
      <c r="AG361" s="39">
        <v>5</v>
      </c>
      <c r="AH361" s="39">
        <v>8</v>
      </c>
      <c r="AI361" s="25" t="s">
        <v>1501</v>
      </c>
      <c r="AJ361" s="39">
        <v>90</v>
      </c>
      <c r="AK361" s="39">
        <v>10</v>
      </c>
      <c r="AL361" s="39">
        <v>10</v>
      </c>
      <c r="AM361" s="25" t="s">
        <v>1502</v>
      </c>
      <c r="AN361" s="39">
        <v>120</v>
      </c>
      <c r="AO361" s="39">
        <v>10</v>
      </c>
      <c r="AP361" s="39">
        <v>12</v>
      </c>
      <c r="AR361" s="39"/>
    </row>
    <row r="362" spans="1:44" x14ac:dyDescent="0.2">
      <c r="A362" s="25" t="s">
        <v>94</v>
      </c>
      <c r="B362" s="25" t="s">
        <v>1903</v>
      </c>
      <c r="T362" s="25" t="s">
        <v>94</v>
      </c>
      <c r="U362" s="25">
        <v>10010</v>
      </c>
      <c r="V362" s="25" t="s">
        <v>3006</v>
      </c>
      <c r="W362" s="38" t="s">
        <v>3007</v>
      </c>
      <c r="X362" s="25">
        <v>32</v>
      </c>
      <c r="Y362" s="25" t="s">
        <v>1498</v>
      </c>
      <c r="Z362" s="25" t="s">
        <v>1451</v>
      </c>
      <c r="AA362" s="25" t="s">
        <v>1667</v>
      </c>
      <c r="AB362" s="39">
        <v>80</v>
      </c>
      <c r="AC362" s="39">
        <v>5</v>
      </c>
      <c r="AD362" s="39">
        <v>6</v>
      </c>
      <c r="AE362" s="25" t="s">
        <v>1586</v>
      </c>
      <c r="AF362" s="39">
        <v>180</v>
      </c>
      <c r="AG362" s="39">
        <v>5</v>
      </c>
      <c r="AH362" s="39">
        <v>9</v>
      </c>
      <c r="AI362" s="25" t="s">
        <v>2104</v>
      </c>
      <c r="AJ362" s="39">
        <v>240</v>
      </c>
      <c r="AK362" s="39">
        <v>10</v>
      </c>
      <c r="AL362" s="39">
        <v>12</v>
      </c>
      <c r="AM362" s="25" t="s">
        <v>2223</v>
      </c>
      <c r="AN362" s="39">
        <v>300</v>
      </c>
      <c r="AO362" s="39">
        <v>10</v>
      </c>
      <c r="AP362" s="39">
        <v>15</v>
      </c>
      <c r="AR362" s="39"/>
    </row>
    <row r="363" spans="1:44" x14ac:dyDescent="0.2">
      <c r="A363" s="25" t="s">
        <v>94</v>
      </c>
      <c r="B363" s="25" t="s">
        <v>2058</v>
      </c>
      <c r="T363" s="25" t="s">
        <v>94</v>
      </c>
      <c r="U363" s="25">
        <v>4010</v>
      </c>
      <c r="V363" s="25" t="s">
        <v>2058</v>
      </c>
      <c r="W363" s="38" t="s">
        <v>2059</v>
      </c>
      <c r="X363" s="25">
        <v>12</v>
      </c>
      <c r="Y363" s="25" t="s">
        <v>1498</v>
      </c>
      <c r="Z363" s="25" t="s">
        <v>1451</v>
      </c>
      <c r="AA363" s="25" t="s">
        <v>1731</v>
      </c>
      <c r="AB363" s="39">
        <v>40</v>
      </c>
      <c r="AC363" s="39">
        <v>5</v>
      </c>
      <c r="AD363" s="39">
        <v>6</v>
      </c>
      <c r="AE363" s="25" t="s">
        <v>2060</v>
      </c>
      <c r="AF363" s="39">
        <v>70</v>
      </c>
      <c r="AG363" s="39">
        <v>5</v>
      </c>
      <c r="AH363" s="39">
        <v>8</v>
      </c>
      <c r="AI363" s="25" t="s">
        <v>2061</v>
      </c>
      <c r="AJ363" s="39">
        <v>100</v>
      </c>
      <c r="AK363" s="39">
        <v>10</v>
      </c>
      <c r="AL363" s="39">
        <v>10</v>
      </c>
      <c r="AM363" s="25" t="s">
        <v>2062</v>
      </c>
      <c r="AN363" s="39">
        <v>130</v>
      </c>
      <c r="AO363" s="39">
        <v>10</v>
      </c>
      <c r="AP363" s="39">
        <v>12</v>
      </c>
      <c r="AR363" s="39"/>
    </row>
    <row r="364" spans="1:44" x14ac:dyDescent="0.2">
      <c r="A364" s="25" t="s">
        <v>94</v>
      </c>
      <c r="B364" s="25" t="s">
        <v>2215</v>
      </c>
      <c r="T364" s="25" t="s">
        <v>94</v>
      </c>
      <c r="U364" s="25">
        <v>9010</v>
      </c>
      <c r="V364" s="25" t="s">
        <v>2850</v>
      </c>
      <c r="W364" s="38" t="s">
        <v>2851</v>
      </c>
      <c r="X364" s="25">
        <v>30</v>
      </c>
      <c r="Y364" s="25" t="s">
        <v>1498</v>
      </c>
      <c r="Z364" s="25" t="s">
        <v>1451</v>
      </c>
      <c r="AA364" s="25" t="s">
        <v>2852</v>
      </c>
      <c r="AB364" s="39">
        <v>60</v>
      </c>
      <c r="AC364" s="39">
        <v>10</v>
      </c>
      <c r="AD364" s="39">
        <v>8</v>
      </c>
      <c r="AE364" s="25" t="s">
        <v>2853</v>
      </c>
      <c r="AF364" s="39">
        <v>90</v>
      </c>
      <c r="AG364" s="39">
        <v>10</v>
      </c>
      <c r="AH364" s="39">
        <v>10</v>
      </c>
      <c r="AI364" s="25" t="s">
        <v>2854</v>
      </c>
      <c r="AJ364" s="39">
        <v>120</v>
      </c>
      <c r="AK364" s="39">
        <v>15</v>
      </c>
      <c r="AL364" s="39">
        <v>12</v>
      </c>
      <c r="AM364" s="25" t="s">
        <v>2855</v>
      </c>
      <c r="AN364" s="39">
        <v>150</v>
      </c>
      <c r="AO364" s="39">
        <v>15</v>
      </c>
      <c r="AP364" s="39">
        <v>14</v>
      </c>
      <c r="AR364" s="39"/>
    </row>
    <row r="365" spans="1:44" x14ac:dyDescent="0.2">
      <c r="A365" s="25" t="s">
        <v>94</v>
      </c>
      <c r="B365" s="25" t="s">
        <v>2379</v>
      </c>
      <c r="T365" s="25" t="s">
        <v>29</v>
      </c>
      <c r="U365" s="25">
        <v>2001</v>
      </c>
      <c r="V365" s="25" t="s">
        <v>1687</v>
      </c>
      <c r="W365" s="38" t="s">
        <v>1688</v>
      </c>
      <c r="X365" s="25">
        <v>6</v>
      </c>
      <c r="Y365" s="25" t="s">
        <v>1582</v>
      </c>
      <c r="Z365" s="25" t="s">
        <v>1451</v>
      </c>
      <c r="AA365" s="25" t="s">
        <v>1689</v>
      </c>
      <c r="AB365" s="39">
        <v>40</v>
      </c>
      <c r="AC365" s="39" t="s">
        <v>244</v>
      </c>
      <c r="AD365" s="39">
        <v>5</v>
      </c>
      <c r="AE365" s="25" t="s">
        <v>1690</v>
      </c>
      <c r="AF365" s="39">
        <v>80</v>
      </c>
      <c r="AG365" s="39" t="s">
        <v>244</v>
      </c>
      <c r="AH365" s="39">
        <v>8</v>
      </c>
      <c r="AI365" s="25" t="s">
        <v>1691</v>
      </c>
      <c r="AJ365" s="39">
        <v>120</v>
      </c>
      <c r="AK365" s="39" t="s">
        <v>244</v>
      </c>
      <c r="AL365" s="39">
        <v>11</v>
      </c>
      <c r="AM365" s="25" t="s">
        <v>1692</v>
      </c>
      <c r="AN365" s="39">
        <v>160</v>
      </c>
      <c r="AO365" s="39" t="s">
        <v>244</v>
      </c>
      <c r="AP365" s="39">
        <v>14</v>
      </c>
      <c r="AR365" s="39"/>
    </row>
    <row r="366" spans="1:44" x14ac:dyDescent="0.2">
      <c r="A366" s="25" t="s">
        <v>94</v>
      </c>
      <c r="B366" s="25" t="s">
        <v>2543</v>
      </c>
      <c r="T366" s="25" t="s">
        <v>39</v>
      </c>
      <c r="U366" s="25">
        <v>2002</v>
      </c>
      <c r="V366" s="25" t="s">
        <v>1693</v>
      </c>
      <c r="W366" s="38" t="s">
        <v>1694</v>
      </c>
      <c r="X366" s="25">
        <v>6</v>
      </c>
      <c r="Y366" s="25" t="s">
        <v>1582</v>
      </c>
      <c r="Z366" s="25" t="s">
        <v>1451</v>
      </c>
      <c r="AA366" s="25" t="s">
        <v>1689</v>
      </c>
      <c r="AB366" s="39">
        <v>40</v>
      </c>
      <c r="AC366" s="39" t="s">
        <v>244</v>
      </c>
      <c r="AD366" s="39">
        <v>5</v>
      </c>
      <c r="AE366" s="25" t="s">
        <v>1695</v>
      </c>
      <c r="AF366" s="39">
        <v>80</v>
      </c>
      <c r="AG366" s="39" t="s">
        <v>244</v>
      </c>
      <c r="AH366" s="39">
        <v>8</v>
      </c>
      <c r="AI366" s="25" t="s">
        <v>1696</v>
      </c>
      <c r="AJ366" s="39">
        <v>140</v>
      </c>
      <c r="AK366" s="39" t="s">
        <v>244</v>
      </c>
      <c r="AL366" s="39">
        <v>10</v>
      </c>
      <c r="AM366" s="25" t="s">
        <v>1697</v>
      </c>
      <c r="AN366" s="39">
        <v>180</v>
      </c>
      <c r="AO366" s="39" t="s">
        <v>244</v>
      </c>
      <c r="AP366" s="39">
        <v>12</v>
      </c>
      <c r="AR366" s="39"/>
    </row>
    <row r="367" spans="1:44" x14ac:dyDescent="0.2">
      <c r="A367" s="25" t="s">
        <v>94</v>
      </c>
      <c r="B367" s="25" t="s">
        <v>2697</v>
      </c>
      <c r="T367" s="25" t="s">
        <v>1563</v>
      </c>
      <c r="U367" s="25">
        <v>2023</v>
      </c>
      <c r="V367" s="25" t="s">
        <v>1782</v>
      </c>
      <c r="W367" s="38" t="s">
        <v>6550</v>
      </c>
      <c r="X367" s="25">
        <v>14</v>
      </c>
      <c r="Y367" s="25" t="s">
        <v>1582</v>
      </c>
      <c r="Z367" s="25" t="s">
        <v>1451</v>
      </c>
      <c r="AA367" s="25" t="s">
        <v>1566</v>
      </c>
      <c r="AB367" s="39">
        <v>50</v>
      </c>
      <c r="AC367" s="39">
        <v>5</v>
      </c>
      <c r="AD367" s="39">
        <v>6</v>
      </c>
      <c r="AE367" s="25" t="s">
        <v>1567</v>
      </c>
      <c r="AF367" s="39">
        <v>70</v>
      </c>
      <c r="AG367" s="39">
        <v>10</v>
      </c>
      <c r="AH367" s="39">
        <v>8</v>
      </c>
      <c r="AI367" s="25" t="s">
        <v>1568</v>
      </c>
      <c r="AJ367" s="39">
        <v>100</v>
      </c>
      <c r="AK367" s="39">
        <v>10</v>
      </c>
      <c r="AL367" s="39">
        <v>10</v>
      </c>
      <c r="AM367" s="25" t="s">
        <v>1569</v>
      </c>
      <c r="AN367" s="39">
        <v>140</v>
      </c>
      <c r="AO367" s="39">
        <v>15</v>
      </c>
      <c r="AP367" s="39">
        <v>12</v>
      </c>
      <c r="AQ367" s="25" t="s">
        <v>1570</v>
      </c>
      <c r="AR367" s="39" t="s">
        <v>6456</v>
      </c>
    </row>
    <row r="368" spans="1:44" x14ac:dyDescent="0.2">
      <c r="A368" s="25" t="s">
        <v>94</v>
      </c>
      <c r="B368" s="25" t="s">
        <v>2850</v>
      </c>
      <c r="T368" s="25" t="s">
        <v>90</v>
      </c>
      <c r="U368" s="25">
        <v>15009</v>
      </c>
      <c r="V368" s="25" t="s">
        <v>3429</v>
      </c>
      <c r="W368" s="38" t="s">
        <v>3430</v>
      </c>
      <c r="X368" s="25">
        <v>50</v>
      </c>
      <c r="Y368" s="25" t="s">
        <v>164</v>
      </c>
      <c r="Z368" s="25" t="s">
        <v>1451</v>
      </c>
      <c r="AA368" s="25" t="s">
        <v>3431</v>
      </c>
      <c r="AB368" s="39">
        <v>60</v>
      </c>
      <c r="AC368" s="39">
        <v>10</v>
      </c>
      <c r="AD368" s="39">
        <v>8</v>
      </c>
      <c r="AE368" s="25" t="s">
        <v>3432</v>
      </c>
      <c r="AF368" s="39">
        <v>180</v>
      </c>
      <c r="AG368" s="39">
        <v>10</v>
      </c>
      <c r="AH368" s="39">
        <v>10</v>
      </c>
      <c r="AI368" s="25" t="s">
        <v>3433</v>
      </c>
      <c r="AJ368" s="39">
        <v>240</v>
      </c>
      <c r="AK368" s="39">
        <v>15</v>
      </c>
      <c r="AL368" s="39">
        <v>13</v>
      </c>
      <c r="AM368" s="25" t="s">
        <v>3434</v>
      </c>
      <c r="AN368" s="39">
        <v>300</v>
      </c>
      <c r="AO368" s="39">
        <v>15</v>
      </c>
      <c r="AP368" s="39">
        <v>15</v>
      </c>
      <c r="AR368" s="39"/>
    </row>
    <row r="369" spans="1:44" x14ac:dyDescent="0.2">
      <c r="A369" s="25" t="s">
        <v>94</v>
      </c>
      <c r="B369" s="25" t="s">
        <v>3006</v>
      </c>
      <c r="T369" s="25" t="s">
        <v>49</v>
      </c>
      <c r="U369" s="25">
        <v>12003</v>
      </c>
      <c r="V369" s="25" t="s">
        <v>3208</v>
      </c>
      <c r="W369" s="38" t="s">
        <v>3209</v>
      </c>
      <c r="X369" s="25">
        <v>30</v>
      </c>
      <c r="Y369" s="25" t="s">
        <v>164</v>
      </c>
      <c r="Z369" s="25" t="s">
        <v>1451</v>
      </c>
      <c r="AA369" s="25" t="s">
        <v>1844</v>
      </c>
      <c r="AB369" s="39">
        <v>100</v>
      </c>
      <c r="AC369" s="39">
        <v>5</v>
      </c>
      <c r="AD369" s="39">
        <v>6</v>
      </c>
      <c r="AE369" s="25" t="s">
        <v>1675</v>
      </c>
      <c r="AF369" s="39">
        <v>200</v>
      </c>
      <c r="AG369" s="39">
        <v>10</v>
      </c>
      <c r="AH369" s="39">
        <v>9</v>
      </c>
      <c r="AI369" s="25" t="s">
        <v>1677</v>
      </c>
      <c r="AJ369" s="39">
        <v>300</v>
      </c>
      <c r="AK369" s="39">
        <v>15</v>
      </c>
      <c r="AL369" s="39">
        <v>12</v>
      </c>
      <c r="AM369" s="25" t="s">
        <v>3210</v>
      </c>
      <c r="AN369" s="39">
        <v>400</v>
      </c>
      <c r="AO369" s="39">
        <v>20</v>
      </c>
      <c r="AP369" s="39">
        <v>15</v>
      </c>
      <c r="AR369" s="39"/>
    </row>
    <row r="370" spans="1:44" x14ac:dyDescent="0.2">
      <c r="A370" s="25" t="s">
        <v>94</v>
      </c>
      <c r="B370" s="25" t="s">
        <v>3149</v>
      </c>
      <c r="T370" s="25" t="s">
        <v>1679</v>
      </c>
      <c r="U370" s="25">
        <v>8915</v>
      </c>
      <c r="V370" s="25" t="s">
        <v>2810</v>
      </c>
      <c r="W370" s="38" t="s">
        <v>2811</v>
      </c>
      <c r="X370" s="25" t="s">
        <v>1682</v>
      </c>
      <c r="Y370" s="25" t="s">
        <v>164</v>
      </c>
      <c r="Z370" s="25" t="s">
        <v>1451</v>
      </c>
      <c r="AA370" s="25" t="s">
        <v>1854</v>
      </c>
      <c r="AB370" s="39">
        <v>200</v>
      </c>
      <c r="AC370" s="39" t="s">
        <v>2812</v>
      </c>
      <c r="AD370" s="39">
        <v>10</v>
      </c>
      <c r="AE370" s="25" t="s">
        <v>2493</v>
      </c>
      <c r="AF370" s="39">
        <v>300</v>
      </c>
      <c r="AG370" s="39" t="s">
        <v>2812</v>
      </c>
      <c r="AH370" s="39">
        <v>12</v>
      </c>
      <c r="AI370" s="25" t="s">
        <v>2494</v>
      </c>
      <c r="AJ370" s="39">
        <v>360</v>
      </c>
      <c r="AK370" s="39" t="s">
        <v>2812</v>
      </c>
      <c r="AL370" s="39">
        <v>14</v>
      </c>
      <c r="AM370" s="25" t="s">
        <v>2495</v>
      </c>
      <c r="AN370" s="39">
        <v>420</v>
      </c>
      <c r="AO370" s="39" t="s">
        <v>2812</v>
      </c>
      <c r="AP370" s="39">
        <v>16</v>
      </c>
      <c r="AQ370" s="25" t="s">
        <v>61</v>
      </c>
      <c r="AR370" s="39"/>
    </row>
    <row r="371" spans="1:44" x14ac:dyDescent="0.2">
      <c r="A371" s="25" t="s">
        <v>94</v>
      </c>
      <c r="B371" s="25" t="s">
        <v>3238</v>
      </c>
      <c r="T371" s="25" t="s">
        <v>65</v>
      </c>
      <c r="U371" s="25">
        <v>6006</v>
      </c>
      <c r="V371" s="25" t="s">
        <v>2357</v>
      </c>
      <c r="W371" s="38" t="s">
        <v>2358</v>
      </c>
      <c r="X371" s="25">
        <v>20</v>
      </c>
      <c r="Y371" s="25" t="s">
        <v>116</v>
      </c>
      <c r="Z371" s="25" t="s">
        <v>1451</v>
      </c>
      <c r="AA371" s="25" t="s">
        <v>2359</v>
      </c>
      <c r="AB371" s="39">
        <v>50</v>
      </c>
      <c r="AC371" s="39" t="s">
        <v>244</v>
      </c>
      <c r="AD371" s="39">
        <v>5</v>
      </c>
      <c r="AE371" s="25" t="s">
        <v>2360</v>
      </c>
      <c r="AF371" s="39">
        <v>90</v>
      </c>
      <c r="AG371" s="39" t="s">
        <v>244</v>
      </c>
      <c r="AH371" s="39">
        <v>8</v>
      </c>
      <c r="AI371" s="25" t="s">
        <v>2361</v>
      </c>
      <c r="AJ371" s="39">
        <v>140</v>
      </c>
      <c r="AK371" s="39" t="s">
        <v>244</v>
      </c>
      <c r="AL371" s="39">
        <v>10</v>
      </c>
      <c r="AM371" s="25" t="s">
        <v>2362</v>
      </c>
      <c r="AN371" s="39">
        <v>200</v>
      </c>
      <c r="AO371" s="39" t="s">
        <v>244</v>
      </c>
      <c r="AP371" s="39">
        <v>12</v>
      </c>
      <c r="AR371" s="39"/>
    </row>
    <row r="372" spans="1:44" x14ac:dyDescent="0.2">
      <c r="A372" s="25" t="s">
        <v>94</v>
      </c>
      <c r="B372" s="25" t="s">
        <v>3335</v>
      </c>
      <c r="T372" s="25" t="s">
        <v>1611</v>
      </c>
      <c r="U372" s="25">
        <v>9029</v>
      </c>
      <c r="V372" s="25" t="s">
        <v>2925</v>
      </c>
      <c r="W372" s="38" t="s">
        <v>2926</v>
      </c>
      <c r="X372" s="25">
        <v>84</v>
      </c>
      <c r="Y372" s="25" t="s">
        <v>116</v>
      </c>
      <c r="Z372" s="25" t="s">
        <v>1451</v>
      </c>
      <c r="AA372" s="25" t="s">
        <v>2927</v>
      </c>
      <c r="AB372" s="39">
        <v>250</v>
      </c>
      <c r="AC372" s="39" t="s">
        <v>744</v>
      </c>
      <c r="AD372" s="39">
        <v>14</v>
      </c>
      <c r="AE372" s="25" t="s">
        <v>2928</v>
      </c>
      <c r="AF372" s="39">
        <v>500</v>
      </c>
      <c r="AG372" s="39" t="s">
        <v>744</v>
      </c>
      <c r="AH372" s="39">
        <v>16</v>
      </c>
      <c r="AI372" s="25" t="s">
        <v>2929</v>
      </c>
      <c r="AJ372" s="39">
        <v>750</v>
      </c>
      <c r="AK372" s="39" t="s">
        <v>744</v>
      </c>
      <c r="AL372" s="39">
        <v>18</v>
      </c>
      <c r="AM372" s="25" t="s">
        <v>2930</v>
      </c>
      <c r="AN372" s="39">
        <v>1000</v>
      </c>
      <c r="AO372" s="39" t="s">
        <v>744</v>
      </c>
      <c r="AP372" s="39">
        <v>20</v>
      </c>
      <c r="AQ372" s="25" t="s">
        <v>1618</v>
      </c>
      <c r="AR372" s="39"/>
    </row>
    <row r="373" spans="1:44" x14ac:dyDescent="0.2">
      <c r="A373" s="25" t="s">
        <v>94</v>
      </c>
      <c r="B373" s="25" t="s">
        <v>3394</v>
      </c>
      <c r="T373" s="25" t="s">
        <v>70</v>
      </c>
      <c r="U373" s="25">
        <v>18005</v>
      </c>
      <c r="V373" s="25" t="s">
        <v>3537</v>
      </c>
      <c r="W373" s="38" t="s">
        <v>3538</v>
      </c>
      <c r="X373" s="25">
        <v>60</v>
      </c>
      <c r="Y373" s="25" t="s">
        <v>1498</v>
      </c>
      <c r="Z373" s="25" t="s">
        <v>1451</v>
      </c>
      <c r="AA373" s="25" t="s">
        <v>3539</v>
      </c>
      <c r="AB373" s="39">
        <v>100</v>
      </c>
      <c r="AC373" s="39">
        <v>10</v>
      </c>
      <c r="AD373" s="39">
        <v>10</v>
      </c>
      <c r="AE373" s="25" t="s">
        <v>3540</v>
      </c>
      <c r="AF373" s="39">
        <v>150</v>
      </c>
      <c r="AG373" s="39">
        <v>15</v>
      </c>
      <c r="AH373" s="39">
        <v>12</v>
      </c>
      <c r="AI373" s="25" t="s">
        <v>3541</v>
      </c>
      <c r="AJ373" s="39">
        <v>200</v>
      </c>
      <c r="AK373" s="39">
        <v>15</v>
      </c>
      <c r="AL373" s="39">
        <v>14</v>
      </c>
      <c r="AM373" s="25" t="s">
        <v>3542</v>
      </c>
      <c r="AN373" s="39">
        <v>260</v>
      </c>
      <c r="AO373" s="39">
        <v>20</v>
      </c>
      <c r="AP373" s="39">
        <v>16</v>
      </c>
      <c r="AR373" s="39"/>
    </row>
    <row r="374" spans="1:44" x14ac:dyDescent="0.2">
      <c r="A374" s="25" t="s">
        <v>94</v>
      </c>
      <c r="B374" s="25" t="s">
        <v>3435</v>
      </c>
      <c r="T374" s="25" t="s">
        <v>61</v>
      </c>
      <c r="U374" s="25">
        <v>6004</v>
      </c>
      <c r="V374" s="25" t="s">
        <v>2350</v>
      </c>
      <c r="W374" s="38" t="s">
        <v>6526</v>
      </c>
      <c r="X374" s="25">
        <v>16</v>
      </c>
      <c r="Y374" s="25" t="s">
        <v>1582</v>
      </c>
      <c r="Z374" s="25" t="s">
        <v>1451</v>
      </c>
      <c r="AA374" s="25" t="s">
        <v>1667</v>
      </c>
      <c r="AB374" s="39">
        <v>50</v>
      </c>
      <c r="AC374" s="39">
        <v>5</v>
      </c>
      <c r="AD374" s="39">
        <v>6</v>
      </c>
      <c r="AE374" s="25" t="s">
        <v>1668</v>
      </c>
      <c r="AF374" s="39">
        <v>80</v>
      </c>
      <c r="AG374" s="39">
        <v>10</v>
      </c>
      <c r="AH374" s="39">
        <v>8</v>
      </c>
      <c r="AI374" s="25" t="s">
        <v>1586</v>
      </c>
      <c r="AJ374" s="39">
        <v>120</v>
      </c>
      <c r="AK374" s="39">
        <v>15</v>
      </c>
      <c r="AL374" s="39">
        <v>10</v>
      </c>
      <c r="AM374" s="25" t="s">
        <v>2104</v>
      </c>
      <c r="AN374" s="39">
        <v>150</v>
      </c>
      <c r="AO374" s="39">
        <v>15</v>
      </c>
      <c r="AP374" s="39">
        <v>12</v>
      </c>
      <c r="AR374" s="39" t="s">
        <v>6456</v>
      </c>
    </row>
    <row r="375" spans="1:44" x14ac:dyDescent="0.2">
      <c r="A375" s="25" t="s">
        <v>94</v>
      </c>
      <c r="B375" s="25" t="s">
        <v>3482</v>
      </c>
      <c r="T375" s="25" t="s">
        <v>60</v>
      </c>
      <c r="U375" s="25">
        <v>10008</v>
      </c>
      <c r="V375" s="25" t="s">
        <v>2998</v>
      </c>
      <c r="W375" s="38" t="s">
        <v>2999</v>
      </c>
      <c r="X375" s="25">
        <v>32</v>
      </c>
      <c r="Y375" s="25" t="s">
        <v>164</v>
      </c>
      <c r="Z375" s="25" t="s">
        <v>1451</v>
      </c>
      <c r="AA375" s="25" t="s">
        <v>3000</v>
      </c>
      <c r="AB375" s="39">
        <v>60</v>
      </c>
      <c r="AC375" s="39">
        <v>5</v>
      </c>
      <c r="AD375" s="39">
        <v>6</v>
      </c>
      <c r="AE375" s="25" t="s">
        <v>3001</v>
      </c>
      <c r="AF375" s="39">
        <v>90</v>
      </c>
      <c r="AG375" s="39">
        <v>5</v>
      </c>
      <c r="AH375" s="39">
        <v>9</v>
      </c>
      <c r="AI375" s="25" t="s">
        <v>3002</v>
      </c>
      <c r="AJ375" s="39">
        <v>120</v>
      </c>
      <c r="AK375" s="39">
        <v>10</v>
      </c>
      <c r="AL375" s="39">
        <v>12</v>
      </c>
      <c r="AM375" s="25" t="s">
        <v>3003</v>
      </c>
      <c r="AN375" s="39">
        <v>150</v>
      </c>
      <c r="AO375" s="39">
        <v>15</v>
      </c>
      <c r="AP375" s="39">
        <v>15</v>
      </c>
      <c r="AR375" s="39"/>
    </row>
    <row r="376" spans="1:44" x14ac:dyDescent="0.2">
      <c r="A376" s="25" t="s">
        <v>94</v>
      </c>
      <c r="B376" s="25" t="s">
        <v>3520</v>
      </c>
      <c r="T376" s="25" t="s">
        <v>39</v>
      </c>
      <c r="U376" s="25">
        <v>36002</v>
      </c>
      <c r="V376" s="25" t="s">
        <v>4163</v>
      </c>
      <c r="W376" s="38" t="s">
        <v>6630</v>
      </c>
      <c r="X376" s="25">
        <v>90</v>
      </c>
      <c r="Y376" s="25" t="s">
        <v>164</v>
      </c>
      <c r="Z376" s="25" t="s">
        <v>1451</v>
      </c>
      <c r="AA376" s="25" t="s">
        <v>4164</v>
      </c>
      <c r="AB376" s="39">
        <v>350</v>
      </c>
      <c r="AC376" s="39">
        <v>80</v>
      </c>
      <c r="AD376" s="39">
        <v>12</v>
      </c>
      <c r="AE376" s="25" t="s">
        <v>4165</v>
      </c>
      <c r="AF376" s="39">
        <v>450</v>
      </c>
      <c r="AG376" s="39">
        <v>90</v>
      </c>
      <c r="AH376" s="39">
        <v>14</v>
      </c>
      <c r="AI376" s="25" t="s">
        <v>4166</v>
      </c>
      <c r="AJ376" s="39">
        <v>600</v>
      </c>
      <c r="AK376" s="39">
        <v>105</v>
      </c>
      <c r="AL376" s="39">
        <v>16</v>
      </c>
      <c r="AM376" s="25" t="s">
        <v>4167</v>
      </c>
      <c r="AN376" s="39">
        <v>800</v>
      </c>
      <c r="AO376" s="39">
        <v>115</v>
      </c>
      <c r="AP376" s="39">
        <v>18</v>
      </c>
      <c r="AR376" s="39" t="s">
        <v>6456</v>
      </c>
    </row>
    <row r="377" spans="1:44" x14ac:dyDescent="0.2">
      <c r="A377" s="25" t="s">
        <v>94</v>
      </c>
      <c r="B377" s="25" t="s">
        <v>3555</v>
      </c>
      <c r="T377" s="25" t="s">
        <v>90</v>
      </c>
      <c r="U377" s="25">
        <v>18009</v>
      </c>
      <c r="V377" s="25" t="s">
        <v>3553</v>
      </c>
      <c r="W377" s="38" t="s">
        <v>3554</v>
      </c>
      <c r="X377" s="25">
        <v>60</v>
      </c>
      <c r="Y377" s="25" t="s">
        <v>1582</v>
      </c>
      <c r="Z377" s="25" t="s">
        <v>1451</v>
      </c>
      <c r="AA377" s="25" t="s">
        <v>1989</v>
      </c>
      <c r="AB377" s="39">
        <v>100</v>
      </c>
      <c r="AC377" s="39" t="s">
        <v>244</v>
      </c>
      <c r="AD377" s="39">
        <v>8</v>
      </c>
      <c r="AE377" s="25" t="s">
        <v>1668</v>
      </c>
      <c r="AF377" s="39">
        <v>180</v>
      </c>
      <c r="AG377" s="39" t="s">
        <v>244</v>
      </c>
      <c r="AH377" s="39">
        <v>10</v>
      </c>
      <c r="AI377" s="25" t="s">
        <v>1669</v>
      </c>
      <c r="AJ377" s="39">
        <v>240</v>
      </c>
      <c r="AK377" s="39" t="s">
        <v>244</v>
      </c>
      <c r="AL377" s="39">
        <v>12</v>
      </c>
      <c r="AM377" s="25" t="s">
        <v>2104</v>
      </c>
      <c r="AN377" s="39">
        <v>300</v>
      </c>
      <c r="AO377" s="39" t="s">
        <v>244</v>
      </c>
      <c r="AP377" s="39">
        <v>15</v>
      </c>
      <c r="AR377" s="39"/>
    </row>
    <row r="378" spans="1:44" x14ac:dyDescent="0.2">
      <c r="A378" s="25" t="s">
        <v>94</v>
      </c>
      <c r="B378" s="25" t="s">
        <v>3605</v>
      </c>
      <c r="T378" s="25" t="s">
        <v>94</v>
      </c>
      <c r="U378" s="25">
        <v>27010</v>
      </c>
      <c r="V378" s="25" t="s">
        <v>3932</v>
      </c>
      <c r="W378" s="38" t="s">
        <v>6548</v>
      </c>
      <c r="X378" s="25">
        <v>90</v>
      </c>
      <c r="Y378" s="25" t="s">
        <v>1498</v>
      </c>
      <c r="Z378" s="25" t="s">
        <v>1451</v>
      </c>
      <c r="AA378" s="25" t="s">
        <v>1667</v>
      </c>
      <c r="AB378" s="39">
        <v>250</v>
      </c>
      <c r="AC378" s="39">
        <v>25</v>
      </c>
      <c r="AD378" s="39">
        <v>11</v>
      </c>
      <c r="AE378" s="25" t="s">
        <v>1668</v>
      </c>
      <c r="AF378" s="39">
        <v>300</v>
      </c>
      <c r="AG378" s="39">
        <v>30</v>
      </c>
      <c r="AH378" s="39">
        <v>13</v>
      </c>
      <c r="AI378" s="25" t="s">
        <v>1586</v>
      </c>
      <c r="AJ378" s="39">
        <v>400</v>
      </c>
      <c r="AK378" s="39">
        <v>40</v>
      </c>
      <c r="AL378" s="39">
        <v>15</v>
      </c>
      <c r="AM378" s="25" t="s">
        <v>1669</v>
      </c>
      <c r="AN378" s="39">
        <v>500</v>
      </c>
      <c r="AO378" s="39">
        <v>50</v>
      </c>
      <c r="AP378" s="39">
        <v>17</v>
      </c>
      <c r="AR378" s="39" t="s">
        <v>6456</v>
      </c>
    </row>
    <row r="379" spans="1:44" x14ac:dyDescent="0.2">
      <c r="A379" s="25" t="s">
        <v>94</v>
      </c>
      <c r="B379" s="25" t="s">
        <v>3652</v>
      </c>
      <c r="T379" s="25" t="s">
        <v>1619</v>
      </c>
      <c r="U379" s="25">
        <v>12115</v>
      </c>
      <c r="V379" s="25" t="s">
        <v>3252</v>
      </c>
      <c r="W379" s="38" t="s">
        <v>6582</v>
      </c>
      <c r="X379" s="25" t="s">
        <v>1622</v>
      </c>
      <c r="Y379" s="25" t="s">
        <v>164</v>
      </c>
      <c r="Z379" s="25" t="s">
        <v>1451</v>
      </c>
      <c r="AA379" s="25" t="s">
        <v>3253</v>
      </c>
      <c r="AB379" s="39">
        <v>50</v>
      </c>
      <c r="AC379" s="39">
        <v>5</v>
      </c>
      <c r="AD379" s="39">
        <v>6</v>
      </c>
      <c r="AE379" s="25" t="s">
        <v>3254</v>
      </c>
      <c r="AF379" s="39">
        <v>80</v>
      </c>
      <c r="AG379" s="39">
        <v>5</v>
      </c>
      <c r="AH379" s="39">
        <v>9</v>
      </c>
      <c r="AI379" s="25" t="s">
        <v>3255</v>
      </c>
      <c r="AJ379" s="39">
        <v>110</v>
      </c>
      <c r="AK379" s="39">
        <v>10</v>
      </c>
      <c r="AL379" s="39">
        <v>11</v>
      </c>
      <c r="AM379" s="25" t="s">
        <v>3256</v>
      </c>
      <c r="AN379" s="39">
        <v>150</v>
      </c>
      <c r="AO379" s="39">
        <v>15</v>
      </c>
      <c r="AP379" s="39">
        <v>13</v>
      </c>
      <c r="AQ379" s="25" t="s">
        <v>698</v>
      </c>
      <c r="AR379" s="39" t="s">
        <v>6456</v>
      </c>
    </row>
    <row r="380" spans="1:44" x14ac:dyDescent="0.2">
      <c r="A380" s="25" t="s">
        <v>94</v>
      </c>
      <c r="B380" s="25" t="s">
        <v>3685</v>
      </c>
      <c r="T380" s="25" t="s">
        <v>60</v>
      </c>
      <c r="U380" s="25">
        <v>21008</v>
      </c>
      <c r="V380" s="25" t="s">
        <v>3680</v>
      </c>
      <c r="W380" s="38" t="s">
        <v>6590</v>
      </c>
      <c r="X380" s="25">
        <v>70</v>
      </c>
      <c r="Y380" s="25" t="s">
        <v>1705</v>
      </c>
      <c r="Z380" s="25" t="s">
        <v>1451</v>
      </c>
      <c r="AA380" s="25" t="s">
        <v>3681</v>
      </c>
      <c r="AB380" s="39">
        <v>120</v>
      </c>
      <c r="AC380" s="39">
        <v>15</v>
      </c>
      <c r="AD380" s="39">
        <v>6</v>
      </c>
      <c r="AE380" s="25" t="s">
        <v>3119</v>
      </c>
      <c r="AF380" s="39">
        <v>180</v>
      </c>
      <c r="AG380" s="39">
        <v>20</v>
      </c>
      <c r="AH380" s="39">
        <v>9</v>
      </c>
      <c r="AI380" s="25" t="s">
        <v>3682</v>
      </c>
      <c r="AJ380" s="39">
        <v>240</v>
      </c>
      <c r="AK380" s="39">
        <v>25</v>
      </c>
      <c r="AL380" s="39">
        <v>12</v>
      </c>
      <c r="AM380" s="25" t="s">
        <v>3683</v>
      </c>
      <c r="AN380" s="39">
        <v>350</v>
      </c>
      <c r="AO380" s="39">
        <v>30</v>
      </c>
      <c r="AP380" s="39">
        <v>15</v>
      </c>
      <c r="AR380" s="39" t="s">
        <v>6456</v>
      </c>
    </row>
    <row r="381" spans="1:44" x14ac:dyDescent="0.2">
      <c r="A381" s="25" t="s">
        <v>94</v>
      </c>
      <c r="B381" s="25" t="s">
        <v>3736</v>
      </c>
      <c r="T381" s="25" t="s">
        <v>1671</v>
      </c>
      <c r="U381" s="25">
        <v>3815</v>
      </c>
      <c r="V381" s="25" t="s">
        <v>2012</v>
      </c>
      <c r="W381" s="38" t="s">
        <v>2013</v>
      </c>
      <c r="X381" s="25" t="s">
        <v>1674</v>
      </c>
      <c r="Y381" s="25" t="s">
        <v>164</v>
      </c>
      <c r="Z381" s="25" t="s">
        <v>1451</v>
      </c>
      <c r="AA381" s="25" t="s">
        <v>2013</v>
      </c>
      <c r="AB381" s="39">
        <v>300</v>
      </c>
      <c r="AC381" s="39">
        <v>15</v>
      </c>
      <c r="AD381" s="39">
        <v>10</v>
      </c>
      <c r="AE381" s="25" t="s">
        <v>2014</v>
      </c>
      <c r="AF381" s="39">
        <v>400</v>
      </c>
      <c r="AG381" s="39">
        <v>20</v>
      </c>
      <c r="AH381" s="39">
        <v>13</v>
      </c>
      <c r="AI381" s="25" t="s">
        <v>2015</v>
      </c>
      <c r="AJ381" s="39">
        <v>500</v>
      </c>
      <c r="AK381" s="39">
        <v>25</v>
      </c>
      <c r="AL381" s="39">
        <v>15</v>
      </c>
      <c r="AM381" s="25" t="s">
        <v>2016</v>
      </c>
      <c r="AN381" s="39">
        <v>600</v>
      </c>
      <c r="AO381" s="39">
        <v>30</v>
      </c>
      <c r="AP381" s="39">
        <v>17</v>
      </c>
      <c r="AQ381" s="25" t="s">
        <v>61</v>
      </c>
      <c r="AR381" s="39" t="s">
        <v>6456</v>
      </c>
    </row>
    <row r="382" spans="1:44" x14ac:dyDescent="0.2">
      <c r="A382" s="25" t="s">
        <v>94</v>
      </c>
      <c r="B382" s="25" t="s">
        <v>3775</v>
      </c>
      <c r="T382" s="25" t="s">
        <v>49</v>
      </c>
      <c r="U382" s="25">
        <v>13003</v>
      </c>
      <c r="V382" s="25" t="s">
        <v>3303</v>
      </c>
      <c r="W382" s="38" t="s">
        <v>6637</v>
      </c>
      <c r="X382" s="25">
        <v>32</v>
      </c>
      <c r="Y382" s="25" t="s">
        <v>164</v>
      </c>
      <c r="Z382" s="25" t="s">
        <v>1451</v>
      </c>
      <c r="AA382" s="25" t="s">
        <v>3304</v>
      </c>
      <c r="AB382" s="39">
        <v>80</v>
      </c>
      <c r="AC382" s="39">
        <v>10</v>
      </c>
      <c r="AD382" s="39">
        <v>6</v>
      </c>
      <c r="AE382" s="25" t="s">
        <v>3305</v>
      </c>
      <c r="AF382" s="39">
        <v>180</v>
      </c>
      <c r="AG382" s="39">
        <v>20</v>
      </c>
      <c r="AH382" s="39">
        <v>9</v>
      </c>
      <c r="AI382" s="25" t="s">
        <v>3306</v>
      </c>
      <c r="AJ382" s="39">
        <v>140</v>
      </c>
      <c r="AK382" s="39">
        <v>25</v>
      </c>
      <c r="AL382" s="39">
        <v>12</v>
      </c>
      <c r="AM382" s="25" t="s">
        <v>3307</v>
      </c>
      <c r="AN382" s="39">
        <v>300</v>
      </c>
      <c r="AO382" s="39">
        <v>30</v>
      </c>
      <c r="AP382" s="39">
        <v>15</v>
      </c>
      <c r="AR382" s="39" t="s">
        <v>6456</v>
      </c>
    </row>
    <row r="383" spans="1:44" x14ac:dyDescent="0.2">
      <c r="A383" s="25" t="s">
        <v>94</v>
      </c>
      <c r="B383" s="25" t="s">
        <v>3813</v>
      </c>
      <c r="T383" s="25" t="s">
        <v>65</v>
      </c>
      <c r="U383" s="25">
        <v>4006</v>
      </c>
      <c r="V383" s="25" t="s">
        <v>2040</v>
      </c>
      <c r="W383" s="38" t="s">
        <v>6636</v>
      </c>
      <c r="X383" s="25">
        <v>12</v>
      </c>
      <c r="Y383" s="25" t="s">
        <v>164</v>
      </c>
      <c r="Z383" s="25" t="s">
        <v>1451</v>
      </c>
      <c r="AA383" s="25" t="s">
        <v>1874</v>
      </c>
      <c r="AB383" s="39">
        <v>50</v>
      </c>
      <c r="AC383" s="39">
        <v>5</v>
      </c>
      <c r="AD383" s="39">
        <v>6</v>
      </c>
      <c r="AE383" s="25" t="s">
        <v>1883</v>
      </c>
      <c r="AF383" s="39">
        <v>140</v>
      </c>
      <c r="AG383" s="39">
        <v>10</v>
      </c>
      <c r="AH383" s="39">
        <v>8</v>
      </c>
      <c r="AI383" s="25" t="s">
        <v>1875</v>
      </c>
      <c r="AJ383" s="39">
        <v>200</v>
      </c>
      <c r="AK383" s="39">
        <v>10</v>
      </c>
      <c r="AL383" s="39">
        <v>10</v>
      </c>
      <c r="AM383" s="25" t="s">
        <v>1884</v>
      </c>
      <c r="AN383" s="39">
        <v>300</v>
      </c>
      <c r="AO383" s="39">
        <v>15</v>
      </c>
      <c r="AP383" s="39">
        <v>13</v>
      </c>
      <c r="AR383" s="39" t="s">
        <v>6456</v>
      </c>
    </row>
    <row r="384" spans="1:44" x14ac:dyDescent="0.2">
      <c r="A384" s="25" t="s">
        <v>94</v>
      </c>
      <c r="B384" s="25" t="s">
        <v>3841</v>
      </c>
      <c r="T384" s="25" t="s">
        <v>70</v>
      </c>
      <c r="U384" s="25">
        <v>3005</v>
      </c>
      <c r="V384" s="25" t="s">
        <v>1882</v>
      </c>
      <c r="W384" s="38" t="s">
        <v>6635</v>
      </c>
      <c r="X384" s="25">
        <v>10</v>
      </c>
      <c r="Y384" s="25" t="s">
        <v>164</v>
      </c>
      <c r="Z384" s="25" t="s">
        <v>1451</v>
      </c>
      <c r="AA384" s="25" t="s">
        <v>1874</v>
      </c>
      <c r="AB384" s="39">
        <v>50</v>
      </c>
      <c r="AC384" s="39">
        <v>5</v>
      </c>
      <c r="AD384" s="39">
        <v>6</v>
      </c>
      <c r="AE384" s="25" t="s">
        <v>1883</v>
      </c>
      <c r="AF384" s="39">
        <v>140</v>
      </c>
      <c r="AG384" s="39">
        <v>10</v>
      </c>
      <c r="AH384" s="39">
        <v>8</v>
      </c>
      <c r="AI384" s="25" t="s">
        <v>1875</v>
      </c>
      <c r="AJ384" s="39">
        <v>200</v>
      </c>
      <c r="AK384" s="39">
        <v>10</v>
      </c>
      <c r="AL384" s="39">
        <v>10</v>
      </c>
      <c r="AM384" s="25" t="s">
        <v>1884</v>
      </c>
      <c r="AN384" s="39">
        <v>300</v>
      </c>
      <c r="AO384" s="39">
        <v>15</v>
      </c>
      <c r="AP384" s="39">
        <v>13</v>
      </c>
      <c r="AR384" s="39" t="s">
        <v>6456</v>
      </c>
    </row>
    <row r="385" spans="1:44" x14ac:dyDescent="0.2">
      <c r="A385" s="25" t="s">
        <v>94</v>
      </c>
      <c r="B385" s="25" t="s">
        <v>3886</v>
      </c>
      <c r="T385" s="25" t="s">
        <v>1671</v>
      </c>
      <c r="U385" s="25">
        <v>9815</v>
      </c>
      <c r="V385" s="25" t="s">
        <v>2954</v>
      </c>
      <c r="W385" s="38" t="s">
        <v>6606</v>
      </c>
      <c r="X385" s="25" t="s">
        <v>1674</v>
      </c>
      <c r="Y385" s="25" t="s">
        <v>164</v>
      </c>
      <c r="Z385" s="25" t="s">
        <v>1451</v>
      </c>
      <c r="AA385" s="25" t="s">
        <v>1700</v>
      </c>
      <c r="AB385" s="39">
        <v>200</v>
      </c>
      <c r="AC385" s="39">
        <v>10</v>
      </c>
      <c r="AD385" s="39">
        <v>10</v>
      </c>
      <c r="AE385" s="25" t="s">
        <v>1675</v>
      </c>
      <c r="AF385" s="39">
        <v>240</v>
      </c>
      <c r="AG385" s="39">
        <v>15</v>
      </c>
      <c r="AH385" s="39">
        <v>12</v>
      </c>
      <c r="AI385" s="25" t="s">
        <v>1676</v>
      </c>
      <c r="AJ385" s="39">
        <v>280</v>
      </c>
      <c r="AK385" s="39">
        <v>15</v>
      </c>
      <c r="AL385" s="39">
        <v>14</v>
      </c>
      <c r="AM385" s="25" t="s">
        <v>1677</v>
      </c>
      <c r="AN385" s="39">
        <v>320</v>
      </c>
      <c r="AO385" s="39">
        <v>20</v>
      </c>
      <c r="AP385" s="39">
        <v>16</v>
      </c>
      <c r="AQ385" s="25" t="s">
        <v>90</v>
      </c>
      <c r="AR385" s="39" t="s">
        <v>6456</v>
      </c>
    </row>
    <row r="386" spans="1:44" x14ac:dyDescent="0.2">
      <c r="A386" s="25" t="s">
        <v>94</v>
      </c>
      <c r="B386" s="25" t="s">
        <v>3932</v>
      </c>
      <c r="T386" s="25" t="s">
        <v>39</v>
      </c>
      <c r="U386" s="25">
        <v>20002</v>
      </c>
      <c r="V386" s="25" t="s">
        <v>3613</v>
      </c>
      <c r="W386" s="38" t="s">
        <v>6627</v>
      </c>
      <c r="X386" s="25">
        <v>50</v>
      </c>
      <c r="Y386" s="25" t="s">
        <v>1582</v>
      </c>
      <c r="Z386" s="25" t="s">
        <v>1451</v>
      </c>
      <c r="AA386" s="25" t="s">
        <v>3609</v>
      </c>
      <c r="AB386" s="39">
        <v>120</v>
      </c>
      <c r="AC386" s="39">
        <v>10</v>
      </c>
      <c r="AD386" s="39">
        <v>6</v>
      </c>
      <c r="AE386" s="25" t="s">
        <v>3610</v>
      </c>
      <c r="AF386" s="39">
        <v>180</v>
      </c>
      <c r="AG386" s="39">
        <v>10</v>
      </c>
      <c r="AH386" s="39">
        <v>9</v>
      </c>
      <c r="AI386" s="25" t="s">
        <v>3611</v>
      </c>
      <c r="AJ386" s="39">
        <v>240</v>
      </c>
      <c r="AK386" s="39">
        <v>15</v>
      </c>
      <c r="AL386" s="39">
        <v>12</v>
      </c>
      <c r="AM386" s="25" t="s">
        <v>3612</v>
      </c>
      <c r="AN386" s="39">
        <v>300</v>
      </c>
      <c r="AO386" s="39">
        <v>15</v>
      </c>
      <c r="AP386" s="39">
        <v>15</v>
      </c>
      <c r="AR386" s="39" t="s">
        <v>6456</v>
      </c>
    </row>
    <row r="387" spans="1:44" x14ac:dyDescent="0.2">
      <c r="A387" s="25" t="s">
        <v>94</v>
      </c>
      <c r="B387" s="25" t="s">
        <v>3979</v>
      </c>
      <c r="T387" s="25" t="s">
        <v>29</v>
      </c>
      <c r="U387" s="25">
        <v>20001</v>
      </c>
      <c r="V387" s="25" t="s">
        <v>3608</v>
      </c>
      <c r="W387" s="38" t="s">
        <v>6628</v>
      </c>
      <c r="X387" s="25">
        <v>50</v>
      </c>
      <c r="Y387" s="25" t="s">
        <v>1582</v>
      </c>
      <c r="Z387" s="25" t="s">
        <v>1451</v>
      </c>
      <c r="AA387" s="25" t="s">
        <v>3609</v>
      </c>
      <c r="AB387" s="39">
        <v>120</v>
      </c>
      <c r="AC387" s="39">
        <v>10</v>
      </c>
      <c r="AD387" s="39">
        <v>6</v>
      </c>
      <c r="AE387" s="25" t="s">
        <v>3610</v>
      </c>
      <c r="AF387" s="39">
        <v>180</v>
      </c>
      <c r="AG387" s="39">
        <v>10</v>
      </c>
      <c r="AH387" s="39">
        <v>9</v>
      </c>
      <c r="AI387" s="25" t="s">
        <v>3611</v>
      </c>
      <c r="AJ387" s="39">
        <v>240</v>
      </c>
      <c r="AK387" s="39">
        <v>15</v>
      </c>
      <c r="AL387" s="39">
        <v>12</v>
      </c>
      <c r="AM387" s="25" t="s">
        <v>3612</v>
      </c>
      <c r="AN387" s="39">
        <v>300</v>
      </c>
      <c r="AO387" s="39">
        <v>15</v>
      </c>
      <c r="AP387" s="39">
        <v>15</v>
      </c>
      <c r="AR387" s="39" t="s">
        <v>6456</v>
      </c>
    </row>
    <row r="388" spans="1:44" x14ac:dyDescent="0.2">
      <c r="A388" s="25" t="s">
        <v>94</v>
      </c>
      <c r="B388" s="25" t="s">
        <v>4008</v>
      </c>
      <c r="T388" s="25" t="s">
        <v>1663</v>
      </c>
      <c r="U388" s="25">
        <v>1715</v>
      </c>
      <c r="V388" s="25" t="s">
        <v>1664</v>
      </c>
      <c r="W388" s="38" t="s">
        <v>1665</v>
      </c>
      <c r="X388" s="25" t="s">
        <v>1666</v>
      </c>
      <c r="Y388" s="25" t="s">
        <v>1582</v>
      </c>
      <c r="Z388" s="25" t="s">
        <v>1451</v>
      </c>
      <c r="AA388" s="25" t="s">
        <v>1667</v>
      </c>
      <c r="AB388" s="39">
        <v>120</v>
      </c>
      <c r="AC388" s="39">
        <v>15</v>
      </c>
      <c r="AD388" s="39">
        <v>8</v>
      </c>
      <c r="AE388" s="25" t="s">
        <v>1668</v>
      </c>
      <c r="AF388" s="39">
        <v>180</v>
      </c>
      <c r="AG388" s="39">
        <v>20</v>
      </c>
      <c r="AH388" s="39">
        <v>11</v>
      </c>
      <c r="AI388" s="25" t="s">
        <v>1669</v>
      </c>
      <c r="AJ388" s="39">
        <v>240</v>
      </c>
      <c r="AK388" s="39">
        <v>25</v>
      </c>
      <c r="AL388" s="39">
        <v>13</v>
      </c>
      <c r="AM388" s="25" t="s">
        <v>1670</v>
      </c>
      <c r="AN388" s="39">
        <v>300</v>
      </c>
      <c r="AO388" s="39">
        <v>30</v>
      </c>
      <c r="AP388" s="39">
        <v>16</v>
      </c>
      <c r="AQ388" s="25" t="s">
        <v>65</v>
      </c>
      <c r="AR388" s="39"/>
    </row>
    <row r="389" spans="1:44" x14ac:dyDescent="0.2">
      <c r="A389" s="25" t="s">
        <v>94</v>
      </c>
      <c r="B389" s="25" t="s">
        <v>4058</v>
      </c>
      <c r="T389" s="25" t="s">
        <v>35</v>
      </c>
      <c r="U389" s="25">
        <v>20007</v>
      </c>
      <c r="V389" s="25" t="s">
        <v>3636</v>
      </c>
      <c r="W389" s="38" t="s">
        <v>6598</v>
      </c>
      <c r="X389" s="25">
        <v>66</v>
      </c>
      <c r="Y389" s="25" t="s">
        <v>1498</v>
      </c>
      <c r="Z389" s="25" t="s">
        <v>1451</v>
      </c>
      <c r="AA389" s="25" t="s">
        <v>3637</v>
      </c>
      <c r="AB389" s="39">
        <v>200</v>
      </c>
      <c r="AC389" s="39">
        <v>40</v>
      </c>
      <c r="AD389" s="39">
        <v>10</v>
      </c>
      <c r="AE389" s="25" t="s">
        <v>3638</v>
      </c>
      <c r="AF389" s="39">
        <v>240</v>
      </c>
      <c r="AG389" s="39">
        <v>50</v>
      </c>
      <c r="AH389" s="39">
        <v>12</v>
      </c>
      <c r="AI389" s="25" t="s">
        <v>3639</v>
      </c>
      <c r="AJ389" s="39">
        <v>280</v>
      </c>
      <c r="AK389" s="39">
        <v>60</v>
      </c>
      <c r="AL389" s="39">
        <v>14</v>
      </c>
      <c r="AM389" s="25" t="s">
        <v>3640</v>
      </c>
      <c r="AN389" s="39">
        <v>320</v>
      </c>
      <c r="AO389" s="39">
        <v>65</v>
      </c>
      <c r="AP389" s="39">
        <v>16</v>
      </c>
      <c r="AR389" s="39" t="s">
        <v>6456</v>
      </c>
    </row>
    <row r="390" spans="1:44" x14ac:dyDescent="0.2">
      <c r="A390" s="25" t="s">
        <v>1619</v>
      </c>
      <c r="B390" s="25" t="s">
        <v>1620</v>
      </c>
      <c r="T390" s="25" t="s">
        <v>1663</v>
      </c>
      <c r="U390" s="25">
        <v>6715</v>
      </c>
      <c r="V390" s="25" t="s">
        <v>2481</v>
      </c>
      <c r="W390" s="38" t="s">
        <v>2482</v>
      </c>
      <c r="X390" s="25" t="s">
        <v>1666</v>
      </c>
      <c r="Y390" s="25" t="s">
        <v>164</v>
      </c>
      <c r="Z390" s="25" t="s">
        <v>1451</v>
      </c>
      <c r="AA390" s="25" t="s">
        <v>2483</v>
      </c>
      <c r="AB390" s="39">
        <v>160</v>
      </c>
      <c r="AC390" s="39">
        <v>20</v>
      </c>
      <c r="AD390" s="39">
        <v>9</v>
      </c>
      <c r="AE390" s="25" t="s">
        <v>2484</v>
      </c>
      <c r="AF390" s="39">
        <v>200</v>
      </c>
      <c r="AG390" s="39">
        <v>20</v>
      </c>
      <c r="AH390" s="39">
        <v>11</v>
      </c>
      <c r="AI390" s="25" t="s">
        <v>2485</v>
      </c>
      <c r="AJ390" s="39">
        <v>240</v>
      </c>
      <c r="AK390" s="39">
        <v>25</v>
      </c>
      <c r="AL390" s="39">
        <v>13</v>
      </c>
      <c r="AM390" s="25" t="s">
        <v>2486</v>
      </c>
      <c r="AN390" s="39">
        <v>280</v>
      </c>
      <c r="AO390" s="39">
        <v>30</v>
      </c>
      <c r="AP390" s="39">
        <v>16</v>
      </c>
      <c r="AQ390" s="25" t="s">
        <v>90</v>
      </c>
      <c r="AR390" s="39"/>
    </row>
    <row r="391" spans="1:44" x14ac:dyDescent="0.2">
      <c r="A391" s="25" t="s">
        <v>1619</v>
      </c>
      <c r="B391" s="25" t="s">
        <v>1814</v>
      </c>
      <c r="T391" s="25" t="s">
        <v>94</v>
      </c>
      <c r="U391" s="25">
        <v>8010</v>
      </c>
      <c r="V391" s="25" t="s">
        <v>2697</v>
      </c>
      <c r="W391" s="38" t="s">
        <v>2698</v>
      </c>
      <c r="X391" s="25">
        <v>26</v>
      </c>
      <c r="Y391" s="25" t="s">
        <v>1498</v>
      </c>
      <c r="Z391" s="25" t="s">
        <v>1451</v>
      </c>
      <c r="AA391" s="25" t="s">
        <v>2699</v>
      </c>
      <c r="AB391" s="39">
        <v>60</v>
      </c>
      <c r="AC391" s="39">
        <v>5</v>
      </c>
      <c r="AD391" s="39">
        <v>6</v>
      </c>
      <c r="AE391" s="25" t="s">
        <v>2700</v>
      </c>
      <c r="AF391" s="39">
        <v>90</v>
      </c>
      <c r="AG391" s="39">
        <v>5</v>
      </c>
      <c r="AH391" s="39">
        <v>9</v>
      </c>
      <c r="AI391" s="25" t="s">
        <v>2701</v>
      </c>
      <c r="AJ391" s="39">
        <v>120</v>
      </c>
      <c r="AK391" s="39">
        <v>10</v>
      </c>
      <c r="AL391" s="39">
        <v>12</v>
      </c>
      <c r="AM391" s="25" t="s">
        <v>2702</v>
      </c>
      <c r="AN391" s="39">
        <v>150</v>
      </c>
      <c r="AO391" s="39">
        <v>10</v>
      </c>
      <c r="AP391" s="39">
        <v>15</v>
      </c>
      <c r="AR391" s="39"/>
    </row>
    <row r="392" spans="1:44" x14ac:dyDescent="0.2">
      <c r="A392" s="25" t="s">
        <v>1619</v>
      </c>
      <c r="B392" s="25" t="s">
        <v>1978</v>
      </c>
      <c r="T392" s="25" t="s">
        <v>1631</v>
      </c>
      <c r="U392" s="25">
        <v>5315</v>
      </c>
      <c r="V392" s="25" t="s">
        <v>2302</v>
      </c>
      <c r="W392" s="38" t="s">
        <v>2303</v>
      </c>
      <c r="X392" s="25" t="s">
        <v>1633</v>
      </c>
      <c r="Y392" s="25" t="s">
        <v>1498</v>
      </c>
      <c r="Z392" s="25" t="s">
        <v>1451</v>
      </c>
      <c r="AA392" s="25" t="s">
        <v>2304</v>
      </c>
      <c r="AB392" s="39">
        <v>80</v>
      </c>
      <c r="AC392" s="39">
        <v>10</v>
      </c>
      <c r="AD392" s="39">
        <v>7</v>
      </c>
      <c r="AE392" s="25" t="s">
        <v>2305</v>
      </c>
      <c r="AF392" s="39">
        <v>120</v>
      </c>
      <c r="AG392" s="39">
        <v>10</v>
      </c>
      <c r="AH392" s="39">
        <v>10</v>
      </c>
      <c r="AI392" s="25" t="s">
        <v>2306</v>
      </c>
      <c r="AJ392" s="39">
        <v>160</v>
      </c>
      <c r="AK392" s="39">
        <v>15</v>
      </c>
      <c r="AL392" s="39">
        <v>12</v>
      </c>
      <c r="AM392" s="25" t="s">
        <v>2307</v>
      </c>
      <c r="AN392" s="39">
        <v>200</v>
      </c>
      <c r="AO392" s="39">
        <v>15</v>
      </c>
      <c r="AP392" s="39">
        <v>14</v>
      </c>
      <c r="AQ392" s="25" t="s">
        <v>29</v>
      </c>
      <c r="AR392" s="39"/>
    </row>
    <row r="393" spans="1:44" x14ac:dyDescent="0.2">
      <c r="A393" s="25" t="s">
        <v>1619</v>
      </c>
      <c r="B393" s="25" t="s">
        <v>2134</v>
      </c>
      <c r="T393" s="25" t="s">
        <v>1563</v>
      </c>
      <c r="U393" s="25">
        <v>8023</v>
      </c>
      <c r="V393" s="25" t="s">
        <v>2739</v>
      </c>
      <c r="W393" s="38" t="s">
        <v>2740</v>
      </c>
      <c r="X393" s="25">
        <v>74</v>
      </c>
      <c r="Y393" s="25" t="s">
        <v>1582</v>
      </c>
      <c r="Z393" s="25" t="s">
        <v>1451</v>
      </c>
      <c r="AA393" s="25" t="s">
        <v>1667</v>
      </c>
      <c r="AB393" s="39">
        <v>100</v>
      </c>
      <c r="AC393" s="39">
        <v>5</v>
      </c>
      <c r="AD393" s="39">
        <v>8</v>
      </c>
      <c r="AE393" s="25" t="s">
        <v>1668</v>
      </c>
      <c r="AF393" s="39">
        <v>140</v>
      </c>
      <c r="AG393" s="39">
        <v>5</v>
      </c>
      <c r="AH393" s="39">
        <v>10</v>
      </c>
      <c r="AI393" s="25" t="s">
        <v>1586</v>
      </c>
      <c r="AJ393" s="39">
        <v>180</v>
      </c>
      <c r="AK393" s="39">
        <v>10</v>
      </c>
      <c r="AL393" s="39">
        <v>12</v>
      </c>
      <c r="AM393" s="25" t="s">
        <v>1669</v>
      </c>
      <c r="AN393" s="39">
        <v>220</v>
      </c>
      <c r="AO393" s="39">
        <v>10</v>
      </c>
      <c r="AP393" s="39">
        <v>14</v>
      </c>
      <c r="AQ393" s="25" t="s">
        <v>1570</v>
      </c>
      <c r="AR393" s="39"/>
    </row>
    <row r="394" spans="1:44" x14ac:dyDescent="0.2">
      <c r="A394" s="25" t="s">
        <v>1619</v>
      </c>
      <c r="B394" s="25" t="s">
        <v>565</v>
      </c>
      <c r="T394" s="25" t="s">
        <v>1523</v>
      </c>
      <c r="U394" s="25">
        <v>2017</v>
      </c>
      <c r="V394" s="25" t="s">
        <v>1756</v>
      </c>
      <c r="W394" s="38" t="s">
        <v>1757</v>
      </c>
      <c r="X394" s="25">
        <v>14</v>
      </c>
      <c r="Y394" s="25" t="s">
        <v>164</v>
      </c>
      <c r="Z394" s="25" t="s">
        <v>1451</v>
      </c>
      <c r="AA394" s="25" t="s">
        <v>1758</v>
      </c>
      <c r="AB394" s="39">
        <v>40</v>
      </c>
      <c r="AC394" s="39">
        <v>5</v>
      </c>
      <c r="AD394" s="39">
        <v>6</v>
      </c>
      <c r="AE394" s="25" t="s">
        <v>1484</v>
      </c>
      <c r="AF394" s="39">
        <v>70</v>
      </c>
      <c r="AG394" s="39">
        <v>10</v>
      </c>
      <c r="AH394" s="39">
        <v>9</v>
      </c>
      <c r="AI394" s="25" t="s">
        <v>1477</v>
      </c>
      <c r="AJ394" s="39">
        <v>100</v>
      </c>
      <c r="AK394" s="39">
        <v>10</v>
      </c>
      <c r="AL394" s="39">
        <v>12</v>
      </c>
      <c r="AM394" s="25" t="s">
        <v>1478</v>
      </c>
      <c r="AN394" s="39">
        <v>130</v>
      </c>
      <c r="AO394" s="39">
        <v>15</v>
      </c>
      <c r="AP394" s="39">
        <v>15</v>
      </c>
      <c r="AQ394" s="25" t="s">
        <v>1530</v>
      </c>
      <c r="AR394" s="39"/>
    </row>
    <row r="395" spans="1:44" x14ac:dyDescent="0.2">
      <c r="A395" s="25" t="s">
        <v>1619</v>
      </c>
      <c r="B395" s="25" t="s">
        <v>2455</v>
      </c>
      <c r="T395" s="25" t="s">
        <v>49</v>
      </c>
      <c r="U395" s="25">
        <v>38003</v>
      </c>
      <c r="V395" s="25" t="s">
        <v>4212</v>
      </c>
      <c r="W395" s="38" t="s">
        <v>6461</v>
      </c>
      <c r="X395" s="25">
        <v>96</v>
      </c>
      <c r="Y395" s="25" t="s">
        <v>164</v>
      </c>
      <c r="Z395" s="25" t="s">
        <v>1451</v>
      </c>
      <c r="AA395" s="25" t="s">
        <v>4054</v>
      </c>
      <c r="AB395" s="39">
        <v>800</v>
      </c>
      <c r="AC395" s="39">
        <v>40</v>
      </c>
      <c r="AD395" s="39">
        <v>15</v>
      </c>
      <c r="AE395" s="25" t="s">
        <v>4213</v>
      </c>
      <c r="AF395" s="39">
        <v>2500</v>
      </c>
      <c r="AG395" s="39">
        <v>45</v>
      </c>
      <c r="AH395" s="39">
        <v>16</v>
      </c>
      <c r="AI395" s="25" t="s">
        <v>4214</v>
      </c>
      <c r="AJ395" s="39">
        <v>5000</v>
      </c>
      <c r="AK395" s="39">
        <v>45</v>
      </c>
      <c r="AL395" s="39">
        <v>17</v>
      </c>
      <c r="AM395" s="25" t="s">
        <v>4215</v>
      </c>
      <c r="AN395" s="39">
        <v>10000</v>
      </c>
      <c r="AO395" s="39">
        <v>50</v>
      </c>
      <c r="AP395" s="39">
        <v>19</v>
      </c>
      <c r="AR395" s="39" t="s">
        <v>6456</v>
      </c>
    </row>
    <row r="396" spans="1:44" x14ac:dyDescent="0.2">
      <c r="A396" s="25" t="s">
        <v>1619</v>
      </c>
      <c r="B396" s="25" t="s">
        <v>2619</v>
      </c>
      <c r="T396" s="25" t="s">
        <v>94</v>
      </c>
      <c r="U396" s="25">
        <v>30010</v>
      </c>
      <c r="V396" s="25" t="s">
        <v>4058</v>
      </c>
      <c r="W396" s="38" t="s">
        <v>4059</v>
      </c>
      <c r="X396" s="25">
        <v>100</v>
      </c>
      <c r="Y396" s="25" t="s">
        <v>1498</v>
      </c>
      <c r="Z396" s="25" t="s">
        <v>1451</v>
      </c>
      <c r="AA396" s="25" t="s">
        <v>1668</v>
      </c>
      <c r="AB396" s="39">
        <v>600</v>
      </c>
      <c r="AC396" s="39" t="s">
        <v>244</v>
      </c>
      <c r="AD396" s="39">
        <v>14</v>
      </c>
      <c r="AE396" s="25" t="s">
        <v>1669</v>
      </c>
      <c r="AF396" s="39">
        <v>1000</v>
      </c>
      <c r="AG396" s="39" t="s">
        <v>244</v>
      </c>
      <c r="AH396" s="39">
        <v>16</v>
      </c>
      <c r="AI396" s="25" t="s">
        <v>1670</v>
      </c>
      <c r="AJ396" s="39">
        <v>2000</v>
      </c>
      <c r="AK396" s="39" t="s">
        <v>244</v>
      </c>
      <c r="AL396" s="39">
        <v>18</v>
      </c>
      <c r="AM396" s="25" t="s">
        <v>2223</v>
      </c>
      <c r="AN396" s="39">
        <v>3000</v>
      </c>
      <c r="AO396" s="39" t="s">
        <v>244</v>
      </c>
      <c r="AP396" s="39">
        <v>19</v>
      </c>
      <c r="AR396" s="39"/>
    </row>
    <row r="397" spans="1:44" x14ac:dyDescent="0.2">
      <c r="A397" s="25" t="s">
        <v>1619</v>
      </c>
      <c r="B397" s="25" t="s">
        <v>2773</v>
      </c>
      <c r="T397" s="25" t="s">
        <v>1535</v>
      </c>
      <c r="U397" s="25">
        <v>10019</v>
      </c>
      <c r="V397" s="25" t="s">
        <v>3027</v>
      </c>
      <c r="W397" s="38" t="s">
        <v>6528</v>
      </c>
      <c r="X397" s="25">
        <v>94</v>
      </c>
      <c r="Y397" s="25" t="s">
        <v>2084</v>
      </c>
      <c r="Z397" s="25" t="s">
        <v>1451</v>
      </c>
      <c r="AA397" s="25" t="s">
        <v>3028</v>
      </c>
      <c r="AB397" s="39">
        <v>400</v>
      </c>
      <c r="AC397" s="39">
        <v>40</v>
      </c>
      <c r="AD397" s="39">
        <v>12</v>
      </c>
      <c r="AE397" s="25" t="s">
        <v>3029</v>
      </c>
      <c r="AF397" s="39">
        <v>750</v>
      </c>
      <c r="AG397" s="39">
        <v>75</v>
      </c>
      <c r="AH397" s="39">
        <v>14</v>
      </c>
      <c r="AI397" s="25" t="s">
        <v>3030</v>
      </c>
      <c r="AJ397" s="39">
        <v>1200</v>
      </c>
      <c r="AK397" s="39">
        <v>120</v>
      </c>
      <c r="AL397" s="39">
        <v>16</v>
      </c>
      <c r="AM397" s="25" t="s">
        <v>3031</v>
      </c>
      <c r="AN397" s="39">
        <v>2000</v>
      </c>
      <c r="AO397" s="39">
        <v>200</v>
      </c>
      <c r="AP397" s="39">
        <v>18</v>
      </c>
      <c r="AQ397" s="25" t="s">
        <v>1542</v>
      </c>
      <c r="AR397" s="39" t="s">
        <v>6456</v>
      </c>
    </row>
    <row r="398" spans="1:44" x14ac:dyDescent="0.2">
      <c r="A398" s="25" t="s">
        <v>1619</v>
      </c>
      <c r="B398" s="25" t="s">
        <v>2931</v>
      </c>
      <c r="T398" s="25" t="s">
        <v>1563</v>
      </c>
      <c r="U398" s="25">
        <v>10023</v>
      </c>
      <c r="V398" s="25" t="s">
        <v>3045</v>
      </c>
      <c r="W398" s="38" t="s">
        <v>3046</v>
      </c>
      <c r="X398" s="25">
        <v>94</v>
      </c>
      <c r="Y398" s="25" t="s">
        <v>1582</v>
      </c>
      <c r="Z398" s="25" t="s">
        <v>1451</v>
      </c>
      <c r="AA398" s="25" t="s">
        <v>1667</v>
      </c>
      <c r="AB398" s="39">
        <v>120</v>
      </c>
      <c r="AC398" s="39" t="s">
        <v>744</v>
      </c>
      <c r="AD398" s="39">
        <v>10</v>
      </c>
      <c r="AE398" s="25" t="s">
        <v>1668</v>
      </c>
      <c r="AF398" s="39">
        <v>180</v>
      </c>
      <c r="AG398" s="39" t="s">
        <v>744</v>
      </c>
      <c r="AH398" s="39">
        <v>12</v>
      </c>
      <c r="AI398" s="25" t="s">
        <v>1586</v>
      </c>
      <c r="AJ398" s="39">
        <v>260</v>
      </c>
      <c r="AK398" s="39" t="s">
        <v>744</v>
      </c>
      <c r="AL398" s="39">
        <v>14</v>
      </c>
      <c r="AM398" s="25" t="s">
        <v>1669</v>
      </c>
      <c r="AN398" s="39">
        <v>320</v>
      </c>
      <c r="AO398" s="39" t="s">
        <v>744</v>
      </c>
      <c r="AP398" s="39">
        <v>16</v>
      </c>
      <c r="AQ398" s="25" t="s">
        <v>1570</v>
      </c>
      <c r="AR398" s="39"/>
    </row>
    <row r="399" spans="1:44" x14ac:dyDescent="0.2">
      <c r="A399" s="25" t="s">
        <v>1619</v>
      </c>
      <c r="B399" s="25" t="s">
        <v>3073</v>
      </c>
      <c r="T399" s="25" t="s">
        <v>1579</v>
      </c>
      <c r="U399" s="25">
        <v>8025</v>
      </c>
      <c r="V399" s="25" t="s">
        <v>2747</v>
      </c>
      <c r="W399" s="38" t="s">
        <v>2748</v>
      </c>
      <c r="X399" s="25">
        <v>74</v>
      </c>
      <c r="Y399" s="25" t="s">
        <v>1582</v>
      </c>
      <c r="Z399" s="25" t="s">
        <v>1451</v>
      </c>
      <c r="AA399" s="25" t="s">
        <v>2749</v>
      </c>
      <c r="AB399" s="39">
        <v>280</v>
      </c>
      <c r="AC399" s="39" t="s">
        <v>744</v>
      </c>
      <c r="AD399" s="39">
        <v>10</v>
      </c>
      <c r="AE399" s="25" t="s">
        <v>2750</v>
      </c>
      <c r="AF399" s="39">
        <v>320</v>
      </c>
      <c r="AG399" s="39" t="s">
        <v>744</v>
      </c>
      <c r="AH399" s="39">
        <v>13</v>
      </c>
      <c r="AI399" s="25" t="s">
        <v>2751</v>
      </c>
      <c r="AJ399" s="39">
        <v>360</v>
      </c>
      <c r="AK399" s="39" t="s">
        <v>744</v>
      </c>
      <c r="AL399" s="39">
        <v>15</v>
      </c>
      <c r="AM399" s="25" t="s">
        <v>2752</v>
      </c>
      <c r="AN399" s="39">
        <v>400</v>
      </c>
      <c r="AO399" s="39" t="s">
        <v>744</v>
      </c>
      <c r="AP399" s="39">
        <v>17</v>
      </c>
      <c r="AQ399" s="25" t="s">
        <v>1587</v>
      </c>
      <c r="AR399" s="39"/>
    </row>
    <row r="400" spans="1:44" x14ac:dyDescent="0.2">
      <c r="A400" s="25" t="s">
        <v>1619</v>
      </c>
      <c r="B400" s="25" t="s">
        <v>3161</v>
      </c>
      <c r="T400" s="25" t="s">
        <v>29</v>
      </c>
      <c r="U400" s="25">
        <v>11001</v>
      </c>
      <c r="V400" s="25" t="s">
        <v>3109</v>
      </c>
      <c r="W400" s="38" t="s">
        <v>3110</v>
      </c>
      <c r="X400" s="25">
        <v>28</v>
      </c>
      <c r="Y400" s="25" t="s">
        <v>116</v>
      </c>
      <c r="Z400" s="25" t="s">
        <v>1451</v>
      </c>
      <c r="AA400" s="25" t="s">
        <v>3111</v>
      </c>
      <c r="AB400" s="39">
        <v>60</v>
      </c>
      <c r="AC400" s="39">
        <v>10</v>
      </c>
      <c r="AD400" s="39">
        <v>6</v>
      </c>
      <c r="AE400" s="25" t="s">
        <v>3112</v>
      </c>
      <c r="AF400" s="39">
        <v>100</v>
      </c>
      <c r="AG400" s="39">
        <v>10</v>
      </c>
      <c r="AH400" s="39">
        <v>9</v>
      </c>
      <c r="AI400" s="25" t="s">
        <v>3113</v>
      </c>
      <c r="AJ400" s="39">
        <v>140</v>
      </c>
      <c r="AK400" s="39">
        <v>15</v>
      </c>
      <c r="AL400" s="39">
        <v>12</v>
      </c>
      <c r="AM400" s="25" t="s">
        <v>3114</v>
      </c>
      <c r="AN400" s="39">
        <v>180</v>
      </c>
      <c r="AO400" s="39">
        <v>15</v>
      </c>
      <c r="AP400" s="39">
        <v>15</v>
      </c>
      <c r="AR400" s="39"/>
    </row>
    <row r="401" spans="1:44" x14ac:dyDescent="0.2">
      <c r="A401" s="25" t="s">
        <v>1619</v>
      </c>
      <c r="B401" s="25" t="s">
        <v>3252</v>
      </c>
      <c r="T401" s="25" t="s">
        <v>39</v>
      </c>
      <c r="U401" s="25">
        <v>11002</v>
      </c>
      <c r="V401" s="25" t="s">
        <v>3115</v>
      </c>
      <c r="W401" s="38" t="s">
        <v>3110</v>
      </c>
      <c r="X401" s="25">
        <v>28</v>
      </c>
      <c r="Y401" s="25" t="s">
        <v>116</v>
      </c>
      <c r="Z401" s="25" t="s">
        <v>1451</v>
      </c>
      <c r="AA401" s="25" t="s">
        <v>3111</v>
      </c>
      <c r="AB401" s="39">
        <v>60</v>
      </c>
      <c r="AC401" s="39">
        <v>10</v>
      </c>
      <c r="AD401" s="39">
        <v>6</v>
      </c>
      <c r="AE401" s="25" t="s">
        <v>3112</v>
      </c>
      <c r="AF401" s="39">
        <v>100</v>
      </c>
      <c r="AG401" s="39">
        <v>10</v>
      </c>
      <c r="AH401" s="39">
        <v>9</v>
      </c>
      <c r="AI401" s="25" t="s">
        <v>3113</v>
      </c>
      <c r="AJ401" s="39">
        <v>140</v>
      </c>
      <c r="AK401" s="39">
        <v>15</v>
      </c>
      <c r="AL401" s="39">
        <v>12</v>
      </c>
      <c r="AM401" s="25" t="s">
        <v>3114</v>
      </c>
      <c r="AN401" s="39">
        <v>180</v>
      </c>
      <c r="AO401" s="39">
        <v>15</v>
      </c>
      <c r="AP401" s="39">
        <v>15</v>
      </c>
      <c r="AR401" s="39"/>
    </row>
    <row r="402" spans="1:44" x14ac:dyDescent="0.2">
      <c r="A402" s="25" t="s">
        <v>1509</v>
      </c>
      <c r="B402" s="25" t="s">
        <v>1510</v>
      </c>
      <c r="T402" s="25" t="s">
        <v>1638</v>
      </c>
      <c r="U402" s="25">
        <v>4415</v>
      </c>
      <c r="V402" s="25" t="s">
        <v>2151</v>
      </c>
      <c r="W402" s="38" t="s">
        <v>2152</v>
      </c>
      <c r="X402" s="25" t="s">
        <v>1641</v>
      </c>
      <c r="Y402" s="25" t="s">
        <v>1582</v>
      </c>
      <c r="Z402" s="25" t="s">
        <v>1451</v>
      </c>
      <c r="AA402" s="25" t="s">
        <v>2153</v>
      </c>
      <c r="AB402" s="39">
        <v>100</v>
      </c>
      <c r="AC402" s="39">
        <v>10</v>
      </c>
      <c r="AD402" s="39">
        <v>8</v>
      </c>
      <c r="AE402" s="25" t="s">
        <v>2002</v>
      </c>
      <c r="AF402" s="39">
        <v>160</v>
      </c>
      <c r="AG402" s="39">
        <v>20</v>
      </c>
      <c r="AH402" s="39">
        <v>10</v>
      </c>
      <c r="AI402" s="25" t="s">
        <v>2003</v>
      </c>
      <c r="AJ402" s="39">
        <v>200</v>
      </c>
      <c r="AK402" s="39">
        <v>20</v>
      </c>
      <c r="AL402" s="39">
        <v>12</v>
      </c>
      <c r="AM402" s="25" t="s">
        <v>2005</v>
      </c>
      <c r="AN402" s="39">
        <v>240</v>
      </c>
      <c r="AO402" s="39">
        <v>25</v>
      </c>
      <c r="AP402" s="39">
        <v>15</v>
      </c>
      <c r="AQ402" s="25" t="s">
        <v>39</v>
      </c>
      <c r="AR402" s="39"/>
    </row>
    <row r="403" spans="1:44" x14ac:dyDescent="0.2">
      <c r="A403" s="25" t="s">
        <v>1509</v>
      </c>
      <c r="B403" s="25" t="s">
        <v>1743</v>
      </c>
      <c r="T403" s="25" t="s">
        <v>35</v>
      </c>
      <c r="U403" s="25">
        <v>7007</v>
      </c>
      <c r="V403" s="25" t="s">
        <v>2527</v>
      </c>
      <c r="W403" s="38" t="s">
        <v>2528</v>
      </c>
      <c r="X403" s="25">
        <v>22</v>
      </c>
      <c r="Y403" s="25" t="s">
        <v>1582</v>
      </c>
      <c r="Z403" s="25" t="s">
        <v>1451</v>
      </c>
      <c r="AA403" s="25" t="s">
        <v>2529</v>
      </c>
      <c r="AB403" s="39">
        <v>60</v>
      </c>
      <c r="AC403" s="39">
        <v>10</v>
      </c>
      <c r="AD403" s="39">
        <v>6</v>
      </c>
      <c r="AE403" s="25" t="s">
        <v>2530</v>
      </c>
      <c r="AF403" s="39">
        <v>90</v>
      </c>
      <c r="AG403" s="39">
        <v>10</v>
      </c>
      <c r="AH403" s="39">
        <v>9</v>
      </c>
      <c r="AI403" s="25" t="s">
        <v>2531</v>
      </c>
      <c r="AJ403" s="39">
        <v>120</v>
      </c>
      <c r="AK403" s="39">
        <v>15</v>
      </c>
      <c r="AL403" s="39">
        <v>12</v>
      </c>
      <c r="AM403" s="25" t="s">
        <v>2532</v>
      </c>
      <c r="AN403" s="39">
        <v>150</v>
      </c>
      <c r="AO403" s="39">
        <v>15</v>
      </c>
      <c r="AP403" s="39">
        <v>15</v>
      </c>
      <c r="AR403" s="39"/>
    </row>
    <row r="404" spans="1:44" x14ac:dyDescent="0.2">
      <c r="A404" s="25" t="s">
        <v>1509</v>
      </c>
      <c r="B404" s="25" t="s">
        <v>1909</v>
      </c>
      <c r="T404" s="25" t="s">
        <v>1596</v>
      </c>
      <c r="U404" s="25">
        <v>3027</v>
      </c>
      <c r="V404" s="25" t="s">
        <v>1964</v>
      </c>
      <c r="W404" s="38" t="s">
        <v>1965</v>
      </c>
      <c r="X404" s="25">
        <v>24</v>
      </c>
      <c r="Y404" s="25" t="s">
        <v>164</v>
      </c>
      <c r="Z404" s="25" t="s">
        <v>1451</v>
      </c>
      <c r="AA404" s="25" t="s">
        <v>1966</v>
      </c>
      <c r="AB404" s="39">
        <v>100</v>
      </c>
      <c r="AC404" s="39">
        <v>10</v>
      </c>
      <c r="AD404" s="39">
        <v>7</v>
      </c>
      <c r="AE404" s="25" t="s">
        <v>1967</v>
      </c>
      <c r="AF404" s="39">
        <v>150</v>
      </c>
      <c r="AG404" s="39">
        <v>15</v>
      </c>
      <c r="AH404" s="39">
        <v>10</v>
      </c>
      <c r="AI404" s="25" t="s">
        <v>1968</v>
      </c>
      <c r="AJ404" s="39">
        <v>200</v>
      </c>
      <c r="AK404" s="39">
        <v>20</v>
      </c>
      <c r="AL404" s="39">
        <v>12</v>
      </c>
      <c r="AM404" s="25" t="s">
        <v>1969</v>
      </c>
      <c r="AN404" s="39">
        <v>250</v>
      </c>
      <c r="AO404" s="39">
        <v>25</v>
      </c>
      <c r="AP404" s="39">
        <v>15</v>
      </c>
      <c r="AQ404" s="25" t="s">
        <v>1603</v>
      </c>
      <c r="AR404" s="39"/>
    </row>
    <row r="405" spans="1:44" x14ac:dyDescent="0.2">
      <c r="A405" s="25" t="s">
        <v>1509</v>
      </c>
      <c r="B405" s="25" t="s">
        <v>2069</v>
      </c>
      <c r="T405" s="25" t="s">
        <v>101</v>
      </c>
      <c r="U405" s="25">
        <v>11011</v>
      </c>
      <c r="V405" s="25" t="s">
        <v>3151</v>
      </c>
      <c r="W405" s="38" t="s">
        <v>6591</v>
      </c>
      <c r="X405" s="25">
        <v>28</v>
      </c>
      <c r="Y405" s="25" t="s">
        <v>164</v>
      </c>
      <c r="Z405" s="25" t="s">
        <v>1451</v>
      </c>
      <c r="AA405" s="25" t="s">
        <v>3152</v>
      </c>
      <c r="AB405" s="39">
        <v>80</v>
      </c>
      <c r="AC405" s="39">
        <v>10</v>
      </c>
      <c r="AD405" s="39">
        <v>7</v>
      </c>
      <c r="AE405" s="25" t="s">
        <v>3153</v>
      </c>
      <c r="AF405" s="39">
        <v>180</v>
      </c>
      <c r="AG405" s="39">
        <v>20</v>
      </c>
      <c r="AH405" s="39">
        <v>10</v>
      </c>
      <c r="AI405" s="25" t="s">
        <v>3154</v>
      </c>
      <c r="AJ405" s="39">
        <v>300</v>
      </c>
      <c r="AK405" s="39">
        <v>25</v>
      </c>
      <c r="AL405" s="39">
        <v>13</v>
      </c>
      <c r="AM405" s="25" t="s">
        <v>3155</v>
      </c>
      <c r="AN405" s="39">
        <v>450</v>
      </c>
      <c r="AO405" s="39">
        <v>35</v>
      </c>
      <c r="AP405" s="39">
        <v>15</v>
      </c>
      <c r="AR405" s="39" t="s">
        <v>6456</v>
      </c>
    </row>
    <row r="406" spans="1:44" x14ac:dyDescent="0.2">
      <c r="A406" s="25" t="s">
        <v>1509</v>
      </c>
      <c r="B406" s="25" t="s">
        <v>561</v>
      </c>
      <c r="T406" s="25" t="s">
        <v>101</v>
      </c>
      <c r="U406" s="25">
        <v>24011</v>
      </c>
      <c r="V406" s="25" t="s">
        <v>3817</v>
      </c>
      <c r="W406" s="38" t="s">
        <v>6611</v>
      </c>
      <c r="X406" s="25">
        <v>60</v>
      </c>
      <c r="Y406" s="25" t="s">
        <v>164</v>
      </c>
      <c r="Z406" s="25" t="s">
        <v>1451</v>
      </c>
      <c r="AA406" s="25" t="s">
        <v>3818</v>
      </c>
      <c r="AB406" s="39">
        <v>200</v>
      </c>
      <c r="AC406" s="39">
        <v>20</v>
      </c>
      <c r="AD406" s="39">
        <v>10</v>
      </c>
      <c r="AE406" s="25" t="s">
        <v>3819</v>
      </c>
      <c r="AF406" s="39">
        <v>240</v>
      </c>
      <c r="AG406" s="39">
        <v>25</v>
      </c>
      <c r="AH406" s="39">
        <v>12</v>
      </c>
      <c r="AI406" s="25" t="s">
        <v>3820</v>
      </c>
      <c r="AJ406" s="39">
        <v>280</v>
      </c>
      <c r="AK406" s="39">
        <v>30</v>
      </c>
      <c r="AL406" s="39">
        <v>14</v>
      </c>
      <c r="AM406" s="25" t="s">
        <v>3821</v>
      </c>
      <c r="AN406" s="39">
        <v>320</v>
      </c>
      <c r="AO406" s="39">
        <v>35</v>
      </c>
      <c r="AP406" s="39">
        <v>16</v>
      </c>
      <c r="AR406" s="39" t="s">
        <v>6456</v>
      </c>
    </row>
    <row r="407" spans="1:44" x14ac:dyDescent="0.2">
      <c r="A407" s="25" t="s">
        <v>1509</v>
      </c>
      <c r="B407" s="25" t="s">
        <v>2390</v>
      </c>
      <c r="T407" s="25" t="s">
        <v>1627</v>
      </c>
      <c r="U407" s="25">
        <v>9215</v>
      </c>
      <c r="V407" s="25" t="s">
        <v>2935</v>
      </c>
      <c r="W407" s="38" t="s">
        <v>2936</v>
      </c>
      <c r="X407" s="25" t="s">
        <v>1629</v>
      </c>
      <c r="Y407" s="25" t="s">
        <v>164</v>
      </c>
      <c r="Z407" s="25" t="s">
        <v>1451</v>
      </c>
      <c r="AA407" s="25" t="s">
        <v>2842</v>
      </c>
      <c r="AB407" s="39">
        <v>50</v>
      </c>
      <c r="AC407" s="39">
        <v>5</v>
      </c>
      <c r="AD407" s="39">
        <v>6</v>
      </c>
      <c r="AE407" s="25" t="s">
        <v>2937</v>
      </c>
      <c r="AF407" s="39">
        <v>80</v>
      </c>
      <c r="AG407" s="39">
        <v>10</v>
      </c>
      <c r="AH407" s="39">
        <v>9</v>
      </c>
      <c r="AI407" s="25" t="s">
        <v>2843</v>
      </c>
      <c r="AJ407" s="39">
        <v>100</v>
      </c>
      <c r="AK407" s="39">
        <v>10</v>
      </c>
      <c r="AL407" s="39">
        <v>11</v>
      </c>
      <c r="AM407" s="25" t="s">
        <v>2938</v>
      </c>
      <c r="AN407" s="39">
        <v>120</v>
      </c>
      <c r="AO407" s="39">
        <v>15</v>
      </c>
      <c r="AP407" s="39">
        <v>13</v>
      </c>
      <c r="AQ407" s="25" t="s">
        <v>35</v>
      </c>
      <c r="AR407" s="39"/>
    </row>
    <row r="408" spans="1:44" x14ac:dyDescent="0.2">
      <c r="A408" s="25" t="s">
        <v>1509</v>
      </c>
      <c r="B408" s="25" t="s">
        <v>265</v>
      </c>
      <c r="T408" s="25" t="s">
        <v>101</v>
      </c>
      <c r="U408" s="25">
        <v>23011</v>
      </c>
      <c r="V408" s="25" t="s">
        <v>3776</v>
      </c>
      <c r="W408" s="38" t="s">
        <v>3777</v>
      </c>
      <c r="X408" s="25">
        <v>58</v>
      </c>
      <c r="Y408" s="25" t="s">
        <v>164</v>
      </c>
      <c r="Z408" s="25" t="s">
        <v>1451</v>
      </c>
      <c r="AA408" s="25" t="s">
        <v>3778</v>
      </c>
      <c r="AB408" s="39">
        <v>100</v>
      </c>
      <c r="AC408" s="39" t="s">
        <v>244</v>
      </c>
      <c r="AD408" s="39">
        <v>9</v>
      </c>
      <c r="AE408" s="25" t="s">
        <v>3779</v>
      </c>
      <c r="AF408" s="39">
        <v>140</v>
      </c>
      <c r="AG408" s="39" t="s">
        <v>244</v>
      </c>
      <c r="AH408" s="39">
        <v>12</v>
      </c>
      <c r="AI408" s="25" t="s">
        <v>3780</v>
      </c>
      <c r="AJ408" s="39">
        <v>160</v>
      </c>
      <c r="AK408" s="39" t="s">
        <v>244</v>
      </c>
      <c r="AL408" s="39">
        <v>14</v>
      </c>
      <c r="AM408" s="25" t="s">
        <v>3781</v>
      </c>
      <c r="AN408" s="39">
        <v>180</v>
      </c>
      <c r="AO408" s="39" t="s">
        <v>244</v>
      </c>
      <c r="AP408" s="39">
        <v>16</v>
      </c>
      <c r="AR408" s="39"/>
    </row>
    <row r="409" spans="1:44" x14ac:dyDescent="0.2">
      <c r="A409" s="25" t="s">
        <v>1509</v>
      </c>
      <c r="B409" s="25" t="s">
        <v>2706</v>
      </c>
      <c r="T409" s="25" t="s">
        <v>61</v>
      </c>
      <c r="U409" s="25">
        <v>33004</v>
      </c>
      <c r="V409" s="25" t="s">
        <v>4111</v>
      </c>
      <c r="W409" s="38" t="s">
        <v>4112</v>
      </c>
      <c r="X409" s="25">
        <v>82</v>
      </c>
      <c r="Y409" s="25" t="s">
        <v>116</v>
      </c>
      <c r="Z409" s="25" t="s">
        <v>1451</v>
      </c>
      <c r="AA409" s="25" t="s">
        <v>4113</v>
      </c>
      <c r="AB409" s="39">
        <v>250</v>
      </c>
      <c r="AC409" s="39" t="s">
        <v>244</v>
      </c>
      <c r="AD409" s="39">
        <v>10</v>
      </c>
      <c r="AE409" s="25" t="s">
        <v>4114</v>
      </c>
      <c r="AF409" s="39">
        <v>350</v>
      </c>
      <c r="AG409" s="39" t="s">
        <v>244</v>
      </c>
      <c r="AH409" s="39">
        <v>13</v>
      </c>
      <c r="AI409" s="25" t="s">
        <v>4115</v>
      </c>
      <c r="AJ409" s="39">
        <v>450</v>
      </c>
      <c r="AK409" s="39" t="s">
        <v>244</v>
      </c>
      <c r="AL409" s="39">
        <v>15</v>
      </c>
      <c r="AM409" s="25" t="s">
        <v>4116</v>
      </c>
      <c r="AN409" s="39">
        <v>600</v>
      </c>
      <c r="AO409" s="39" t="s">
        <v>244</v>
      </c>
      <c r="AP409" s="39">
        <v>17</v>
      </c>
      <c r="AR409" s="39"/>
    </row>
    <row r="410" spans="1:44" x14ac:dyDescent="0.2">
      <c r="A410" s="25" t="s">
        <v>1509</v>
      </c>
      <c r="B410" s="25" t="s">
        <v>2859</v>
      </c>
      <c r="T410" s="25" t="s">
        <v>1671</v>
      </c>
      <c r="U410" s="25">
        <v>8815</v>
      </c>
      <c r="V410" s="25" t="s">
        <v>2804</v>
      </c>
      <c r="W410" s="38" t="s">
        <v>2805</v>
      </c>
      <c r="X410" s="25" t="s">
        <v>1674</v>
      </c>
      <c r="Y410" s="25" t="s">
        <v>1482</v>
      </c>
      <c r="Z410" s="25" t="s">
        <v>1451</v>
      </c>
      <c r="AA410" s="25" t="s">
        <v>2806</v>
      </c>
      <c r="AB410" s="39">
        <v>300</v>
      </c>
      <c r="AC410" s="39" t="s">
        <v>244</v>
      </c>
      <c r="AD410" s="39">
        <v>10</v>
      </c>
      <c r="AE410" s="25" t="s">
        <v>2807</v>
      </c>
      <c r="AF410" s="39">
        <v>360</v>
      </c>
      <c r="AG410" s="39" t="s">
        <v>244</v>
      </c>
      <c r="AH410" s="39">
        <v>12</v>
      </c>
      <c r="AI410" s="25" t="s">
        <v>2808</v>
      </c>
      <c r="AJ410" s="39">
        <v>420</v>
      </c>
      <c r="AK410" s="39" t="s">
        <v>244</v>
      </c>
      <c r="AL410" s="39">
        <v>14</v>
      </c>
      <c r="AM410" s="25" t="s">
        <v>2809</v>
      </c>
      <c r="AN410" s="39">
        <v>480</v>
      </c>
      <c r="AO410" s="39" t="s">
        <v>244</v>
      </c>
      <c r="AP410" s="39">
        <v>16</v>
      </c>
      <c r="AQ410" s="25" t="s">
        <v>39</v>
      </c>
      <c r="AR410" s="39"/>
    </row>
    <row r="411" spans="1:44" x14ac:dyDescent="0.2">
      <c r="A411" s="25" t="s">
        <v>1509</v>
      </c>
      <c r="B411" s="25" t="s">
        <v>1831</v>
      </c>
      <c r="T411" s="25" t="s">
        <v>1563</v>
      </c>
      <c r="U411" s="25">
        <v>4023</v>
      </c>
      <c r="V411" s="25" t="s">
        <v>2102</v>
      </c>
      <c r="W411" s="38" t="s">
        <v>2103</v>
      </c>
      <c r="X411" s="25">
        <v>34</v>
      </c>
      <c r="Y411" s="25" t="s">
        <v>1582</v>
      </c>
      <c r="Z411" s="25" t="s">
        <v>1451</v>
      </c>
      <c r="AA411" s="25" t="s">
        <v>1668</v>
      </c>
      <c r="AB411" s="39">
        <v>60</v>
      </c>
      <c r="AC411" s="39">
        <v>5</v>
      </c>
      <c r="AD411" s="39">
        <v>7</v>
      </c>
      <c r="AE411" s="25" t="s">
        <v>1586</v>
      </c>
      <c r="AF411" s="39">
        <v>100</v>
      </c>
      <c r="AG411" s="39">
        <v>5</v>
      </c>
      <c r="AH411" s="39">
        <v>9</v>
      </c>
      <c r="AI411" s="25" t="s">
        <v>1669</v>
      </c>
      <c r="AJ411" s="39">
        <v>120</v>
      </c>
      <c r="AK411" s="39">
        <v>10</v>
      </c>
      <c r="AL411" s="39">
        <v>11</v>
      </c>
      <c r="AM411" s="25" t="s">
        <v>2104</v>
      </c>
      <c r="AN411" s="39">
        <v>150</v>
      </c>
      <c r="AO411" s="39">
        <v>10</v>
      </c>
      <c r="AP411" s="39">
        <v>13</v>
      </c>
      <c r="AQ411" s="25" t="s">
        <v>1570</v>
      </c>
      <c r="AR411" s="39"/>
    </row>
    <row r="412" spans="1:44" x14ac:dyDescent="0.2">
      <c r="A412" s="25" t="s">
        <v>1509</v>
      </c>
      <c r="B412" s="25" t="s">
        <v>3156</v>
      </c>
      <c r="T412" s="25" t="s">
        <v>29</v>
      </c>
      <c r="U412" s="25">
        <v>29001</v>
      </c>
      <c r="V412" s="25" t="s">
        <v>3986</v>
      </c>
      <c r="W412" s="38" t="s">
        <v>2814</v>
      </c>
      <c r="X412" s="25">
        <v>72</v>
      </c>
      <c r="Y412" s="25" t="s">
        <v>116</v>
      </c>
      <c r="Z412" s="25" t="s">
        <v>1451</v>
      </c>
      <c r="AA412" s="25" t="s">
        <v>3987</v>
      </c>
      <c r="AB412" s="39">
        <v>140</v>
      </c>
      <c r="AC412" s="39" t="s">
        <v>244</v>
      </c>
      <c r="AD412" s="39">
        <v>10</v>
      </c>
      <c r="AE412" s="25" t="s">
        <v>3988</v>
      </c>
      <c r="AF412" s="39">
        <v>180</v>
      </c>
      <c r="AG412" s="39" t="s">
        <v>244</v>
      </c>
      <c r="AH412" s="39">
        <v>12</v>
      </c>
      <c r="AI412" s="25" t="s">
        <v>3989</v>
      </c>
      <c r="AJ412" s="39">
        <v>240</v>
      </c>
      <c r="AK412" s="39" t="s">
        <v>244</v>
      </c>
      <c r="AL412" s="39">
        <v>14</v>
      </c>
      <c r="AM412" s="25" t="s">
        <v>3990</v>
      </c>
      <c r="AN412" s="39">
        <v>350</v>
      </c>
      <c r="AO412" s="39" t="s">
        <v>244</v>
      </c>
      <c r="AP412" s="39">
        <v>16</v>
      </c>
      <c r="AR412" s="39"/>
    </row>
    <row r="413" spans="1:44" x14ac:dyDescent="0.2">
      <c r="A413" s="25" t="s">
        <v>1509</v>
      </c>
      <c r="B413" s="25" t="s">
        <v>3247</v>
      </c>
      <c r="T413" s="25" t="s">
        <v>29</v>
      </c>
      <c r="U413" s="25">
        <v>17001</v>
      </c>
      <c r="V413" s="25" t="s">
        <v>3487</v>
      </c>
      <c r="W413" s="38" t="s">
        <v>3488</v>
      </c>
      <c r="X413" s="25">
        <v>42</v>
      </c>
      <c r="Y413" s="25" t="s">
        <v>164</v>
      </c>
      <c r="Z413" s="25" t="s">
        <v>1451</v>
      </c>
      <c r="AA413" s="25" t="s">
        <v>2315</v>
      </c>
      <c r="AB413" s="39">
        <v>70</v>
      </c>
      <c r="AC413" s="39" t="s">
        <v>244</v>
      </c>
      <c r="AD413" s="39">
        <v>7</v>
      </c>
      <c r="AE413" s="25" t="s">
        <v>2316</v>
      </c>
      <c r="AF413" s="39">
        <v>100</v>
      </c>
      <c r="AG413" s="39" t="s">
        <v>244</v>
      </c>
      <c r="AH413" s="39">
        <v>10</v>
      </c>
      <c r="AI413" s="25" t="s">
        <v>3489</v>
      </c>
      <c r="AJ413" s="39">
        <v>150</v>
      </c>
      <c r="AK413" s="39" t="s">
        <v>244</v>
      </c>
      <c r="AL413" s="39">
        <v>13</v>
      </c>
      <c r="AM413" s="25" t="s">
        <v>2671</v>
      </c>
      <c r="AN413" s="39">
        <v>200</v>
      </c>
      <c r="AO413" s="39" t="s">
        <v>244</v>
      </c>
      <c r="AP413" s="39">
        <v>15</v>
      </c>
      <c r="AR413" s="39"/>
    </row>
    <row r="414" spans="1:44" x14ac:dyDescent="0.2">
      <c r="A414" s="25" t="s">
        <v>1627</v>
      </c>
      <c r="B414" s="25" t="s">
        <v>1628</v>
      </c>
      <c r="T414" s="25" t="s">
        <v>1523</v>
      </c>
      <c r="U414" s="25">
        <v>9017</v>
      </c>
      <c r="V414" s="25" t="s">
        <v>2871</v>
      </c>
      <c r="W414" s="38" t="s">
        <v>2872</v>
      </c>
      <c r="X414" s="25">
        <v>84</v>
      </c>
      <c r="Y414" s="25" t="s">
        <v>116</v>
      </c>
      <c r="Z414" s="25" t="s">
        <v>1557</v>
      </c>
      <c r="AA414" s="25" t="s">
        <v>2873</v>
      </c>
      <c r="AB414" s="39">
        <v>200</v>
      </c>
      <c r="AC414" s="39" t="s">
        <v>744</v>
      </c>
      <c r="AD414" s="39">
        <v>10</v>
      </c>
      <c r="AE414" s="25">
        <v>250</v>
      </c>
      <c r="AF414" s="39">
        <v>300</v>
      </c>
      <c r="AG414" s="39" t="s">
        <v>744</v>
      </c>
      <c r="AH414" s="39">
        <v>12</v>
      </c>
      <c r="AI414" s="25">
        <v>300</v>
      </c>
      <c r="AJ414" s="39">
        <v>400</v>
      </c>
      <c r="AK414" s="39" t="s">
        <v>744</v>
      </c>
      <c r="AL414" s="39">
        <v>15</v>
      </c>
      <c r="AM414" s="25" t="s">
        <v>2874</v>
      </c>
      <c r="AN414" s="39">
        <v>500</v>
      </c>
      <c r="AO414" s="39" t="s">
        <v>744</v>
      </c>
      <c r="AP414" s="39">
        <v>18</v>
      </c>
      <c r="AQ414" s="25" t="s">
        <v>1530</v>
      </c>
      <c r="AR414" s="39"/>
    </row>
    <row r="415" spans="1:44" x14ac:dyDescent="0.2">
      <c r="A415" s="25" t="s">
        <v>1627</v>
      </c>
      <c r="B415" s="25" t="s">
        <v>1820</v>
      </c>
      <c r="T415" s="25" t="s">
        <v>49</v>
      </c>
      <c r="U415" s="25">
        <v>37003</v>
      </c>
      <c r="V415" s="25" t="s">
        <v>4190</v>
      </c>
      <c r="W415" s="38" t="s">
        <v>4191</v>
      </c>
      <c r="X415" s="25">
        <v>92</v>
      </c>
      <c r="Y415" s="25" t="s">
        <v>164</v>
      </c>
      <c r="Z415" s="25" t="s">
        <v>1451</v>
      </c>
      <c r="AA415" s="25" t="s">
        <v>4192</v>
      </c>
      <c r="AB415" s="39">
        <v>600</v>
      </c>
      <c r="AC415" s="39" t="s">
        <v>244</v>
      </c>
      <c r="AD415" s="39">
        <v>12</v>
      </c>
      <c r="AE415" s="25" t="s">
        <v>3908</v>
      </c>
      <c r="AF415" s="39">
        <v>1000</v>
      </c>
      <c r="AG415" s="39" t="s">
        <v>244</v>
      </c>
      <c r="AH415" s="39">
        <v>14</v>
      </c>
      <c r="AI415" s="25" t="s">
        <v>1862</v>
      </c>
      <c r="AJ415" s="39">
        <v>2500</v>
      </c>
      <c r="AK415" s="39" t="s">
        <v>244</v>
      </c>
      <c r="AL415" s="39">
        <v>16</v>
      </c>
      <c r="AM415" s="25" t="s">
        <v>1863</v>
      </c>
      <c r="AN415" s="39">
        <v>5000</v>
      </c>
      <c r="AO415" s="39" t="s">
        <v>244</v>
      </c>
      <c r="AP415" s="39">
        <v>18</v>
      </c>
      <c r="AR415" s="39"/>
    </row>
    <row r="416" spans="1:44" x14ac:dyDescent="0.2">
      <c r="A416" s="25" t="s">
        <v>1627</v>
      </c>
      <c r="B416" s="25" t="s">
        <v>1982</v>
      </c>
      <c r="T416" s="25" t="s">
        <v>1679</v>
      </c>
      <c r="U416" s="25">
        <v>9915</v>
      </c>
      <c r="V416" s="25" t="s">
        <v>2955</v>
      </c>
      <c r="W416" s="38" t="s">
        <v>6536</v>
      </c>
      <c r="X416" s="25" t="s">
        <v>1682</v>
      </c>
      <c r="Y416" s="25" t="s">
        <v>164</v>
      </c>
      <c r="Z416" s="25" t="s">
        <v>1451</v>
      </c>
      <c r="AA416" s="25" t="s">
        <v>2956</v>
      </c>
      <c r="AB416" s="39">
        <v>200</v>
      </c>
      <c r="AC416" s="39">
        <v>50</v>
      </c>
      <c r="AD416" s="39">
        <v>10</v>
      </c>
      <c r="AE416" s="25" t="s">
        <v>2957</v>
      </c>
      <c r="AF416" s="39">
        <v>300</v>
      </c>
      <c r="AG416" s="39">
        <v>60</v>
      </c>
      <c r="AH416" s="39">
        <v>12</v>
      </c>
      <c r="AI416" s="25" t="s">
        <v>2958</v>
      </c>
      <c r="AJ416" s="39">
        <v>400</v>
      </c>
      <c r="AK416" s="39">
        <v>70</v>
      </c>
      <c r="AL416" s="39">
        <v>14</v>
      </c>
      <c r="AM416" s="25" t="s">
        <v>2959</v>
      </c>
      <c r="AN416" s="39">
        <v>500</v>
      </c>
      <c r="AO416" s="39">
        <v>80</v>
      </c>
      <c r="AP416" s="39">
        <v>16</v>
      </c>
      <c r="AQ416" s="25" t="s">
        <v>698</v>
      </c>
      <c r="AR416" s="39" t="s">
        <v>6456</v>
      </c>
    </row>
    <row r="417" spans="1:44" x14ac:dyDescent="0.2">
      <c r="A417" s="25" t="s">
        <v>1627</v>
      </c>
      <c r="B417" s="25" t="s">
        <v>2139</v>
      </c>
      <c r="T417" s="25" t="s">
        <v>60</v>
      </c>
      <c r="U417" s="25">
        <v>28008</v>
      </c>
      <c r="V417" s="25" t="s">
        <v>3969</v>
      </c>
      <c r="W417" s="38" t="s">
        <v>3970</v>
      </c>
      <c r="X417" s="25">
        <v>92</v>
      </c>
      <c r="Y417" s="25" t="s">
        <v>164</v>
      </c>
      <c r="Z417" s="25" t="s">
        <v>1451</v>
      </c>
      <c r="AA417" s="25" t="s">
        <v>3971</v>
      </c>
      <c r="AB417" s="39">
        <v>300</v>
      </c>
      <c r="AC417" s="39">
        <v>30</v>
      </c>
      <c r="AD417" s="39">
        <v>12</v>
      </c>
      <c r="AE417" s="25" t="s">
        <v>3972</v>
      </c>
      <c r="AF417" s="39">
        <v>400</v>
      </c>
      <c r="AG417" s="39">
        <v>40</v>
      </c>
      <c r="AH417" s="39">
        <v>12</v>
      </c>
      <c r="AI417" s="25" t="s">
        <v>3973</v>
      </c>
      <c r="AJ417" s="39">
        <v>550</v>
      </c>
      <c r="AK417" s="39">
        <v>55</v>
      </c>
      <c r="AL417" s="39">
        <v>14</v>
      </c>
      <c r="AM417" s="25" t="s">
        <v>3974</v>
      </c>
      <c r="AN417" s="39">
        <v>800</v>
      </c>
      <c r="AO417" s="39">
        <v>80</v>
      </c>
      <c r="AP417" s="39">
        <v>16</v>
      </c>
      <c r="AR417" s="39"/>
    </row>
    <row r="418" spans="1:44" x14ac:dyDescent="0.2">
      <c r="A418" s="25" t="s">
        <v>1627</v>
      </c>
      <c r="B418" s="25" t="s">
        <v>2296</v>
      </c>
      <c r="T418" s="25" t="s">
        <v>70</v>
      </c>
      <c r="U418" s="25">
        <v>22005</v>
      </c>
      <c r="V418" s="25" t="s">
        <v>3715</v>
      </c>
      <c r="W418" s="38" t="s">
        <v>6494</v>
      </c>
      <c r="X418" s="25">
        <v>72</v>
      </c>
      <c r="Y418" s="25" t="s">
        <v>164</v>
      </c>
      <c r="Z418" s="25" t="s">
        <v>1451</v>
      </c>
      <c r="AA418" s="25" t="s">
        <v>3716</v>
      </c>
      <c r="AB418" s="39">
        <v>120</v>
      </c>
      <c r="AC418" s="39">
        <v>10</v>
      </c>
      <c r="AD418" s="39">
        <v>6</v>
      </c>
      <c r="AE418" s="25" t="s">
        <v>3717</v>
      </c>
      <c r="AF418" s="39">
        <v>180</v>
      </c>
      <c r="AG418" s="39">
        <v>10</v>
      </c>
      <c r="AH418" s="39">
        <v>9</v>
      </c>
      <c r="AI418" s="25" t="s">
        <v>3718</v>
      </c>
      <c r="AJ418" s="39">
        <v>240</v>
      </c>
      <c r="AK418" s="39">
        <v>15</v>
      </c>
      <c r="AL418" s="39">
        <v>12</v>
      </c>
      <c r="AM418" s="25" t="s">
        <v>3719</v>
      </c>
      <c r="AN418" s="39">
        <v>300</v>
      </c>
      <c r="AO418" s="39">
        <v>15</v>
      </c>
      <c r="AP418" s="39">
        <v>15</v>
      </c>
      <c r="AR418" s="39" t="s">
        <v>6456</v>
      </c>
    </row>
    <row r="419" spans="1:44" x14ac:dyDescent="0.2">
      <c r="A419" s="25" t="s">
        <v>1627</v>
      </c>
      <c r="B419" s="25" t="s">
        <v>2456</v>
      </c>
      <c r="T419" s="25" t="s">
        <v>1638</v>
      </c>
      <c r="U419" s="25">
        <v>3415</v>
      </c>
      <c r="V419" s="25" t="s">
        <v>1992</v>
      </c>
      <c r="W419" s="38" t="s">
        <v>6547</v>
      </c>
      <c r="X419" s="25" t="s">
        <v>1641</v>
      </c>
      <c r="Y419" s="25" t="s">
        <v>1582</v>
      </c>
      <c r="Z419" s="25" t="s">
        <v>1451</v>
      </c>
      <c r="AA419" s="25" t="s">
        <v>1993</v>
      </c>
      <c r="AB419" s="39">
        <v>200</v>
      </c>
      <c r="AC419" s="39">
        <v>10</v>
      </c>
      <c r="AD419" s="39">
        <v>8</v>
      </c>
      <c r="AE419" s="25" t="s">
        <v>1994</v>
      </c>
      <c r="AF419" s="39">
        <v>350</v>
      </c>
      <c r="AG419" s="39">
        <v>20</v>
      </c>
      <c r="AH419" s="39">
        <v>10</v>
      </c>
      <c r="AI419" s="25" t="s">
        <v>1995</v>
      </c>
      <c r="AJ419" s="39">
        <v>500</v>
      </c>
      <c r="AK419" s="39">
        <v>25</v>
      </c>
      <c r="AL419" s="39">
        <v>13</v>
      </c>
      <c r="AM419" s="25" t="s">
        <v>1996</v>
      </c>
      <c r="AN419" s="39">
        <v>700</v>
      </c>
      <c r="AO419" s="39">
        <v>35</v>
      </c>
      <c r="AP419" s="39">
        <v>16</v>
      </c>
      <c r="AQ419" s="25" t="s">
        <v>698</v>
      </c>
      <c r="AR419" s="39" t="s">
        <v>6456</v>
      </c>
    </row>
    <row r="420" spans="1:44" x14ac:dyDescent="0.2">
      <c r="A420" s="25" t="s">
        <v>1627</v>
      </c>
      <c r="B420" s="25" t="s">
        <v>2622</v>
      </c>
      <c r="T420" s="25" t="s">
        <v>1535</v>
      </c>
      <c r="U420" s="25">
        <v>8019</v>
      </c>
      <c r="V420" s="25" t="s">
        <v>2724</v>
      </c>
      <c r="W420" s="38" t="s">
        <v>6534</v>
      </c>
      <c r="X420" s="25">
        <v>74</v>
      </c>
      <c r="Y420" s="25" t="s">
        <v>164</v>
      </c>
      <c r="Z420" s="25" t="s">
        <v>1451</v>
      </c>
      <c r="AA420" s="25" t="s">
        <v>1667</v>
      </c>
      <c r="AB420" s="39">
        <v>150</v>
      </c>
      <c r="AC420" s="39">
        <v>15</v>
      </c>
      <c r="AD420" s="39">
        <v>9</v>
      </c>
      <c r="AE420" s="25">
        <v>160</v>
      </c>
      <c r="AF420" s="39">
        <v>250</v>
      </c>
      <c r="AG420" s="39">
        <v>25</v>
      </c>
      <c r="AH420" s="39">
        <v>11</v>
      </c>
      <c r="AI420" s="25">
        <v>200</v>
      </c>
      <c r="AJ420" s="39">
        <v>350</v>
      </c>
      <c r="AK420" s="39">
        <v>35</v>
      </c>
      <c r="AL420" s="39">
        <v>13</v>
      </c>
      <c r="AM420" s="25">
        <v>240</v>
      </c>
      <c r="AN420" s="39">
        <v>500</v>
      </c>
      <c r="AO420" s="39">
        <v>50</v>
      </c>
      <c r="AP420" s="39">
        <v>15</v>
      </c>
      <c r="AQ420" s="25" t="s">
        <v>1542</v>
      </c>
      <c r="AR420" s="39" t="s">
        <v>6456</v>
      </c>
    </row>
    <row r="421" spans="1:44" x14ac:dyDescent="0.2">
      <c r="A421" s="25" t="s">
        <v>1627</v>
      </c>
      <c r="B421" s="25" t="s">
        <v>2777</v>
      </c>
      <c r="T421" s="25" t="s">
        <v>65</v>
      </c>
      <c r="U421" s="25">
        <v>1006</v>
      </c>
      <c r="V421" s="25" t="s">
        <v>1475</v>
      </c>
      <c r="W421" s="38" t="s">
        <v>6546</v>
      </c>
      <c r="X421" s="25">
        <v>2</v>
      </c>
      <c r="Y421" s="25" t="s">
        <v>164</v>
      </c>
      <c r="Z421" s="25" t="s">
        <v>1451</v>
      </c>
      <c r="AA421" s="25" t="s">
        <v>1476</v>
      </c>
      <c r="AB421" s="39">
        <v>30</v>
      </c>
      <c r="AC421" s="39">
        <v>5</v>
      </c>
      <c r="AD421" s="39">
        <v>5</v>
      </c>
      <c r="AE421" s="25" t="s">
        <v>1477</v>
      </c>
      <c r="AF421" s="39">
        <v>80</v>
      </c>
      <c r="AG421" s="39">
        <v>10</v>
      </c>
      <c r="AH421" s="39">
        <v>7</v>
      </c>
      <c r="AI421" s="25" t="s">
        <v>1478</v>
      </c>
      <c r="AJ421" s="39">
        <v>120</v>
      </c>
      <c r="AK421" s="39">
        <v>15</v>
      </c>
      <c r="AL421" s="39">
        <v>10</v>
      </c>
      <c r="AM421" s="25" t="s">
        <v>1479</v>
      </c>
      <c r="AN421" s="39">
        <v>180</v>
      </c>
      <c r="AO421" s="39">
        <v>20</v>
      </c>
      <c r="AP421" s="39">
        <v>12</v>
      </c>
      <c r="AR421" s="39" t="s">
        <v>6456</v>
      </c>
    </row>
    <row r="422" spans="1:44" x14ac:dyDescent="0.2">
      <c r="A422" s="25" t="s">
        <v>1627</v>
      </c>
      <c r="B422" s="25" t="s">
        <v>2935</v>
      </c>
      <c r="T422" s="25" t="s">
        <v>1516</v>
      </c>
      <c r="U422" s="25">
        <v>7016</v>
      </c>
      <c r="V422" s="25" t="s">
        <v>2556</v>
      </c>
      <c r="W422" s="38" t="s">
        <v>2557</v>
      </c>
      <c r="X422" s="25">
        <v>64</v>
      </c>
      <c r="Y422" s="25" t="s">
        <v>2084</v>
      </c>
      <c r="Z422" s="25" t="s">
        <v>1557</v>
      </c>
      <c r="AA422" s="25" t="s">
        <v>1957</v>
      </c>
      <c r="AB422" s="39">
        <v>100</v>
      </c>
      <c r="AC422" s="39" t="s">
        <v>744</v>
      </c>
      <c r="AD422" s="39">
        <v>10</v>
      </c>
      <c r="AE422" s="25" t="s">
        <v>2558</v>
      </c>
      <c r="AF422" s="39">
        <v>200</v>
      </c>
      <c r="AG422" s="39" t="s">
        <v>744</v>
      </c>
      <c r="AH422" s="39">
        <v>12</v>
      </c>
      <c r="AI422" s="25" t="s">
        <v>2559</v>
      </c>
      <c r="AJ422" s="39">
        <v>300</v>
      </c>
      <c r="AK422" s="39" t="s">
        <v>744</v>
      </c>
      <c r="AL422" s="39">
        <v>14</v>
      </c>
      <c r="AM422" s="25" t="s">
        <v>2560</v>
      </c>
      <c r="AN422" s="39">
        <v>400</v>
      </c>
      <c r="AO422" s="39" t="s">
        <v>744</v>
      </c>
      <c r="AP422" s="39">
        <v>16</v>
      </c>
      <c r="AQ422" s="25" t="s">
        <v>1522</v>
      </c>
      <c r="AR422" s="39"/>
    </row>
    <row r="423" spans="1:44" x14ac:dyDescent="0.2">
      <c r="A423" s="25" t="s">
        <v>1627</v>
      </c>
      <c r="B423" s="25" t="s">
        <v>3079</v>
      </c>
      <c r="T423" s="25" t="s">
        <v>49</v>
      </c>
      <c r="U423" s="25">
        <v>34003</v>
      </c>
      <c r="V423" s="25" t="s">
        <v>177</v>
      </c>
      <c r="W423" s="38" t="s">
        <v>4125</v>
      </c>
      <c r="X423" s="25">
        <v>86</v>
      </c>
      <c r="Y423" s="25" t="s">
        <v>164</v>
      </c>
      <c r="Z423" s="25" t="s">
        <v>1451</v>
      </c>
      <c r="AA423" s="25" t="s">
        <v>4126</v>
      </c>
      <c r="AB423" s="39">
        <v>250</v>
      </c>
      <c r="AC423" s="39" t="s">
        <v>244</v>
      </c>
      <c r="AD423" s="39">
        <v>10</v>
      </c>
      <c r="AE423" s="25" t="s">
        <v>4127</v>
      </c>
      <c r="AF423" s="39">
        <v>500</v>
      </c>
      <c r="AG423" s="39" t="s">
        <v>244</v>
      </c>
      <c r="AH423" s="39">
        <v>12</v>
      </c>
      <c r="AI423" s="25" t="s">
        <v>3844</v>
      </c>
      <c r="AJ423" s="39">
        <v>900</v>
      </c>
      <c r="AK423" s="39" t="s">
        <v>244</v>
      </c>
      <c r="AL423" s="39">
        <v>14</v>
      </c>
      <c r="AM423" s="25" t="s">
        <v>4128</v>
      </c>
      <c r="AN423" s="39">
        <v>1600</v>
      </c>
      <c r="AO423" s="39" t="s">
        <v>244</v>
      </c>
      <c r="AP423" s="39">
        <v>16</v>
      </c>
      <c r="AR423" s="39"/>
    </row>
    <row r="424" spans="1:44" x14ac:dyDescent="0.2">
      <c r="A424" s="25" t="s">
        <v>1627</v>
      </c>
      <c r="B424" s="25" t="s">
        <v>3166</v>
      </c>
      <c r="T424" s="25" t="s">
        <v>1663</v>
      </c>
      <c r="U424" s="25">
        <v>10715</v>
      </c>
      <c r="V424" s="25" t="s">
        <v>3099</v>
      </c>
      <c r="W424" s="38" t="s">
        <v>6576</v>
      </c>
      <c r="X424" s="25" t="s">
        <v>1666</v>
      </c>
      <c r="Y424" s="25" t="s">
        <v>1705</v>
      </c>
      <c r="Z424" s="25" t="s">
        <v>1451</v>
      </c>
      <c r="AA424" s="25" t="s">
        <v>3100</v>
      </c>
      <c r="AB424" s="39">
        <v>100</v>
      </c>
      <c r="AC424" s="39">
        <v>10</v>
      </c>
      <c r="AD424" s="39">
        <v>9</v>
      </c>
      <c r="AE424" s="25" t="s">
        <v>3101</v>
      </c>
      <c r="AF424" s="39">
        <v>120</v>
      </c>
      <c r="AG424" s="39">
        <v>15</v>
      </c>
      <c r="AH424" s="39">
        <v>11</v>
      </c>
      <c r="AI424" s="25" t="s">
        <v>3102</v>
      </c>
      <c r="AJ424" s="39">
        <v>140</v>
      </c>
      <c r="AK424" s="39">
        <v>15</v>
      </c>
      <c r="AL424" s="39">
        <v>14</v>
      </c>
      <c r="AM424" s="25" t="s">
        <v>3103</v>
      </c>
      <c r="AN424" s="39">
        <v>160</v>
      </c>
      <c r="AO424" s="39">
        <v>20</v>
      </c>
      <c r="AP424" s="39">
        <v>16</v>
      </c>
      <c r="AQ424" s="25" t="s">
        <v>39</v>
      </c>
      <c r="AR424" s="39" t="s">
        <v>6456</v>
      </c>
    </row>
    <row r="425" spans="1:44" x14ac:dyDescent="0.2">
      <c r="A425" s="25" t="s">
        <v>1627</v>
      </c>
      <c r="B425" s="25" t="s">
        <v>3257</v>
      </c>
      <c r="T425" s="25" t="s">
        <v>39</v>
      </c>
      <c r="U425" s="25">
        <v>28002</v>
      </c>
      <c r="V425" s="25" t="s">
        <v>3943</v>
      </c>
      <c r="W425" s="38" t="s">
        <v>3944</v>
      </c>
      <c r="X425" s="25">
        <v>70</v>
      </c>
      <c r="Y425" s="25" t="s">
        <v>1498</v>
      </c>
      <c r="Z425" s="25" t="s">
        <v>1451</v>
      </c>
      <c r="AA425" s="25" t="s">
        <v>3939</v>
      </c>
      <c r="AB425" s="39">
        <v>140</v>
      </c>
      <c r="AC425" s="39">
        <v>5</v>
      </c>
      <c r="AD425" s="39">
        <v>10</v>
      </c>
      <c r="AE425" s="25" t="s">
        <v>3940</v>
      </c>
      <c r="AF425" s="39">
        <v>200</v>
      </c>
      <c r="AG425" s="39">
        <v>10</v>
      </c>
      <c r="AH425" s="39">
        <v>12</v>
      </c>
      <c r="AI425" s="25" t="s">
        <v>3941</v>
      </c>
      <c r="AJ425" s="39">
        <v>280</v>
      </c>
      <c r="AK425" s="39">
        <v>10</v>
      </c>
      <c r="AL425" s="39">
        <v>14</v>
      </c>
      <c r="AM425" s="25" t="s">
        <v>3942</v>
      </c>
      <c r="AN425" s="39">
        <v>360</v>
      </c>
      <c r="AO425" s="39">
        <v>15</v>
      </c>
      <c r="AP425" s="39">
        <v>16</v>
      </c>
      <c r="AR425" s="39"/>
    </row>
    <row r="426" spans="1:44" x14ac:dyDescent="0.2">
      <c r="A426" s="25" t="s">
        <v>1631</v>
      </c>
      <c r="B426" s="25" t="s">
        <v>1632</v>
      </c>
      <c r="T426" s="25" t="s">
        <v>1523</v>
      </c>
      <c r="U426" s="25">
        <v>6017</v>
      </c>
      <c r="V426" s="25" t="s">
        <v>2402</v>
      </c>
      <c r="W426" s="38" t="s">
        <v>6491</v>
      </c>
      <c r="X426" s="25">
        <v>54</v>
      </c>
      <c r="Y426" s="25" t="s">
        <v>164</v>
      </c>
      <c r="Z426" s="25" t="s">
        <v>1451</v>
      </c>
      <c r="AA426" s="25" t="s">
        <v>1758</v>
      </c>
      <c r="AB426" s="39">
        <v>150</v>
      </c>
      <c r="AC426" s="39">
        <v>30</v>
      </c>
      <c r="AD426" s="39">
        <v>6</v>
      </c>
      <c r="AE426" s="25" t="s">
        <v>1484</v>
      </c>
      <c r="AF426" s="39">
        <v>200</v>
      </c>
      <c r="AG426" s="39">
        <v>40</v>
      </c>
      <c r="AH426" s="39">
        <v>9</v>
      </c>
      <c r="AI426" s="25" t="s">
        <v>1476</v>
      </c>
      <c r="AJ426" s="39">
        <v>250</v>
      </c>
      <c r="AK426" s="39">
        <v>50</v>
      </c>
      <c r="AL426" s="39">
        <v>12</v>
      </c>
      <c r="AM426" s="25" t="s">
        <v>1478</v>
      </c>
      <c r="AN426" s="39">
        <v>300</v>
      </c>
      <c r="AO426" s="39">
        <v>100</v>
      </c>
      <c r="AP426" s="39">
        <v>15</v>
      </c>
      <c r="AQ426" s="25" t="s">
        <v>1530</v>
      </c>
      <c r="AR426" s="39" t="s">
        <v>6456</v>
      </c>
    </row>
    <row r="427" spans="1:44" x14ac:dyDescent="0.2">
      <c r="A427" s="25" t="s">
        <v>1631</v>
      </c>
      <c r="B427" s="25" t="s">
        <v>1825</v>
      </c>
      <c r="T427" s="25" t="s">
        <v>101</v>
      </c>
      <c r="U427" s="25">
        <v>17011</v>
      </c>
      <c r="V427" s="25" t="s">
        <v>3521</v>
      </c>
      <c r="W427" s="38" t="s">
        <v>6614</v>
      </c>
      <c r="X427" s="25">
        <v>42</v>
      </c>
      <c r="Y427" s="25" t="s">
        <v>1498</v>
      </c>
      <c r="Z427" s="25" t="s">
        <v>1451</v>
      </c>
      <c r="AA427" s="25" t="s">
        <v>1483</v>
      </c>
      <c r="AB427" s="39">
        <v>100</v>
      </c>
      <c r="AC427" s="39">
        <v>10</v>
      </c>
      <c r="AD427" s="39">
        <v>9</v>
      </c>
      <c r="AE427" s="25" t="s">
        <v>1149</v>
      </c>
      <c r="AF427" s="39">
        <v>140</v>
      </c>
      <c r="AG427" s="39">
        <v>15</v>
      </c>
      <c r="AH427" s="39">
        <v>12</v>
      </c>
      <c r="AI427" s="25" t="s">
        <v>3522</v>
      </c>
      <c r="AJ427" s="39">
        <v>180</v>
      </c>
      <c r="AK427" s="39">
        <v>20</v>
      </c>
      <c r="AL427" s="39">
        <v>14</v>
      </c>
      <c r="AM427" s="25" t="s">
        <v>1484</v>
      </c>
      <c r="AN427" s="39">
        <v>220</v>
      </c>
      <c r="AO427" s="39">
        <v>25</v>
      </c>
      <c r="AP427" s="39">
        <v>16</v>
      </c>
      <c r="AR427" s="39" t="s">
        <v>6456</v>
      </c>
    </row>
    <row r="428" spans="1:44" x14ac:dyDescent="0.2">
      <c r="A428" s="25" t="s">
        <v>1631</v>
      </c>
      <c r="B428" s="25" t="s">
        <v>1988</v>
      </c>
      <c r="T428" s="25" t="s">
        <v>1543</v>
      </c>
      <c r="U428" s="25">
        <v>9020</v>
      </c>
      <c r="V428" s="25" t="s">
        <v>2882</v>
      </c>
      <c r="W428" s="38" t="s">
        <v>2883</v>
      </c>
      <c r="X428" s="25">
        <v>84</v>
      </c>
      <c r="Y428" s="25" t="s">
        <v>164</v>
      </c>
      <c r="Z428" s="25" t="s">
        <v>1451</v>
      </c>
      <c r="AA428" s="25" t="s">
        <v>2884</v>
      </c>
      <c r="AB428" s="39">
        <v>120</v>
      </c>
      <c r="AC428" s="39">
        <v>5</v>
      </c>
      <c r="AD428" s="39">
        <v>8</v>
      </c>
      <c r="AE428" s="25" t="s">
        <v>2885</v>
      </c>
      <c r="AF428" s="39">
        <v>180</v>
      </c>
      <c r="AG428" s="39">
        <v>10</v>
      </c>
      <c r="AH428" s="39">
        <v>10</v>
      </c>
      <c r="AI428" s="25" t="s">
        <v>2886</v>
      </c>
      <c r="AJ428" s="39">
        <v>240</v>
      </c>
      <c r="AK428" s="39">
        <v>15</v>
      </c>
      <c r="AL428" s="39">
        <v>12</v>
      </c>
      <c r="AM428" s="25" t="s">
        <v>2887</v>
      </c>
      <c r="AN428" s="39">
        <v>300</v>
      </c>
      <c r="AO428" s="39">
        <v>20</v>
      </c>
      <c r="AP428" s="39">
        <v>14</v>
      </c>
      <c r="AQ428" s="25" t="s">
        <v>1547</v>
      </c>
      <c r="AR428" s="39"/>
    </row>
    <row r="429" spans="1:44" x14ac:dyDescent="0.2">
      <c r="A429" s="25" t="s">
        <v>1631</v>
      </c>
      <c r="B429" s="25" t="s">
        <v>2145</v>
      </c>
      <c r="T429" s="25" t="s">
        <v>101</v>
      </c>
      <c r="U429" s="25">
        <v>2011</v>
      </c>
      <c r="V429" s="25" t="s">
        <v>1737</v>
      </c>
      <c r="W429" s="38" t="s">
        <v>1738</v>
      </c>
      <c r="X429" s="25">
        <v>6</v>
      </c>
      <c r="Y429" s="25" t="s">
        <v>164</v>
      </c>
      <c r="Z429" s="25" t="s">
        <v>1451</v>
      </c>
      <c r="AA429" s="25" t="s">
        <v>1739</v>
      </c>
      <c r="AB429" s="39">
        <v>30</v>
      </c>
      <c r="AC429" s="39">
        <v>5</v>
      </c>
      <c r="AD429" s="39">
        <v>6</v>
      </c>
      <c r="AE429" s="25" t="s">
        <v>1740</v>
      </c>
      <c r="AF429" s="39">
        <v>60</v>
      </c>
      <c r="AG429" s="39">
        <v>10</v>
      </c>
      <c r="AH429" s="39">
        <v>8</v>
      </c>
      <c r="AI429" s="25" t="s">
        <v>1741</v>
      </c>
      <c r="AJ429" s="39">
        <v>90</v>
      </c>
      <c r="AK429" s="39">
        <v>10</v>
      </c>
      <c r="AL429" s="39">
        <v>10</v>
      </c>
      <c r="AM429" s="25" t="s">
        <v>1742</v>
      </c>
      <c r="AN429" s="39">
        <v>120</v>
      </c>
      <c r="AO429" s="39">
        <v>15</v>
      </c>
      <c r="AP429" s="39">
        <v>12</v>
      </c>
      <c r="AR429" s="39"/>
    </row>
    <row r="430" spans="1:44" x14ac:dyDescent="0.2">
      <c r="A430" s="25" t="s">
        <v>1631</v>
      </c>
      <c r="B430" s="25" t="s">
        <v>2302</v>
      </c>
      <c r="T430" s="25" t="s">
        <v>101</v>
      </c>
      <c r="U430" s="25">
        <v>26011</v>
      </c>
      <c r="V430" s="25" t="s">
        <v>3891</v>
      </c>
      <c r="W430" s="38" t="s">
        <v>3892</v>
      </c>
      <c r="X430" s="25">
        <v>66</v>
      </c>
      <c r="Y430" s="25" t="s">
        <v>1582</v>
      </c>
      <c r="Z430" s="25" t="s">
        <v>1451</v>
      </c>
      <c r="AA430" s="25" t="s">
        <v>3893</v>
      </c>
      <c r="AB430" s="39">
        <v>100</v>
      </c>
      <c r="AC430" s="39" t="s">
        <v>244</v>
      </c>
      <c r="AD430" s="39">
        <v>10</v>
      </c>
      <c r="AE430" s="25" t="s">
        <v>3894</v>
      </c>
      <c r="AF430" s="39">
        <v>140</v>
      </c>
      <c r="AG430" s="39" t="s">
        <v>244</v>
      </c>
      <c r="AH430" s="39">
        <v>12</v>
      </c>
      <c r="AI430" s="25" t="s">
        <v>3895</v>
      </c>
      <c r="AJ430" s="39">
        <v>180</v>
      </c>
      <c r="AK430" s="39" t="s">
        <v>244</v>
      </c>
      <c r="AL430" s="39">
        <v>14</v>
      </c>
      <c r="AM430" s="25" t="s">
        <v>3896</v>
      </c>
      <c r="AN430" s="39">
        <v>220</v>
      </c>
      <c r="AO430" s="39" t="s">
        <v>244</v>
      </c>
      <c r="AP430" s="39">
        <v>16</v>
      </c>
      <c r="AR430" s="39"/>
    </row>
    <row r="431" spans="1:44" x14ac:dyDescent="0.2">
      <c r="A431" s="25" t="s">
        <v>1631</v>
      </c>
      <c r="B431" s="25" t="s">
        <v>2459</v>
      </c>
      <c r="T431" s="25" t="s">
        <v>101</v>
      </c>
      <c r="U431" s="25">
        <v>37011</v>
      </c>
      <c r="V431" s="25" t="s">
        <v>4199</v>
      </c>
      <c r="W431" s="38" t="s">
        <v>4200</v>
      </c>
      <c r="X431" s="25">
        <v>92</v>
      </c>
      <c r="Y431" s="25" t="s">
        <v>164</v>
      </c>
      <c r="Z431" s="25" t="s">
        <v>1451</v>
      </c>
      <c r="AA431" s="25" t="s">
        <v>4201</v>
      </c>
      <c r="AB431" s="39">
        <v>350</v>
      </c>
      <c r="AC431" s="39" t="s">
        <v>244</v>
      </c>
      <c r="AD431" s="39">
        <v>12</v>
      </c>
      <c r="AE431" s="25" t="s">
        <v>4202</v>
      </c>
      <c r="AF431" s="39">
        <v>500</v>
      </c>
      <c r="AG431" s="39" t="s">
        <v>244</v>
      </c>
      <c r="AH431" s="39">
        <v>14</v>
      </c>
      <c r="AI431" s="25" t="s">
        <v>4203</v>
      </c>
      <c r="AJ431" s="39">
        <v>900</v>
      </c>
      <c r="AK431" s="39" t="s">
        <v>244</v>
      </c>
      <c r="AL431" s="39">
        <v>16</v>
      </c>
      <c r="AM431" s="25" t="s">
        <v>4204</v>
      </c>
      <c r="AN431" s="39">
        <v>1500</v>
      </c>
      <c r="AO431" s="39" t="s">
        <v>244</v>
      </c>
      <c r="AP431" s="39">
        <v>18</v>
      </c>
      <c r="AR431" s="39"/>
    </row>
    <row r="432" spans="1:44" x14ac:dyDescent="0.2">
      <c r="A432" s="25" t="s">
        <v>1631</v>
      </c>
      <c r="B432" s="25" t="s">
        <v>2629</v>
      </c>
      <c r="T432" s="25" t="s">
        <v>1535</v>
      </c>
      <c r="U432" s="25">
        <v>7019</v>
      </c>
      <c r="V432" s="25" t="s">
        <v>2569</v>
      </c>
      <c r="W432" s="38" t="s">
        <v>2570</v>
      </c>
      <c r="X432" s="25">
        <v>64</v>
      </c>
      <c r="Y432" s="25" t="s">
        <v>1582</v>
      </c>
      <c r="Z432" s="25" t="s">
        <v>1451</v>
      </c>
      <c r="AA432" s="25" t="s">
        <v>2571</v>
      </c>
      <c r="AB432" s="39">
        <v>120</v>
      </c>
      <c r="AC432" s="39" t="s">
        <v>744</v>
      </c>
      <c r="AD432" s="39">
        <v>8</v>
      </c>
      <c r="AE432" s="25" t="s">
        <v>2572</v>
      </c>
      <c r="AF432" s="39">
        <v>150</v>
      </c>
      <c r="AG432" s="39" t="s">
        <v>744</v>
      </c>
      <c r="AH432" s="39">
        <v>10</v>
      </c>
      <c r="AI432" s="25" t="s">
        <v>2573</v>
      </c>
      <c r="AJ432" s="39">
        <v>200</v>
      </c>
      <c r="AK432" s="39" t="s">
        <v>744</v>
      </c>
      <c r="AL432" s="39">
        <v>13</v>
      </c>
      <c r="AM432" s="25" t="s">
        <v>2574</v>
      </c>
      <c r="AN432" s="39">
        <v>260</v>
      </c>
      <c r="AO432" s="39" t="s">
        <v>744</v>
      </c>
      <c r="AP432" s="39">
        <v>15</v>
      </c>
      <c r="AQ432" s="25" t="s">
        <v>1542</v>
      </c>
      <c r="AR432" s="39"/>
    </row>
    <row r="433" spans="1:44" x14ac:dyDescent="0.2">
      <c r="A433" s="25" t="s">
        <v>1631</v>
      </c>
      <c r="B433" s="25" t="s">
        <v>2782</v>
      </c>
      <c r="T433" s="25" t="s">
        <v>1509</v>
      </c>
      <c r="U433" s="25">
        <v>11015</v>
      </c>
      <c r="V433" s="25" t="s">
        <v>3156</v>
      </c>
      <c r="W433" s="38" t="s">
        <v>6513</v>
      </c>
      <c r="X433" s="25" t="s">
        <v>1512</v>
      </c>
      <c r="Y433" s="25" t="s">
        <v>164</v>
      </c>
      <c r="Z433" s="25" t="s">
        <v>1451</v>
      </c>
      <c r="AA433" s="25" t="s">
        <v>3157</v>
      </c>
      <c r="AB433" s="39">
        <v>30</v>
      </c>
      <c r="AC433" s="39">
        <v>5</v>
      </c>
      <c r="AD433" s="39">
        <v>5</v>
      </c>
      <c r="AE433" s="25" t="s">
        <v>3158</v>
      </c>
      <c r="AF433" s="39">
        <v>70</v>
      </c>
      <c r="AG433" s="39">
        <v>10</v>
      </c>
      <c r="AH433" s="39">
        <v>8</v>
      </c>
      <c r="AI433" s="25" t="s">
        <v>3159</v>
      </c>
      <c r="AJ433" s="39">
        <v>120</v>
      </c>
      <c r="AK433" s="39">
        <v>15</v>
      </c>
      <c r="AL433" s="39">
        <v>10</v>
      </c>
      <c r="AM433" s="25" t="s">
        <v>3160</v>
      </c>
      <c r="AN433" s="39">
        <v>180</v>
      </c>
      <c r="AO433" s="39">
        <v>20</v>
      </c>
      <c r="AP433" s="39">
        <v>12</v>
      </c>
      <c r="AQ433" s="25" t="s">
        <v>61</v>
      </c>
      <c r="AR433" s="39" t="s">
        <v>6456</v>
      </c>
    </row>
    <row r="434" spans="1:44" x14ac:dyDescent="0.2">
      <c r="A434" s="25" t="s">
        <v>1631</v>
      </c>
      <c r="B434" s="25" t="s">
        <v>2939</v>
      </c>
      <c r="T434" s="25" t="s">
        <v>90</v>
      </c>
      <c r="U434" s="25">
        <v>13009</v>
      </c>
      <c r="V434" s="25" t="s">
        <v>3329</v>
      </c>
      <c r="W434" s="38" t="s">
        <v>3330</v>
      </c>
      <c r="X434" s="25">
        <v>42</v>
      </c>
      <c r="Y434" s="25" t="s">
        <v>1498</v>
      </c>
      <c r="Z434" s="25" t="s">
        <v>1451</v>
      </c>
      <c r="AA434" s="25" t="s">
        <v>3331</v>
      </c>
      <c r="AB434" s="39">
        <v>120</v>
      </c>
      <c r="AC434" s="39">
        <v>10</v>
      </c>
      <c r="AD434" s="39">
        <v>7</v>
      </c>
      <c r="AE434" s="25" t="s">
        <v>3332</v>
      </c>
      <c r="AF434" s="39">
        <v>180</v>
      </c>
      <c r="AG434" s="39">
        <v>10</v>
      </c>
      <c r="AH434" s="39">
        <v>10</v>
      </c>
      <c r="AI434" s="25" t="s">
        <v>3333</v>
      </c>
      <c r="AJ434" s="39">
        <v>240</v>
      </c>
      <c r="AK434" s="39">
        <v>15</v>
      </c>
      <c r="AL434" s="39">
        <v>13</v>
      </c>
      <c r="AM434" s="25" t="s">
        <v>3334</v>
      </c>
      <c r="AN434" s="39">
        <v>300</v>
      </c>
      <c r="AO434" s="39">
        <v>15</v>
      </c>
      <c r="AP434" s="39">
        <v>15</v>
      </c>
      <c r="AR434" s="39"/>
    </row>
    <row r="435" spans="1:44" x14ac:dyDescent="0.2">
      <c r="A435" s="25" t="s">
        <v>1631</v>
      </c>
      <c r="B435" s="25" t="s">
        <v>3085</v>
      </c>
      <c r="T435" s="25" t="s">
        <v>94</v>
      </c>
      <c r="U435" s="25">
        <v>17010</v>
      </c>
      <c r="V435" s="25" t="s">
        <v>3520</v>
      </c>
      <c r="W435" s="38" t="s">
        <v>6530</v>
      </c>
      <c r="X435" s="25">
        <v>56</v>
      </c>
      <c r="Y435" s="25" t="s">
        <v>1582</v>
      </c>
      <c r="Z435" s="25" t="s">
        <v>1451</v>
      </c>
      <c r="AA435" s="25" t="s">
        <v>1989</v>
      </c>
      <c r="AB435" s="39">
        <v>100</v>
      </c>
      <c r="AC435" s="39">
        <v>10</v>
      </c>
      <c r="AD435" s="39">
        <v>8</v>
      </c>
      <c r="AE435" s="25" t="s">
        <v>1667</v>
      </c>
      <c r="AF435" s="39">
        <v>120</v>
      </c>
      <c r="AG435" s="39">
        <v>15</v>
      </c>
      <c r="AH435" s="39">
        <v>11</v>
      </c>
      <c r="AI435" s="25" t="s">
        <v>1668</v>
      </c>
      <c r="AJ435" s="39">
        <v>140</v>
      </c>
      <c r="AK435" s="39">
        <v>15</v>
      </c>
      <c r="AL435" s="39">
        <v>14</v>
      </c>
      <c r="AM435" s="25" t="s">
        <v>1586</v>
      </c>
      <c r="AN435" s="39">
        <v>160</v>
      </c>
      <c r="AO435" s="39">
        <v>20</v>
      </c>
      <c r="AP435" s="39">
        <v>16</v>
      </c>
      <c r="AR435" s="39" t="s">
        <v>6456</v>
      </c>
    </row>
    <row r="436" spans="1:44" x14ac:dyDescent="0.2">
      <c r="A436" s="25" t="s">
        <v>1631</v>
      </c>
      <c r="B436" s="25" t="s">
        <v>3169</v>
      </c>
      <c r="T436" s="25" t="s">
        <v>49</v>
      </c>
      <c r="U436" s="25">
        <v>29003</v>
      </c>
      <c r="V436" s="25" t="s">
        <v>3992</v>
      </c>
      <c r="W436" s="38" t="s">
        <v>6562</v>
      </c>
      <c r="X436" s="25">
        <v>72</v>
      </c>
      <c r="Y436" s="25" t="s">
        <v>1582</v>
      </c>
      <c r="Z436" s="25" t="s">
        <v>1451</v>
      </c>
      <c r="AA436" s="25" t="s">
        <v>1989</v>
      </c>
      <c r="AB436" s="39">
        <v>150</v>
      </c>
      <c r="AC436" s="39">
        <v>10</v>
      </c>
      <c r="AD436" s="39">
        <v>8</v>
      </c>
      <c r="AE436" s="25" t="s">
        <v>1667</v>
      </c>
      <c r="AF436" s="39">
        <v>200</v>
      </c>
      <c r="AG436" s="39">
        <v>10</v>
      </c>
      <c r="AH436" s="39">
        <v>10</v>
      </c>
      <c r="AI436" s="25" t="s">
        <v>1586</v>
      </c>
      <c r="AJ436" s="39">
        <v>250</v>
      </c>
      <c r="AK436" s="39">
        <v>15</v>
      </c>
      <c r="AL436" s="39">
        <v>12</v>
      </c>
      <c r="AM436" s="25" t="s">
        <v>2104</v>
      </c>
      <c r="AN436" s="39">
        <v>350</v>
      </c>
      <c r="AO436" s="39">
        <v>20</v>
      </c>
      <c r="AP436" s="39">
        <v>14</v>
      </c>
      <c r="AR436" s="39" t="s">
        <v>6456</v>
      </c>
    </row>
    <row r="437" spans="1:44" x14ac:dyDescent="0.2">
      <c r="A437" s="25" t="s">
        <v>1631</v>
      </c>
      <c r="B437" s="25" t="s">
        <v>3260</v>
      </c>
      <c r="T437" s="25" t="s">
        <v>35</v>
      </c>
      <c r="U437" s="25">
        <v>27007</v>
      </c>
      <c r="V437" s="25" t="s">
        <v>3916</v>
      </c>
      <c r="W437" s="38" t="s">
        <v>3917</v>
      </c>
      <c r="X437" s="25">
        <v>90</v>
      </c>
      <c r="Y437" s="25" t="s">
        <v>116</v>
      </c>
      <c r="Z437" s="25" t="s">
        <v>1451</v>
      </c>
      <c r="AA437" s="25" t="s">
        <v>3918</v>
      </c>
      <c r="AB437" s="39">
        <v>200</v>
      </c>
      <c r="AC437" s="39" t="s">
        <v>244</v>
      </c>
      <c r="AD437" s="39">
        <v>10</v>
      </c>
      <c r="AE437" s="25" t="s">
        <v>3919</v>
      </c>
      <c r="AF437" s="39">
        <v>250</v>
      </c>
      <c r="AG437" s="39" t="s">
        <v>244</v>
      </c>
      <c r="AH437" s="39">
        <v>13</v>
      </c>
      <c r="AI437" s="25" t="s">
        <v>3920</v>
      </c>
      <c r="AJ437" s="39">
        <v>350</v>
      </c>
      <c r="AK437" s="39" t="s">
        <v>244</v>
      </c>
      <c r="AL437" s="39">
        <v>15</v>
      </c>
      <c r="AM437" s="25" t="s">
        <v>3921</v>
      </c>
      <c r="AN437" s="39">
        <v>450</v>
      </c>
      <c r="AO437" s="39" t="s">
        <v>244</v>
      </c>
      <c r="AP437" s="39">
        <v>17</v>
      </c>
      <c r="AR437" s="39"/>
    </row>
    <row r="438" spans="1:44" x14ac:dyDescent="0.2">
      <c r="A438" s="25" t="s">
        <v>1638</v>
      </c>
      <c r="B438" s="25" t="s">
        <v>1639</v>
      </c>
      <c r="T438" s="25" t="s">
        <v>1543</v>
      </c>
      <c r="U438" s="25">
        <v>4020</v>
      </c>
      <c r="V438" s="25" t="s">
        <v>2089</v>
      </c>
      <c r="W438" s="38" t="s">
        <v>2090</v>
      </c>
      <c r="X438" s="25">
        <v>34</v>
      </c>
      <c r="Y438" s="25" t="s">
        <v>116</v>
      </c>
      <c r="Z438" s="25" t="s">
        <v>1451</v>
      </c>
      <c r="AA438" s="25" t="s">
        <v>2091</v>
      </c>
      <c r="AB438" s="39">
        <v>60</v>
      </c>
      <c r="AC438" s="39">
        <v>5</v>
      </c>
      <c r="AD438" s="39">
        <v>7</v>
      </c>
      <c r="AE438" s="25">
        <v>20</v>
      </c>
      <c r="AF438" s="39">
        <v>90</v>
      </c>
      <c r="AG438" s="39">
        <v>5</v>
      </c>
      <c r="AH438" s="39">
        <v>9</v>
      </c>
      <c r="AI438" s="25">
        <v>30</v>
      </c>
      <c r="AJ438" s="39">
        <v>120</v>
      </c>
      <c r="AK438" s="39">
        <v>5</v>
      </c>
      <c r="AL438" s="39">
        <v>11</v>
      </c>
      <c r="AM438" s="25">
        <v>40</v>
      </c>
      <c r="AN438" s="39">
        <v>150</v>
      </c>
      <c r="AO438" s="39">
        <v>10</v>
      </c>
      <c r="AP438" s="39">
        <v>13</v>
      </c>
      <c r="AQ438" s="25" t="s">
        <v>1547</v>
      </c>
      <c r="AR438" s="39"/>
    </row>
    <row r="439" spans="1:44" x14ac:dyDescent="0.2">
      <c r="A439" s="25" t="s">
        <v>1638</v>
      </c>
      <c r="B439" s="25" t="s">
        <v>1831</v>
      </c>
      <c r="T439" s="25" t="s">
        <v>70</v>
      </c>
      <c r="U439" s="25">
        <v>12005</v>
      </c>
      <c r="V439" s="25" t="s">
        <v>3217</v>
      </c>
      <c r="W439" s="38" t="s">
        <v>6610</v>
      </c>
      <c r="X439" s="25">
        <v>40</v>
      </c>
      <c r="Y439" s="25" t="s">
        <v>164</v>
      </c>
      <c r="Z439" s="25" t="s">
        <v>1451</v>
      </c>
      <c r="AA439" s="25" t="s">
        <v>3218</v>
      </c>
      <c r="AB439" s="39">
        <v>80</v>
      </c>
      <c r="AC439" s="39">
        <v>20</v>
      </c>
      <c r="AD439" s="39">
        <v>7</v>
      </c>
      <c r="AE439" s="25" t="s">
        <v>3219</v>
      </c>
      <c r="AF439" s="39">
        <v>160</v>
      </c>
      <c r="AG439" s="39">
        <v>40</v>
      </c>
      <c r="AH439" s="39">
        <v>10</v>
      </c>
      <c r="AI439" s="25" t="s">
        <v>3220</v>
      </c>
      <c r="AJ439" s="39">
        <v>240</v>
      </c>
      <c r="AK439" s="39">
        <v>50</v>
      </c>
      <c r="AL439" s="39">
        <v>12</v>
      </c>
      <c r="AM439" s="25" t="s">
        <v>3221</v>
      </c>
      <c r="AN439" s="39">
        <v>320</v>
      </c>
      <c r="AO439" s="39">
        <v>60</v>
      </c>
      <c r="AP439" s="39">
        <v>15</v>
      </c>
      <c r="AR439" s="39" t="s">
        <v>6456</v>
      </c>
    </row>
    <row r="440" spans="1:44" x14ac:dyDescent="0.2">
      <c r="A440" s="25" t="s">
        <v>1638</v>
      </c>
      <c r="B440" s="25" t="s">
        <v>1992</v>
      </c>
      <c r="T440" s="25" t="s">
        <v>1531</v>
      </c>
      <c r="U440" s="25">
        <v>2018</v>
      </c>
      <c r="V440" s="25" t="s">
        <v>1759</v>
      </c>
      <c r="W440" s="38" t="s">
        <v>1760</v>
      </c>
      <c r="X440" s="25">
        <v>14</v>
      </c>
      <c r="Y440" s="25" t="s">
        <v>164</v>
      </c>
      <c r="Z440" s="25" t="s">
        <v>1451</v>
      </c>
      <c r="AA440" s="25" t="s">
        <v>1761</v>
      </c>
      <c r="AB440" s="39">
        <v>80</v>
      </c>
      <c r="AC440" s="39" t="s">
        <v>744</v>
      </c>
      <c r="AD440" s="39">
        <v>6</v>
      </c>
      <c r="AE440" s="25" t="s">
        <v>1762</v>
      </c>
      <c r="AF440" s="39">
        <v>140</v>
      </c>
      <c r="AG440" s="39" t="s">
        <v>744</v>
      </c>
      <c r="AH440" s="39">
        <v>9</v>
      </c>
      <c r="AI440" s="25" t="s">
        <v>1763</v>
      </c>
      <c r="AJ440" s="39">
        <v>200</v>
      </c>
      <c r="AK440" s="39" t="s">
        <v>744</v>
      </c>
      <c r="AL440" s="39">
        <v>12</v>
      </c>
      <c r="AM440" s="25" t="s">
        <v>1764</v>
      </c>
      <c r="AN440" s="39">
        <v>280</v>
      </c>
      <c r="AO440" s="39" t="s">
        <v>744</v>
      </c>
      <c r="AP440" s="39">
        <v>15</v>
      </c>
      <c r="AQ440" s="25" t="s">
        <v>1534</v>
      </c>
      <c r="AR440" s="39"/>
    </row>
    <row r="441" spans="1:44" x14ac:dyDescent="0.2">
      <c r="A441" s="25" t="s">
        <v>1638</v>
      </c>
      <c r="B441" s="25" t="s">
        <v>2151</v>
      </c>
      <c r="T441" s="25" t="s">
        <v>70</v>
      </c>
      <c r="U441" s="25">
        <v>2005</v>
      </c>
      <c r="V441" s="25" t="s">
        <v>1703</v>
      </c>
      <c r="W441" s="38" t="s">
        <v>1704</v>
      </c>
      <c r="X441" s="25">
        <v>6</v>
      </c>
      <c r="Y441" s="25" t="s">
        <v>1705</v>
      </c>
      <c r="Z441" s="25" t="s">
        <v>1451</v>
      </c>
      <c r="AA441" s="25" t="s">
        <v>1706</v>
      </c>
      <c r="AB441" s="39">
        <v>30</v>
      </c>
      <c r="AC441" s="39" t="s">
        <v>244</v>
      </c>
      <c r="AD441" s="39">
        <v>5</v>
      </c>
      <c r="AE441" s="25" t="s">
        <v>1707</v>
      </c>
      <c r="AF441" s="39">
        <v>80</v>
      </c>
      <c r="AG441" s="39" t="s">
        <v>244</v>
      </c>
      <c r="AH441" s="39">
        <v>8</v>
      </c>
      <c r="AI441" s="25" t="s">
        <v>1708</v>
      </c>
      <c r="AJ441" s="39">
        <v>120</v>
      </c>
      <c r="AK441" s="39" t="s">
        <v>244</v>
      </c>
      <c r="AL441" s="39">
        <v>10</v>
      </c>
      <c r="AM441" s="25" t="s">
        <v>1709</v>
      </c>
      <c r="AN441" s="39">
        <v>200</v>
      </c>
      <c r="AO441" s="39" t="s">
        <v>244</v>
      </c>
      <c r="AP441" s="39">
        <v>13</v>
      </c>
      <c r="AR441" s="39"/>
    </row>
    <row r="442" spans="1:44" x14ac:dyDescent="0.2">
      <c r="A442" s="25" t="s">
        <v>1638</v>
      </c>
      <c r="B442" s="25" t="s">
        <v>2308</v>
      </c>
      <c r="T442" s="25" t="s">
        <v>49</v>
      </c>
      <c r="U442" s="25">
        <v>5003</v>
      </c>
      <c r="V442" s="25" t="s">
        <v>2183</v>
      </c>
      <c r="W442" s="38" t="s">
        <v>2184</v>
      </c>
      <c r="X442" s="25">
        <v>12</v>
      </c>
      <c r="Y442" s="25" t="s">
        <v>164</v>
      </c>
      <c r="Z442" s="25" t="s">
        <v>1451</v>
      </c>
      <c r="AA442" s="25" t="s">
        <v>1634</v>
      </c>
      <c r="AB442" s="39">
        <v>60</v>
      </c>
      <c r="AC442" s="39">
        <v>5</v>
      </c>
      <c r="AD442" s="39">
        <v>6</v>
      </c>
      <c r="AE442" s="25" t="s">
        <v>1844</v>
      </c>
      <c r="AF442" s="39">
        <v>90</v>
      </c>
      <c r="AG442" s="39">
        <v>5</v>
      </c>
      <c r="AH442" s="39">
        <v>8</v>
      </c>
      <c r="AI442" s="25" t="s">
        <v>1979</v>
      </c>
      <c r="AJ442" s="39">
        <v>120</v>
      </c>
      <c r="AK442" s="39">
        <v>5</v>
      </c>
      <c r="AL442" s="39">
        <v>10</v>
      </c>
      <c r="AM442" s="25" t="s">
        <v>1845</v>
      </c>
      <c r="AN442" s="39">
        <v>150</v>
      </c>
      <c r="AO442" s="39">
        <v>10</v>
      </c>
      <c r="AP442" s="39">
        <v>12</v>
      </c>
      <c r="AR442" s="39"/>
    </row>
    <row r="443" spans="1:44" x14ac:dyDescent="0.2">
      <c r="A443" s="25" t="s">
        <v>1638</v>
      </c>
      <c r="B443" s="25" t="s">
        <v>2464</v>
      </c>
      <c r="T443" s="25" t="s">
        <v>101</v>
      </c>
      <c r="U443" s="25">
        <v>22011</v>
      </c>
      <c r="V443" s="25" t="s">
        <v>3737</v>
      </c>
      <c r="W443" s="38" t="s">
        <v>3738</v>
      </c>
      <c r="X443" s="25">
        <v>56</v>
      </c>
      <c r="Y443" s="25" t="s">
        <v>164</v>
      </c>
      <c r="Z443" s="25" t="s">
        <v>1451</v>
      </c>
      <c r="AA443" s="25" t="s">
        <v>3616</v>
      </c>
      <c r="AB443" s="39">
        <v>100</v>
      </c>
      <c r="AC443" s="39">
        <v>10</v>
      </c>
      <c r="AD443" s="39">
        <v>9</v>
      </c>
      <c r="AE443" s="25" t="s">
        <v>3617</v>
      </c>
      <c r="AF443" s="39">
        <v>200</v>
      </c>
      <c r="AG443" s="39">
        <v>20</v>
      </c>
      <c r="AH443" s="39">
        <v>11</v>
      </c>
      <c r="AI443" s="25" t="s">
        <v>3618</v>
      </c>
      <c r="AJ443" s="39">
        <v>300</v>
      </c>
      <c r="AK443" s="39">
        <v>30</v>
      </c>
      <c r="AL443" s="39">
        <v>13</v>
      </c>
      <c r="AM443" s="25" t="s">
        <v>3739</v>
      </c>
      <c r="AN443" s="39">
        <v>400</v>
      </c>
      <c r="AO443" s="39">
        <v>40</v>
      </c>
      <c r="AP443" s="39">
        <v>16</v>
      </c>
      <c r="AR443" s="39"/>
    </row>
    <row r="444" spans="1:44" x14ac:dyDescent="0.2">
      <c r="A444" s="25" t="s">
        <v>1638</v>
      </c>
      <c r="B444" s="25" t="s">
        <v>2634</v>
      </c>
      <c r="T444" s="25" t="s">
        <v>1631</v>
      </c>
      <c r="U444" s="25">
        <v>4315</v>
      </c>
      <c r="V444" s="25" t="s">
        <v>2145</v>
      </c>
      <c r="W444" s="38" t="s">
        <v>2146</v>
      </c>
      <c r="X444" s="25" t="s">
        <v>1633</v>
      </c>
      <c r="Y444" s="25" t="s">
        <v>1582</v>
      </c>
      <c r="Z444" s="25" t="s">
        <v>1451</v>
      </c>
      <c r="AA444" s="25" t="s">
        <v>2147</v>
      </c>
      <c r="AB444" s="39">
        <v>80</v>
      </c>
      <c r="AC444" s="39">
        <v>10</v>
      </c>
      <c r="AD444" s="39">
        <v>7</v>
      </c>
      <c r="AE444" s="25" t="s">
        <v>2148</v>
      </c>
      <c r="AF444" s="39">
        <v>100</v>
      </c>
      <c r="AG444" s="39">
        <v>10</v>
      </c>
      <c r="AH444" s="39">
        <v>10</v>
      </c>
      <c r="AI444" s="25" t="s">
        <v>2149</v>
      </c>
      <c r="AJ444" s="39">
        <v>140</v>
      </c>
      <c r="AK444" s="39">
        <v>15</v>
      </c>
      <c r="AL444" s="39">
        <v>12</v>
      </c>
      <c r="AM444" s="25" t="s">
        <v>2150</v>
      </c>
      <c r="AN444" s="39">
        <v>180</v>
      </c>
      <c r="AO444" s="39">
        <v>20</v>
      </c>
      <c r="AP444" s="39">
        <v>14</v>
      </c>
      <c r="AQ444" s="25" t="s">
        <v>61</v>
      </c>
      <c r="AR444" s="39"/>
    </row>
    <row r="445" spans="1:44" x14ac:dyDescent="0.2">
      <c r="A445" s="25" t="s">
        <v>1638</v>
      </c>
      <c r="B445" s="25" t="s">
        <v>2788</v>
      </c>
      <c r="T445" s="25" t="s">
        <v>90</v>
      </c>
      <c r="U445" s="25">
        <v>8009</v>
      </c>
      <c r="V445" s="25" t="s">
        <v>2695</v>
      </c>
      <c r="W445" s="38" t="s">
        <v>2696</v>
      </c>
      <c r="X445" s="25">
        <v>26</v>
      </c>
      <c r="Y445" s="25" t="s">
        <v>1582</v>
      </c>
      <c r="Z445" s="25" t="s">
        <v>1451</v>
      </c>
      <c r="AA445" s="25" t="s">
        <v>1668</v>
      </c>
      <c r="AB445" s="39">
        <v>50</v>
      </c>
      <c r="AC445" s="39">
        <v>5</v>
      </c>
      <c r="AD445" s="39">
        <v>6</v>
      </c>
      <c r="AE445" s="25" t="s">
        <v>1586</v>
      </c>
      <c r="AF445" s="39">
        <v>80</v>
      </c>
      <c r="AG445" s="39">
        <v>10</v>
      </c>
      <c r="AH445" s="39">
        <v>8</v>
      </c>
      <c r="AI445" s="25" t="s">
        <v>1669</v>
      </c>
      <c r="AJ445" s="39">
        <v>100</v>
      </c>
      <c r="AK445" s="39">
        <v>10</v>
      </c>
      <c r="AL445" s="39">
        <v>10</v>
      </c>
      <c r="AM445" s="25" t="s">
        <v>2104</v>
      </c>
      <c r="AN445" s="39">
        <v>140</v>
      </c>
      <c r="AO445" s="39">
        <v>15</v>
      </c>
      <c r="AP445" s="39">
        <v>12</v>
      </c>
      <c r="AR445" s="39"/>
    </row>
    <row r="446" spans="1:44" x14ac:dyDescent="0.2">
      <c r="A446" s="25" t="s">
        <v>1638</v>
      </c>
      <c r="B446" s="25" t="s">
        <v>2941</v>
      </c>
      <c r="T446" s="25" t="s">
        <v>1646</v>
      </c>
      <c r="U446" s="25">
        <v>7515</v>
      </c>
      <c r="V446" s="25" t="s">
        <v>2640</v>
      </c>
      <c r="W446" s="38" t="s">
        <v>6563</v>
      </c>
      <c r="X446" s="25" t="s">
        <v>1649</v>
      </c>
      <c r="Y446" s="25" t="s">
        <v>164</v>
      </c>
      <c r="Z446" s="25" t="s">
        <v>1451</v>
      </c>
      <c r="AA446" s="25" t="s">
        <v>2641</v>
      </c>
      <c r="AB446" s="39">
        <v>100</v>
      </c>
      <c r="AC446" s="39">
        <v>10</v>
      </c>
      <c r="AD446" s="39">
        <v>8</v>
      </c>
      <c r="AE446" s="25" t="s">
        <v>2642</v>
      </c>
      <c r="AF446" s="39">
        <v>140</v>
      </c>
      <c r="AG446" s="39">
        <v>15</v>
      </c>
      <c r="AH446" s="39">
        <v>10</v>
      </c>
      <c r="AI446" s="25" t="s">
        <v>2643</v>
      </c>
      <c r="AJ446" s="39">
        <v>180</v>
      </c>
      <c r="AK446" s="39">
        <v>15</v>
      </c>
      <c r="AL446" s="39">
        <v>12</v>
      </c>
      <c r="AM446" s="25" t="s">
        <v>2644</v>
      </c>
      <c r="AN446" s="39">
        <v>220</v>
      </c>
      <c r="AO446" s="39">
        <v>20</v>
      </c>
      <c r="AP446" s="39">
        <v>15</v>
      </c>
      <c r="AQ446" s="25" t="s">
        <v>94</v>
      </c>
      <c r="AR446" s="39" t="s">
        <v>6456</v>
      </c>
    </row>
    <row r="447" spans="1:44" x14ac:dyDescent="0.2">
      <c r="A447" s="25" t="s">
        <v>1638</v>
      </c>
      <c r="B447" s="25" t="s">
        <v>3087</v>
      </c>
      <c r="T447" s="25" t="s">
        <v>1523</v>
      </c>
      <c r="U447" s="25">
        <v>1017</v>
      </c>
      <c r="V447" s="25" t="s">
        <v>1524</v>
      </c>
      <c r="W447" s="38" t="s">
        <v>1525</v>
      </c>
      <c r="X447" s="25">
        <v>4</v>
      </c>
      <c r="Y447" s="25" t="s">
        <v>164</v>
      </c>
      <c r="Z447" s="25" t="s">
        <v>1451</v>
      </c>
      <c r="AA447" s="25" t="s">
        <v>1526</v>
      </c>
      <c r="AB447" s="39">
        <v>30</v>
      </c>
      <c r="AC447" s="39" t="s">
        <v>744</v>
      </c>
      <c r="AD447" s="39">
        <v>5</v>
      </c>
      <c r="AE447" s="25" t="s">
        <v>1527</v>
      </c>
      <c r="AF447" s="39">
        <v>60</v>
      </c>
      <c r="AG447" s="39" t="s">
        <v>744</v>
      </c>
      <c r="AH447" s="39">
        <v>8</v>
      </c>
      <c r="AI447" s="25" t="s">
        <v>1528</v>
      </c>
      <c r="AJ447" s="39">
        <v>90</v>
      </c>
      <c r="AK447" s="39" t="s">
        <v>744</v>
      </c>
      <c r="AL447" s="39">
        <v>11</v>
      </c>
      <c r="AM447" s="25" t="s">
        <v>1529</v>
      </c>
      <c r="AN447" s="39">
        <v>120</v>
      </c>
      <c r="AO447" s="39" t="s">
        <v>744</v>
      </c>
      <c r="AP447" s="39">
        <v>13</v>
      </c>
      <c r="AQ447" s="25" t="s">
        <v>1530</v>
      </c>
      <c r="AR447" s="39"/>
    </row>
    <row r="448" spans="1:44" x14ac:dyDescent="0.2">
      <c r="A448" s="25" t="s">
        <v>1638</v>
      </c>
      <c r="B448" s="25" t="s">
        <v>3175</v>
      </c>
      <c r="T448" s="25" t="s">
        <v>1638</v>
      </c>
      <c r="U448" s="25">
        <v>12415</v>
      </c>
      <c r="V448" s="25" t="s">
        <v>3266</v>
      </c>
      <c r="W448" s="38" t="s">
        <v>3267</v>
      </c>
      <c r="X448" s="25" t="s">
        <v>1641</v>
      </c>
      <c r="Y448" s="25" t="s">
        <v>1498</v>
      </c>
      <c r="Z448" s="25" t="s">
        <v>1451</v>
      </c>
      <c r="AA448" s="25" t="s">
        <v>1651</v>
      </c>
      <c r="AB448" s="39">
        <v>60</v>
      </c>
      <c r="AC448" s="39">
        <v>5</v>
      </c>
      <c r="AD448" s="39">
        <v>6</v>
      </c>
      <c r="AE448" s="25" t="s">
        <v>1824</v>
      </c>
      <c r="AF448" s="39">
        <v>90</v>
      </c>
      <c r="AG448" s="39">
        <v>5</v>
      </c>
      <c r="AH448" s="39">
        <v>9</v>
      </c>
      <c r="AI448" s="25" t="s">
        <v>2388</v>
      </c>
      <c r="AJ448" s="39">
        <v>120</v>
      </c>
      <c r="AK448" s="39">
        <v>10</v>
      </c>
      <c r="AL448" s="39">
        <v>12</v>
      </c>
      <c r="AM448" s="25" t="s">
        <v>3268</v>
      </c>
      <c r="AN448" s="39">
        <v>150</v>
      </c>
      <c r="AO448" s="39">
        <v>10</v>
      </c>
      <c r="AP448" s="39">
        <v>15</v>
      </c>
      <c r="AQ448" s="25" t="s">
        <v>39</v>
      </c>
      <c r="AR448" s="39"/>
    </row>
    <row r="449" spans="1:44" x14ac:dyDescent="0.2">
      <c r="A449" s="25" t="s">
        <v>1638</v>
      </c>
      <c r="B449" s="25" t="s">
        <v>3266</v>
      </c>
      <c r="T449" s="25" t="s">
        <v>60</v>
      </c>
      <c r="U449" s="25">
        <v>2008</v>
      </c>
      <c r="V449" s="25" t="s">
        <v>1721</v>
      </c>
      <c r="W449" s="38" t="s">
        <v>1722</v>
      </c>
      <c r="X449" s="25">
        <v>6</v>
      </c>
      <c r="Y449" s="25" t="s">
        <v>164</v>
      </c>
      <c r="Z449" s="25" t="s">
        <v>1451</v>
      </c>
      <c r="AA449" s="25" t="s">
        <v>1723</v>
      </c>
      <c r="AB449" s="39">
        <v>30</v>
      </c>
      <c r="AC449" s="39">
        <v>5</v>
      </c>
      <c r="AD449" s="39">
        <v>5</v>
      </c>
      <c r="AE449" s="25" t="s">
        <v>1724</v>
      </c>
      <c r="AF449" s="39">
        <v>60</v>
      </c>
      <c r="AG449" s="39">
        <v>10</v>
      </c>
      <c r="AH449" s="39">
        <v>8</v>
      </c>
      <c r="AI449" s="25" t="s">
        <v>1725</v>
      </c>
      <c r="AJ449" s="39">
        <v>90</v>
      </c>
      <c r="AK449" s="39">
        <v>10</v>
      </c>
      <c r="AL449" s="39">
        <v>10</v>
      </c>
      <c r="AM449" s="25" t="s">
        <v>1726</v>
      </c>
      <c r="AN449" s="39">
        <v>120</v>
      </c>
      <c r="AO449" s="39">
        <v>15</v>
      </c>
      <c r="AP449" s="39">
        <v>12</v>
      </c>
      <c r="AR449" s="39"/>
    </row>
    <row r="450" spans="1:44" x14ac:dyDescent="0.2">
      <c r="A450" s="25" t="s">
        <v>1646</v>
      </c>
      <c r="B450" s="25" t="s">
        <v>1647</v>
      </c>
      <c r="T450" s="25" t="s">
        <v>1509</v>
      </c>
      <c r="U450" s="25">
        <v>2015</v>
      </c>
      <c r="V450" s="25" t="s">
        <v>1743</v>
      </c>
      <c r="W450" s="38" t="s">
        <v>1744</v>
      </c>
      <c r="X450" s="25" t="s">
        <v>1512</v>
      </c>
      <c r="Y450" s="25" t="s">
        <v>164</v>
      </c>
      <c r="Z450" s="25" t="s">
        <v>1451</v>
      </c>
      <c r="AA450" s="25" t="s">
        <v>1745</v>
      </c>
      <c r="AB450" s="39">
        <v>30</v>
      </c>
      <c r="AC450" s="39">
        <v>5</v>
      </c>
      <c r="AD450" s="39">
        <v>5</v>
      </c>
      <c r="AE450" s="25" t="s">
        <v>1746</v>
      </c>
      <c r="AF450" s="39">
        <v>70</v>
      </c>
      <c r="AG450" s="39">
        <v>10</v>
      </c>
      <c r="AH450" s="39">
        <v>8</v>
      </c>
      <c r="AI450" s="25" t="s">
        <v>1747</v>
      </c>
      <c r="AJ450" s="39">
        <v>90</v>
      </c>
      <c r="AK450" s="39">
        <v>10</v>
      </c>
      <c r="AL450" s="39">
        <v>10</v>
      </c>
      <c r="AM450" s="25" t="s">
        <v>1748</v>
      </c>
      <c r="AN450" s="39">
        <v>120</v>
      </c>
      <c r="AO450" s="39">
        <v>15</v>
      </c>
      <c r="AP450" s="39">
        <v>12</v>
      </c>
      <c r="AQ450" s="25" t="s">
        <v>1749</v>
      </c>
      <c r="AR450" s="39"/>
    </row>
    <row r="451" spans="1:44" x14ac:dyDescent="0.2">
      <c r="A451" s="25" t="s">
        <v>1646</v>
      </c>
      <c r="B451" s="25" t="s">
        <v>1837</v>
      </c>
      <c r="T451" s="25" t="s">
        <v>60</v>
      </c>
      <c r="U451" s="25">
        <v>19008</v>
      </c>
      <c r="V451" s="25" t="s">
        <v>3597</v>
      </c>
      <c r="W451" s="38" t="s">
        <v>3598</v>
      </c>
      <c r="X451" s="25">
        <v>62</v>
      </c>
      <c r="Y451" s="25" t="s">
        <v>117</v>
      </c>
      <c r="Z451" s="25" t="s">
        <v>1557</v>
      </c>
      <c r="AA451" s="25" t="s">
        <v>3599</v>
      </c>
      <c r="AB451" s="39">
        <v>120</v>
      </c>
      <c r="AC451" s="39">
        <v>15</v>
      </c>
      <c r="AD451" s="39">
        <v>7</v>
      </c>
      <c r="AE451" s="25" t="s">
        <v>3600</v>
      </c>
      <c r="AF451" s="39">
        <v>180</v>
      </c>
      <c r="AG451" s="39">
        <v>20</v>
      </c>
      <c r="AH451" s="39">
        <v>10</v>
      </c>
      <c r="AI451" s="25" t="s">
        <v>3601</v>
      </c>
      <c r="AJ451" s="39">
        <v>240</v>
      </c>
      <c r="AK451" s="39">
        <v>25</v>
      </c>
      <c r="AL451" s="39">
        <v>12</v>
      </c>
      <c r="AM451" s="25" t="s">
        <v>3602</v>
      </c>
      <c r="AN451" s="39">
        <v>300</v>
      </c>
      <c r="AO451" s="39">
        <v>30</v>
      </c>
      <c r="AP451" s="39">
        <v>15</v>
      </c>
      <c r="AR451" s="39"/>
    </row>
    <row r="452" spans="1:44" x14ac:dyDescent="0.2">
      <c r="A452" s="25" t="s">
        <v>1646</v>
      </c>
      <c r="B452" s="25" t="s">
        <v>1997</v>
      </c>
      <c r="T452" s="25" t="s">
        <v>60</v>
      </c>
      <c r="U452" s="25">
        <v>5008</v>
      </c>
      <c r="V452" s="25" t="s">
        <v>2208</v>
      </c>
      <c r="W452" s="38" t="s">
        <v>2209</v>
      </c>
      <c r="X452" s="25">
        <v>16</v>
      </c>
      <c r="Y452" s="25" t="s">
        <v>164</v>
      </c>
      <c r="Z452" s="25" t="s">
        <v>1451</v>
      </c>
      <c r="AA452" s="25" t="s">
        <v>2048</v>
      </c>
      <c r="AB452" s="39">
        <v>50</v>
      </c>
      <c r="AC452" s="39">
        <v>5</v>
      </c>
      <c r="AD452" s="39">
        <v>6</v>
      </c>
      <c r="AE452" s="25" t="s">
        <v>2210</v>
      </c>
      <c r="AF452" s="39">
        <v>80</v>
      </c>
      <c r="AG452" s="39">
        <v>10</v>
      </c>
      <c r="AH452" s="39">
        <v>8</v>
      </c>
      <c r="AI452" s="25" t="s">
        <v>2211</v>
      </c>
      <c r="AJ452" s="39">
        <v>110</v>
      </c>
      <c r="AK452" s="39">
        <v>10</v>
      </c>
      <c r="AL452" s="39">
        <v>10</v>
      </c>
      <c r="AM452" s="25" t="s">
        <v>2212</v>
      </c>
      <c r="AN452" s="39">
        <v>150</v>
      </c>
      <c r="AO452" s="39">
        <v>15</v>
      </c>
      <c r="AP452" s="39">
        <v>12</v>
      </c>
      <c r="AR452" s="39"/>
    </row>
    <row r="453" spans="1:44" x14ac:dyDescent="0.2">
      <c r="A453" s="25" t="s">
        <v>1646</v>
      </c>
      <c r="B453" s="25" t="s">
        <v>2154</v>
      </c>
      <c r="T453" s="25" t="s">
        <v>1646</v>
      </c>
      <c r="U453" s="25">
        <v>4515</v>
      </c>
      <c r="V453" s="25" t="s">
        <v>2154</v>
      </c>
      <c r="W453" s="38" t="s">
        <v>2155</v>
      </c>
      <c r="X453" s="25" t="s">
        <v>1649</v>
      </c>
      <c r="Y453" s="25" t="s">
        <v>1582</v>
      </c>
      <c r="Z453" s="25" t="s">
        <v>1451</v>
      </c>
      <c r="AA453" s="25" t="s">
        <v>1999</v>
      </c>
      <c r="AB453" s="39">
        <v>80</v>
      </c>
      <c r="AC453" s="39">
        <v>5</v>
      </c>
      <c r="AD453" s="39">
        <v>8</v>
      </c>
      <c r="AE453" s="25" t="s">
        <v>1823</v>
      </c>
      <c r="AF453" s="39">
        <v>100</v>
      </c>
      <c r="AG453" s="39">
        <v>5</v>
      </c>
      <c r="AH453" s="39">
        <v>10</v>
      </c>
      <c r="AI453" s="25" t="s">
        <v>1824</v>
      </c>
      <c r="AJ453" s="39">
        <v>120</v>
      </c>
      <c r="AK453" s="39">
        <v>10</v>
      </c>
      <c r="AL453" s="39">
        <v>12</v>
      </c>
      <c r="AM453" s="25" t="s">
        <v>2000</v>
      </c>
      <c r="AN453" s="39">
        <v>140</v>
      </c>
      <c r="AO453" s="39">
        <v>10</v>
      </c>
      <c r="AP453" s="39">
        <v>14</v>
      </c>
      <c r="AQ453" s="25" t="s">
        <v>49</v>
      </c>
      <c r="AR453" s="39"/>
    </row>
    <row r="454" spans="1:44" x14ac:dyDescent="0.2">
      <c r="A454" s="25" t="s">
        <v>1646</v>
      </c>
      <c r="B454" s="25" t="s">
        <v>2313</v>
      </c>
      <c r="T454" s="25" t="s">
        <v>61</v>
      </c>
      <c r="U454" s="25">
        <v>29004</v>
      </c>
      <c r="V454" s="25" t="s">
        <v>1535</v>
      </c>
      <c r="W454" s="38" t="s">
        <v>3993</v>
      </c>
      <c r="X454" s="25">
        <v>72</v>
      </c>
      <c r="Y454" s="25" t="s">
        <v>1582</v>
      </c>
      <c r="Z454" s="25" t="s">
        <v>1451</v>
      </c>
      <c r="AA454" s="25" t="s">
        <v>3994</v>
      </c>
      <c r="AB454" s="39">
        <v>200</v>
      </c>
      <c r="AC454" s="39" t="s">
        <v>244</v>
      </c>
      <c r="AD454" s="39">
        <v>10</v>
      </c>
      <c r="AE454" s="25" t="s">
        <v>3373</v>
      </c>
      <c r="AF454" s="39">
        <v>250</v>
      </c>
      <c r="AG454" s="39" t="s">
        <v>244</v>
      </c>
      <c r="AH454" s="39">
        <v>12</v>
      </c>
      <c r="AI454" s="25" t="s">
        <v>3374</v>
      </c>
      <c r="AJ454" s="39">
        <v>300</v>
      </c>
      <c r="AK454" s="39" t="s">
        <v>244</v>
      </c>
      <c r="AL454" s="39">
        <v>14</v>
      </c>
      <c r="AM454" s="25" t="s">
        <v>3375</v>
      </c>
      <c r="AN454" s="39">
        <v>350</v>
      </c>
      <c r="AO454" s="39" t="s">
        <v>244</v>
      </c>
      <c r="AP454" s="39">
        <v>16</v>
      </c>
      <c r="AR454" s="39"/>
    </row>
    <row r="455" spans="1:44" x14ac:dyDescent="0.2">
      <c r="A455" s="25" t="s">
        <v>1646</v>
      </c>
      <c r="B455" s="25" t="s">
        <v>2470</v>
      </c>
      <c r="T455" s="25" t="s">
        <v>94</v>
      </c>
      <c r="U455" s="25">
        <v>29010</v>
      </c>
      <c r="V455" s="25" t="s">
        <v>4008</v>
      </c>
      <c r="W455" s="38" t="s">
        <v>6561</v>
      </c>
      <c r="X455" s="25">
        <v>96</v>
      </c>
      <c r="Y455" s="25" t="s">
        <v>1498</v>
      </c>
      <c r="Z455" s="25" t="s">
        <v>1451</v>
      </c>
      <c r="AA455" s="25" t="s">
        <v>4009</v>
      </c>
      <c r="AB455" s="39">
        <v>500</v>
      </c>
      <c r="AC455" s="39">
        <v>50</v>
      </c>
      <c r="AD455" s="39">
        <v>13</v>
      </c>
      <c r="AE455" s="25" t="s">
        <v>4010</v>
      </c>
      <c r="AF455" s="39">
        <v>900</v>
      </c>
      <c r="AG455" s="39">
        <v>90</v>
      </c>
      <c r="AH455" s="39">
        <v>15</v>
      </c>
      <c r="AI455" s="25" t="s">
        <v>4011</v>
      </c>
      <c r="AJ455" s="39">
        <v>1400</v>
      </c>
      <c r="AK455" s="39">
        <v>140</v>
      </c>
      <c r="AL455" s="39">
        <v>17</v>
      </c>
      <c r="AM455" s="25" t="s">
        <v>4012</v>
      </c>
      <c r="AN455" s="39">
        <v>2000</v>
      </c>
      <c r="AO455" s="39">
        <v>200</v>
      </c>
      <c r="AP455" s="39">
        <v>19</v>
      </c>
      <c r="AR455" s="39" t="s">
        <v>6456</v>
      </c>
    </row>
    <row r="456" spans="1:44" x14ac:dyDescent="0.2">
      <c r="A456" s="25" t="s">
        <v>1646</v>
      </c>
      <c r="B456" s="25" t="s">
        <v>2640</v>
      </c>
      <c r="T456" s="25" t="s">
        <v>132</v>
      </c>
      <c r="U456" s="25">
        <v>3021</v>
      </c>
      <c r="V456" s="25" t="s">
        <v>1941</v>
      </c>
      <c r="W456" s="38" t="s">
        <v>6518</v>
      </c>
      <c r="X456" s="25">
        <v>24</v>
      </c>
      <c r="Y456" s="25" t="s">
        <v>164</v>
      </c>
      <c r="Z456" s="25" t="s">
        <v>1451</v>
      </c>
      <c r="AA456" s="25" t="s">
        <v>1942</v>
      </c>
      <c r="AB456" s="39">
        <v>60</v>
      </c>
      <c r="AC456" s="39" t="s">
        <v>744</v>
      </c>
      <c r="AD456" s="39">
        <v>6</v>
      </c>
      <c r="AE456" s="25">
        <v>180</v>
      </c>
      <c r="AF456" s="39">
        <v>90</v>
      </c>
      <c r="AG456" s="39" t="s">
        <v>744</v>
      </c>
      <c r="AH456" s="39">
        <v>9</v>
      </c>
      <c r="AI456" s="25">
        <v>240</v>
      </c>
      <c r="AJ456" s="39">
        <v>120</v>
      </c>
      <c r="AK456" s="39" t="s">
        <v>744</v>
      </c>
      <c r="AL456" s="39">
        <v>11</v>
      </c>
      <c r="AM456" s="25">
        <v>280</v>
      </c>
      <c r="AN456" s="39">
        <v>150</v>
      </c>
      <c r="AO456" s="39" t="s">
        <v>744</v>
      </c>
      <c r="AP456" s="39">
        <v>13</v>
      </c>
      <c r="AQ456" s="25" t="s">
        <v>1553</v>
      </c>
      <c r="AR456" s="39" t="s">
        <v>6456</v>
      </c>
    </row>
    <row r="457" spans="1:44" x14ac:dyDescent="0.2">
      <c r="A457" s="25" t="s">
        <v>1646</v>
      </c>
      <c r="B457" s="25" t="s">
        <v>2789</v>
      </c>
      <c r="T457" s="25" t="s">
        <v>1516</v>
      </c>
      <c r="U457" s="25">
        <v>8016</v>
      </c>
      <c r="V457" s="25" t="s">
        <v>2712</v>
      </c>
      <c r="W457" s="38" t="s">
        <v>2713</v>
      </c>
      <c r="X457" s="25">
        <v>74</v>
      </c>
      <c r="Y457" s="25" t="s">
        <v>164</v>
      </c>
      <c r="Z457" s="25" t="s">
        <v>1451</v>
      </c>
      <c r="AA457" s="25" t="s">
        <v>2714</v>
      </c>
      <c r="AB457" s="39">
        <v>200</v>
      </c>
      <c r="AC457" s="39" t="s">
        <v>744</v>
      </c>
      <c r="AD457" s="39">
        <v>8</v>
      </c>
      <c r="AE457" s="25" t="s">
        <v>2715</v>
      </c>
      <c r="AF457" s="39">
        <v>400</v>
      </c>
      <c r="AG457" s="39" t="s">
        <v>744</v>
      </c>
      <c r="AH457" s="39">
        <v>11</v>
      </c>
      <c r="AI457" s="25" t="s">
        <v>2716</v>
      </c>
      <c r="AJ457" s="39">
        <v>800</v>
      </c>
      <c r="AK457" s="39" t="s">
        <v>744</v>
      </c>
      <c r="AL457" s="39">
        <v>13</v>
      </c>
      <c r="AM457" s="25" t="s">
        <v>2717</v>
      </c>
      <c r="AN457" s="39">
        <v>1200</v>
      </c>
      <c r="AO457" s="39" t="s">
        <v>744</v>
      </c>
      <c r="AP457" s="39">
        <v>15</v>
      </c>
      <c r="AQ457" s="25" t="s">
        <v>1522</v>
      </c>
      <c r="AR457" s="39"/>
    </row>
    <row r="458" spans="1:44" x14ac:dyDescent="0.2">
      <c r="A458" s="25" t="s">
        <v>1646</v>
      </c>
      <c r="B458" s="25" t="s">
        <v>2945</v>
      </c>
      <c r="T458" s="25" t="s">
        <v>101</v>
      </c>
      <c r="U458" s="25">
        <v>9011</v>
      </c>
      <c r="V458" s="25" t="s">
        <v>2856</v>
      </c>
      <c r="W458" s="38" t="s">
        <v>2857</v>
      </c>
      <c r="X458" s="25">
        <v>22</v>
      </c>
      <c r="Y458" s="25" t="s">
        <v>164</v>
      </c>
      <c r="Z458" s="25" t="s">
        <v>1451</v>
      </c>
      <c r="AA458" s="25" t="s">
        <v>2669</v>
      </c>
      <c r="AB458" s="39">
        <v>80</v>
      </c>
      <c r="AC458" s="39" t="s">
        <v>244</v>
      </c>
      <c r="AD458" s="39">
        <v>8</v>
      </c>
      <c r="AE458" s="25" t="s">
        <v>2858</v>
      </c>
      <c r="AF458" s="39">
        <v>100</v>
      </c>
      <c r="AG458" s="39" t="s">
        <v>244</v>
      </c>
      <c r="AH458" s="39">
        <v>10</v>
      </c>
      <c r="AI458" s="25" t="s">
        <v>2670</v>
      </c>
      <c r="AJ458" s="39">
        <v>120</v>
      </c>
      <c r="AK458" s="39" t="s">
        <v>244</v>
      </c>
      <c r="AL458" s="39">
        <v>12</v>
      </c>
      <c r="AM458" s="25" t="s">
        <v>2671</v>
      </c>
      <c r="AN458" s="39">
        <v>140</v>
      </c>
      <c r="AO458" s="39" t="s">
        <v>244</v>
      </c>
      <c r="AP458" s="39">
        <v>14</v>
      </c>
      <c r="AR458" s="39"/>
    </row>
    <row r="459" spans="1:44" x14ac:dyDescent="0.2">
      <c r="A459" s="25" t="s">
        <v>1646</v>
      </c>
      <c r="B459" s="25" t="s">
        <v>3091</v>
      </c>
      <c r="T459" s="25" t="s">
        <v>61</v>
      </c>
      <c r="U459" s="25">
        <v>23004</v>
      </c>
      <c r="V459" s="25" t="s">
        <v>3748</v>
      </c>
      <c r="W459" s="38" t="s">
        <v>3749</v>
      </c>
      <c r="X459" s="25">
        <v>58</v>
      </c>
      <c r="Y459" s="25" t="s">
        <v>1582</v>
      </c>
      <c r="Z459" s="25" t="s">
        <v>1451</v>
      </c>
      <c r="AA459" s="25" t="s">
        <v>1667</v>
      </c>
      <c r="AB459" s="39">
        <v>100</v>
      </c>
      <c r="AC459" s="39">
        <v>10</v>
      </c>
      <c r="AD459" s="39">
        <v>7</v>
      </c>
      <c r="AE459" s="25" t="s">
        <v>1586</v>
      </c>
      <c r="AF459" s="39">
        <v>180</v>
      </c>
      <c r="AG459" s="39">
        <v>15</v>
      </c>
      <c r="AH459" s="39">
        <v>10</v>
      </c>
      <c r="AI459" s="25" t="s">
        <v>2104</v>
      </c>
      <c r="AJ459" s="39">
        <v>240</v>
      </c>
      <c r="AK459" s="39">
        <v>25</v>
      </c>
      <c r="AL459" s="39">
        <v>13</v>
      </c>
      <c r="AM459" s="25" t="s">
        <v>2223</v>
      </c>
      <c r="AN459" s="39">
        <v>300</v>
      </c>
      <c r="AO459" s="39">
        <v>30</v>
      </c>
      <c r="AP459" s="39">
        <v>16</v>
      </c>
      <c r="AR459" s="39"/>
    </row>
    <row r="460" spans="1:44" x14ac:dyDescent="0.2">
      <c r="A460" s="25" t="s">
        <v>1646</v>
      </c>
      <c r="B460" s="25" t="s">
        <v>3181</v>
      </c>
      <c r="T460" s="25" t="s">
        <v>1611</v>
      </c>
      <c r="U460" s="25">
        <v>5029</v>
      </c>
      <c r="V460" s="25" t="s">
        <v>2288</v>
      </c>
      <c r="W460" s="38" t="s">
        <v>2289</v>
      </c>
      <c r="X460" s="25">
        <v>44</v>
      </c>
      <c r="Y460" s="25" t="s">
        <v>116</v>
      </c>
      <c r="Z460" s="25" t="s">
        <v>1451</v>
      </c>
      <c r="AA460" s="25" t="s">
        <v>2290</v>
      </c>
      <c r="AB460" s="39">
        <v>100</v>
      </c>
      <c r="AC460" s="39">
        <v>5</v>
      </c>
      <c r="AD460" s="39">
        <v>6</v>
      </c>
      <c r="AE460" s="25">
        <v>120</v>
      </c>
      <c r="AF460" s="39">
        <v>150</v>
      </c>
      <c r="AG460" s="39">
        <v>10</v>
      </c>
      <c r="AH460" s="39">
        <v>9</v>
      </c>
      <c r="AI460" s="25">
        <v>160</v>
      </c>
      <c r="AJ460" s="39">
        <v>200</v>
      </c>
      <c r="AK460" s="39">
        <v>10</v>
      </c>
      <c r="AL460" s="39">
        <v>12</v>
      </c>
      <c r="AM460" s="25">
        <v>200</v>
      </c>
      <c r="AN460" s="39">
        <v>250</v>
      </c>
      <c r="AO460" s="39">
        <v>15</v>
      </c>
      <c r="AP460" s="39">
        <v>15</v>
      </c>
      <c r="AQ460" s="25" t="s">
        <v>1618</v>
      </c>
      <c r="AR460" s="39"/>
    </row>
    <row r="461" spans="1:44" x14ac:dyDescent="0.2">
      <c r="A461" s="25" t="s">
        <v>1646</v>
      </c>
      <c r="B461" s="25" t="s">
        <v>3269</v>
      </c>
      <c r="T461" s="25" t="s">
        <v>1619</v>
      </c>
      <c r="U461" s="25">
        <v>6115</v>
      </c>
      <c r="V461" s="25" t="s">
        <v>2455</v>
      </c>
      <c r="W461" s="38" t="s">
        <v>6519</v>
      </c>
      <c r="X461" s="25" t="s">
        <v>1622</v>
      </c>
      <c r="Y461" s="25" t="s">
        <v>164</v>
      </c>
      <c r="Z461" s="25" t="s">
        <v>1451</v>
      </c>
      <c r="AA461" s="25" t="s">
        <v>1476</v>
      </c>
      <c r="AB461" s="39">
        <v>60</v>
      </c>
      <c r="AC461" s="39">
        <v>10</v>
      </c>
      <c r="AD461" s="39">
        <v>6</v>
      </c>
      <c r="AE461" s="25" t="s">
        <v>1477</v>
      </c>
      <c r="AF461" s="39">
        <v>120</v>
      </c>
      <c r="AG461" s="39">
        <v>20</v>
      </c>
      <c r="AH461" s="39">
        <v>9</v>
      </c>
      <c r="AI461" s="25" t="s">
        <v>1478</v>
      </c>
      <c r="AJ461" s="39">
        <v>180</v>
      </c>
      <c r="AK461" s="39">
        <v>20</v>
      </c>
      <c r="AL461" s="39">
        <v>11</v>
      </c>
      <c r="AM461" s="25" t="s">
        <v>1479</v>
      </c>
      <c r="AN461" s="39">
        <v>240</v>
      </c>
      <c r="AO461" s="39">
        <v>25</v>
      </c>
      <c r="AP461" s="39">
        <v>13</v>
      </c>
      <c r="AQ461" s="25" t="s">
        <v>70</v>
      </c>
      <c r="AR461" s="39" t="s">
        <v>6456</v>
      </c>
    </row>
    <row r="462" spans="1:44" x14ac:dyDescent="0.2">
      <c r="A462" s="25" t="s">
        <v>1655</v>
      </c>
      <c r="B462" s="25" t="s">
        <v>1656</v>
      </c>
      <c r="T462" s="25" t="s">
        <v>60</v>
      </c>
      <c r="U462" s="25">
        <v>4008</v>
      </c>
      <c r="V462" s="25" t="s">
        <v>2047</v>
      </c>
      <c r="W462" s="38" t="s">
        <v>6641</v>
      </c>
      <c r="X462" s="25">
        <v>12</v>
      </c>
      <c r="Y462" s="25" t="s">
        <v>164</v>
      </c>
      <c r="Z462" s="25" t="s">
        <v>1557</v>
      </c>
      <c r="AA462" s="25" t="s">
        <v>2048</v>
      </c>
      <c r="AB462" s="39">
        <v>40</v>
      </c>
      <c r="AC462" s="39">
        <v>5</v>
      </c>
      <c r="AD462" s="39">
        <v>6</v>
      </c>
      <c r="AE462" s="25" t="s">
        <v>2049</v>
      </c>
      <c r="AF462" s="39">
        <v>80</v>
      </c>
      <c r="AG462" s="39">
        <v>10</v>
      </c>
      <c r="AH462" s="39">
        <v>8</v>
      </c>
      <c r="AI462" s="25" t="s">
        <v>2050</v>
      </c>
      <c r="AJ462" s="39">
        <v>110</v>
      </c>
      <c r="AK462" s="39">
        <v>10</v>
      </c>
      <c r="AL462" s="39">
        <v>10</v>
      </c>
      <c r="AM462" s="25" t="s">
        <v>2051</v>
      </c>
      <c r="AN462" s="39">
        <v>150</v>
      </c>
      <c r="AO462" s="39">
        <v>15</v>
      </c>
      <c r="AP462" s="39">
        <v>12</v>
      </c>
      <c r="AR462" s="39" t="s">
        <v>6456</v>
      </c>
    </row>
    <row r="463" spans="1:44" x14ac:dyDescent="0.2">
      <c r="A463" s="25" t="s">
        <v>1655</v>
      </c>
      <c r="B463" s="25" t="s">
        <v>1842</v>
      </c>
      <c r="T463" s="25" t="s">
        <v>39</v>
      </c>
      <c r="U463" s="25">
        <v>17002</v>
      </c>
      <c r="V463" s="25" t="s">
        <v>3490</v>
      </c>
      <c r="W463" s="38" t="s">
        <v>3491</v>
      </c>
      <c r="X463" s="25">
        <v>42</v>
      </c>
      <c r="Y463" s="25" t="s">
        <v>164</v>
      </c>
      <c r="Z463" s="25" t="s">
        <v>1451</v>
      </c>
      <c r="AA463" s="25" t="s">
        <v>1453</v>
      </c>
      <c r="AB463" s="39">
        <v>80</v>
      </c>
      <c r="AC463" s="39">
        <v>10</v>
      </c>
      <c r="AD463" s="39">
        <v>6</v>
      </c>
      <c r="AE463" s="25" t="s">
        <v>2969</v>
      </c>
      <c r="AF463" s="39">
        <v>180</v>
      </c>
      <c r="AG463" s="39">
        <v>20</v>
      </c>
      <c r="AH463" s="39">
        <v>9</v>
      </c>
      <c r="AI463" s="25" t="s">
        <v>3492</v>
      </c>
      <c r="AJ463" s="39">
        <v>240</v>
      </c>
      <c r="AK463" s="39">
        <v>25</v>
      </c>
      <c r="AL463" s="39">
        <v>12</v>
      </c>
      <c r="AM463" s="25" t="s">
        <v>2970</v>
      </c>
      <c r="AN463" s="39">
        <v>300</v>
      </c>
      <c r="AO463" s="39">
        <v>30</v>
      </c>
      <c r="AP463" s="39">
        <v>15</v>
      </c>
      <c r="AR463" s="39"/>
    </row>
    <row r="464" spans="1:44" x14ac:dyDescent="0.2">
      <c r="A464" s="25" t="s">
        <v>1655</v>
      </c>
      <c r="B464" s="25" t="s">
        <v>2001</v>
      </c>
      <c r="T464" s="25" t="s">
        <v>1646</v>
      </c>
      <c r="U464" s="25">
        <v>10515</v>
      </c>
      <c r="V464" s="25" t="s">
        <v>3091</v>
      </c>
      <c r="W464" s="38" t="s">
        <v>3092</v>
      </c>
      <c r="X464" s="25" t="s">
        <v>1649</v>
      </c>
      <c r="Y464" s="25" t="s">
        <v>1498</v>
      </c>
      <c r="Z464" s="25" t="s">
        <v>1451</v>
      </c>
      <c r="AA464" s="25" t="s">
        <v>3093</v>
      </c>
      <c r="AB464" s="39">
        <v>100</v>
      </c>
      <c r="AC464" s="39">
        <v>10</v>
      </c>
      <c r="AD464" s="39">
        <v>8</v>
      </c>
      <c r="AE464" s="25" t="s">
        <v>3094</v>
      </c>
      <c r="AF464" s="39">
        <v>160</v>
      </c>
      <c r="AG464" s="39">
        <v>20</v>
      </c>
      <c r="AH464" s="39">
        <v>10</v>
      </c>
      <c r="AI464" s="25" t="s">
        <v>3095</v>
      </c>
      <c r="AJ464" s="39">
        <v>240</v>
      </c>
      <c r="AK464" s="39">
        <v>25</v>
      </c>
      <c r="AL464" s="39">
        <v>13</v>
      </c>
      <c r="AM464" s="25" t="s">
        <v>3096</v>
      </c>
      <c r="AN464" s="39">
        <v>320</v>
      </c>
      <c r="AO464" s="39">
        <v>35</v>
      </c>
      <c r="AP464" s="39">
        <v>16</v>
      </c>
      <c r="AQ464" s="25" t="s">
        <v>35</v>
      </c>
      <c r="AR464" s="39"/>
    </row>
    <row r="465" spans="1:44" x14ac:dyDescent="0.2">
      <c r="A465" s="25" t="s">
        <v>1655</v>
      </c>
      <c r="B465" s="25" t="s">
        <v>2156</v>
      </c>
      <c r="T465" s="25" t="s">
        <v>1627</v>
      </c>
      <c r="U465" s="25">
        <v>1215</v>
      </c>
      <c r="V465" s="25" t="s">
        <v>1628</v>
      </c>
      <c r="W465" s="38" t="s">
        <v>6505</v>
      </c>
      <c r="X465" s="25" t="s">
        <v>1629</v>
      </c>
      <c r="Y465" s="25" t="s">
        <v>164</v>
      </c>
      <c r="Z465" s="25" t="s">
        <v>1451</v>
      </c>
      <c r="AA465" s="25" t="s">
        <v>1476</v>
      </c>
      <c r="AB465" s="39">
        <v>80</v>
      </c>
      <c r="AC465" s="39">
        <v>10</v>
      </c>
      <c r="AD465" s="39">
        <v>6</v>
      </c>
      <c r="AE465" s="25" t="s">
        <v>1477</v>
      </c>
      <c r="AF465" s="39">
        <v>140</v>
      </c>
      <c r="AG465" s="39">
        <v>15</v>
      </c>
      <c r="AH465" s="39">
        <v>9</v>
      </c>
      <c r="AI465" s="25" t="s">
        <v>1478</v>
      </c>
      <c r="AJ465" s="39">
        <v>200</v>
      </c>
      <c r="AK465" s="39">
        <v>20</v>
      </c>
      <c r="AL465" s="39">
        <v>11</v>
      </c>
      <c r="AM465" s="25" t="s">
        <v>1479</v>
      </c>
      <c r="AN465" s="39">
        <v>260</v>
      </c>
      <c r="AO465" s="39">
        <v>30</v>
      </c>
      <c r="AP465" s="39">
        <v>13</v>
      </c>
      <c r="AQ465" s="25" t="s">
        <v>1630</v>
      </c>
      <c r="AR465" s="39" t="s">
        <v>6456</v>
      </c>
    </row>
    <row r="466" spans="1:44" x14ac:dyDescent="0.2">
      <c r="A466" s="25" t="s">
        <v>1655</v>
      </c>
      <c r="B466" s="25" t="s">
        <v>2319</v>
      </c>
      <c r="T466" s="25" t="s">
        <v>29</v>
      </c>
      <c r="U466" s="25">
        <v>30001</v>
      </c>
      <c r="V466" s="25" t="s">
        <v>4017</v>
      </c>
      <c r="W466" s="38" t="s">
        <v>4018</v>
      </c>
      <c r="X466" s="25">
        <v>76</v>
      </c>
      <c r="Y466" s="25" t="s">
        <v>164</v>
      </c>
      <c r="Z466" s="25" t="s">
        <v>1451</v>
      </c>
      <c r="AA466" s="25" t="s">
        <v>4019</v>
      </c>
      <c r="AB466" s="39">
        <v>150</v>
      </c>
      <c r="AC466" s="39">
        <v>15</v>
      </c>
      <c r="AD466" s="39">
        <v>10</v>
      </c>
      <c r="AE466" s="25" t="s">
        <v>4020</v>
      </c>
      <c r="AF466" s="39">
        <v>200</v>
      </c>
      <c r="AG466" s="39">
        <v>20</v>
      </c>
      <c r="AH466" s="39">
        <v>12</v>
      </c>
      <c r="AI466" s="25" t="s">
        <v>4021</v>
      </c>
      <c r="AJ466" s="39">
        <v>240</v>
      </c>
      <c r="AK466" s="39">
        <v>25</v>
      </c>
      <c r="AL466" s="39">
        <v>14</v>
      </c>
      <c r="AM466" s="25" t="s">
        <v>4022</v>
      </c>
      <c r="AN466" s="39">
        <v>300</v>
      </c>
      <c r="AO466" s="39">
        <v>30</v>
      </c>
      <c r="AP466" s="39">
        <v>16</v>
      </c>
      <c r="AR466" s="39"/>
    </row>
    <row r="467" spans="1:44" x14ac:dyDescent="0.2">
      <c r="A467" s="25" t="s">
        <v>1655</v>
      </c>
      <c r="B467" s="25" t="s">
        <v>2476</v>
      </c>
      <c r="T467" s="25" t="s">
        <v>39</v>
      </c>
      <c r="U467" s="25">
        <v>30002</v>
      </c>
      <c r="V467" s="25" t="s">
        <v>4023</v>
      </c>
      <c r="W467" s="38" t="s">
        <v>4024</v>
      </c>
      <c r="X467" s="25">
        <v>76</v>
      </c>
      <c r="Y467" s="25" t="s">
        <v>164</v>
      </c>
      <c r="Z467" s="25" t="s">
        <v>1451</v>
      </c>
      <c r="AA467" s="25" t="s">
        <v>4019</v>
      </c>
      <c r="AB467" s="39">
        <v>150</v>
      </c>
      <c r="AC467" s="39">
        <v>15</v>
      </c>
      <c r="AD467" s="39">
        <v>10</v>
      </c>
      <c r="AE467" s="25" t="s">
        <v>4020</v>
      </c>
      <c r="AF467" s="39">
        <v>200</v>
      </c>
      <c r="AG467" s="39">
        <v>20</v>
      </c>
      <c r="AH467" s="39">
        <v>12</v>
      </c>
      <c r="AI467" s="25" t="s">
        <v>4021</v>
      </c>
      <c r="AJ467" s="39">
        <v>240</v>
      </c>
      <c r="AK467" s="39">
        <v>25</v>
      </c>
      <c r="AL467" s="39">
        <v>14</v>
      </c>
      <c r="AM467" s="25" t="s">
        <v>4022</v>
      </c>
      <c r="AN467" s="39">
        <v>300</v>
      </c>
      <c r="AO467" s="39">
        <v>30</v>
      </c>
      <c r="AP467" s="39">
        <v>16</v>
      </c>
      <c r="AR467" s="39"/>
    </row>
    <row r="468" spans="1:44" x14ac:dyDescent="0.2">
      <c r="A468" s="25" t="s">
        <v>1655</v>
      </c>
      <c r="B468" s="25" t="s">
        <v>2645</v>
      </c>
      <c r="T468" s="25" t="s">
        <v>39</v>
      </c>
      <c r="U468" s="25">
        <v>13002</v>
      </c>
      <c r="V468" s="25" t="s">
        <v>3298</v>
      </c>
      <c r="W468" s="38" t="s">
        <v>6483</v>
      </c>
      <c r="X468" s="25">
        <v>32</v>
      </c>
      <c r="Y468" s="25" t="s">
        <v>164</v>
      </c>
      <c r="Z468" s="25" t="s">
        <v>1557</v>
      </c>
      <c r="AA468" s="25" t="s">
        <v>3299</v>
      </c>
      <c r="AB468" s="39">
        <v>60</v>
      </c>
      <c r="AC468" s="39">
        <v>10</v>
      </c>
      <c r="AD468" s="39">
        <v>6</v>
      </c>
      <c r="AE468" s="25" t="s">
        <v>3300</v>
      </c>
      <c r="AF468" s="39">
        <v>180</v>
      </c>
      <c r="AG468" s="39">
        <v>20</v>
      </c>
      <c r="AH468" s="39">
        <v>9</v>
      </c>
      <c r="AI468" s="25" t="s">
        <v>3301</v>
      </c>
      <c r="AJ468" s="39">
        <v>240</v>
      </c>
      <c r="AK468" s="39">
        <v>25</v>
      </c>
      <c r="AL468" s="39">
        <v>12</v>
      </c>
      <c r="AM468" s="25" t="s">
        <v>3302</v>
      </c>
      <c r="AN468" s="39">
        <v>300</v>
      </c>
      <c r="AO468" s="39">
        <v>30</v>
      </c>
      <c r="AP468" s="39">
        <v>15</v>
      </c>
      <c r="AR468" s="39" t="s">
        <v>6456</v>
      </c>
    </row>
    <row r="469" spans="1:44" x14ac:dyDescent="0.2">
      <c r="A469" s="25" t="s">
        <v>1655</v>
      </c>
      <c r="B469" s="25" t="s">
        <v>2795</v>
      </c>
      <c r="T469" s="25" t="s">
        <v>39</v>
      </c>
      <c r="U469" s="25">
        <v>8002</v>
      </c>
      <c r="V469" s="25" t="s">
        <v>2662</v>
      </c>
      <c r="W469" s="38" t="s">
        <v>6594</v>
      </c>
      <c r="X469" s="25">
        <v>20</v>
      </c>
      <c r="Y469" s="25" t="s">
        <v>164</v>
      </c>
      <c r="Z469" s="25" t="s">
        <v>1557</v>
      </c>
      <c r="AA469" s="25" t="s">
        <v>2663</v>
      </c>
      <c r="AB469" s="39">
        <v>50</v>
      </c>
      <c r="AC469" s="39">
        <v>5</v>
      </c>
      <c r="AD469" s="39">
        <v>6</v>
      </c>
      <c r="AE469" s="25" t="s">
        <v>2664</v>
      </c>
      <c r="AF469" s="39">
        <v>180</v>
      </c>
      <c r="AG469" s="39">
        <v>20</v>
      </c>
      <c r="AH469" s="39">
        <v>9</v>
      </c>
      <c r="AI469" s="25" t="s">
        <v>2665</v>
      </c>
      <c r="AJ469" s="39">
        <v>240</v>
      </c>
      <c r="AK469" s="39">
        <v>25</v>
      </c>
      <c r="AL469" s="39">
        <v>12</v>
      </c>
      <c r="AM469" s="25" t="s">
        <v>2666</v>
      </c>
      <c r="AN469" s="39">
        <v>300</v>
      </c>
      <c r="AO469" s="39">
        <v>30</v>
      </c>
      <c r="AP469" s="39">
        <v>15</v>
      </c>
      <c r="AR469" s="39" t="s">
        <v>6456</v>
      </c>
    </row>
    <row r="470" spans="1:44" x14ac:dyDescent="0.2">
      <c r="A470" s="25" t="s">
        <v>1655</v>
      </c>
      <c r="B470" s="25" t="s">
        <v>2947</v>
      </c>
      <c r="T470" s="25" t="s">
        <v>39</v>
      </c>
      <c r="U470" s="25">
        <v>34002</v>
      </c>
      <c r="V470" s="25" t="s">
        <v>4124</v>
      </c>
      <c r="W470" s="38" t="s">
        <v>6631</v>
      </c>
      <c r="X470" s="25">
        <v>86</v>
      </c>
      <c r="Y470" s="25" t="s">
        <v>164</v>
      </c>
      <c r="Z470" s="25" t="s">
        <v>1557</v>
      </c>
      <c r="AA470" s="25" t="s">
        <v>3971</v>
      </c>
      <c r="AB470" s="39">
        <v>200</v>
      </c>
      <c r="AC470" s="39">
        <v>10</v>
      </c>
      <c r="AD470" s="39">
        <v>10</v>
      </c>
      <c r="AE470" s="25" t="s">
        <v>3972</v>
      </c>
      <c r="AF470" s="39">
        <v>240</v>
      </c>
      <c r="AG470" s="39">
        <v>15</v>
      </c>
      <c r="AH470" s="39">
        <v>12</v>
      </c>
      <c r="AI470" s="25" t="s">
        <v>3973</v>
      </c>
      <c r="AJ470" s="39">
        <v>280</v>
      </c>
      <c r="AK470" s="39">
        <v>15</v>
      </c>
      <c r="AL470" s="39">
        <v>14</v>
      </c>
      <c r="AM470" s="25" t="s">
        <v>3974</v>
      </c>
      <c r="AN470" s="39">
        <v>320</v>
      </c>
      <c r="AO470" s="39">
        <v>20</v>
      </c>
      <c r="AP470" s="39">
        <v>16</v>
      </c>
      <c r="AR470" s="39" t="s">
        <v>6456</v>
      </c>
    </row>
    <row r="471" spans="1:44" x14ac:dyDescent="0.2">
      <c r="A471" s="25" t="s">
        <v>1655</v>
      </c>
      <c r="B471" s="25" t="s">
        <v>3097</v>
      </c>
      <c r="T471" s="25" t="s">
        <v>39</v>
      </c>
      <c r="U471" s="25">
        <v>14002</v>
      </c>
      <c r="V471" s="25" t="s">
        <v>3348</v>
      </c>
      <c r="W471" s="38" t="s">
        <v>6473</v>
      </c>
      <c r="X471" s="25">
        <v>36</v>
      </c>
      <c r="Y471" s="25" t="s">
        <v>164</v>
      </c>
      <c r="Z471" s="25" t="s">
        <v>1451</v>
      </c>
      <c r="AA471" s="25" t="s">
        <v>3349</v>
      </c>
      <c r="AB471" s="39">
        <v>100</v>
      </c>
      <c r="AC471" s="39">
        <v>20</v>
      </c>
      <c r="AD471" s="39">
        <v>6</v>
      </c>
      <c r="AE471" s="25" t="s">
        <v>3350</v>
      </c>
      <c r="AF471" s="39">
        <v>180</v>
      </c>
      <c r="AG471" s="39">
        <v>40</v>
      </c>
      <c r="AH471" s="39">
        <v>9</v>
      </c>
      <c r="AI471" s="25" t="s">
        <v>3351</v>
      </c>
      <c r="AJ471" s="39">
        <v>240</v>
      </c>
      <c r="AK471" s="39">
        <v>50</v>
      </c>
      <c r="AL471" s="39">
        <v>12</v>
      </c>
      <c r="AM471" s="25" t="s">
        <v>3352</v>
      </c>
      <c r="AN471" s="39">
        <v>300</v>
      </c>
      <c r="AO471" s="39">
        <v>60</v>
      </c>
      <c r="AP471" s="39">
        <v>15</v>
      </c>
      <c r="AR471" s="39" t="s">
        <v>6456</v>
      </c>
    </row>
    <row r="472" spans="1:44" x14ac:dyDescent="0.2">
      <c r="A472" s="25" t="s">
        <v>1655</v>
      </c>
      <c r="B472" s="25" t="s">
        <v>3187</v>
      </c>
      <c r="T472" s="25" t="s">
        <v>1679</v>
      </c>
      <c r="U472" s="25">
        <v>1915</v>
      </c>
      <c r="V472" s="25" t="s">
        <v>1680</v>
      </c>
      <c r="W472" s="38" t="s">
        <v>1681</v>
      </c>
      <c r="X472" s="25" t="s">
        <v>1682</v>
      </c>
      <c r="Y472" s="25" t="s">
        <v>164</v>
      </c>
      <c r="Z472" s="25" t="s">
        <v>1451</v>
      </c>
      <c r="AA472" s="25" t="s">
        <v>1683</v>
      </c>
      <c r="AB472" s="39">
        <v>200</v>
      </c>
      <c r="AC472" s="39">
        <v>10</v>
      </c>
      <c r="AD472" s="39">
        <v>1</v>
      </c>
      <c r="AE472" s="25" t="s">
        <v>1684</v>
      </c>
      <c r="AF472" s="39">
        <v>300</v>
      </c>
      <c r="AG472" s="39">
        <v>15</v>
      </c>
      <c r="AH472" s="39">
        <v>13</v>
      </c>
      <c r="AI472" s="25" t="s">
        <v>1685</v>
      </c>
      <c r="AJ472" s="39">
        <v>400</v>
      </c>
      <c r="AK472" s="39">
        <v>20</v>
      </c>
      <c r="AL472" s="39">
        <v>15</v>
      </c>
      <c r="AM472" s="25" t="s">
        <v>1686</v>
      </c>
      <c r="AN472" s="39">
        <v>500</v>
      </c>
      <c r="AO472" s="39">
        <v>25</v>
      </c>
      <c r="AP472" s="39">
        <v>17</v>
      </c>
      <c r="AQ472" s="25" t="s">
        <v>39</v>
      </c>
      <c r="AR472" s="39"/>
    </row>
    <row r="473" spans="1:44" x14ac:dyDescent="0.2">
      <c r="A473" s="25" t="s">
        <v>1655</v>
      </c>
      <c r="B473" s="25" t="s">
        <v>3272</v>
      </c>
      <c r="T473" s="25" t="s">
        <v>264</v>
      </c>
      <c r="U473" s="25">
        <v>1028</v>
      </c>
      <c r="V473" s="25" t="s">
        <v>1604</v>
      </c>
      <c r="W473" s="38" t="s">
        <v>1605</v>
      </c>
      <c r="X473" s="25">
        <v>4</v>
      </c>
      <c r="Y473" s="25" t="s">
        <v>1482</v>
      </c>
      <c r="Z473" s="25" t="s">
        <v>1451</v>
      </c>
      <c r="AA473" s="25" t="s">
        <v>1606</v>
      </c>
      <c r="AB473" s="39">
        <v>30</v>
      </c>
      <c r="AC473" s="39">
        <v>5</v>
      </c>
      <c r="AD473" s="39">
        <v>5</v>
      </c>
      <c r="AE473" s="25" t="s">
        <v>1607</v>
      </c>
      <c r="AF473" s="39">
        <v>60</v>
      </c>
      <c r="AG473" s="39">
        <v>5</v>
      </c>
      <c r="AH473" s="39">
        <v>8</v>
      </c>
      <c r="AI473" s="25" t="s">
        <v>1608</v>
      </c>
      <c r="AJ473" s="39">
        <v>90</v>
      </c>
      <c r="AK473" s="39">
        <v>5</v>
      </c>
      <c r="AL473" s="39">
        <v>11</v>
      </c>
      <c r="AM473" s="25" t="s">
        <v>1609</v>
      </c>
      <c r="AN473" s="39">
        <v>120</v>
      </c>
      <c r="AO473" s="39">
        <v>10</v>
      </c>
      <c r="AP473" s="39">
        <v>14</v>
      </c>
      <c r="AQ473" s="25" t="s">
        <v>1610</v>
      </c>
      <c r="AR473" s="39"/>
    </row>
    <row r="474" spans="1:44" x14ac:dyDescent="0.2">
      <c r="A474" s="25" t="s">
        <v>1663</v>
      </c>
      <c r="B474" s="25" t="s">
        <v>1664</v>
      </c>
      <c r="T474" s="25" t="s">
        <v>1655</v>
      </c>
      <c r="U474" s="25">
        <v>10615</v>
      </c>
      <c r="V474" s="25" t="s">
        <v>3097</v>
      </c>
      <c r="W474" s="38" t="s">
        <v>3098</v>
      </c>
      <c r="X474" s="25" t="s">
        <v>1658</v>
      </c>
      <c r="Y474" s="25" t="s">
        <v>1582</v>
      </c>
      <c r="Z474" s="25" t="s">
        <v>1451</v>
      </c>
      <c r="AA474" s="25" t="s">
        <v>2002</v>
      </c>
      <c r="AB474" s="39">
        <v>120</v>
      </c>
      <c r="AC474" s="39" t="s">
        <v>244</v>
      </c>
      <c r="AD474" s="39">
        <v>8</v>
      </c>
      <c r="AE474" s="25" t="s">
        <v>2003</v>
      </c>
      <c r="AF474" s="39">
        <v>160</v>
      </c>
      <c r="AG474" s="39" t="s">
        <v>244</v>
      </c>
      <c r="AH474" s="39">
        <v>11</v>
      </c>
      <c r="AI474" s="25" t="s">
        <v>2004</v>
      </c>
      <c r="AJ474" s="39">
        <v>200</v>
      </c>
      <c r="AK474" s="39" t="s">
        <v>244</v>
      </c>
      <c r="AL474" s="39">
        <v>13</v>
      </c>
      <c r="AM474" s="25" t="s">
        <v>2005</v>
      </c>
      <c r="AN474" s="39">
        <v>240</v>
      </c>
      <c r="AO474" s="39" t="s">
        <v>244</v>
      </c>
      <c r="AP474" s="39">
        <v>16</v>
      </c>
      <c r="AQ474" s="25" t="s">
        <v>90</v>
      </c>
      <c r="AR474" s="39"/>
    </row>
    <row r="475" spans="1:44" x14ac:dyDescent="0.2">
      <c r="A475" s="25" t="s">
        <v>1663</v>
      </c>
      <c r="B475" s="25" t="s">
        <v>1847</v>
      </c>
      <c r="T475" s="25" t="s">
        <v>29</v>
      </c>
      <c r="U475" s="25">
        <v>35001</v>
      </c>
      <c r="V475" s="25" t="s">
        <v>4137</v>
      </c>
      <c r="W475" s="38" t="s">
        <v>4138</v>
      </c>
      <c r="X475" s="25">
        <v>88</v>
      </c>
      <c r="Y475" s="25" t="s">
        <v>164</v>
      </c>
      <c r="Z475" s="25" t="s">
        <v>1557</v>
      </c>
      <c r="AA475" s="25" t="s">
        <v>4139</v>
      </c>
      <c r="AB475" s="39">
        <v>200</v>
      </c>
      <c r="AC475" s="39">
        <v>40</v>
      </c>
      <c r="AD475" s="39">
        <v>10</v>
      </c>
      <c r="AE475" s="25" t="s">
        <v>4140</v>
      </c>
      <c r="AF475" s="39">
        <v>250</v>
      </c>
      <c r="AG475" s="39">
        <v>50</v>
      </c>
      <c r="AH475" s="39">
        <v>12</v>
      </c>
      <c r="AI475" s="25" t="s">
        <v>4141</v>
      </c>
      <c r="AJ475" s="39">
        <v>400</v>
      </c>
      <c r="AK475" s="39">
        <v>60</v>
      </c>
      <c r="AL475" s="39">
        <v>15</v>
      </c>
      <c r="AM475" s="25" t="s">
        <v>4142</v>
      </c>
      <c r="AN475" s="39">
        <v>800</v>
      </c>
      <c r="AO475" s="39">
        <v>65</v>
      </c>
      <c r="AP475" s="39">
        <v>18</v>
      </c>
      <c r="AR475" s="39"/>
    </row>
    <row r="476" spans="1:44" x14ac:dyDescent="0.2">
      <c r="A476" s="25" t="s">
        <v>1663</v>
      </c>
      <c r="B476" s="25" t="s">
        <v>2006</v>
      </c>
      <c r="T476" s="25" t="s">
        <v>1611</v>
      </c>
      <c r="U476" s="25">
        <v>2029</v>
      </c>
      <c r="V476" s="25" t="s">
        <v>1811</v>
      </c>
      <c r="W476" s="38" t="s">
        <v>1812</v>
      </c>
      <c r="X476" s="25">
        <v>14</v>
      </c>
      <c r="Y476" s="25" t="s">
        <v>116</v>
      </c>
      <c r="Z476" s="25" t="s">
        <v>1451</v>
      </c>
      <c r="AA476" s="25" t="s">
        <v>1813</v>
      </c>
      <c r="AB476" s="39">
        <v>30</v>
      </c>
      <c r="AC476" s="39" t="s">
        <v>744</v>
      </c>
      <c r="AD476" s="39">
        <v>6</v>
      </c>
      <c r="AE476" s="25">
        <v>250</v>
      </c>
      <c r="AF476" s="39">
        <v>60</v>
      </c>
      <c r="AG476" s="39" t="s">
        <v>744</v>
      </c>
      <c r="AH476" s="39">
        <v>9</v>
      </c>
      <c r="AI476" s="25">
        <v>400</v>
      </c>
      <c r="AJ476" s="39">
        <v>90</v>
      </c>
      <c r="AK476" s="39" t="s">
        <v>744</v>
      </c>
      <c r="AL476" s="39">
        <v>12</v>
      </c>
      <c r="AM476" s="25">
        <v>600</v>
      </c>
      <c r="AN476" s="39">
        <v>120</v>
      </c>
      <c r="AO476" s="39" t="s">
        <v>744</v>
      </c>
      <c r="AP476" s="39">
        <v>15</v>
      </c>
      <c r="AQ476" s="25" t="s">
        <v>1618</v>
      </c>
      <c r="AR476" s="39"/>
    </row>
    <row r="477" spans="1:44" x14ac:dyDescent="0.2">
      <c r="A477" s="25" t="s">
        <v>1663</v>
      </c>
      <c r="B477" s="25" t="s">
        <v>2162</v>
      </c>
      <c r="T477" s="25" t="s">
        <v>1531</v>
      </c>
      <c r="U477" s="25">
        <v>4018</v>
      </c>
      <c r="V477" s="25" t="s">
        <v>2082</v>
      </c>
      <c r="W477" s="38" t="s">
        <v>2083</v>
      </c>
      <c r="X477" s="25">
        <v>34</v>
      </c>
      <c r="Y477" s="25" t="s">
        <v>2084</v>
      </c>
      <c r="Z477" s="25" t="s">
        <v>1451</v>
      </c>
      <c r="AA477" s="25" t="s">
        <v>2085</v>
      </c>
      <c r="AB477" s="39">
        <v>120</v>
      </c>
      <c r="AC477" s="39" t="s">
        <v>744</v>
      </c>
      <c r="AD477" s="39">
        <v>6</v>
      </c>
      <c r="AE477" s="25">
        <v>140</v>
      </c>
      <c r="AF477" s="39">
        <v>240</v>
      </c>
      <c r="AG477" s="39" t="s">
        <v>744</v>
      </c>
      <c r="AH477" s="39">
        <v>9</v>
      </c>
      <c r="AI477" s="25">
        <v>160</v>
      </c>
      <c r="AJ477" s="39">
        <v>360</v>
      </c>
      <c r="AK477" s="39" t="s">
        <v>744</v>
      </c>
      <c r="AL477" s="39">
        <v>12</v>
      </c>
      <c r="AM477" s="25">
        <v>180</v>
      </c>
      <c r="AN477" s="39">
        <v>480</v>
      </c>
      <c r="AO477" s="39" t="s">
        <v>744</v>
      </c>
      <c r="AP477" s="39">
        <v>15</v>
      </c>
      <c r="AQ477" s="25" t="s">
        <v>1534</v>
      </c>
      <c r="AR477" s="39"/>
    </row>
    <row r="478" spans="1:44" x14ac:dyDescent="0.2">
      <c r="A478" s="25" t="s">
        <v>1663</v>
      </c>
      <c r="B478" s="25" t="s">
        <v>2321</v>
      </c>
      <c r="T478" s="25" t="s">
        <v>1523</v>
      </c>
      <c r="U478" s="25">
        <v>8017</v>
      </c>
      <c r="V478" s="25" t="s">
        <v>2718</v>
      </c>
      <c r="W478" s="38" t="s">
        <v>2719</v>
      </c>
      <c r="X478" s="25">
        <v>74</v>
      </c>
      <c r="Y478" s="25" t="s">
        <v>164</v>
      </c>
      <c r="Z478" s="25" t="s">
        <v>1451</v>
      </c>
      <c r="AA478" s="25" t="s">
        <v>2720</v>
      </c>
      <c r="AB478" s="39">
        <v>150</v>
      </c>
      <c r="AC478" s="39" t="s">
        <v>744</v>
      </c>
      <c r="AD478" s="39">
        <v>8</v>
      </c>
      <c r="AE478" s="25" t="s">
        <v>1484</v>
      </c>
      <c r="AF478" s="39">
        <v>200</v>
      </c>
      <c r="AG478" s="39" t="s">
        <v>744</v>
      </c>
      <c r="AH478" s="39">
        <v>10</v>
      </c>
      <c r="AI478" s="25" t="s">
        <v>1477</v>
      </c>
      <c r="AJ478" s="39">
        <v>250</v>
      </c>
      <c r="AK478" s="39" t="s">
        <v>744</v>
      </c>
      <c r="AL478" s="39">
        <v>12</v>
      </c>
      <c r="AM478" s="25" t="s">
        <v>1478</v>
      </c>
      <c r="AN478" s="39">
        <v>300</v>
      </c>
      <c r="AO478" s="39" t="s">
        <v>744</v>
      </c>
      <c r="AP478" s="39">
        <v>15</v>
      </c>
      <c r="AQ478" s="25" t="s">
        <v>1530</v>
      </c>
      <c r="AR478" s="39"/>
    </row>
    <row r="479" spans="1:44" x14ac:dyDescent="0.2">
      <c r="A479" s="25" t="s">
        <v>1663</v>
      </c>
      <c r="B479" s="25" t="s">
        <v>2481</v>
      </c>
      <c r="T479" s="25" t="s">
        <v>39</v>
      </c>
      <c r="U479" s="25">
        <v>10002</v>
      </c>
      <c r="V479" s="25" t="s">
        <v>2966</v>
      </c>
      <c r="W479" s="38" t="s">
        <v>2967</v>
      </c>
      <c r="X479" s="25">
        <v>26</v>
      </c>
      <c r="Y479" s="25" t="s">
        <v>164</v>
      </c>
      <c r="Z479" s="25" t="s">
        <v>1451</v>
      </c>
      <c r="AA479" s="25" t="s">
        <v>2968</v>
      </c>
      <c r="AB479" s="39">
        <v>60</v>
      </c>
      <c r="AC479" s="39">
        <v>5</v>
      </c>
      <c r="AD479" s="39">
        <v>6</v>
      </c>
      <c r="AE479" s="25" t="s">
        <v>2969</v>
      </c>
      <c r="AF479" s="39">
        <v>180</v>
      </c>
      <c r="AG479" s="39">
        <v>10</v>
      </c>
      <c r="AH479" s="39">
        <v>9</v>
      </c>
      <c r="AI479" s="25" t="s">
        <v>1455</v>
      </c>
      <c r="AJ479" s="39">
        <v>240</v>
      </c>
      <c r="AK479" s="39">
        <v>15</v>
      </c>
      <c r="AL479" s="39">
        <v>12</v>
      </c>
      <c r="AM479" s="25" t="s">
        <v>2970</v>
      </c>
      <c r="AN479" s="39">
        <v>300</v>
      </c>
      <c r="AO479" s="39">
        <v>15</v>
      </c>
      <c r="AP479" s="39">
        <v>15</v>
      </c>
      <c r="AR479" s="39"/>
    </row>
    <row r="480" spans="1:44" x14ac:dyDescent="0.2">
      <c r="A480" s="25" t="s">
        <v>1663</v>
      </c>
      <c r="B480" s="25" t="s">
        <v>2647</v>
      </c>
      <c r="T480" s="25" t="s">
        <v>39</v>
      </c>
      <c r="U480" s="25">
        <v>29002</v>
      </c>
      <c r="V480" s="25" t="s">
        <v>3991</v>
      </c>
      <c r="W480" s="38" t="s">
        <v>2814</v>
      </c>
      <c r="X480" s="25">
        <v>72</v>
      </c>
      <c r="Y480" s="25" t="s">
        <v>116</v>
      </c>
      <c r="Z480" s="25" t="s">
        <v>1451</v>
      </c>
      <c r="AA480" s="25" t="s">
        <v>3987</v>
      </c>
      <c r="AB480" s="39">
        <v>140</v>
      </c>
      <c r="AC480" s="39" t="s">
        <v>244</v>
      </c>
      <c r="AD480" s="39">
        <v>10</v>
      </c>
      <c r="AE480" s="25" t="s">
        <v>3988</v>
      </c>
      <c r="AF480" s="39">
        <v>180</v>
      </c>
      <c r="AG480" s="39" t="s">
        <v>244</v>
      </c>
      <c r="AH480" s="39">
        <v>12</v>
      </c>
      <c r="AI480" s="25" t="s">
        <v>3989</v>
      </c>
      <c r="AJ480" s="39">
        <v>240</v>
      </c>
      <c r="AK480" s="39" t="s">
        <v>244</v>
      </c>
      <c r="AL480" s="39">
        <v>14</v>
      </c>
      <c r="AM480" s="25" t="s">
        <v>3990</v>
      </c>
      <c r="AN480" s="39">
        <v>350</v>
      </c>
      <c r="AO480" s="39" t="s">
        <v>244</v>
      </c>
      <c r="AP480" s="39">
        <v>16</v>
      </c>
      <c r="AR480" s="39"/>
    </row>
    <row r="481" spans="1:44" x14ac:dyDescent="0.2">
      <c r="A481" s="25" t="s">
        <v>1663</v>
      </c>
      <c r="B481" s="25" t="s">
        <v>2801</v>
      </c>
      <c r="T481" s="25" t="s">
        <v>39</v>
      </c>
      <c r="U481" s="25">
        <v>26002</v>
      </c>
      <c r="V481" s="25" t="s">
        <v>3850</v>
      </c>
      <c r="W481" s="38" t="s">
        <v>3851</v>
      </c>
      <c r="X481" s="25">
        <v>66</v>
      </c>
      <c r="Y481" s="25" t="s">
        <v>117</v>
      </c>
      <c r="Z481" s="25" t="s">
        <v>1557</v>
      </c>
      <c r="AA481" s="25" t="s">
        <v>3852</v>
      </c>
      <c r="AB481" s="39">
        <v>120</v>
      </c>
      <c r="AC481" s="39">
        <v>10</v>
      </c>
      <c r="AD481" s="39">
        <v>6</v>
      </c>
      <c r="AE481" s="25" t="s">
        <v>3853</v>
      </c>
      <c r="AF481" s="39">
        <v>180</v>
      </c>
      <c r="AG481" s="39">
        <v>10</v>
      </c>
      <c r="AH481" s="39">
        <v>8</v>
      </c>
      <c r="AI481" s="25" t="s">
        <v>3854</v>
      </c>
      <c r="AJ481" s="39">
        <v>240</v>
      </c>
      <c r="AK481" s="39">
        <v>15</v>
      </c>
      <c r="AL481" s="39">
        <v>12</v>
      </c>
      <c r="AM481" s="25" t="s">
        <v>3855</v>
      </c>
      <c r="AN481" s="39">
        <v>300</v>
      </c>
      <c r="AO481" s="39">
        <v>15</v>
      </c>
      <c r="AP481" s="39">
        <v>15</v>
      </c>
      <c r="AR481" s="39"/>
    </row>
    <row r="482" spans="1:44" x14ac:dyDescent="0.2">
      <c r="A482" s="25" t="s">
        <v>1663</v>
      </c>
      <c r="B482" s="25" t="s">
        <v>2953</v>
      </c>
      <c r="T482" s="25" t="s">
        <v>49</v>
      </c>
      <c r="U482" s="25">
        <v>35003</v>
      </c>
      <c r="V482" s="25" t="s">
        <v>4148</v>
      </c>
      <c r="W482" s="38" t="s">
        <v>4149</v>
      </c>
      <c r="X482" s="25">
        <v>88</v>
      </c>
      <c r="Y482" s="25" t="s">
        <v>164</v>
      </c>
      <c r="Z482" s="25" t="s">
        <v>1451</v>
      </c>
      <c r="AA482" s="25" t="s">
        <v>1844</v>
      </c>
      <c r="AB482" s="39">
        <v>500</v>
      </c>
      <c r="AC482" s="39" t="s">
        <v>244</v>
      </c>
      <c r="AD482" s="39">
        <v>13</v>
      </c>
      <c r="AE482" s="25" t="s">
        <v>1845</v>
      </c>
      <c r="AF482" s="39">
        <v>800</v>
      </c>
      <c r="AG482" s="39" t="s">
        <v>244</v>
      </c>
      <c r="AH482" s="39">
        <v>14</v>
      </c>
      <c r="AI482" s="25" t="s">
        <v>1675</v>
      </c>
      <c r="AJ482" s="39">
        <v>1200</v>
      </c>
      <c r="AK482" s="39" t="s">
        <v>244</v>
      </c>
      <c r="AL482" s="39">
        <v>15</v>
      </c>
      <c r="AM482" s="25" t="s">
        <v>1676</v>
      </c>
      <c r="AN482" s="39">
        <v>2000</v>
      </c>
      <c r="AO482" s="39" t="s">
        <v>244</v>
      </c>
      <c r="AP482" s="39">
        <v>16</v>
      </c>
      <c r="AR482" s="39"/>
    </row>
    <row r="483" spans="1:44" x14ac:dyDescent="0.2">
      <c r="A483" s="25" t="s">
        <v>1663</v>
      </c>
      <c r="B483" s="25" t="s">
        <v>3099</v>
      </c>
      <c r="T483" s="25" t="s">
        <v>1571</v>
      </c>
      <c r="U483" s="25">
        <v>9024</v>
      </c>
      <c r="V483" s="25" t="s">
        <v>2897</v>
      </c>
      <c r="W483" s="38" t="s">
        <v>6471</v>
      </c>
      <c r="X483" s="25">
        <v>84</v>
      </c>
      <c r="Y483" s="25" t="s">
        <v>1582</v>
      </c>
      <c r="Z483" s="25" t="s">
        <v>1451</v>
      </c>
      <c r="AA483" s="25" t="s">
        <v>2898</v>
      </c>
      <c r="AB483" s="39">
        <v>100</v>
      </c>
      <c r="AC483" s="39">
        <v>5</v>
      </c>
      <c r="AD483" s="39">
        <v>8</v>
      </c>
      <c r="AE483" s="25" t="s">
        <v>2899</v>
      </c>
      <c r="AF483" s="39">
        <v>150</v>
      </c>
      <c r="AG483" s="39">
        <v>10</v>
      </c>
      <c r="AH483" s="39">
        <v>10</v>
      </c>
      <c r="AI483" s="25" t="s">
        <v>2900</v>
      </c>
      <c r="AJ483" s="39">
        <v>200</v>
      </c>
      <c r="AK483" s="39">
        <v>15</v>
      </c>
      <c r="AL483" s="39">
        <v>12</v>
      </c>
      <c r="AM483" s="25" t="s">
        <v>2901</v>
      </c>
      <c r="AN483" s="39">
        <v>250</v>
      </c>
      <c r="AO483" s="39">
        <v>20</v>
      </c>
      <c r="AP483" s="39">
        <v>14</v>
      </c>
      <c r="AQ483" s="25" t="s">
        <v>1578</v>
      </c>
      <c r="AR483" s="39" t="s">
        <v>6456</v>
      </c>
    </row>
    <row r="484" spans="1:44" x14ac:dyDescent="0.2">
      <c r="A484" s="25" t="s">
        <v>1663</v>
      </c>
      <c r="B484" s="25" t="s">
        <v>3193</v>
      </c>
      <c r="T484" s="25" t="s">
        <v>60</v>
      </c>
      <c r="U484" s="25">
        <v>7008</v>
      </c>
      <c r="V484" s="25" t="s">
        <v>2533</v>
      </c>
      <c r="W484" s="38" t="s">
        <v>2534</v>
      </c>
      <c r="X484" s="25">
        <v>22</v>
      </c>
      <c r="Y484" s="25" t="s">
        <v>117</v>
      </c>
      <c r="Z484" s="25" t="s">
        <v>1557</v>
      </c>
      <c r="AA484" s="25" t="s">
        <v>2024</v>
      </c>
      <c r="AB484" s="39">
        <v>50</v>
      </c>
      <c r="AC484" s="39">
        <v>5</v>
      </c>
      <c r="AD484" s="39">
        <v>6</v>
      </c>
      <c r="AE484" s="25" t="s">
        <v>2535</v>
      </c>
      <c r="AF484" s="39">
        <v>160</v>
      </c>
      <c r="AG484" s="39">
        <v>20</v>
      </c>
      <c r="AH484" s="39">
        <v>8</v>
      </c>
      <c r="AI484" s="25" t="s">
        <v>2536</v>
      </c>
      <c r="AJ484" s="39">
        <v>200</v>
      </c>
      <c r="AK484" s="39">
        <v>20</v>
      </c>
      <c r="AL484" s="39">
        <v>10</v>
      </c>
      <c r="AM484" s="25" t="s">
        <v>2537</v>
      </c>
      <c r="AN484" s="39">
        <v>240</v>
      </c>
      <c r="AO484" s="39">
        <v>25</v>
      </c>
      <c r="AP484" s="39">
        <v>14</v>
      </c>
      <c r="AR484" s="39"/>
    </row>
    <row r="485" spans="1:44" x14ac:dyDescent="0.2">
      <c r="A485" s="25" t="s">
        <v>1663</v>
      </c>
      <c r="B485" s="25" t="s">
        <v>3278</v>
      </c>
      <c r="T485" s="25" t="s">
        <v>65</v>
      </c>
      <c r="U485" s="25">
        <v>11006</v>
      </c>
      <c r="V485" s="25" t="s">
        <v>3128</v>
      </c>
      <c r="W485" s="38" t="s">
        <v>3129</v>
      </c>
      <c r="X485" s="25">
        <v>36</v>
      </c>
      <c r="Y485" s="25" t="s">
        <v>117</v>
      </c>
      <c r="Z485" s="25" t="s">
        <v>1557</v>
      </c>
      <c r="AA485" s="25" t="s">
        <v>3130</v>
      </c>
      <c r="AB485" s="39">
        <v>60</v>
      </c>
      <c r="AC485" s="39">
        <v>10</v>
      </c>
      <c r="AD485" s="39">
        <v>6</v>
      </c>
      <c r="AE485" s="25" t="s">
        <v>2535</v>
      </c>
      <c r="AF485" s="39">
        <v>180</v>
      </c>
      <c r="AG485" s="39">
        <v>10</v>
      </c>
      <c r="AH485" s="39">
        <v>9</v>
      </c>
      <c r="AI485" s="25" t="s">
        <v>3131</v>
      </c>
      <c r="AJ485" s="39">
        <v>240</v>
      </c>
      <c r="AK485" s="39">
        <v>15</v>
      </c>
      <c r="AL485" s="39">
        <v>12</v>
      </c>
      <c r="AM485" s="25" t="s">
        <v>3132</v>
      </c>
      <c r="AN485" s="39">
        <v>300</v>
      </c>
      <c r="AO485" s="39">
        <v>15</v>
      </c>
      <c r="AP485" s="39">
        <v>15</v>
      </c>
      <c r="AR485" s="39"/>
    </row>
    <row r="486" spans="1:44" x14ac:dyDescent="0.2">
      <c r="A486" s="25" t="s">
        <v>1671</v>
      </c>
      <c r="B486" s="25" t="s">
        <v>1672</v>
      </c>
      <c r="T486" s="25" t="s">
        <v>101</v>
      </c>
      <c r="U486" s="25">
        <v>8011</v>
      </c>
      <c r="V486" s="25" t="s">
        <v>2703</v>
      </c>
      <c r="W486" s="38" t="s">
        <v>2704</v>
      </c>
      <c r="X486" s="25">
        <v>20</v>
      </c>
      <c r="Y486" s="25" t="s">
        <v>1582</v>
      </c>
      <c r="Z486" s="25" t="s">
        <v>1451</v>
      </c>
      <c r="AA486" s="25" t="s">
        <v>2705</v>
      </c>
      <c r="AB486" s="39">
        <v>60</v>
      </c>
      <c r="AC486" s="39">
        <v>10</v>
      </c>
      <c r="AD486" s="39">
        <v>7</v>
      </c>
      <c r="AE486" s="25" t="s">
        <v>1823</v>
      </c>
      <c r="AF486" s="39">
        <v>90</v>
      </c>
      <c r="AG486" s="39">
        <v>10</v>
      </c>
      <c r="AH486" s="39">
        <v>10</v>
      </c>
      <c r="AI486" s="25" t="s">
        <v>1824</v>
      </c>
      <c r="AJ486" s="39">
        <v>120</v>
      </c>
      <c r="AK486" s="39">
        <v>15</v>
      </c>
      <c r="AL486" s="39">
        <v>13</v>
      </c>
      <c r="AM486" s="25" t="s">
        <v>2000</v>
      </c>
      <c r="AN486" s="39">
        <v>150</v>
      </c>
      <c r="AO486" s="39">
        <v>15</v>
      </c>
      <c r="AP486" s="39">
        <v>15</v>
      </c>
      <c r="AR486" s="39"/>
    </row>
    <row r="487" spans="1:44" x14ac:dyDescent="0.2">
      <c r="A487" s="25" t="s">
        <v>1671</v>
      </c>
      <c r="B487" s="25" t="s">
        <v>1853</v>
      </c>
      <c r="T487" s="25" t="s">
        <v>1655</v>
      </c>
      <c r="U487" s="25">
        <v>4615</v>
      </c>
      <c r="V487" s="25" t="s">
        <v>2156</v>
      </c>
      <c r="W487" s="38" t="s">
        <v>2157</v>
      </c>
      <c r="X487" s="25" t="s">
        <v>1658</v>
      </c>
      <c r="Y487" s="25" t="s">
        <v>1582</v>
      </c>
      <c r="Z487" s="25" t="s">
        <v>1451</v>
      </c>
      <c r="AA487" s="25" t="s">
        <v>2158</v>
      </c>
      <c r="AB487" s="39">
        <v>140</v>
      </c>
      <c r="AC487" s="39">
        <v>15</v>
      </c>
      <c r="AD487" s="39">
        <v>8</v>
      </c>
      <c r="AE487" s="25" t="s">
        <v>2159</v>
      </c>
      <c r="AF487" s="39">
        <v>200</v>
      </c>
      <c r="AG487" s="39">
        <v>20</v>
      </c>
      <c r="AH487" s="39">
        <v>9</v>
      </c>
      <c r="AI487" s="25" t="s">
        <v>2160</v>
      </c>
      <c r="AJ487" s="39">
        <v>240</v>
      </c>
      <c r="AK487" s="39">
        <v>25</v>
      </c>
      <c r="AL487" s="39">
        <v>13</v>
      </c>
      <c r="AM487" s="25" t="s">
        <v>2161</v>
      </c>
      <c r="AN487" s="39">
        <v>280</v>
      </c>
      <c r="AO487" s="39">
        <v>30</v>
      </c>
      <c r="AP487" s="39">
        <v>16</v>
      </c>
      <c r="AQ487" s="25" t="s">
        <v>60</v>
      </c>
      <c r="AR487" s="39"/>
    </row>
    <row r="488" spans="1:44" x14ac:dyDescent="0.2">
      <c r="A488" s="25" t="s">
        <v>1671</v>
      </c>
      <c r="B488" s="25" t="s">
        <v>2012</v>
      </c>
      <c r="T488" s="25" t="s">
        <v>1619</v>
      </c>
      <c r="U488" s="25">
        <v>9115</v>
      </c>
      <c r="V488" s="25" t="s">
        <v>2931</v>
      </c>
      <c r="W488" s="38" t="s">
        <v>6607</v>
      </c>
      <c r="X488" s="25" t="s">
        <v>1622</v>
      </c>
      <c r="Y488" s="25" t="s">
        <v>164</v>
      </c>
      <c r="Z488" s="25" t="s">
        <v>1451</v>
      </c>
      <c r="AA488" s="25" t="s">
        <v>1677</v>
      </c>
      <c r="AB488" s="39">
        <v>60</v>
      </c>
      <c r="AC488" s="39">
        <v>10</v>
      </c>
      <c r="AD488" s="39">
        <v>6</v>
      </c>
      <c r="AE488" s="25" t="s">
        <v>2932</v>
      </c>
      <c r="AF488" s="39">
        <v>140</v>
      </c>
      <c r="AG488" s="39">
        <v>15</v>
      </c>
      <c r="AH488" s="39">
        <v>9</v>
      </c>
      <c r="AI488" s="25" t="s">
        <v>2933</v>
      </c>
      <c r="AJ488" s="39">
        <v>220</v>
      </c>
      <c r="AK488" s="39">
        <v>25</v>
      </c>
      <c r="AL488" s="39">
        <v>11</v>
      </c>
      <c r="AM488" s="25" t="s">
        <v>2934</v>
      </c>
      <c r="AN488" s="39">
        <v>340</v>
      </c>
      <c r="AO488" s="39">
        <v>35</v>
      </c>
      <c r="AP488" s="39">
        <v>13</v>
      </c>
      <c r="AQ488" s="25" t="s">
        <v>29</v>
      </c>
      <c r="AR488" s="39" t="s">
        <v>6456</v>
      </c>
    </row>
    <row r="489" spans="1:44" x14ac:dyDescent="0.2">
      <c r="A489" s="25" t="s">
        <v>1671</v>
      </c>
      <c r="B489" s="25" t="s">
        <v>2166</v>
      </c>
      <c r="T489" s="25" t="s">
        <v>1554</v>
      </c>
      <c r="U489" s="25">
        <v>10022</v>
      </c>
      <c r="V489" s="25" t="s">
        <v>3040</v>
      </c>
      <c r="W489" s="38" t="s">
        <v>6538</v>
      </c>
      <c r="X489" s="25">
        <v>94</v>
      </c>
      <c r="Y489" s="25" t="s">
        <v>1498</v>
      </c>
      <c r="Z489" s="25" t="s">
        <v>1451</v>
      </c>
      <c r="AA489" s="25" t="s">
        <v>3041</v>
      </c>
      <c r="AB489" s="39">
        <v>350</v>
      </c>
      <c r="AC489" s="39">
        <v>35</v>
      </c>
      <c r="AD489" s="39">
        <v>8</v>
      </c>
      <c r="AE489" s="25" t="s">
        <v>3042</v>
      </c>
      <c r="AF489" s="39">
        <v>600</v>
      </c>
      <c r="AG489" s="39">
        <v>60</v>
      </c>
      <c r="AH489" s="39">
        <v>10</v>
      </c>
      <c r="AI489" s="25" t="s">
        <v>3043</v>
      </c>
      <c r="AJ489" s="39">
        <v>1000</v>
      </c>
      <c r="AK489" s="39">
        <v>100</v>
      </c>
      <c r="AL489" s="39">
        <v>12</v>
      </c>
      <c r="AM489" s="25" t="s">
        <v>3044</v>
      </c>
      <c r="AN489" s="39">
        <v>1600</v>
      </c>
      <c r="AO489" s="39">
        <v>160</v>
      </c>
      <c r="AP489" s="39">
        <v>14</v>
      </c>
      <c r="AQ489" s="25" t="s">
        <v>1562</v>
      </c>
      <c r="AR489" s="39" t="s">
        <v>6456</v>
      </c>
    </row>
    <row r="490" spans="1:44" x14ac:dyDescent="0.2">
      <c r="A490" s="25" t="s">
        <v>1671</v>
      </c>
      <c r="B490" s="25" t="s">
        <v>2327</v>
      </c>
      <c r="T490" s="25" t="s">
        <v>1554</v>
      </c>
      <c r="U490" s="25">
        <v>9022</v>
      </c>
      <c r="V490" s="25" t="s">
        <v>2893</v>
      </c>
      <c r="W490" s="38" t="s">
        <v>2894</v>
      </c>
      <c r="X490" s="25">
        <v>84</v>
      </c>
      <c r="Y490" s="25" t="s">
        <v>1582</v>
      </c>
      <c r="Z490" s="25" t="s">
        <v>1451</v>
      </c>
      <c r="AA490" s="25" t="s">
        <v>1667</v>
      </c>
      <c r="AB490" s="39">
        <v>120</v>
      </c>
      <c r="AC490" s="39">
        <v>20</v>
      </c>
      <c r="AD490" s="39">
        <v>9</v>
      </c>
      <c r="AE490" s="25" t="s">
        <v>1668</v>
      </c>
      <c r="AF490" s="39">
        <v>180</v>
      </c>
      <c r="AG490" s="39">
        <v>20</v>
      </c>
      <c r="AH490" s="39">
        <v>11</v>
      </c>
      <c r="AI490" s="25" t="s">
        <v>1586</v>
      </c>
      <c r="AJ490" s="39">
        <v>240</v>
      </c>
      <c r="AK490" s="39">
        <v>25</v>
      </c>
      <c r="AL490" s="39">
        <v>13</v>
      </c>
      <c r="AM490" s="25" t="s">
        <v>1669</v>
      </c>
      <c r="AN490" s="39">
        <v>300</v>
      </c>
      <c r="AO490" s="39">
        <v>30</v>
      </c>
      <c r="AP490" s="39">
        <v>15</v>
      </c>
      <c r="AQ490" s="25" t="s">
        <v>1562</v>
      </c>
      <c r="AR490" s="39"/>
    </row>
    <row r="491" spans="1:44" x14ac:dyDescent="0.2">
      <c r="A491" s="25" t="s">
        <v>1671</v>
      </c>
      <c r="B491" s="25" t="s">
        <v>2487</v>
      </c>
      <c r="T491" s="25" t="s">
        <v>29</v>
      </c>
      <c r="U491" s="25">
        <v>5001</v>
      </c>
      <c r="V491" s="25" t="s">
        <v>2176</v>
      </c>
      <c r="W491" s="38" t="s">
        <v>2177</v>
      </c>
      <c r="X491" s="25">
        <v>12</v>
      </c>
      <c r="Y491" s="25" t="s">
        <v>164</v>
      </c>
      <c r="Z491" s="25" t="s">
        <v>1451</v>
      </c>
      <c r="AA491" s="25" t="s">
        <v>2178</v>
      </c>
      <c r="AB491" s="39">
        <v>50</v>
      </c>
      <c r="AC491" s="39">
        <v>5</v>
      </c>
      <c r="AD491" s="39">
        <v>6</v>
      </c>
      <c r="AE491" s="25" t="s">
        <v>2179</v>
      </c>
      <c r="AF491" s="39">
        <v>150</v>
      </c>
      <c r="AG491" s="39">
        <v>15</v>
      </c>
      <c r="AH491" s="39">
        <v>9</v>
      </c>
      <c r="AI491" s="25" t="s">
        <v>2180</v>
      </c>
      <c r="AJ491" s="39">
        <v>200</v>
      </c>
      <c r="AK491" s="39">
        <v>20</v>
      </c>
      <c r="AL491" s="39">
        <v>12</v>
      </c>
      <c r="AM491" s="25" t="s">
        <v>2181</v>
      </c>
      <c r="AN491" s="39">
        <v>250</v>
      </c>
      <c r="AO491" s="39">
        <v>25</v>
      </c>
      <c r="AP491" s="39">
        <v>14</v>
      </c>
      <c r="AR491" s="39"/>
    </row>
    <row r="492" spans="1:44" x14ac:dyDescent="0.2">
      <c r="A492" s="25" t="s">
        <v>1671</v>
      </c>
      <c r="B492" s="25" t="s">
        <v>2650</v>
      </c>
      <c r="T492" s="25" t="s">
        <v>1631</v>
      </c>
      <c r="U492" s="25">
        <v>12315</v>
      </c>
      <c r="V492" s="25" t="s">
        <v>3260</v>
      </c>
      <c r="W492" s="38" t="s">
        <v>3261</v>
      </c>
      <c r="X492" s="25" t="s">
        <v>1633</v>
      </c>
      <c r="Y492" s="25" t="s">
        <v>164</v>
      </c>
      <c r="Z492" s="25" t="s">
        <v>1451</v>
      </c>
      <c r="AA492" s="25" t="s">
        <v>3262</v>
      </c>
      <c r="AB492" s="39">
        <v>60</v>
      </c>
      <c r="AC492" s="39">
        <v>5</v>
      </c>
      <c r="AD492" s="39">
        <v>7</v>
      </c>
      <c r="AE492" s="25" t="s">
        <v>3263</v>
      </c>
      <c r="AF492" s="39">
        <v>90</v>
      </c>
      <c r="AG492" s="39">
        <v>5</v>
      </c>
      <c r="AH492" s="39">
        <v>10</v>
      </c>
      <c r="AI492" s="25" t="s">
        <v>3264</v>
      </c>
      <c r="AJ492" s="39">
        <v>120</v>
      </c>
      <c r="AK492" s="39">
        <v>10</v>
      </c>
      <c r="AL492" s="39">
        <v>13</v>
      </c>
      <c r="AM492" s="25" t="s">
        <v>3265</v>
      </c>
      <c r="AN492" s="39">
        <v>150</v>
      </c>
      <c r="AO492" s="39">
        <v>10</v>
      </c>
      <c r="AP492" s="39">
        <v>16</v>
      </c>
      <c r="AQ492" s="25" t="s">
        <v>698</v>
      </c>
      <c r="AR492" s="39"/>
    </row>
    <row r="493" spans="1:44" x14ac:dyDescent="0.2">
      <c r="A493" s="25" t="s">
        <v>1671</v>
      </c>
      <c r="B493" s="25" t="s">
        <v>2804</v>
      </c>
      <c r="T493" s="25" t="s">
        <v>39</v>
      </c>
      <c r="U493" s="25">
        <v>22002</v>
      </c>
      <c r="V493" s="25" t="s">
        <v>3704</v>
      </c>
      <c r="W493" s="38" t="s">
        <v>3705</v>
      </c>
      <c r="X493" s="25">
        <v>56</v>
      </c>
      <c r="Y493" s="25" t="s">
        <v>164</v>
      </c>
      <c r="Z493" s="25" t="s">
        <v>1451</v>
      </c>
      <c r="AA493" s="25" t="s">
        <v>2989</v>
      </c>
      <c r="AB493" s="39">
        <v>100</v>
      </c>
      <c r="AC493" s="39">
        <v>5</v>
      </c>
      <c r="AD493" s="39">
        <v>6</v>
      </c>
      <c r="AE493" s="25" t="s">
        <v>2991</v>
      </c>
      <c r="AF493" s="39">
        <v>180</v>
      </c>
      <c r="AG493" s="39">
        <v>10</v>
      </c>
      <c r="AH493" s="39">
        <v>9</v>
      </c>
      <c r="AI493" s="25" t="s">
        <v>3706</v>
      </c>
      <c r="AJ493" s="39">
        <v>240</v>
      </c>
      <c r="AK493" s="39">
        <v>15</v>
      </c>
      <c r="AL493" s="39">
        <v>12</v>
      </c>
      <c r="AM493" s="25" t="s">
        <v>3707</v>
      </c>
      <c r="AN493" s="39">
        <v>300</v>
      </c>
      <c r="AO493" s="39">
        <v>15</v>
      </c>
      <c r="AP493" s="39">
        <v>15</v>
      </c>
      <c r="AR493" s="39"/>
    </row>
    <row r="494" spans="1:44" x14ac:dyDescent="0.2">
      <c r="A494" s="25" t="s">
        <v>1671</v>
      </c>
      <c r="B494" s="25" t="s">
        <v>2954</v>
      </c>
      <c r="T494" s="25" t="s">
        <v>1563</v>
      </c>
      <c r="U494" s="25">
        <v>6023</v>
      </c>
      <c r="V494" s="25" t="s">
        <v>2424</v>
      </c>
      <c r="W494" s="38" t="s">
        <v>2425</v>
      </c>
      <c r="X494" s="25">
        <v>54</v>
      </c>
      <c r="Y494" s="25" t="s">
        <v>164</v>
      </c>
      <c r="Z494" s="25" t="s">
        <v>1451</v>
      </c>
      <c r="AA494" s="25" t="s">
        <v>1989</v>
      </c>
      <c r="AB494" s="39">
        <v>60</v>
      </c>
      <c r="AC494" s="39">
        <v>5</v>
      </c>
      <c r="AD494" s="39">
        <v>7</v>
      </c>
      <c r="AE494" s="25" t="s">
        <v>1667</v>
      </c>
      <c r="AF494" s="39">
        <v>80</v>
      </c>
      <c r="AG494" s="39">
        <v>5</v>
      </c>
      <c r="AH494" s="39">
        <v>9</v>
      </c>
      <c r="AI494" s="25" t="s">
        <v>1668</v>
      </c>
      <c r="AJ494" s="39">
        <v>100</v>
      </c>
      <c r="AK494" s="39">
        <v>10</v>
      </c>
      <c r="AL494" s="39">
        <v>11</v>
      </c>
      <c r="AM494" s="25" t="s">
        <v>1586</v>
      </c>
      <c r="AN494" s="39">
        <v>120</v>
      </c>
      <c r="AO494" s="39">
        <v>10</v>
      </c>
      <c r="AP494" s="39">
        <v>13</v>
      </c>
      <c r="AQ494" s="25" t="s">
        <v>1570</v>
      </c>
      <c r="AR494" s="39"/>
    </row>
    <row r="495" spans="1:44" x14ac:dyDescent="0.2">
      <c r="A495" s="25" t="s">
        <v>1671</v>
      </c>
      <c r="B495" s="25" t="s">
        <v>3104</v>
      </c>
      <c r="T495" s="25" t="s">
        <v>132</v>
      </c>
      <c r="U495" s="25">
        <v>9021</v>
      </c>
      <c r="V495" s="25" t="s">
        <v>2888</v>
      </c>
      <c r="W495" s="38" t="s">
        <v>6476</v>
      </c>
      <c r="X495" s="25">
        <v>84</v>
      </c>
      <c r="Y495" s="25" t="s">
        <v>164</v>
      </c>
      <c r="Z495" s="25" t="s">
        <v>1451</v>
      </c>
      <c r="AA495" s="25" t="s">
        <v>2889</v>
      </c>
      <c r="AB495" s="39">
        <v>120</v>
      </c>
      <c r="AC495" s="39">
        <v>15</v>
      </c>
      <c r="AD495" s="39">
        <v>9</v>
      </c>
      <c r="AE495" s="25" t="s">
        <v>2890</v>
      </c>
      <c r="AF495" s="39">
        <v>150</v>
      </c>
      <c r="AG495" s="39">
        <v>15</v>
      </c>
      <c r="AH495" s="39">
        <v>12</v>
      </c>
      <c r="AI495" s="25" t="s">
        <v>2891</v>
      </c>
      <c r="AJ495" s="39">
        <v>200</v>
      </c>
      <c r="AK495" s="39">
        <v>20</v>
      </c>
      <c r="AL495" s="39">
        <v>14</v>
      </c>
      <c r="AM495" s="25" t="s">
        <v>2892</v>
      </c>
      <c r="AN495" s="39">
        <v>250</v>
      </c>
      <c r="AO495" s="39">
        <v>25</v>
      </c>
      <c r="AP495" s="39">
        <v>16</v>
      </c>
      <c r="AQ495" s="25" t="s">
        <v>1553</v>
      </c>
      <c r="AR495" s="39" t="s">
        <v>6456</v>
      </c>
    </row>
    <row r="496" spans="1:44" x14ac:dyDescent="0.2">
      <c r="A496" s="25" t="s">
        <v>1671</v>
      </c>
      <c r="B496" s="25" t="s">
        <v>3195</v>
      </c>
      <c r="T496" s="25" t="s">
        <v>132</v>
      </c>
      <c r="U496" s="25">
        <v>2021</v>
      </c>
      <c r="V496" s="25" t="s">
        <v>1771</v>
      </c>
      <c r="W496" s="38" t="s">
        <v>6544</v>
      </c>
      <c r="X496" s="25">
        <v>14</v>
      </c>
      <c r="Y496" s="25" t="s">
        <v>1772</v>
      </c>
      <c r="Z496" s="25" t="s">
        <v>1451</v>
      </c>
      <c r="AA496" s="25" t="s">
        <v>1773</v>
      </c>
      <c r="AB496" s="39">
        <v>40</v>
      </c>
      <c r="AC496" s="39">
        <v>5</v>
      </c>
      <c r="AD496" s="39">
        <v>5</v>
      </c>
      <c r="AE496" s="25" t="s">
        <v>1774</v>
      </c>
      <c r="AF496" s="39">
        <v>60</v>
      </c>
      <c r="AG496" s="39">
        <v>5</v>
      </c>
      <c r="AH496" s="39">
        <v>8</v>
      </c>
      <c r="AI496" s="25" t="s">
        <v>1775</v>
      </c>
      <c r="AJ496" s="39">
        <v>90</v>
      </c>
      <c r="AK496" s="39">
        <v>5</v>
      </c>
      <c r="AL496" s="39">
        <v>10</v>
      </c>
      <c r="AM496" s="25" t="s">
        <v>1776</v>
      </c>
      <c r="AN496" s="39">
        <v>120</v>
      </c>
      <c r="AO496" s="39">
        <v>10</v>
      </c>
      <c r="AP496" s="39">
        <v>12</v>
      </c>
      <c r="AQ496" s="25" t="s">
        <v>1553</v>
      </c>
      <c r="AR496" s="39" t="s">
        <v>6456</v>
      </c>
    </row>
    <row r="497" spans="1:44" x14ac:dyDescent="0.2">
      <c r="A497" s="25" t="s">
        <v>1671</v>
      </c>
      <c r="B497" s="25" t="s">
        <v>3284</v>
      </c>
      <c r="T497" s="25" t="s">
        <v>101</v>
      </c>
      <c r="U497" s="25">
        <v>29011</v>
      </c>
      <c r="V497" s="25" t="s">
        <v>4013</v>
      </c>
      <c r="W497" s="38" t="s">
        <v>4014</v>
      </c>
      <c r="X497" s="25">
        <v>72</v>
      </c>
      <c r="Y497" s="25" t="s">
        <v>1582</v>
      </c>
      <c r="Z497" s="25" t="s">
        <v>1451</v>
      </c>
      <c r="AA497" s="25" t="s">
        <v>3894</v>
      </c>
      <c r="AB497" s="39">
        <v>180</v>
      </c>
      <c r="AC497" s="39" t="s">
        <v>244</v>
      </c>
      <c r="AD497" s="39">
        <v>10</v>
      </c>
      <c r="AE497" s="25" t="s">
        <v>3896</v>
      </c>
      <c r="AF497" s="39">
        <v>240</v>
      </c>
      <c r="AG497" s="39" t="s">
        <v>244</v>
      </c>
      <c r="AH497" s="39">
        <v>13</v>
      </c>
      <c r="AI497" s="25" t="s">
        <v>4015</v>
      </c>
      <c r="AJ497" s="39">
        <v>300</v>
      </c>
      <c r="AK497" s="39" t="s">
        <v>244</v>
      </c>
      <c r="AL497" s="39">
        <v>15</v>
      </c>
      <c r="AM497" s="25" t="s">
        <v>4016</v>
      </c>
      <c r="AN497" s="39">
        <v>360</v>
      </c>
      <c r="AO497" s="39" t="s">
        <v>244</v>
      </c>
      <c r="AP497" s="39">
        <v>18</v>
      </c>
      <c r="AR497" s="39"/>
    </row>
    <row r="498" spans="1:44" x14ac:dyDescent="0.2">
      <c r="A498" s="25" t="s">
        <v>1679</v>
      </c>
      <c r="B498" s="25" t="s">
        <v>1680</v>
      </c>
      <c r="T498" s="25" t="s">
        <v>35</v>
      </c>
      <c r="U498" s="25">
        <v>18007</v>
      </c>
      <c r="V498" s="25" t="s">
        <v>3547</v>
      </c>
      <c r="W498" s="38" t="s">
        <v>6500</v>
      </c>
      <c r="X498" s="25">
        <v>60</v>
      </c>
      <c r="Y498" s="25" t="s">
        <v>1582</v>
      </c>
      <c r="Z498" s="25" t="s">
        <v>1451</v>
      </c>
      <c r="AA498" s="25" t="s">
        <v>1667</v>
      </c>
      <c r="AB498" s="39">
        <v>140</v>
      </c>
      <c r="AC498" s="39">
        <v>10</v>
      </c>
      <c r="AD498" s="39">
        <v>7</v>
      </c>
      <c r="AE498" s="25" t="s">
        <v>3512</v>
      </c>
      <c r="AF498" s="39">
        <v>200</v>
      </c>
      <c r="AG498" s="39">
        <v>10</v>
      </c>
      <c r="AH498" s="39">
        <v>10</v>
      </c>
      <c r="AI498" s="25" t="s">
        <v>1669</v>
      </c>
      <c r="AJ498" s="39">
        <v>260</v>
      </c>
      <c r="AK498" s="39">
        <v>15</v>
      </c>
      <c r="AL498" s="39">
        <v>13</v>
      </c>
      <c r="AM498" s="25" t="s">
        <v>1670</v>
      </c>
      <c r="AN498" s="39">
        <v>320</v>
      </c>
      <c r="AO498" s="39">
        <v>20</v>
      </c>
      <c r="AP498" s="39">
        <v>16</v>
      </c>
      <c r="AR498" s="39" t="s">
        <v>6456</v>
      </c>
    </row>
    <row r="499" spans="1:44" x14ac:dyDescent="0.2">
      <c r="A499" s="25" t="s">
        <v>1679</v>
      </c>
      <c r="B499" s="25" t="s">
        <v>1858</v>
      </c>
      <c r="T499" s="25" t="s">
        <v>70</v>
      </c>
      <c r="U499" s="25">
        <v>26005</v>
      </c>
      <c r="V499" s="25" t="s">
        <v>3861</v>
      </c>
      <c r="W499" s="38" t="s">
        <v>6503</v>
      </c>
      <c r="X499" s="25">
        <v>86</v>
      </c>
      <c r="Y499" s="25" t="s">
        <v>164</v>
      </c>
      <c r="Z499" s="25" t="s">
        <v>1451</v>
      </c>
      <c r="AA499" s="25" t="s">
        <v>3862</v>
      </c>
      <c r="AB499" s="39">
        <v>250</v>
      </c>
      <c r="AC499" s="39">
        <v>25</v>
      </c>
      <c r="AD499" s="39">
        <v>10</v>
      </c>
      <c r="AE499" s="25" t="s">
        <v>3863</v>
      </c>
      <c r="AF499" s="39">
        <v>300</v>
      </c>
      <c r="AG499" s="39">
        <v>30</v>
      </c>
      <c r="AH499" s="39">
        <v>12</v>
      </c>
      <c r="AI499" s="25" t="s">
        <v>3864</v>
      </c>
      <c r="AJ499" s="39">
        <v>350</v>
      </c>
      <c r="AK499" s="39">
        <v>30</v>
      </c>
      <c r="AL499" s="39">
        <v>14</v>
      </c>
      <c r="AM499" s="25" t="s">
        <v>3865</v>
      </c>
      <c r="AN499" s="39">
        <v>400</v>
      </c>
      <c r="AO499" s="39">
        <v>35</v>
      </c>
      <c r="AP499" s="39">
        <v>18</v>
      </c>
      <c r="AR499" s="39" t="s">
        <v>6456</v>
      </c>
    </row>
    <row r="500" spans="1:44" x14ac:dyDescent="0.2">
      <c r="A500" s="25" t="s">
        <v>1679</v>
      </c>
      <c r="B500" s="25" t="s">
        <v>2017</v>
      </c>
      <c r="T500" s="25" t="s">
        <v>1655</v>
      </c>
      <c r="U500" s="25">
        <v>12615</v>
      </c>
      <c r="V500" s="25" t="s">
        <v>3272</v>
      </c>
      <c r="W500" s="38" t="s">
        <v>3273</v>
      </c>
      <c r="X500" s="25" t="s">
        <v>1658</v>
      </c>
      <c r="Y500" s="25" t="s">
        <v>1498</v>
      </c>
      <c r="Z500" s="25" t="s">
        <v>1451</v>
      </c>
      <c r="AA500" s="25" t="s">
        <v>3274</v>
      </c>
      <c r="AB500" s="39">
        <v>140</v>
      </c>
      <c r="AC500" s="39" t="s">
        <v>244</v>
      </c>
      <c r="AD500" s="39">
        <v>8</v>
      </c>
      <c r="AE500" s="25" t="s">
        <v>3275</v>
      </c>
      <c r="AF500" s="39">
        <v>200</v>
      </c>
      <c r="AG500" s="39" t="s">
        <v>244</v>
      </c>
      <c r="AH500" s="39">
        <v>11</v>
      </c>
      <c r="AI500" s="25" t="s">
        <v>3276</v>
      </c>
      <c r="AJ500" s="39">
        <v>240</v>
      </c>
      <c r="AK500" s="39" t="s">
        <v>244</v>
      </c>
      <c r="AL500" s="39">
        <v>13</v>
      </c>
      <c r="AM500" s="25" t="s">
        <v>3277</v>
      </c>
      <c r="AN500" s="39">
        <v>280</v>
      </c>
      <c r="AO500" s="39" t="s">
        <v>244</v>
      </c>
      <c r="AP500" s="39">
        <v>16</v>
      </c>
      <c r="AQ500" s="25" t="s">
        <v>94</v>
      </c>
      <c r="AR500" s="39"/>
    </row>
    <row r="501" spans="1:44" x14ac:dyDescent="0.2">
      <c r="A501" s="25" t="s">
        <v>1679</v>
      </c>
      <c r="B501" s="25" t="s">
        <v>2171</v>
      </c>
      <c r="T501" s="25" t="s">
        <v>1543</v>
      </c>
      <c r="U501" s="25">
        <v>3020</v>
      </c>
      <c r="V501" s="25" t="s">
        <v>1938</v>
      </c>
      <c r="W501" s="38" t="s">
        <v>1939</v>
      </c>
      <c r="X501" s="25">
        <v>24</v>
      </c>
      <c r="Y501" s="25" t="s">
        <v>164</v>
      </c>
      <c r="Z501" s="25" t="s">
        <v>1451</v>
      </c>
      <c r="AA501" s="25" t="s">
        <v>1940</v>
      </c>
      <c r="AB501" s="39">
        <v>50</v>
      </c>
      <c r="AC501" s="39">
        <v>5</v>
      </c>
      <c r="AD501" s="39">
        <v>6</v>
      </c>
      <c r="AE501" s="25">
        <v>180</v>
      </c>
      <c r="AF501" s="39">
        <v>70</v>
      </c>
      <c r="AG501" s="39">
        <v>5</v>
      </c>
      <c r="AH501" s="39">
        <v>8</v>
      </c>
      <c r="AI501" s="25">
        <v>240</v>
      </c>
      <c r="AJ501" s="39">
        <v>90</v>
      </c>
      <c r="AK501" s="39">
        <v>5</v>
      </c>
      <c r="AL501" s="39">
        <v>10</v>
      </c>
      <c r="AM501" s="25">
        <v>280</v>
      </c>
      <c r="AN501" s="39">
        <v>120</v>
      </c>
      <c r="AO501" s="39">
        <v>10</v>
      </c>
      <c r="AP501" s="39">
        <v>12</v>
      </c>
      <c r="AQ501" s="25" t="s">
        <v>1547</v>
      </c>
      <c r="AR501" s="39"/>
    </row>
    <row r="502" spans="1:44" x14ac:dyDescent="0.2">
      <c r="A502" s="25" t="s">
        <v>1679</v>
      </c>
      <c r="B502" s="25" t="s">
        <v>2333</v>
      </c>
      <c r="T502" s="25" t="s">
        <v>1531</v>
      </c>
      <c r="U502" s="25">
        <v>1018</v>
      </c>
      <c r="V502" s="25" t="s">
        <v>1532</v>
      </c>
      <c r="W502" s="38" t="s">
        <v>6520</v>
      </c>
      <c r="X502" s="25">
        <v>4</v>
      </c>
      <c r="Y502" s="25" t="s">
        <v>164</v>
      </c>
      <c r="Z502" s="25" t="s">
        <v>1451</v>
      </c>
      <c r="AA502" s="25" t="s">
        <v>1533</v>
      </c>
      <c r="AB502" s="39">
        <v>30</v>
      </c>
      <c r="AC502" s="39">
        <v>5</v>
      </c>
      <c r="AD502" s="39">
        <v>5</v>
      </c>
      <c r="AE502" s="25" t="s">
        <v>173</v>
      </c>
      <c r="AF502" s="39">
        <v>80</v>
      </c>
      <c r="AG502" s="39">
        <v>10</v>
      </c>
      <c r="AH502" s="39">
        <v>8</v>
      </c>
      <c r="AI502" s="25" t="s">
        <v>176</v>
      </c>
      <c r="AJ502" s="39">
        <v>100</v>
      </c>
      <c r="AK502" s="39">
        <v>10</v>
      </c>
      <c r="AL502" s="39">
        <v>10</v>
      </c>
      <c r="AM502" s="25" t="s">
        <v>179</v>
      </c>
      <c r="AN502" s="39">
        <v>120</v>
      </c>
      <c r="AO502" s="39">
        <v>15</v>
      </c>
      <c r="AP502" s="39">
        <v>12</v>
      </c>
      <c r="AQ502" s="25" t="s">
        <v>1534</v>
      </c>
      <c r="AR502" s="39" t="s">
        <v>6456</v>
      </c>
    </row>
    <row r="503" spans="1:44" x14ac:dyDescent="0.2">
      <c r="A503" s="25" t="s">
        <v>1679</v>
      </c>
      <c r="B503" s="25" t="s">
        <v>2492</v>
      </c>
      <c r="T503" s="25" t="s">
        <v>1535</v>
      </c>
      <c r="U503" s="25">
        <v>5019</v>
      </c>
      <c r="V503" s="25" t="s">
        <v>2244</v>
      </c>
      <c r="W503" s="38" t="s">
        <v>2245</v>
      </c>
      <c r="X503" s="25">
        <v>44</v>
      </c>
      <c r="Y503" s="25" t="s">
        <v>1582</v>
      </c>
      <c r="Z503" s="25" t="s">
        <v>1451</v>
      </c>
      <c r="AA503" s="25" t="s">
        <v>2246</v>
      </c>
      <c r="AB503" s="39">
        <v>60</v>
      </c>
      <c r="AC503" s="39" t="s">
        <v>744</v>
      </c>
      <c r="AD503" s="39">
        <v>7</v>
      </c>
      <c r="AE503" s="25" t="s">
        <v>2247</v>
      </c>
      <c r="AF503" s="39">
        <v>90</v>
      </c>
      <c r="AG503" s="39" t="s">
        <v>744</v>
      </c>
      <c r="AH503" s="39">
        <v>10</v>
      </c>
      <c r="AI503" s="25" t="s">
        <v>2248</v>
      </c>
      <c r="AJ503" s="39">
        <v>120</v>
      </c>
      <c r="AK503" s="39" t="s">
        <v>744</v>
      </c>
      <c r="AL503" s="39">
        <v>13</v>
      </c>
      <c r="AM503" s="25" t="s">
        <v>2249</v>
      </c>
      <c r="AN503" s="39">
        <v>150</v>
      </c>
      <c r="AO503" s="39" t="s">
        <v>744</v>
      </c>
      <c r="AP503" s="39">
        <v>15</v>
      </c>
      <c r="AQ503" s="25" t="s">
        <v>1542</v>
      </c>
      <c r="AR503" s="39"/>
    </row>
    <row r="504" spans="1:44" x14ac:dyDescent="0.2">
      <c r="A504" s="25" t="s">
        <v>1679</v>
      </c>
      <c r="B504" s="25" t="s">
        <v>2655</v>
      </c>
      <c r="T504" s="25" t="s">
        <v>1671</v>
      </c>
      <c r="U504" s="25">
        <v>6815</v>
      </c>
      <c r="V504" s="25" t="s">
        <v>2487</v>
      </c>
      <c r="W504" s="38" t="s">
        <v>6516</v>
      </c>
      <c r="X504" s="25" t="s">
        <v>1674</v>
      </c>
      <c r="Y504" s="25" t="s">
        <v>164</v>
      </c>
      <c r="Z504" s="25" t="s">
        <v>1451</v>
      </c>
      <c r="AA504" s="25" t="s">
        <v>2488</v>
      </c>
      <c r="AB504" s="39">
        <v>500</v>
      </c>
      <c r="AC504" s="39">
        <v>25</v>
      </c>
      <c r="AD504" s="39">
        <v>10</v>
      </c>
      <c r="AE504" s="25" t="s">
        <v>2489</v>
      </c>
      <c r="AF504" s="39">
        <v>600</v>
      </c>
      <c r="AG504" s="39">
        <v>30</v>
      </c>
      <c r="AH504" s="39">
        <v>12</v>
      </c>
      <c r="AI504" s="25" t="s">
        <v>2490</v>
      </c>
      <c r="AJ504" s="39">
        <v>700</v>
      </c>
      <c r="AK504" s="39">
        <v>35</v>
      </c>
      <c r="AL504" s="39">
        <v>14</v>
      </c>
      <c r="AM504" s="25" t="s">
        <v>2491</v>
      </c>
      <c r="AN504" s="39">
        <v>800</v>
      </c>
      <c r="AO504" s="39">
        <v>40</v>
      </c>
      <c r="AP504" s="39">
        <v>16</v>
      </c>
      <c r="AQ504" s="25" t="s">
        <v>698</v>
      </c>
      <c r="AR504" s="39" t="s">
        <v>6456</v>
      </c>
    </row>
    <row r="505" spans="1:44" x14ac:dyDescent="0.2">
      <c r="A505" s="25" t="s">
        <v>1679</v>
      </c>
      <c r="B505" s="25" t="s">
        <v>2810</v>
      </c>
      <c r="T505" s="25" t="s">
        <v>1679</v>
      </c>
      <c r="U505" s="25">
        <v>7915</v>
      </c>
      <c r="V505" s="25" t="s">
        <v>2655</v>
      </c>
      <c r="W505" s="38" t="s">
        <v>6597</v>
      </c>
      <c r="X505" s="25" t="s">
        <v>1682</v>
      </c>
      <c r="Y505" s="25" t="s">
        <v>1582</v>
      </c>
      <c r="Z505" s="25" t="s">
        <v>1451</v>
      </c>
      <c r="AA505" s="25" t="s">
        <v>1667</v>
      </c>
      <c r="AB505" s="39">
        <v>300</v>
      </c>
      <c r="AC505" s="39">
        <v>30</v>
      </c>
      <c r="AD505" s="39">
        <v>10</v>
      </c>
      <c r="AE505" s="25" t="s">
        <v>1668</v>
      </c>
      <c r="AF505" s="39">
        <v>400</v>
      </c>
      <c r="AG505" s="39">
        <v>40</v>
      </c>
      <c r="AH505" s="39">
        <v>12</v>
      </c>
      <c r="AI505" s="25" t="s">
        <v>1669</v>
      </c>
      <c r="AJ505" s="39">
        <v>500</v>
      </c>
      <c r="AK505" s="39">
        <v>50</v>
      </c>
      <c r="AL505" s="39">
        <v>14</v>
      </c>
      <c r="AM505" s="25" t="s">
        <v>1670</v>
      </c>
      <c r="AN505" s="39">
        <v>600</v>
      </c>
      <c r="AO505" s="39">
        <v>60</v>
      </c>
      <c r="AP505" s="39">
        <v>16</v>
      </c>
      <c r="AQ505" s="25" t="s">
        <v>698</v>
      </c>
      <c r="AR505" s="39" t="s">
        <v>6456</v>
      </c>
    </row>
    <row r="506" spans="1:44" x14ac:dyDescent="0.2">
      <c r="A506" s="25" t="s">
        <v>1679</v>
      </c>
      <c r="B506" s="25" t="s">
        <v>2955</v>
      </c>
      <c r="T506" s="25" t="s">
        <v>49</v>
      </c>
      <c r="U506" s="25">
        <v>27003</v>
      </c>
      <c r="V506" s="25" t="s">
        <v>3905</v>
      </c>
      <c r="W506" s="38" t="s">
        <v>3906</v>
      </c>
      <c r="X506" s="25">
        <v>68</v>
      </c>
      <c r="Y506" s="25" t="s">
        <v>164</v>
      </c>
      <c r="Z506" s="25" t="s">
        <v>1557</v>
      </c>
      <c r="AA506" s="25" t="s">
        <v>3907</v>
      </c>
      <c r="AB506" s="39">
        <v>100</v>
      </c>
      <c r="AC506" s="39">
        <v>10</v>
      </c>
      <c r="AD506" s="39">
        <v>8</v>
      </c>
      <c r="AE506" s="25" t="s">
        <v>3908</v>
      </c>
      <c r="AF506" s="39">
        <v>200</v>
      </c>
      <c r="AG506" s="39">
        <v>20</v>
      </c>
      <c r="AH506" s="39">
        <v>12</v>
      </c>
      <c r="AI506" s="25" t="s">
        <v>1862</v>
      </c>
      <c r="AJ506" s="39">
        <v>300</v>
      </c>
      <c r="AK506" s="39">
        <v>30</v>
      </c>
      <c r="AL506" s="39">
        <v>15</v>
      </c>
      <c r="AM506" s="25" t="s">
        <v>1863</v>
      </c>
      <c r="AN506" s="39">
        <v>400</v>
      </c>
      <c r="AO506" s="39">
        <v>40</v>
      </c>
      <c r="AP506" s="39">
        <v>18</v>
      </c>
      <c r="AR506" s="39"/>
    </row>
    <row r="507" spans="1:44" x14ac:dyDescent="0.2">
      <c r="A507" s="25" t="s">
        <v>1679</v>
      </c>
      <c r="B507" s="25" t="s">
        <v>3107</v>
      </c>
      <c r="T507" s="25" t="s">
        <v>101</v>
      </c>
      <c r="U507" s="25">
        <v>34011</v>
      </c>
      <c r="V507" s="25" t="s">
        <v>4135</v>
      </c>
      <c r="W507" s="38" t="s">
        <v>4136</v>
      </c>
      <c r="X507" s="25">
        <v>86</v>
      </c>
      <c r="Y507" s="25" t="s">
        <v>1498</v>
      </c>
      <c r="Z507" s="25" t="s">
        <v>1451</v>
      </c>
      <c r="AA507" s="25" t="s">
        <v>1484</v>
      </c>
      <c r="AB507" s="39">
        <v>300</v>
      </c>
      <c r="AC507" s="39">
        <v>15</v>
      </c>
      <c r="AD507" s="39">
        <v>9</v>
      </c>
      <c r="AE507" s="25" t="s">
        <v>1477</v>
      </c>
      <c r="AF507" s="39">
        <v>400</v>
      </c>
      <c r="AG507" s="39">
        <v>20</v>
      </c>
      <c r="AH507" s="39">
        <v>12</v>
      </c>
      <c r="AI507" s="25" t="s">
        <v>1478</v>
      </c>
      <c r="AJ507" s="39">
        <v>500</v>
      </c>
      <c r="AK507" s="39">
        <v>25</v>
      </c>
      <c r="AL507" s="39">
        <v>14</v>
      </c>
      <c r="AM507" s="25" t="s">
        <v>1479</v>
      </c>
      <c r="AN507" s="39">
        <v>600</v>
      </c>
      <c r="AO507" s="39">
        <v>30</v>
      </c>
      <c r="AP507" s="39">
        <v>16</v>
      </c>
      <c r="AR507" s="39"/>
    </row>
    <row r="508" spans="1:44" x14ac:dyDescent="0.2">
      <c r="A508" s="25" t="s">
        <v>1679</v>
      </c>
      <c r="B508" s="25" t="s">
        <v>3198</v>
      </c>
      <c r="T508" s="25" t="s">
        <v>29</v>
      </c>
      <c r="U508" s="25">
        <v>36001</v>
      </c>
      <c r="V508" s="25" t="s">
        <v>4157</v>
      </c>
      <c r="W508" s="38" t="s">
        <v>4158</v>
      </c>
      <c r="X508" s="25">
        <v>90</v>
      </c>
      <c r="Y508" s="25" t="s">
        <v>1582</v>
      </c>
      <c r="Z508" s="25" t="s">
        <v>1451</v>
      </c>
      <c r="AA508" s="25" t="s">
        <v>4159</v>
      </c>
      <c r="AB508" s="39">
        <v>200</v>
      </c>
      <c r="AC508" s="39" t="s">
        <v>244</v>
      </c>
      <c r="AD508" s="39">
        <v>10</v>
      </c>
      <c r="AE508" s="25" t="s">
        <v>4160</v>
      </c>
      <c r="AF508" s="39">
        <v>300</v>
      </c>
      <c r="AG508" s="39" t="s">
        <v>244</v>
      </c>
      <c r="AH508" s="39">
        <v>12</v>
      </c>
      <c r="AI508" s="25" t="s">
        <v>4161</v>
      </c>
      <c r="AJ508" s="39">
        <v>450</v>
      </c>
      <c r="AK508" s="39" t="s">
        <v>244</v>
      </c>
      <c r="AL508" s="39">
        <v>14</v>
      </c>
      <c r="AM508" s="25" t="s">
        <v>4162</v>
      </c>
      <c r="AN508" s="39">
        <v>600</v>
      </c>
      <c r="AO508" s="39" t="s">
        <v>244</v>
      </c>
      <c r="AP508" s="39">
        <v>16</v>
      </c>
      <c r="AR508" s="39"/>
    </row>
    <row r="509" spans="1:44" x14ac:dyDescent="0.2">
      <c r="A509" s="25" t="s">
        <v>1679</v>
      </c>
      <c r="B509" s="25" t="s">
        <v>3290</v>
      </c>
      <c r="T509" s="25" t="s">
        <v>1679</v>
      </c>
      <c r="U509" s="25">
        <v>12915</v>
      </c>
      <c r="V509" s="25" t="s">
        <v>3290</v>
      </c>
      <c r="W509" s="38" t="s">
        <v>3291</v>
      </c>
      <c r="X509" s="25" t="s">
        <v>1682</v>
      </c>
      <c r="Y509" s="25" t="s">
        <v>1498</v>
      </c>
      <c r="Z509" s="25" t="s">
        <v>1451</v>
      </c>
      <c r="AA509" s="25" t="s">
        <v>1668</v>
      </c>
      <c r="AB509" s="39">
        <v>600</v>
      </c>
      <c r="AC509" s="39" t="s">
        <v>244</v>
      </c>
      <c r="AD509" s="39">
        <v>12</v>
      </c>
      <c r="AE509" s="25" t="s">
        <v>3292</v>
      </c>
      <c r="AF509" s="39">
        <v>900</v>
      </c>
      <c r="AG509" s="39" t="s">
        <v>244</v>
      </c>
      <c r="AH509" s="39">
        <v>15</v>
      </c>
      <c r="AI509" s="25" t="s">
        <v>2104</v>
      </c>
      <c r="AJ509" s="39">
        <v>1200</v>
      </c>
      <c r="AK509" s="39" t="s">
        <v>244</v>
      </c>
      <c r="AL509" s="39">
        <v>17</v>
      </c>
      <c r="AM509" s="25" t="s">
        <v>2223</v>
      </c>
      <c r="AN509" s="39">
        <v>1500</v>
      </c>
      <c r="AO509" s="39" t="s">
        <v>244</v>
      </c>
      <c r="AP509" s="39">
        <v>19</v>
      </c>
      <c r="AQ509" s="25" t="s">
        <v>698</v>
      </c>
      <c r="AR509" s="39"/>
    </row>
    <row r="510" spans="1:44" x14ac:dyDescent="0.2">
      <c r="A510" s="25" t="s">
        <v>1531</v>
      </c>
      <c r="B510" s="25" t="s">
        <v>1532</v>
      </c>
      <c r="T510" s="25" t="s">
        <v>1671</v>
      </c>
      <c r="U510" s="25">
        <v>11815</v>
      </c>
      <c r="V510" s="25" t="s">
        <v>3195</v>
      </c>
      <c r="W510" s="38" t="s">
        <v>6480</v>
      </c>
      <c r="X510" s="25" t="s">
        <v>1674</v>
      </c>
      <c r="Y510" s="25" t="s">
        <v>164</v>
      </c>
      <c r="Z510" s="25" t="s">
        <v>1451</v>
      </c>
      <c r="AA510" s="25" t="s">
        <v>1854</v>
      </c>
      <c r="AB510" s="39">
        <v>200</v>
      </c>
      <c r="AC510" s="39">
        <v>20</v>
      </c>
      <c r="AD510" s="39">
        <v>10</v>
      </c>
      <c r="AE510" s="25" t="s">
        <v>2494</v>
      </c>
      <c r="AF510" s="39">
        <v>300</v>
      </c>
      <c r="AG510" s="39">
        <v>30</v>
      </c>
      <c r="AH510" s="39">
        <v>12</v>
      </c>
      <c r="AI510" s="25" t="s">
        <v>3196</v>
      </c>
      <c r="AJ510" s="39">
        <v>360</v>
      </c>
      <c r="AK510" s="39">
        <v>40</v>
      </c>
      <c r="AL510" s="39">
        <v>14</v>
      </c>
      <c r="AM510" s="25" t="s">
        <v>3197</v>
      </c>
      <c r="AN510" s="39">
        <v>420</v>
      </c>
      <c r="AO510" s="39">
        <v>45</v>
      </c>
      <c r="AP510" s="39">
        <v>16</v>
      </c>
      <c r="AQ510" s="25" t="s">
        <v>698</v>
      </c>
      <c r="AR510" s="39" t="s">
        <v>6456</v>
      </c>
    </row>
    <row r="511" spans="1:44" x14ac:dyDescent="0.2">
      <c r="A511" s="25" t="s">
        <v>1531</v>
      </c>
      <c r="B511" s="25" t="s">
        <v>1759</v>
      </c>
      <c r="T511" s="25" t="s">
        <v>132</v>
      </c>
      <c r="U511" s="25">
        <v>8021</v>
      </c>
      <c r="V511" s="25" t="s">
        <v>2728</v>
      </c>
      <c r="W511" s="38" t="s">
        <v>2729</v>
      </c>
      <c r="X511" s="25">
        <v>74</v>
      </c>
      <c r="Y511" s="25" t="s">
        <v>2084</v>
      </c>
      <c r="Z511" s="25" t="s">
        <v>1451</v>
      </c>
      <c r="AA511" s="25" t="s">
        <v>2730</v>
      </c>
      <c r="AB511" s="39">
        <v>120</v>
      </c>
      <c r="AC511" s="39">
        <v>10</v>
      </c>
      <c r="AD511" s="39">
        <v>9</v>
      </c>
      <c r="AE511" s="25" t="s">
        <v>2248</v>
      </c>
      <c r="AF511" s="39">
        <v>150</v>
      </c>
      <c r="AG511" s="39">
        <v>10</v>
      </c>
      <c r="AH511" s="39">
        <v>11</v>
      </c>
      <c r="AI511" s="25" t="s">
        <v>2731</v>
      </c>
      <c r="AJ511" s="39">
        <v>200</v>
      </c>
      <c r="AK511" s="39">
        <v>10</v>
      </c>
      <c r="AL511" s="39">
        <v>13</v>
      </c>
      <c r="AM511" s="25" t="s">
        <v>2732</v>
      </c>
      <c r="AN511" s="39">
        <v>250</v>
      </c>
      <c r="AO511" s="39">
        <v>15</v>
      </c>
      <c r="AP511" s="39">
        <v>15</v>
      </c>
      <c r="AQ511" s="25" t="s">
        <v>1553</v>
      </c>
      <c r="AR511" s="39"/>
    </row>
    <row r="512" spans="1:44" x14ac:dyDescent="0.2">
      <c r="A512" s="25" t="s">
        <v>1531</v>
      </c>
      <c r="B512" s="25" t="s">
        <v>1927</v>
      </c>
      <c r="T512" s="25" t="s">
        <v>1543</v>
      </c>
      <c r="U512" s="25">
        <v>7020</v>
      </c>
      <c r="V512" s="25" t="s">
        <v>2575</v>
      </c>
      <c r="W512" s="38" t="s">
        <v>2576</v>
      </c>
      <c r="X512" s="25">
        <v>64</v>
      </c>
      <c r="Y512" s="25" t="s">
        <v>164</v>
      </c>
      <c r="Z512" s="25" t="s">
        <v>1451</v>
      </c>
      <c r="AA512" s="25" t="s">
        <v>2577</v>
      </c>
      <c r="AB512" s="39">
        <v>120</v>
      </c>
      <c r="AC512" s="39">
        <v>5</v>
      </c>
      <c r="AD512" s="39">
        <v>8</v>
      </c>
      <c r="AE512" s="25" t="s">
        <v>2578</v>
      </c>
      <c r="AF512" s="39">
        <v>180</v>
      </c>
      <c r="AG512" s="39">
        <v>10</v>
      </c>
      <c r="AH512" s="39">
        <v>10</v>
      </c>
      <c r="AI512" s="25" t="s">
        <v>2579</v>
      </c>
      <c r="AJ512" s="39">
        <v>240</v>
      </c>
      <c r="AK512" s="39">
        <v>15</v>
      </c>
      <c r="AL512" s="39">
        <v>12</v>
      </c>
      <c r="AM512" s="25" t="s">
        <v>2580</v>
      </c>
      <c r="AN512" s="39">
        <v>300</v>
      </c>
      <c r="AO512" s="39">
        <v>20</v>
      </c>
      <c r="AP512" s="39">
        <v>14</v>
      </c>
      <c r="AQ512" s="25" t="s">
        <v>1547</v>
      </c>
      <c r="AR512" s="39"/>
    </row>
    <row r="513" spans="1:44" x14ac:dyDescent="0.2">
      <c r="A513" s="25" t="s">
        <v>1531</v>
      </c>
      <c r="B513" s="25" t="s">
        <v>2082</v>
      </c>
      <c r="T513" s="25" t="s">
        <v>65</v>
      </c>
      <c r="U513" s="25">
        <v>20006</v>
      </c>
      <c r="V513" s="25" t="s">
        <v>3630</v>
      </c>
      <c r="W513" s="38" t="s">
        <v>3631</v>
      </c>
      <c r="X513" s="25">
        <v>66</v>
      </c>
      <c r="Y513" s="25" t="s">
        <v>1498</v>
      </c>
      <c r="Z513" s="25" t="s">
        <v>1451</v>
      </c>
      <c r="AA513" s="25" t="s">
        <v>3632</v>
      </c>
      <c r="AB513" s="39">
        <v>140</v>
      </c>
      <c r="AC513" s="39">
        <v>10</v>
      </c>
      <c r="AD513" s="39">
        <v>7</v>
      </c>
      <c r="AE513" s="25" t="s">
        <v>3633</v>
      </c>
      <c r="AF513" s="39">
        <v>200</v>
      </c>
      <c r="AG513" s="39">
        <v>10</v>
      </c>
      <c r="AH513" s="39">
        <v>10</v>
      </c>
      <c r="AI513" s="25" t="s">
        <v>3634</v>
      </c>
      <c r="AJ513" s="39">
        <v>280</v>
      </c>
      <c r="AK513" s="39">
        <v>15</v>
      </c>
      <c r="AL513" s="39">
        <v>13</v>
      </c>
      <c r="AM513" s="25" t="s">
        <v>3635</v>
      </c>
      <c r="AN513" s="39">
        <v>350</v>
      </c>
      <c r="AO513" s="39">
        <v>20</v>
      </c>
      <c r="AP513" s="39">
        <v>16</v>
      </c>
      <c r="AR513" s="39"/>
    </row>
    <row r="514" spans="1:44" x14ac:dyDescent="0.2">
      <c r="A514" s="25" t="s">
        <v>1531</v>
      </c>
      <c r="B514" s="25" t="s">
        <v>2241</v>
      </c>
      <c r="T514" s="25" t="s">
        <v>29</v>
      </c>
      <c r="U514" s="25">
        <v>37001</v>
      </c>
      <c r="V514" s="25" t="s">
        <v>4183</v>
      </c>
      <c r="W514" s="38" t="s">
        <v>4184</v>
      </c>
      <c r="X514" s="25">
        <v>92</v>
      </c>
      <c r="Y514" s="25" t="s">
        <v>1582</v>
      </c>
      <c r="Z514" s="25" t="s">
        <v>1451</v>
      </c>
      <c r="AA514" s="25" t="s">
        <v>4185</v>
      </c>
      <c r="AB514" s="39">
        <v>200</v>
      </c>
      <c r="AC514" s="39">
        <v>40</v>
      </c>
      <c r="AD514" s="39">
        <v>14</v>
      </c>
      <c r="AE514" s="25" t="s">
        <v>4186</v>
      </c>
      <c r="AF514" s="39">
        <v>350</v>
      </c>
      <c r="AG514" s="39">
        <v>70</v>
      </c>
      <c r="AH514" s="39">
        <v>16</v>
      </c>
      <c r="AI514" s="25" t="s">
        <v>4187</v>
      </c>
      <c r="AJ514" s="39">
        <v>500</v>
      </c>
      <c r="AK514" s="39">
        <v>100</v>
      </c>
      <c r="AL514" s="39">
        <v>18</v>
      </c>
      <c r="AM514" s="25" t="s">
        <v>4188</v>
      </c>
      <c r="AN514" s="39">
        <v>800</v>
      </c>
      <c r="AO514" s="39">
        <v>160</v>
      </c>
      <c r="AP514" s="39">
        <v>20</v>
      </c>
      <c r="AR514" s="39"/>
    </row>
    <row r="515" spans="1:44" x14ac:dyDescent="0.2">
      <c r="A515" s="25" t="s">
        <v>1531</v>
      </c>
      <c r="B515" s="25" t="s">
        <v>2403</v>
      </c>
      <c r="T515" s="25" t="s">
        <v>39</v>
      </c>
      <c r="U515" s="25">
        <v>37002</v>
      </c>
      <c r="V515" s="25" t="s">
        <v>4189</v>
      </c>
      <c r="W515" s="38" t="s">
        <v>4184</v>
      </c>
      <c r="X515" s="25">
        <v>92</v>
      </c>
      <c r="Y515" s="25" t="s">
        <v>1582</v>
      </c>
      <c r="Z515" s="25" t="s">
        <v>1451</v>
      </c>
      <c r="AA515" s="25" t="s">
        <v>4185</v>
      </c>
      <c r="AB515" s="39">
        <v>200</v>
      </c>
      <c r="AC515" s="39">
        <v>40</v>
      </c>
      <c r="AD515" s="39">
        <v>14</v>
      </c>
      <c r="AE515" s="25" t="s">
        <v>4186</v>
      </c>
      <c r="AF515" s="39">
        <v>350</v>
      </c>
      <c r="AG515" s="39">
        <v>70</v>
      </c>
      <c r="AH515" s="39">
        <v>16</v>
      </c>
      <c r="AI515" s="25" t="s">
        <v>4187</v>
      </c>
      <c r="AJ515" s="39">
        <v>500</v>
      </c>
      <c r="AK515" s="39">
        <v>100</v>
      </c>
      <c r="AL515" s="39">
        <v>18</v>
      </c>
      <c r="AM515" s="25" t="s">
        <v>4188</v>
      </c>
      <c r="AN515" s="39">
        <v>800</v>
      </c>
      <c r="AO515" s="39">
        <v>160</v>
      </c>
      <c r="AP515" s="39">
        <v>20</v>
      </c>
      <c r="AR515" s="39"/>
    </row>
    <row r="516" spans="1:44" x14ac:dyDescent="0.2">
      <c r="A516" s="25" t="s">
        <v>1531</v>
      </c>
      <c r="B516" s="25" t="s">
        <v>2567</v>
      </c>
      <c r="T516" s="25" t="s">
        <v>1671</v>
      </c>
      <c r="U516" s="25">
        <v>7815</v>
      </c>
      <c r="V516" s="25" t="s">
        <v>2650</v>
      </c>
      <c r="W516" s="38" t="s">
        <v>6511</v>
      </c>
      <c r="X516" s="25" t="s">
        <v>1674</v>
      </c>
      <c r="Y516" s="25" t="s">
        <v>164</v>
      </c>
      <c r="Z516" s="25" t="s">
        <v>1451</v>
      </c>
      <c r="AA516" s="25" t="s">
        <v>2651</v>
      </c>
      <c r="AB516" s="39">
        <v>200</v>
      </c>
      <c r="AC516" s="39">
        <v>10</v>
      </c>
      <c r="AD516" s="39">
        <v>10</v>
      </c>
      <c r="AE516" s="25" t="s">
        <v>2652</v>
      </c>
      <c r="AF516" s="39">
        <v>240</v>
      </c>
      <c r="AG516" s="39">
        <v>15</v>
      </c>
      <c r="AH516" s="39">
        <v>12</v>
      </c>
      <c r="AI516" s="25" t="s">
        <v>2653</v>
      </c>
      <c r="AJ516" s="39">
        <v>280</v>
      </c>
      <c r="AK516" s="39">
        <v>15</v>
      </c>
      <c r="AL516" s="39">
        <v>14</v>
      </c>
      <c r="AM516" s="25" t="s">
        <v>2654</v>
      </c>
      <c r="AN516" s="39">
        <v>320</v>
      </c>
      <c r="AO516" s="39">
        <v>20</v>
      </c>
      <c r="AP516" s="39">
        <v>16</v>
      </c>
      <c r="AQ516" s="25" t="s">
        <v>61</v>
      </c>
      <c r="AR516" s="39" t="s">
        <v>6456</v>
      </c>
    </row>
    <row r="517" spans="1:44" x14ac:dyDescent="0.2">
      <c r="A517" s="25" t="s">
        <v>1531</v>
      </c>
      <c r="B517" s="25" t="s">
        <v>2721</v>
      </c>
      <c r="T517" s="25" t="s">
        <v>29</v>
      </c>
      <c r="U517" s="25">
        <v>34001</v>
      </c>
      <c r="V517" s="25" t="s">
        <v>4119</v>
      </c>
      <c r="W517" s="38" t="s">
        <v>6472</v>
      </c>
      <c r="X517" s="25">
        <v>86</v>
      </c>
      <c r="Y517" s="25" t="s">
        <v>117</v>
      </c>
      <c r="Z517" s="25" t="s">
        <v>1557</v>
      </c>
      <c r="AA517" s="25" t="s">
        <v>4120</v>
      </c>
      <c r="AB517" s="39">
        <v>160</v>
      </c>
      <c r="AC517" s="39">
        <v>20</v>
      </c>
      <c r="AD517" s="39">
        <v>10</v>
      </c>
      <c r="AE517" s="25" t="s">
        <v>4121</v>
      </c>
      <c r="AF517" s="39">
        <v>250</v>
      </c>
      <c r="AG517" s="39">
        <v>25</v>
      </c>
      <c r="AH517" s="39">
        <v>13</v>
      </c>
      <c r="AI517" s="25" t="s">
        <v>4122</v>
      </c>
      <c r="AJ517" s="39">
        <v>300</v>
      </c>
      <c r="AK517" s="39">
        <v>30</v>
      </c>
      <c r="AL517" s="39">
        <v>15</v>
      </c>
      <c r="AM517" s="25" t="s">
        <v>4123</v>
      </c>
      <c r="AN517" s="39">
        <v>400</v>
      </c>
      <c r="AO517" s="39">
        <v>40</v>
      </c>
      <c r="AP517" s="39">
        <v>17</v>
      </c>
      <c r="AR517" s="39" t="s">
        <v>6456</v>
      </c>
    </row>
    <row r="518" spans="1:44" x14ac:dyDescent="0.2">
      <c r="A518" s="25" t="s">
        <v>1531</v>
      </c>
      <c r="B518" s="25" t="s">
        <v>2875</v>
      </c>
      <c r="T518" s="25" t="s">
        <v>61</v>
      </c>
      <c r="U518" s="25">
        <v>12004</v>
      </c>
      <c r="V518" s="25" t="s">
        <v>3211</v>
      </c>
      <c r="W518" s="38" t="s">
        <v>3212</v>
      </c>
      <c r="X518" s="25">
        <v>30</v>
      </c>
      <c r="Y518" s="25" t="s">
        <v>1582</v>
      </c>
      <c r="Z518" s="25" t="s">
        <v>1451</v>
      </c>
      <c r="AA518" s="25" t="s">
        <v>3213</v>
      </c>
      <c r="AB518" s="39">
        <v>80</v>
      </c>
      <c r="AC518" s="39" t="s">
        <v>244</v>
      </c>
      <c r="AD518" s="39">
        <v>6</v>
      </c>
      <c r="AE518" s="25" t="s">
        <v>3214</v>
      </c>
      <c r="AF518" s="39">
        <v>120</v>
      </c>
      <c r="AG518" s="39" t="s">
        <v>244</v>
      </c>
      <c r="AH518" s="39">
        <v>9</v>
      </c>
      <c r="AI518" s="25" t="s">
        <v>3215</v>
      </c>
      <c r="AJ518" s="39">
        <v>180</v>
      </c>
      <c r="AK518" s="39" t="s">
        <v>244</v>
      </c>
      <c r="AL518" s="39">
        <v>12</v>
      </c>
      <c r="AM518" s="25" t="s">
        <v>3216</v>
      </c>
      <c r="AN518" s="39">
        <v>300</v>
      </c>
      <c r="AO518" s="39" t="s">
        <v>244</v>
      </c>
      <c r="AP518" s="39">
        <v>15</v>
      </c>
      <c r="AR518" s="39"/>
    </row>
    <row r="519" spans="1:44" x14ac:dyDescent="0.2">
      <c r="A519" s="25" t="s">
        <v>1531</v>
      </c>
      <c r="B519" s="25" t="s">
        <v>3024</v>
      </c>
      <c r="T519" s="25" t="s">
        <v>1627</v>
      </c>
      <c r="U519" s="25">
        <v>11215</v>
      </c>
      <c r="V519" s="25" t="s">
        <v>3166</v>
      </c>
      <c r="W519" s="38" t="s">
        <v>6588</v>
      </c>
      <c r="X519" s="25" t="s">
        <v>1629</v>
      </c>
      <c r="Y519" s="25" t="s">
        <v>164</v>
      </c>
      <c r="Z519" s="25" t="s">
        <v>1451</v>
      </c>
      <c r="AA519" s="25" t="s">
        <v>1675</v>
      </c>
      <c r="AB519" s="39">
        <v>60</v>
      </c>
      <c r="AC519" s="39">
        <v>5</v>
      </c>
      <c r="AD519" s="39">
        <v>6</v>
      </c>
      <c r="AE519" s="25" t="s">
        <v>2932</v>
      </c>
      <c r="AF519" s="39">
        <v>90</v>
      </c>
      <c r="AG519" s="39">
        <v>5</v>
      </c>
      <c r="AH519" s="39">
        <v>9</v>
      </c>
      <c r="AI519" s="25" t="s">
        <v>3167</v>
      </c>
      <c r="AJ519" s="39">
        <v>120</v>
      </c>
      <c r="AK519" s="39">
        <v>10</v>
      </c>
      <c r="AL519" s="39">
        <v>12</v>
      </c>
      <c r="AM519" s="25" t="s">
        <v>3168</v>
      </c>
      <c r="AN519" s="39">
        <v>150</v>
      </c>
      <c r="AO519" s="39">
        <v>10</v>
      </c>
      <c r="AP519" s="39">
        <v>15</v>
      </c>
      <c r="AQ519" s="25" t="s">
        <v>698</v>
      </c>
      <c r="AR519" s="39" t="s">
        <v>6456</v>
      </c>
    </row>
    <row r="520" spans="1:44" x14ac:dyDescent="0.2">
      <c r="A520" s="25" t="s">
        <v>29</v>
      </c>
      <c r="B520" s="25" t="s">
        <v>1450</v>
      </c>
      <c r="T520" s="25" t="s">
        <v>1611</v>
      </c>
      <c r="U520" s="25">
        <v>8029</v>
      </c>
      <c r="V520" s="25" t="s">
        <v>2767</v>
      </c>
      <c r="W520" s="38" t="s">
        <v>2768</v>
      </c>
      <c r="X520" s="25">
        <v>74</v>
      </c>
      <c r="Y520" s="25" t="s">
        <v>116</v>
      </c>
      <c r="Z520" s="25" t="s">
        <v>1451</v>
      </c>
      <c r="AA520" s="25" t="s">
        <v>2769</v>
      </c>
      <c r="AB520" s="39">
        <v>140</v>
      </c>
      <c r="AC520" s="39">
        <v>15</v>
      </c>
      <c r="AD520" s="39">
        <v>10</v>
      </c>
      <c r="AE520" s="25" t="s">
        <v>2770</v>
      </c>
      <c r="AF520" s="39">
        <v>200</v>
      </c>
      <c r="AG520" s="39">
        <v>20</v>
      </c>
      <c r="AH520" s="39">
        <v>12</v>
      </c>
      <c r="AI520" s="25" t="s">
        <v>2771</v>
      </c>
      <c r="AJ520" s="39">
        <v>280</v>
      </c>
      <c r="AK520" s="39">
        <v>30</v>
      </c>
      <c r="AL520" s="39">
        <v>14</v>
      </c>
      <c r="AM520" s="25" t="s">
        <v>2772</v>
      </c>
      <c r="AN520" s="39">
        <v>400</v>
      </c>
      <c r="AO520" s="39">
        <v>40</v>
      </c>
      <c r="AP520" s="39">
        <v>16</v>
      </c>
      <c r="AQ520" s="25" t="s">
        <v>1618</v>
      </c>
      <c r="AR520" s="39"/>
    </row>
    <row r="521" spans="1:44" x14ac:dyDescent="0.2">
      <c r="A521" s="25" t="s">
        <v>29</v>
      </c>
      <c r="B521" s="25" t="s">
        <v>1687</v>
      </c>
      <c r="T521" s="25" t="s">
        <v>1523</v>
      </c>
      <c r="U521" s="25">
        <v>5017</v>
      </c>
      <c r="V521" s="25" t="s">
        <v>2235</v>
      </c>
      <c r="W521" s="38" t="s">
        <v>2236</v>
      </c>
      <c r="X521" s="25">
        <v>44</v>
      </c>
      <c r="Y521" s="25" t="s">
        <v>164</v>
      </c>
      <c r="Z521" s="25" t="s">
        <v>1451</v>
      </c>
      <c r="AA521" s="25" t="s">
        <v>2237</v>
      </c>
      <c r="AB521" s="39">
        <v>80</v>
      </c>
      <c r="AC521" s="39">
        <v>5</v>
      </c>
      <c r="AD521" s="39">
        <v>7</v>
      </c>
      <c r="AE521" s="25" t="s">
        <v>2238</v>
      </c>
      <c r="AF521" s="39">
        <v>120</v>
      </c>
      <c r="AG521" s="39">
        <v>15</v>
      </c>
      <c r="AH521" s="39">
        <v>9</v>
      </c>
      <c r="AI521" s="25" t="s">
        <v>2239</v>
      </c>
      <c r="AJ521" s="39">
        <v>160</v>
      </c>
      <c r="AK521" s="39">
        <v>20</v>
      </c>
      <c r="AL521" s="39">
        <v>12</v>
      </c>
      <c r="AM521" s="25" t="s">
        <v>2240</v>
      </c>
      <c r="AN521" s="39">
        <v>200</v>
      </c>
      <c r="AO521" s="39">
        <v>20</v>
      </c>
      <c r="AP521" s="39">
        <v>15</v>
      </c>
      <c r="AQ521" s="25" t="s">
        <v>1530</v>
      </c>
      <c r="AR521" s="39"/>
    </row>
    <row r="522" spans="1:44" x14ac:dyDescent="0.2">
      <c r="A522" s="25" t="s">
        <v>29</v>
      </c>
      <c r="B522" s="25" t="s">
        <v>1864</v>
      </c>
      <c r="T522" s="25" t="s">
        <v>1627</v>
      </c>
      <c r="U522" s="25">
        <v>3215</v>
      </c>
      <c r="V522" s="25" t="s">
        <v>1982</v>
      </c>
      <c r="W522" s="38" t="s">
        <v>1983</v>
      </c>
      <c r="X522" s="25" t="s">
        <v>1629</v>
      </c>
      <c r="Y522" s="25" t="s">
        <v>164</v>
      </c>
      <c r="Z522" s="25" t="s">
        <v>1451</v>
      </c>
      <c r="AA522" s="25" t="s">
        <v>1984</v>
      </c>
      <c r="AB522" s="39">
        <v>60</v>
      </c>
      <c r="AC522" s="39">
        <v>10</v>
      </c>
      <c r="AD522" s="39">
        <v>6</v>
      </c>
      <c r="AE522" s="25" t="s">
        <v>1985</v>
      </c>
      <c r="AF522" s="39">
        <v>90</v>
      </c>
      <c r="AG522" s="39">
        <v>10</v>
      </c>
      <c r="AH522" s="39">
        <v>9</v>
      </c>
      <c r="AI522" s="25" t="s">
        <v>1986</v>
      </c>
      <c r="AJ522" s="39">
        <v>120</v>
      </c>
      <c r="AK522" s="39">
        <v>15</v>
      </c>
      <c r="AL522" s="39">
        <v>12</v>
      </c>
      <c r="AM522" s="25" t="s">
        <v>1987</v>
      </c>
      <c r="AN522" s="39">
        <v>150</v>
      </c>
      <c r="AO522" s="39">
        <v>15</v>
      </c>
      <c r="AP522" s="39">
        <v>15</v>
      </c>
      <c r="AQ522" s="25" t="s">
        <v>61</v>
      </c>
      <c r="AR522" s="39"/>
    </row>
    <row r="523" spans="1:44" x14ac:dyDescent="0.2">
      <c r="A523" s="25" t="s">
        <v>29</v>
      </c>
      <c r="B523" s="25" t="s">
        <v>2022</v>
      </c>
      <c r="T523" s="25" t="s">
        <v>1611</v>
      </c>
      <c r="U523" s="25">
        <v>10029</v>
      </c>
      <c r="V523" s="25" t="s">
        <v>3069</v>
      </c>
      <c r="W523" s="38" t="s">
        <v>3070</v>
      </c>
      <c r="X523" s="25">
        <v>94</v>
      </c>
      <c r="Y523" s="25" t="s">
        <v>164</v>
      </c>
      <c r="Z523" s="25" t="s">
        <v>1557</v>
      </c>
      <c r="AA523" s="25" t="s">
        <v>3071</v>
      </c>
      <c r="AB523" s="39">
        <v>300</v>
      </c>
      <c r="AC523" s="39">
        <v>30</v>
      </c>
      <c r="AD523" s="39">
        <v>11</v>
      </c>
      <c r="AE523" s="25" t="s">
        <v>1127</v>
      </c>
      <c r="AF523" s="39">
        <v>500</v>
      </c>
      <c r="AG523" s="39">
        <v>50</v>
      </c>
      <c r="AH523" s="39">
        <v>13</v>
      </c>
      <c r="AI523" s="25" t="s">
        <v>3072</v>
      </c>
      <c r="AJ523" s="39">
        <v>800</v>
      </c>
      <c r="AK523" s="39">
        <v>80</v>
      </c>
      <c r="AL523" s="39">
        <v>15</v>
      </c>
      <c r="AM523" s="25" t="s">
        <v>1484</v>
      </c>
      <c r="AN523" s="39">
        <v>1200</v>
      </c>
      <c r="AO523" s="39">
        <v>120</v>
      </c>
      <c r="AP523" s="39">
        <v>18</v>
      </c>
      <c r="AQ523" s="25" t="s">
        <v>1618</v>
      </c>
      <c r="AR523" s="39"/>
    </row>
    <row r="524" spans="1:44" x14ac:dyDescent="0.2">
      <c r="A524" s="25" t="s">
        <v>29</v>
      </c>
      <c r="B524" s="25" t="s">
        <v>2176</v>
      </c>
      <c r="T524" s="25" t="s">
        <v>1611</v>
      </c>
      <c r="U524" s="25">
        <v>7029</v>
      </c>
      <c r="V524" s="25" t="s">
        <v>2613</v>
      </c>
      <c r="W524" s="38" t="s">
        <v>2614</v>
      </c>
      <c r="X524" s="25">
        <v>64</v>
      </c>
      <c r="Y524" s="25" t="s">
        <v>1498</v>
      </c>
      <c r="Z524" s="25" t="s">
        <v>1451</v>
      </c>
      <c r="AA524" s="25" t="s">
        <v>2615</v>
      </c>
      <c r="AB524" s="39">
        <v>150</v>
      </c>
      <c r="AC524" s="39">
        <v>15</v>
      </c>
      <c r="AD524" s="39">
        <v>8</v>
      </c>
      <c r="AE524" s="25" t="s">
        <v>2616</v>
      </c>
      <c r="AF524" s="39">
        <v>250</v>
      </c>
      <c r="AG524" s="39">
        <v>25</v>
      </c>
      <c r="AH524" s="39">
        <v>10</v>
      </c>
      <c r="AI524" s="25" t="s">
        <v>2617</v>
      </c>
      <c r="AJ524" s="39">
        <v>350</v>
      </c>
      <c r="AK524" s="39">
        <v>35</v>
      </c>
      <c r="AL524" s="39">
        <v>12</v>
      </c>
      <c r="AM524" s="25" t="s">
        <v>2618</v>
      </c>
      <c r="AN524" s="39">
        <v>500</v>
      </c>
      <c r="AO524" s="39">
        <v>50</v>
      </c>
      <c r="AP524" s="39">
        <v>15</v>
      </c>
      <c r="AQ524" s="25" t="s">
        <v>1618</v>
      </c>
      <c r="AR524" s="39"/>
    </row>
    <row r="525" spans="1:44" x14ac:dyDescent="0.2">
      <c r="A525" s="25" t="s">
        <v>29</v>
      </c>
      <c r="B525" s="25" t="s">
        <v>2338</v>
      </c>
      <c r="T525" s="25" t="s">
        <v>1631</v>
      </c>
      <c r="U525" s="25">
        <v>2315</v>
      </c>
      <c r="V525" s="25" t="s">
        <v>1825</v>
      </c>
      <c r="W525" s="38" t="s">
        <v>1826</v>
      </c>
      <c r="X525" s="25" t="s">
        <v>1633</v>
      </c>
      <c r="Y525" s="25" t="s">
        <v>164</v>
      </c>
      <c r="Z525" s="25" t="s">
        <v>1451</v>
      </c>
      <c r="AA525" s="25" t="s">
        <v>1827</v>
      </c>
      <c r="AB525" s="39">
        <v>80</v>
      </c>
      <c r="AC525" s="39" t="s">
        <v>244</v>
      </c>
      <c r="AD525" s="39">
        <v>7</v>
      </c>
      <c r="AE525" s="25" t="s">
        <v>1828</v>
      </c>
      <c r="AF525" s="39">
        <v>100</v>
      </c>
      <c r="AG525" s="39" t="s">
        <v>244</v>
      </c>
      <c r="AH525" s="39">
        <v>10</v>
      </c>
      <c r="AI525" s="25" t="s">
        <v>1829</v>
      </c>
      <c r="AJ525" s="39">
        <v>120</v>
      </c>
      <c r="AK525" s="39" t="s">
        <v>244</v>
      </c>
      <c r="AL525" s="39">
        <v>12</v>
      </c>
      <c r="AM525" s="25" t="s">
        <v>1830</v>
      </c>
      <c r="AN525" s="39">
        <v>140</v>
      </c>
      <c r="AO525" s="39" t="s">
        <v>244</v>
      </c>
      <c r="AP525" s="39">
        <v>14</v>
      </c>
      <c r="AQ525" s="25" t="s">
        <v>49</v>
      </c>
      <c r="AR525" s="39"/>
    </row>
    <row r="526" spans="1:44" x14ac:dyDescent="0.2">
      <c r="A526" s="25" t="s">
        <v>29</v>
      </c>
      <c r="B526" s="25" t="s">
        <v>2496</v>
      </c>
      <c r="T526" s="25" t="s">
        <v>49</v>
      </c>
      <c r="U526" s="25">
        <v>32003</v>
      </c>
      <c r="V526" s="25" t="s">
        <v>4088</v>
      </c>
      <c r="W526" s="38" t="s">
        <v>4089</v>
      </c>
      <c r="X526" s="25">
        <v>80</v>
      </c>
      <c r="Y526" s="25" t="s">
        <v>164</v>
      </c>
      <c r="Z526" s="25" t="s">
        <v>1451</v>
      </c>
      <c r="AA526" s="25" t="s">
        <v>4090</v>
      </c>
      <c r="AB526" s="39">
        <v>250</v>
      </c>
      <c r="AC526" s="39" t="s">
        <v>244</v>
      </c>
      <c r="AD526" s="39">
        <v>10</v>
      </c>
      <c r="AE526" s="25" t="s">
        <v>4091</v>
      </c>
      <c r="AF526" s="39">
        <v>500</v>
      </c>
      <c r="AG526" s="39" t="s">
        <v>244</v>
      </c>
      <c r="AH526" s="39">
        <v>13</v>
      </c>
      <c r="AI526" s="25" t="s">
        <v>4092</v>
      </c>
      <c r="AJ526" s="39">
        <v>1000</v>
      </c>
      <c r="AK526" s="39" t="s">
        <v>244</v>
      </c>
      <c r="AL526" s="39">
        <v>15</v>
      </c>
      <c r="AM526" s="25" t="s">
        <v>4093</v>
      </c>
      <c r="AN526" s="39">
        <v>2500</v>
      </c>
      <c r="AO526" s="39" t="s">
        <v>244</v>
      </c>
      <c r="AP526" s="39">
        <v>17</v>
      </c>
      <c r="AR526" s="39"/>
    </row>
    <row r="527" spans="1:44" x14ac:dyDescent="0.2">
      <c r="A527" s="25" t="s">
        <v>29</v>
      </c>
      <c r="B527" s="25" t="s">
        <v>2656</v>
      </c>
      <c r="T527" s="25" t="s">
        <v>101</v>
      </c>
      <c r="U527" s="25">
        <v>28011</v>
      </c>
      <c r="V527" s="25" t="s">
        <v>3984</v>
      </c>
      <c r="W527" s="38" t="s">
        <v>6532</v>
      </c>
      <c r="X527" s="25">
        <v>70</v>
      </c>
      <c r="Y527" s="25" t="s">
        <v>164</v>
      </c>
      <c r="Z527" s="25" t="s">
        <v>1451</v>
      </c>
      <c r="AA527" s="25" t="s">
        <v>2398</v>
      </c>
      <c r="AB527" s="39">
        <v>250</v>
      </c>
      <c r="AC527" s="39">
        <v>50</v>
      </c>
      <c r="AD527" s="39">
        <v>9</v>
      </c>
      <c r="AE527" s="25" t="s">
        <v>3779</v>
      </c>
      <c r="AF527" s="39">
        <v>360</v>
      </c>
      <c r="AG527" s="39">
        <v>80</v>
      </c>
      <c r="AH527" s="39">
        <v>12</v>
      </c>
      <c r="AI527" s="25" t="s">
        <v>3981</v>
      </c>
      <c r="AJ527" s="39">
        <v>500</v>
      </c>
      <c r="AK527" s="39">
        <v>100</v>
      </c>
      <c r="AL527" s="39">
        <v>15</v>
      </c>
      <c r="AM527" s="25" t="s">
        <v>3985</v>
      </c>
      <c r="AN527" s="39">
        <v>800</v>
      </c>
      <c r="AO527" s="39">
        <v>160</v>
      </c>
      <c r="AP527" s="39">
        <v>17</v>
      </c>
      <c r="AR527" s="39" t="s">
        <v>6456</v>
      </c>
    </row>
    <row r="528" spans="1:44" x14ac:dyDescent="0.2">
      <c r="A528" s="25" t="s">
        <v>29</v>
      </c>
      <c r="B528" s="25" t="s">
        <v>2813</v>
      </c>
      <c r="T528" s="25" t="s">
        <v>39</v>
      </c>
      <c r="U528" s="25">
        <v>15002</v>
      </c>
      <c r="V528" s="25" t="s">
        <v>3403</v>
      </c>
      <c r="W528" s="38" t="s">
        <v>3404</v>
      </c>
      <c r="X528" s="25">
        <v>38</v>
      </c>
      <c r="Y528" s="25" t="s">
        <v>1582</v>
      </c>
      <c r="Z528" s="25" t="s">
        <v>1451</v>
      </c>
      <c r="AA528" s="25" t="s">
        <v>3405</v>
      </c>
      <c r="AB528" s="39">
        <v>60</v>
      </c>
      <c r="AC528" s="39">
        <v>10</v>
      </c>
      <c r="AD528" s="39">
        <v>6</v>
      </c>
      <c r="AE528" s="25" t="s">
        <v>3406</v>
      </c>
      <c r="AF528" s="39">
        <v>90</v>
      </c>
      <c r="AG528" s="39">
        <v>10</v>
      </c>
      <c r="AH528" s="39">
        <v>9</v>
      </c>
      <c r="AI528" s="25" t="s">
        <v>3407</v>
      </c>
      <c r="AJ528" s="39">
        <v>150</v>
      </c>
      <c r="AK528" s="39">
        <v>15</v>
      </c>
      <c r="AL528" s="39">
        <v>12</v>
      </c>
      <c r="AM528" s="25" t="s">
        <v>3408</v>
      </c>
      <c r="AN528" s="39">
        <v>200</v>
      </c>
      <c r="AO528" s="39">
        <v>20</v>
      </c>
      <c r="AP528" s="39">
        <v>15</v>
      </c>
      <c r="AR528" s="39"/>
    </row>
    <row r="529" spans="1:44" x14ac:dyDescent="0.2">
      <c r="A529" s="25" t="s">
        <v>29</v>
      </c>
      <c r="B529" s="25" t="s">
        <v>2960</v>
      </c>
      <c r="T529" s="25" t="s">
        <v>1579</v>
      </c>
      <c r="U529" s="25">
        <v>1025</v>
      </c>
      <c r="V529" s="25" t="s">
        <v>1580</v>
      </c>
      <c r="W529" s="38" t="s">
        <v>1581</v>
      </c>
      <c r="X529" s="25">
        <v>4</v>
      </c>
      <c r="Y529" s="25" t="s">
        <v>1582</v>
      </c>
      <c r="Z529" s="25" t="s">
        <v>1451</v>
      </c>
      <c r="AA529" s="25" t="s">
        <v>1583</v>
      </c>
      <c r="AB529" s="39">
        <v>30</v>
      </c>
      <c r="AC529" s="39" t="s">
        <v>744</v>
      </c>
      <c r="AD529" s="39">
        <v>5</v>
      </c>
      <c r="AE529" s="25" t="s">
        <v>1584</v>
      </c>
      <c r="AF529" s="39">
        <v>60</v>
      </c>
      <c r="AG529" s="39" t="s">
        <v>744</v>
      </c>
      <c r="AH529" s="39">
        <v>8</v>
      </c>
      <c r="AI529" s="25" t="s">
        <v>1585</v>
      </c>
      <c r="AJ529" s="39">
        <v>100</v>
      </c>
      <c r="AK529" s="39" t="s">
        <v>744</v>
      </c>
      <c r="AL529" s="39">
        <v>10</v>
      </c>
      <c r="AM529" s="25" t="s">
        <v>1586</v>
      </c>
      <c r="AN529" s="39">
        <v>150</v>
      </c>
      <c r="AO529" s="39" t="s">
        <v>744</v>
      </c>
      <c r="AP529" s="39">
        <v>13</v>
      </c>
      <c r="AQ529" s="25" t="s">
        <v>1587</v>
      </c>
      <c r="AR529" s="39"/>
    </row>
    <row r="530" spans="1:44" x14ac:dyDescent="0.2">
      <c r="A530" s="25" t="s">
        <v>29</v>
      </c>
      <c r="B530" s="25" t="s">
        <v>3109</v>
      </c>
      <c r="T530" s="25" t="s">
        <v>1588</v>
      </c>
      <c r="U530" s="25">
        <v>7026</v>
      </c>
      <c r="V530" s="25" t="s">
        <v>2596</v>
      </c>
      <c r="W530" s="38" t="s">
        <v>6575</v>
      </c>
      <c r="X530" s="25">
        <v>64</v>
      </c>
      <c r="Y530" s="25" t="s">
        <v>164</v>
      </c>
      <c r="Z530" s="25" t="s">
        <v>1451</v>
      </c>
      <c r="AA530" s="25" t="s">
        <v>2597</v>
      </c>
      <c r="AB530" s="39">
        <v>200</v>
      </c>
      <c r="AC530" s="39">
        <v>40</v>
      </c>
      <c r="AD530" s="39">
        <v>10</v>
      </c>
      <c r="AE530" s="25" t="s">
        <v>2598</v>
      </c>
      <c r="AF530" s="39">
        <v>240</v>
      </c>
      <c r="AG530" s="39">
        <v>50</v>
      </c>
      <c r="AH530" s="39">
        <v>12</v>
      </c>
      <c r="AI530" s="25" t="s">
        <v>2599</v>
      </c>
      <c r="AJ530" s="39">
        <v>280</v>
      </c>
      <c r="AK530" s="39">
        <v>60</v>
      </c>
      <c r="AL530" s="39">
        <v>14</v>
      </c>
      <c r="AM530" s="25" t="s">
        <v>2600</v>
      </c>
      <c r="AN530" s="39">
        <v>320</v>
      </c>
      <c r="AO530" s="39">
        <v>70</v>
      </c>
      <c r="AP530" s="39">
        <v>16</v>
      </c>
      <c r="AQ530" s="25" t="s">
        <v>1595</v>
      </c>
      <c r="AR530" s="39" t="s">
        <v>6456</v>
      </c>
    </row>
    <row r="531" spans="1:44" x14ac:dyDescent="0.2">
      <c r="A531" s="25" t="s">
        <v>29</v>
      </c>
      <c r="B531" s="25" t="s">
        <v>3201</v>
      </c>
      <c r="T531" s="25" t="s">
        <v>60</v>
      </c>
      <c r="U531" s="25">
        <v>14008</v>
      </c>
      <c r="V531" s="25" t="s">
        <v>3383</v>
      </c>
      <c r="W531" s="38" t="s">
        <v>3384</v>
      </c>
      <c r="X531" s="25">
        <v>46</v>
      </c>
      <c r="Y531" s="25" t="s">
        <v>116</v>
      </c>
      <c r="Z531" s="25" t="s">
        <v>1451</v>
      </c>
      <c r="AA531" s="25" t="s">
        <v>3385</v>
      </c>
      <c r="AB531" s="39">
        <v>80</v>
      </c>
      <c r="AC531" s="39" t="s">
        <v>244</v>
      </c>
      <c r="AD531" s="39">
        <v>6</v>
      </c>
      <c r="AE531" s="25" t="s">
        <v>3386</v>
      </c>
      <c r="AF531" s="39">
        <v>180</v>
      </c>
      <c r="AG531" s="39" t="s">
        <v>244</v>
      </c>
      <c r="AH531" s="39">
        <v>9</v>
      </c>
      <c r="AI531" s="25" t="s">
        <v>3387</v>
      </c>
      <c r="AJ531" s="39">
        <v>280</v>
      </c>
      <c r="AK531" s="39" t="s">
        <v>244</v>
      </c>
      <c r="AL531" s="39">
        <v>12</v>
      </c>
      <c r="AM531" s="25" t="s">
        <v>3388</v>
      </c>
      <c r="AN531" s="39">
        <v>400</v>
      </c>
      <c r="AO531" s="39" t="s">
        <v>244</v>
      </c>
      <c r="AP531" s="39">
        <v>15</v>
      </c>
      <c r="AR531" s="39"/>
    </row>
    <row r="532" spans="1:44" x14ac:dyDescent="0.2">
      <c r="A532" s="25" t="s">
        <v>29</v>
      </c>
      <c r="B532" s="25" t="s">
        <v>3293</v>
      </c>
      <c r="T532" s="25" t="s">
        <v>1655</v>
      </c>
      <c r="U532" s="25">
        <v>11615</v>
      </c>
      <c r="V532" s="25" t="s">
        <v>3187</v>
      </c>
      <c r="W532" s="38" t="s">
        <v>6540</v>
      </c>
      <c r="X532" s="25" t="s">
        <v>1658</v>
      </c>
      <c r="Y532" s="25" t="s">
        <v>164</v>
      </c>
      <c r="Z532" s="25" t="s">
        <v>1451</v>
      </c>
      <c r="AA532" s="25" t="s">
        <v>3188</v>
      </c>
      <c r="AB532" s="39">
        <v>80</v>
      </c>
      <c r="AC532" s="39">
        <v>5</v>
      </c>
      <c r="AD532" s="39">
        <v>8</v>
      </c>
      <c r="AE532" s="25" t="s">
        <v>3189</v>
      </c>
      <c r="AF532" s="39">
        <v>120</v>
      </c>
      <c r="AG532" s="39">
        <v>5</v>
      </c>
      <c r="AH532" s="39">
        <v>11</v>
      </c>
      <c r="AI532" s="25" t="s">
        <v>3190</v>
      </c>
      <c r="AJ532" s="39">
        <v>180</v>
      </c>
      <c r="AK532" s="39">
        <v>10</v>
      </c>
      <c r="AL532" s="39">
        <v>13</v>
      </c>
      <c r="AM532" s="25" t="s">
        <v>3191</v>
      </c>
      <c r="AN532" s="39">
        <v>220</v>
      </c>
      <c r="AO532" s="39">
        <v>15</v>
      </c>
      <c r="AP532" s="39">
        <v>16</v>
      </c>
      <c r="AQ532" s="25" t="s">
        <v>3192</v>
      </c>
      <c r="AR532" s="39" t="s">
        <v>6456</v>
      </c>
    </row>
    <row r="533" spans="1:44" x14ac:dyDescent="0.2">
      <c r="A533" s="25" t="s">
        <v>29</v>
      </c>
      <c r="B533" s="25" t="s">
        <v>3343</v>
      </c>
      <c r="T533" s="25" t="s">
        <v>49</v>
      </c>
      <c r="U533" s="25">
        <v>2003</v>
      </c>
      <c r="V533" s="25" t="s">
        <v>1698</v>
      </c>
      <c r="W533" s="38" t="s">
        <v>1699</v>
      </c>
      <c r="X533" s="25">
        <v>6</v>
      </c>
      <c r="Y533" s="25" t="s">
        <v>164</v>
      </c>
      <c r="Z533" s="25" t="s">
        <v>1451</v>
      </c>
      <c r="AA533" s="25" t="s">
        <v>1634</v>
      </c>
      <c r="AB533" s="39">
        <v>40</v>
      </c>
      <c r="AC533" s="39" t="s">
        <v>244</v>
      </c>
      <c r="AD533" s="39">
        <v>5</v>
      </c>
      <c r="AE533" s="25" t="s">
        <v>1700</v>
      </c>
      <c r="AF533" s="39">
        <v>140</v>
      </c>
      <c r="AG533" s="39" t="s">
        <v>244</v>
      </c>
      <c r="AH533" s="39">
        <v>8</v>
      </c>
      <c r="AI533" s="25" t="s">
        <v>1676</v>
      </c>
      <c r="AJ533" s="39">
        <v>200</v>
      </c>
      <c r="AK533" s="39" t="s">
        <v>244</v>
      </c>
      <c r="AL533" s="39">
        <v>10</v>
      </c>
      <c r="AM533" s="25" t="s">
        <v>1677</v>
      </c>
      <c r="AN533" s="39">
        <v>280</v>
      </c>
      <c r="AO533" s="39" t="s">
        <v>244</v>
      </c>
      <c r="AP533" s="39">
        <v>12</v>
      </c>
      <c r="AR533" s="39"/>
    </row>
    <row r="534" spans="1:44" x14ac:dyDescent="0.2">
      <c r="A534" s="25" t="s">
        <v>29</v>
      </c>
      <c r="B534" s="25" t="s">
        <v>3397</v>
      </c>
      <c r="T534" s="25" t="s">
        <v>49</v>
      </c>
      <c r="U534" s="25">
        <v>30003</v>
      </c>
      <c r="V534" s="25" t="s">
        <v>4025</v>
      </c>
      <c r="W534" s="38" t="s">
        <v>4026</v>
      </c>
      <c r="X534" s="25">
        <v>76</v>
      </c>
      <c r="Y534" s="25" t="s">
        <v>164</v>
      </c>
      <c r="Z534" s="25" t="s">
        <v>1451</v>
      </c>
      <c r="AA534" s="25" t="s">
        <v>1700</v>
      </c>
      <c r="AB534" s="39">
        <v>300</v>
      </c>
      <c r="AC534" s="39" t="s">
        <v>244</v>
      </c>
      <c r="AD534" s="39">
        <v>8</v>
      </c>
      <c r="AE534" s="25" t="s">
        <v>1677</v>
      </c>
      <c r="AF534" s="39">
        <v>500</v>
      </c>
      <c r="AG534" s="39" t="s">
        <v>244</v>
      </c>
      <c r="AH534" s="39">
        <v>12</v>
      </c>
      <c r="AI534" s="25" t="s">
        <v>4027</v>
      </c>
      <c r="AJ534" s="39">
        <v>750</v>
      </c>
      <c r="AK534" s="39" t="s">
        <v>244</v>
      </c>
      <c r="AL534" s="39">
        <v>15</v>
      </c>
      <c r="AM534" s="25" t="s">
        <v>4028</v>
      </c>
      <c r="AN534" s="39">
        <v>1500</v>
      </c>
      <c r="AO534" s="39" t="s">
        <v>244</v>
      </c>
      <c r="AP534" s="39">
        <v>18</v>
      </c>
      <c r="AR534" s="39"/>
    </row>
    <row r="535" spans="1:44" x14ac:dyDescent="0.2">
      <c r="A535" s="25" t="s">
        <v>29</v>
      </c>
      <c r="B535" s="25" t="s">
        <v>3443</v>
      </c>
      <c r="T535" s="25" t="s">
        <v>1619</v>
      </c>
      <c r="U535" s="25">
        <v>2115</v>
      </c>
      <c r="V535" s="25" t="s">
        <v>1814</v>
      </c>
      <c r="W535" s="38" t="s">
        <v>1815</v>
      </c>
      <c r="X535" s="25" t="s">
        <v>1622</v>
      </c>
      <c r="Y535" s="25" t="s">
        <v>164</v>
      </c>
      <c r="Z535" s="25" t="s">
        <v>1451</v>
      </c>
      <c r="AA535" s="25" t="s">
        <v>1816</v>
      </c>
      <c r="AB535" s="39">
        <v>40</v>
      </c>
      <c r="AC535" s="39">
        <v>5</v>
      </c>
      <c r="AD535" s="39">
        <v>6</v>
      </c>
      <c r="AE535" s="25" t="s">
        <v>1817</v>
      </c>
      <c r="AF535" s="39">
        <v>70</v>
      </c>
      <c r="AG535" s="39">
        <v>10</v>
      </c>
      <c r="AH535" s="39">
        <v>9</v>
      </c>
      <c r="AI535" s="25" t="s">
        <v>1818</v>
      </c>
      <c r="AJ535" s="39">
        <v>100</v>
      </c>
      <c r="AK535" s="39">
        <v>10</v>
      </c>
      <c r="AL535" s="39">
        <v>11</v>
      </c>
      <c r="AM535" s="25" t="s">
        <v>1819</v>
      </c>
      <c r="AN535" s="39">
        <v>130</v>
      </c>
      <c r="AO535" s="39">
        <v>15</v>
      </c>
      <c r="AP535" s="39">
        <v>13</v>
      </c>
      <c r="AQ535" s="25" t="s">
        <v>61</v>
      </c>
      <c r="AR535" s="39"/>
    </row>
    <row r="536" spans="1:44" x14ac:dyDescent="0.2">
      <c r="A536" s="25" t="s">
        <v>29</v>
      </c>
      <c r="B536" s="25" t="s">
        <v>3487</v>
      </c>
      <c r="T536" s="25" t="s">
        <v>49</v>
      </c>
      <c r="U536" s="25">
        <v>19003</v>
      </c>
      <c r="V536" s="25" t="s">
        <v>3574</v>
      </c>
      <c r="W536" s="38" t="s">
        <v>3575</v>
      </c>
      <c r="X536" s="25">
        <v>48</v>
      </c>
      <c r="Y536" s="25" t="s">
        <v>164</v>
      </c>
      <c r="Z536" s="25" t="s">
        <v>1451</v>
      </c>
      <c r="AA536" s="25" t="s">
        <v>2506</v>
      </c>
      <c r="AB536" s="39">
        <v>250</v>
      </c>
      <c r="AC536" s="39" t="s">
        <v>244</v>
      </c>
      <c r="AD536" s="39">
        <v>8</v>
      </c>
      <c r="AE536" s="25" t="s">
        <v>3576</v>
      </c>
      <c r="AF536" s="39">
        <v>300</v>
      </c>
      <c r="AG536" s="39" t="s">
        <v>244</v>
      </c>
      <c r="AH536" s="39">
        <v>10</v>
      </c>
      <c r="AI536" s="25" t="s">
        <v>2142</v>
      </c>
      <c r="AJ536" s="39">
        <v>350</v>
      </c>
      <c r="AK536" s="39" t="s">
        <v>244</v>
      </c>
      <c r="AL536" s="39">
        <v>12</v>
      </c>
      <c r="AM536" s="25" t="s">
        <v>3577</v>
      </c>
      <c r="AN536" s="39">
        <v>400</v>
      </c>
      <c r="AO536" s="39" t="s">
        <v>244</v>
      </c>
      <c r="AP536" s="39">
        <v>14</v>
      </c>
      <c r="AR536" s="39"/>
    </row>
    <row r="537" spans="1:44" x14ac:dyDescent="0.2">
      <c r="A537" s="25" t="s">
        <v>29</v>
      </c>
      <c r="B537" s="25" t="s">
        <v>3523</v>
      </c>
      <c r="T537" s="25" t="s">
        <v>1627</v>
      </c>
      <c r="U537" s="25">
        <v>7215</v>
      </c>
      <c r="V537" s="25" t="s">
        <v>2622</v>
      </c>
      <c r="W537" s="38" t="s">
        <v>2623</v>
      </c>
      <c r="X537" s="25" t="s">
        <v>1629</v>
      </c>
      <c r="Y537" s="25" t="s">
        <v>2624</v>
      </c>
      <c r="Z537" s="25" t="s">
        <v>1451</v>
      </c>
      <c r="AA537" s="25" t="s">
        <v>2625</v>
      </c>
      <c r="AB537" s="39">
        <v>60</v>
      </c>
      <c r="AC537" s="39">
        <v>5</v>
      </c>
      <c r="AD537" s="39">
        <v>6</v>
      </c>
      <c r="AE537" s="25" t="s">
        <v>2626</v>
      </c>
      <c r="AF537" s="39">
        <v>90</v>
      </c>
      <c r="AG537" s="39">
        <v>5</v>
      </c>
      <c r="AH537" s="39">
        <v>9</v>
      </c>
      <c r="AI537" s="25" t="s">
        <v>2627</v>
      </c>
      <c r="AJ537" s="39">
        <v>120</v>
      </c>
      <c r="AK537" s="39">
        <v>10</v>
      </c>
      <c r="AL537" s="39">
        <v>12</v>
      </c>
      <c r="AM537" s="25" t="s">
        <v>2628</v>
      </c>
      <c r="AN537" s="39">
        <v>150</v>
      </c>
      <c r="AO537" s="39">
        <v>10</v>
      </c>
      <c r="AP537" s="39">
        <v>15</v>
      </c>
      <c r="AQ537" s="25" t="s">
        <v>698</v>
      </c>
      <c r="AR537" s="39"/>
    </row>
    <row r="538" spans="1:44" x14ac:dyDescent="0.2">
      <c r="A538" s="25" t="s">
        <v>29</v>
      </c>
      <c r="B538" s="25" t="s">
        <v>3564</v>
      </c>
      <c r="T538" s="25" t="s">
        <v>49</v>
      </c>
      <c r="U538" s="25">
        <v>14003</v>
      </c>
      <c r="V538" s="25" t="s">
        <v>3353</v>
      </c>
      <c r="W538" s="38" t="s">
        <v>3354</v>
      </c>
      <c r="X538" s="25">
        <v>36</v>
      </c>
      <c r="Y538" s="25" t="s">
        <v>1498</v>
      </c>
      <c r="Z538" s="25" t="s">
        <v>1557</v>
      </c>
      <c r="AA538" s="25" t="s">
        <v>3355</v>
      </c>
      <c r="AB538" s="39">
        <v>80</v>
      </c>
      <c r="AC538" s="39" t="s">
        <v>244</v>
      </c>
      <c r="AD538" s="39">
        <v>8</v>
      </c>
      <c r="AE538" s="25" t="s">
        <v>3356</v>
      </c>
      <c r="AF538" s="39">
        <v>120</v>
      </c>
      <c r="AG538" s="39" t="s">
        <v>244</v>
      </c>
      <c r="AH538" s="39">
        <v>10</v>
      </c>
      <c r="AI538" s="25" t="s">
        <v>3357</v>
      </c>
      <c r="AJ538" s="39">
        <v>160</v>
      </c>
      <c r="AK538" s="39" t="s">
        <v>244</v>
      </c>
      <c r="AL538" s="39">
        <v>12</v>
      </c>
      <c r="AM538" s="25" t="s">
        <v>3358</v>
      </c>
      <c r="AN538" s="39">
        <v>240</v>
      </c>
      <c r="AO538" s="39" t="s">
        <v>244</v>
      </c>
      <c r="AP538" s="39">
        <v>14</v>
      </c>
      <c r="AR538" s="39"/>
    </row>
    <row r="539" spans="1:44" x14ac:dyDescent="0.2">
      <c r="A539" s="25" t="s">
        <v>29</v>
      </c>
      <c r="B539" s="25" t="s">
        <v>3608</v>
      </c>
      <c r="T539" s="25" t="s">
        <v>60</v>
      </c>
      <c r="U539" s="25">
        <v>3008</v>
      </c>
      <c r="V539" s="25" t="s">
        <v>1893</v>
      </c>
      <c r="W539" s="38" t="s">
        <v>6638</v>
      </c>
      <c r="X539" s="25">
        <v>10</v>
      </c>
      <c r="Y539" s="25" t="s">
        <v>164</v>
      </c>
      <c r="Z539" s="25" t="s">
        <v>1451</v>
      </c>
      <c r="AA539" s="25" t="s">
        <v>1894</v>
      </c>
      <c r="AB539" s="39">
        <v>40</v>
      </c>
      <c r="AC539" s="39">
        <v>5</v>
      </c>
      <c r="AD539" s="39">
        <v>5</v>
      </c>
      <c r="AE539" s="25" t="s">
        <v>1895</v>
      </c>
      <c r="AF539" s="39">
        <v>140</v>
      </c>
      <c r="AG539" s="39">
        <v>15</v>
      </c>
      <c r="AH539" s="39">
        <v>8</v>
      </c>
      <c r="AI539" s="25" t="s">
        <v>1896</v>
      </c>
      <c r="AJ539" s="39">
        <v>240</v>
      </c>
      <c r="AK539" s="39">
        <v>25</v>
      </c>
      <c r="AL539" s="39">
        <v>10</v>
      </c>
      <c r="AM539" s="25" t="s">
        <v>1897</v>
      </c>
      <c r="AN539" s="39">
        <v>350</v>
      </c>
      <c r="AO539" s="39">
        <v>35</v>
      </c>
      <c r="AP539" s="39">
        <v>12</v>
      </c>
      <c r="AR539" s="39" t="s">
        <v>6456</v>
      </c>
    </row>
    <row r="540" spans="1:44" x14ac:dyDescent="0.2">
      <c r="A540" s="25" t="s">
        <v>29</v>
      </c>
      <c r="B540" s="25" t="s">
        <v>3656</v>
      </c>
      <c r="T540" s="25" t="s">
        <v>65</v>
      </c>
      <c r="U540" s="25">
        <v>17006</v>
      </c>
      <c r="V540" s="25" t="s">
        <v>3510</v>
      </c>
      <c r="W540" s="38" t="s">
        <v>3511</v>
      </c>
      <c r="X540" s="25">
        <v>56</v>
      </c>
      <c r="Y540" s="25" t="s">
        <v>1498</v>
      </c>
      <c r="Z540" s="25" t="s">
        <v>1557</v>
      </c>
      <c r="AA540" s="25" t="s">
        <v>1667</v>
      </c>
      <c r="AB540" s="39">
        <v>120</v>
      </c>
      <c r="AC540" s="39" t="s">
        <v>244</v>
      </c>
      <c r="AD540" s="39">
        <v>7</v>
      </c>
      <c r="AE540" s="25" t="s">
        <v>3512</v>
      </c>
      <c r="AF540" s="39">
        <v>180</v>
      </c>
      <c r="AG540" s="39" t="s">
        <v>244</v>
      </c>
      <c r="AH540" s="39">
        <v>10</v>
      </c>
      <c r="AI540" s="25" t="s">
        <v>1669</v>
      </c>
      <c r="AJ540" s="39">
        <v>240</v>
      </c>
      <c r="AK540" s="39" t="s">
        <v>244</v>
      </c>
      <c r="AL540" s="39">
        <v>13</v>
      </c>
      <c r="AM540" s="25" t="s">
        <v>1670</v>
      </c>
      <c r="AN540" s="39">
        <v>320</v>
      </c>
      <c r="AO540" s="39" t="s">
        <v>244</v>
      </c>
      <c r="AP540" s="39">
        <v>16</v>
      </c>
      <c r="AR540" s="39"/>
    </row>
    <row r="541" spans="1:44" x14ac:dyDescent="0.2">
      <c r="A541" s="25" t="s">
        <v>29</v>
      </c>
      <c r="B541" s="25" t="s">
        <v>3698</v>
      </c>
      <c r="T541" s="25" t="s">
        <v>65</v>
      </c>
      <c r="U541" s="25">
        <v>23006</v>
      </c>
      <c r="V541" s="25" t="s">
        <v>3756</v>
      </c>
      <c r="W541" s="38" t="s">
        <v>3757</v>
      </c>
      <c r="X541" s="25">
        <v>76</v>
      </c>
      <c r="Y541" s="25" t="s">
        <v>1498</v>
      </c>
      <c r="Z541" s="25" t="s">
        <v>1451</v>
      </c>
      <c r="AA541" s="25" t="s">
        <v>3758</v>
      </c>
      <c r="AB541" s="39">
        <v>200</v>
      </c>
      <c r="AC541" s="39">
        <v>20</v>
      </c>
      <c r="AD541" s="39">
        <v>10</v>
      </c>
      <c r="AE541" s="25" t="s">
        <v>3759</v>
      </c>
      <c r="AF541" s="39">
        <v>280</v>
      </c>
      <c r="AG541" s="39">
        <v>30</v>
      </c>
      <c r="AH541" s="39">
        <v>12</v>
      </c>
      <c r="AI541" s="25" t="s">
        <v>3760</v>
      </c>
      <c r="AJ541" s="39">
        <v>320</v>
      </c>
      <c r="AK541" s="39">
        <v>35</v>
      </c>
      <c r="AL541" s="39">
        <v>14</v>
      </c>
      <c r="AM541" s="25" t="s">
        <v>3761</v>
      </c>
      <c r="AN541" s="39">
        <v>400</v>
      </c>
      <c r="AO541" s="39">
        <v>40</v>
      </c>
      <c r="AP541" s="39">
        <v>16</v>
      </c>
      <c r="AR541" s="39"/>
    </row>
    <row r="542" spans="1:44" x14ac:dyDescent="0.2">
      <c r="A542" s="25" t="s">
        <v>29</v>
      </c>
      <c r="B542" s="25" t="s">
        <v>3740</v>
      </c>
      <c r="T542" s="25" t="s">
        <v>49</v>
      </c>
      <c r="U542" s="25">
        <v>4003</v>
      </c>
      <c r="V542" s="25" t="s">
        <v>100</v>
      </c>
      <c r="W542" s="38" t="s">
        <v>6634</v>
      </c>
      <c r="X542" s="25">
        <v>10</v>
      </c>
      <c r="Y542" s="25" t="s">
        <v>164</v>
      </c>
      <c r="Z542" s="25" t="s">
        <v>1451</v>
      </c>
      <c r="AA542" s="25" t="s">
        <v>2030</v>
      </c>
      <c r="AB542" s="39">
        <v>60</v>
      </c>
      <c r="AC542" s="39">
        <v>10</v>
      </c>
      <c r="AD542" s="39">
        <v>6</v>
      </c>
      <c r="AE542" s="25" t="s">
        <v>2031</v>
      </c>
      <c r="AF542" s="39">
        <v>100</v>
      </c>
      <c r="AG542" s="39">
        <v>10</v>
      </c>
      <c r="AH542" s="39">
        <v>8</v>
      </c>
      <c r="AI542" s="25" t="s">
        <v>2032</v>
      </c>
      <c r="AJ542" s="39">
        <v>150</v>
      </c>
      <c r="AK542" s="39">
        <v>15</v>
      </c>
      <c r="AL542" s="39">
        <v>10</v>
      </c>
      <c r="AM542" s="25" t="s">
        <v>2033</v>
      </c>
      <c r="AN542" s="39">
        <v>250</v>
      </c>
      <c r="AO542" s="39">
        <v>25</v>
      </c>
      <c r="AP542" s="39">
        <v>12</v>
      </c>
      <c r="AR542" s="39" t="s">
        <v>6456</v>
      </c>
    </row>
    <row r="543" spans="1:44" x14ac:dyDescent="0.2">
      <c r="A543" s="25" t="s">
        <v>29</v>
      </c>
      <c r="B543" s="25" t="s">
        <v>3782</v>
      </c>
      <c r="T543" s="25" t="s">
        <v>101</v>
      </c>
      <c r="U543" s="25">
        <v>39011</v>
      </c>
      <c r="V543" s="25" t="s">
        <v>4240</v>
      </c>
      <c r="W543" s="38" t="s">
        <v>4241</v>
      </c>
      <c r="X543" s="25">
        <v>98</v>
      </c>
      <c r="Y543" s="25" t="s">
        <v>164</v>
      </c>
      <c r="Z543" s="25" t="s">
        <v>1451</v>
      </c>
      <c r="AA543" s="25" t="s">
        <v>4242</v>
      </c>
      <c r="AB543" s="39">
        <v>400</v>
      </c>
      <c r="AC543" s="39" t="s">
        <v>244</v>
      </c>
      <c r="AD543" s="39">
        <v>16</v>
      </c>
      <c r="AE543" s="25" t="s">
        <v>4243</v>
      </c>
      <c r="AF543" s="39">
        <v>800</v>
      </c>
      <c r="AG543" s="39" t="s">
        <v>244</v>
      </c>
      <c r="AH543" s="39">
        <v>17</v>
      </c>
      <c r="AI543" s="25" t="s">
        <v>4244</v>
      </c>
      <c r="AJ543" s="39">
        <v>1600</v>
      </c>
      <c r="AK543" s="39" t="s">
        <v>244</v>
      </c>
      <c r="AL543" s="39">
        <v>18</v>
      </c>
      <c r="AM543" s="25" t="s">
        <v>4245</v>
      </c>
      <c r="AN543" s="39">
        <v>3200</v>
      </c>
      <c r="AO543" s="39" t="s">
        <v>244</v>
      </c>
      <c r="AP543" s="39">
        <v>19</v>
      </c>
      <c r="AR543" s="39"/>
    </row>
    <row r="544" spans="1:44" x14ac:dyDescent="0.2">
      <c r="A544" s="25" t="s">
        <v>29</v>
      </c>
      <c r="B544" s="25" t="s">
        <v>3822</v>
      </c>
      <c r="T544" s="25" t="s">
        <v>39</v>
      </c>
      <c r="U544" s="25">
        <v>35002</v>
      </c>
      <c r="V544" s="25" t="s">
        <v>4143</v>
      </c>
      <c r="W544" s="38" t="s">
        <v>4144</v>
      </c>
      <c r="X544" s="25">
        <v>88</v>
      </c>
      <c r="Y544" s="25" t="s">
        <v>1498</v>
      </c>
      <c r="Z544" s="25" t="s">
        <v>1451</v>
      </c>
      <c r="AA544" s="25" t="s">
        <v>4145</v>
      </c>
      <c r="AB544" s="39">
        <v>200</v>
      </c>
      <c r="AC544" s="39">
        <v>10</v>
      </c>
      <c r="AD544" s="39">
        <v>10</v>
      </c>
      <c r="AE544" s="25" t="s">
        <v>4146</v>
      </c>
      <c r="AF544" s="39">
        <v>360</v>
      </c>
      <c r="AG544" s="39">
        <v>20</v>
      </c>
      <c r="AH544" s="39">
        <v>12</v>
      </c>
      <c r="AI544" s="25" t="s">
        <v>1479</v>
      </c>
      <c r="AJ544" s="39">
        <v>420</v>
      </c>
      <c r="AK544" s="39">
        <v>25</v>
      </c>
      <c r="AL544" s="39">
        <v>14</v>
      </c>
      <c r="AM544" s="25" t="s">
        <v>4147</v>
      </c>
      <c r="AN544" s="39">
        <v>480</v>
      </c>
      <c r="AO544" s="39">
        <v>25</v>
      </c>
      <c r="AP544" s="39">
        <v>16</v>
      </c>
      <c r="AR544" s="39"/>
    </row>
    <row r="545" spans="1:44" x14ac:dyDescent="0.2">
      <c r="A545" s="25" t="s">
        <v>29</v>
      </c>
      <c r="B545" s="25" t="s">
        <v>3848</v>
      </c>
      <c r="T545" s="25" t="s">
        <v>1554</v>
      </c>
      <c r="U545" s="25">
        <v>5022</v>
      </c>
      <c r="V545" s="25" t="s">
        <v>2259</v>
      </c>
      <c r="W545" s="38" t="s">
        <v>6479</v>
      </c>
      <c r="X545" s="25">
        <v>44</v>
      </c>
      <c r="Y545" s="25" t="s">
        <v>1498</v>
      </c>
      <c r="Z545" s="25" t="s">
        <v>1451</v>
      </c>
      <c r="AA545" s="25" t="s">
        <v>2098</v>
      </c>
      <c r="AB545" s="39">
        <v>160</v>
      </c>
      <c r="AC545" s="39">
        <v>20</v>
      </c>
      <c r="AD545" s="39">
        <v>8</v>
      </c>
      <c r="AE545" s="25" t="s">
        <v>2099</v>
      </c>
      <c r="AF545" s="39">
        <v>220</v>
      </c>
      <c r="AG545" s="39">
        <v>25</v>
      </c>
      <c r="AH545" s="39">
        <v>10</v>
      </c>
      <c r="AI545" s="25" t="s">
        <v>2100</v>
      </c>
      <c r="AJ545" s="39">
        <v>280</v>
      </c>
      <c r="AK545" s="39">
        <v>30</v>
      </c>
      <c r="AL545" s="39">
        <v>12</v>
      </c>
      <c r="AM545" s="25" t="s">
        <v>2101</v>
      </c>
      <c r="AN545" s="39">
        <v>300</v>
      </c>
      <c r="AO545" s="39">
        <v>30</v>
      </c>
      <c r="AP545" s="39">
        <v>14</v>
      </c>
      <c r="AQ545" s="25" t="s">
        <v>1562</v>
      </c>
      <c r="AR545" s="39" t="s">
        <v>6456</v>
      </c>
    </row>
    <row r="546" spans="1:44" x14ac:dyDescent="0.2">
      <c r="A546" s="25" t="s">
        <v>29</v>
      </c>
      <c r="B546" s="25" t="s">
        <v>3897</v>
      </c>
      <c r="T546" s="25" t="s">
        <v>60</v>
      </c>
      <c r="U546" s="25">
        <v>15008</v>
      </c>
      <c r="V546" s="25" t="s">
        <v>3426</v>
      </c>
      <c r="W546" s="38" t="s">
        <v>3427</v>
      </c>
      <c r="X546" s="25">
        <v>50</v>
      </c>
      <c r="Y546" s="25" t="s">
        <v>1498</v>
      </c>
      <c r="Z546" s="25" t="s">
        <v>1451</v>
      </c>
      <c r="AA546" s="25" t="s">
        <v>3234</v>
      </c>
      <c r="AB546" s="39">
        <v>140</v>
      </c>
      <c r="AC546" s="39">
        <v>30</v>
      </c>
      <c r="AD546" s="39">
        <v>7</v>
      </c>
      <c r="AE546" s="25" t="s">
        <v>3428</v>
      </c>
      <c r="AF546" s="39">
        <v>180</v>
      </c>
      <c r="AG546" s="39">
        <v>40</v>
      </c>
      <c r="AH546" s="39">
        <v>9</v>
      </c>
      <c r="AI546" s="25" t="s">
        <v>3235</v>
      </c>
      <c r="AJ546" s="39">
        <v>240</v>
      </c>
      <c r="AK546" s="39">
        <v>50</v>
      </c>
      <c r="AL546" s="39">
        <v>12</v>
      </c>
      <c r="AM546" s="25">
        <v>25</v>
      </c>
      <c r="AN546" s="39">
        <v>300</v>
      </c>
      <c r="AO546" s="39">
        <v>60</v>
      </c>
      <c r="AP546" s="39">
        <v>15</v>
      </c>
      <c r="AR546" s="39"/>
    </row>
    <row r="547" spans="1:44" x14ac:dyDescent="0.2">
      <c r="A547" s="25" t="s">
        <v>29</v>
      </c>
      <c r="B547" s="25" t="s">
        <v>3937</v>
      </c>
      <c r="T547" s="25" t="s">
        <v>1619</v>
      </c>
      <c r="U547" s="25">
        <v>8115</v>
      </c>
      <c r="V547" s="25" t="s">
        <v>2773</v>
      </c>
      <c r="W547" s="38" t="s">
        <v>2774</v>
      </c>
      <c r="X547" s="25" t="s">
        <v>1622</v>
      </c>
      <c r="Y547" s="25" t="s">
        <v>164</v>
      </c>
      <c r="Z547" s="25" t="s">
        <v>1451</v>
      </c>
      <c r="AA547" s="25" t="s">
        <v>1844</v>
      </c>
      <c r="AB547" s="39">
        <v>60</v>
      </c>
      <c r="AC547" s="39" t="s">
        <v>244</v>
      </c>
      <c r="AD547" s="39">
        <v>6</v>
      </c>
      <c r="AE547" s="25" t="s">
        <v>2775</v>
      </c>
      <c r="AF547" s="39">
        <v>90</v>
      </c>
      <c r="AG547" s="39" t="s">
        <v>244</v>
      </c>
      <c r="AH547" s="39">
        <v>9</v>
      </c>
      <c r="AI547" s="25" t="s">
        <v>2776</v>
      </c>
      <c r="AJ547" s="39">
        <v>120</v>
      </c>
      <c r="AK547" s="39" t="s">
        <v>244</v>
      </c>
      <c r="AL547" s="39">
        <v>12</v>
      </c>
      <c r="AM547" s="25" t="s">
        <v>1980</v>
      </c>
      <c r="AN547" s="39">
        <v>150</v>
      </c>
      <c r="AO547" s="39" t="s">
        <v>244</v>
      </c>
      <c r="AP547" s="39">
        <v>15</v>
      </c>
      <c r="AQ547" s="25" t="s">
        <v>2555</v>
      </c>
      <c r="AR547" s="39"/>
    </row>
    <row r="548" spans="1:44" x14ac:dyDescent="0.2">
      <c r="A548" s="25" t="s">
        <v>29</v>
      </c>
      <c r="B548" s="25" t="s">
        <v>3986</v>
      </c>
      <c r="T548" s="25" t="s">
        <v>35</v>
      </c>
      <c r="U548" s="25">
        <v>17007</v>
      </c>
      <c r="V548" s="25" t="s">
        <v>3513</v>
      </c>
      <c r="W548" s="38" t="s">
        <v>3514</v>
      </c>
      <c r="X548" s="25">
        <v>56</v>
      </c>
      <c r="Y548" s="25" t="s">
        <v>164</v>
      </c>
      <c r="Z548" s="25" t="s">
        <v>1451</v>
      </c>
      <c r="AA548" s="25" t="s">
        <v>2506</v>
      </c>
      <c r="AB548" s="39">
        <v>100</v>
      </c>
      <c r="AC548" s="39">
        <v>10</v>
      </c>
      <c r="AD548" s="39">
        <v>8</v>
      </c>
      <c r="AE548" s="25" t="s">
        <v>2841</v>
      </c>
      <c r="AF548" s="39">
        <v>180</v>
      </c>
      <c r="AG548" s="39">
        <v>20</v>
      </c>
      <c r="AH548" s="39">
        <v>10</v>
      </c>
      <c r="AI548" s="25" t="s">
        <v>2536</v>
      </c>
      <c r="AJ548" s="39">
        <v>240</v>
      </c>
      <c r="AK548" s="39">
        <v>25</v>
      </c>
      <c r="AL548" s="39">
        <v>13</v>
      </c>
      <c r="AM548" s="25" t="s">
        <v>2027</v>
      </c>
      <c r="AN548" s="39">
        <v>300</v>
      </c>
      <c r="AO548" s="39">
        <v>30</v>
      </c>
      <c r="AP548" s="39">
        <v>15</v>
      </c>
      <c r="AR548" s="39"/>
    </row>
    <row r="549" spans="1:44" x14ac:dyDescent="0.2">
      <c r="A549" s="25" t="s">
        <v>29</v>
      </c>
      <c r="B549" s="25" t="s">
        <v>4017</v>
      </c>
      <c r="T549" s="25" t="s">
        <v>1535</v>
      </c>
      <c r="U549" s="25">
        <v>2019</v>
      </c>
      <c r="V549" s="25" t="s">
        <v>1765</v>
      </c>
      <c r="W549" s="38" t="s">
        <v>1766</v>
      </c>
      <c r="X549" s="25">
        <v>14</v>
      </c>
      <c r="Y549" s="25" t="s">
        <v>164</v>
      </c>
      <c r="Z549" s="25" t="s">
        <v>1451</v>
      </c>
      <c r="AA549" s="25" t="s">
        <v>1767</v>
      </c>
      <c r="AB549" s="39">
        <v>60</v>
      </c>
      <c r="AC549" s="39">
        <v>10</v>
      </c>
      <c r="AD549" s="39">
        <v>6</v>
      </c>
      <c r="AE549" s="25">
        <v>40</v>
      </c>
      <c r="AF549" s="39">
        <v>90</v>
      </c>
      <c r="AG549" s="39">
        <v>10</v>
      </c>
      <c r="AH549" s="39">
        <v>9</v>
      </c>
      <c r="AI549" s="25">
        <v>60</v>
      </c>
      <c r="AJ549" s="39">
        <v>120</v>
      </c>
      <c r="AK549" s="39">
        <v>15</v>
      </c>
      <c r="AL549" s="39">
        <v>12</v>
      </c>
      <c r="AM549" s="25">
        <v>80</v>
      </c>
      <c r="AN549" s="39">
        <v>140</v>
      </c>
      <c r="AO549" s="39">
        <v>15</v>
      </c>
      <c r="AP549" s="39">
        <v>14</v>
      </c>
      <c r="AQ549" s="25" t="s">
        <v>1542</v>
      </c>
      <c r="AR549" s="39"/>
    </row>
    <row r="550" spans="1:44" x14ac:dyDescent="0.2">
      <c r="A550" s="25" t="s">
        <v>29</v>
      </c>
      <c r="B550" s="25" t="s">
        <v>4062</v>
      </c>
      <c r="T550" s="25" t="s">
        <v>94</v>
      </c>
      <c r="U550" s="25">
        <v>13010</v>
      </c>
      <c r="V550" s="25" t="s">
        <v>3335</v>
      </c>
      <c r="W550" s="38" t="s">
        <v>6616</v>
      </c>
      <c r="X550" s="25">
        <v>42</v>
      </c>
      <c r="Y550" s="25" t="s">
        <v>164</v>
      </c>
      <c r="Z550" s="25" t="s">
        <v>1451</v>
      </c>
      <c r="AA550" s="25" t="s">
        <v>3336</v>
      </c>
      <c r="AB550" s="39">
        <v>80</v>
      </c>
      <c r="AC550" s="39">
        <v>10</v>
      </c>
      <c r="AD550" s="39">
        <v>7</v>
      </c>
      <c r="AE550" s="25" t="s">
        <v>3337</v>
      </c>
      <c r="AF550" s="39">
        <v>100</v>
      </c>
      <c r="AG550" s="39">
        <v>10</v>
      </c>
      <c r="AH550" s="39">
        <v>10</v>
      </c>
      <c r="AI550" s="25" t="s">
        <v>3338</v>
      </c>
      <c r="AJ550" s="39">
        <v>120</v>
      </c>
      <c r="AK550" s="39">
        <v>15</v>
      </c>
      <c r="AL550" s="39">
        <v>12</v>
      </c>
      <c r="AM550" s="25" t="s">
        <v>3339</v>
      </c>
      <c r="AN550" s="39">
        <v>140</v>
      </c>
      <c r="AO550" s="39">
        <v>15</v>
      </c>
      <c r="AP550" s="39">
        <v>14</v>
      </c>
      <c r="AR550" s="39" t="s">
        <v>6456</v>
      </c>
    </row>
    <row r="551" spans="1:44" x14ac:dyDescent="0.2">
      <c r="A551" s="25" t="s">
        <v>29</v>
      </c>
      <c r="B551" s="25" t="s">
        <v>4081</v>
      </c>
      <c r="T551" s="25" t="s">
        <v>1631</v>
      </c>
      <c r="U551" s="25">
        <v>7315</v>
      </c>
      <c r="V551" s="25" t="s">
        <v>2629</v>
      </c>
      <c r="W551" s="38" t="s">
        <v>6571</v>
      </c>
      <c r="X551" s="25" t="s">
        <v>1633</v>
      </c>
      <c r="Y551" s="25" t="s">
        <v>164</v>
      </c>
      <c r="Z551" s="25" t="s">
        <v>1451</v>
      </c>
      <c r="AA551" s="25" t="s">
        <v>2630</v>
      </c>
      <c r="AB551" s="39">
        <v>60</v>
      </c>
      <c r="AC551" s="39">
        <v>10</v>
      </c>
      <c r="AD551" s="39">
        <v>6</v>
      </c>
      <c r="AE551" s="25" t="s">
        <v>2631</v>
      </c>
      <c r="AF551" s="39">
        <v>90</v>
      </c>
      <c r="AG551" s="39">
        <v>10</v>
      </c>
      <c r="AH551" s="39">
        <v>9</v>
      </c>
      <c r="AI551" s="25" t="s">
        <v>2632</v>
      </c>
      <c r="AJ551" s="39">
        <v>120</v>
      </c>
      <c r="AK551" s="39">
        <v>15</v>
      </c>
      <c r="AL551" s="39">
        <v>11</v>
      </c>
      <c r="AM551" s="25" t="s">
        <v>2633</v>
      </c>
      <c r="AN551" s="39">
        <v>150</v>
      </c>
      <c r="AO551" s="39">
        <v>15</v>
      </c>
      <c r="AP551" s="39">
        <v>14</v>
      </c>
      <c r="AQ551" s="25" t="s">
        <v>90</v>
      </c>
      <c r="AR551" s="39" t="s">
        <v>6456</v>
      </c>
    </row>
    <row r="552" spans="1:44" x14ac:dyDescent="0.2">
      <c r="A552" s="25" t="s">
        <v>29</v>
      </c>
      <c r="B552" s="25" t="s">
        <v>4106</v>
      </c>
      <c r="T552" s="25" t="s">
        <v>1655</v>
      </c>
      <c r="U552" s="25">
        <v>9615</v>
      </c>
      <c r="V552" s="25" t="s">
        <v>2947</v>
      </c>
      <c r="W552" s="38" t="s">
        <v>2948</v>
      </c>
      <c r="X552" s="25" t="s">
        <v>1658</v>
      </c>
      <c r="Y552" s="25" t="s">
        <v>164</v>
      </c>
      <c r="Z552" s="25" t="s">
        <v>1557</v>
      </c>
      <c r="AA552" s="25" t="s">
        <v>2949</v>
      </c>
      <c r="AB552" s="39">
        <v>80</v>
      </c>
      <c r="AC552" s="39">
        <v>20</v>
      </c>
      <c r="AD552" s="39">
        <v>8</v>
      </c>
      <c r="AE552" s="25" t="s">
        <v>2950</v>
      </c>
      <c r="AF552" s="39">
        <v>100</v>
      </c>
      <c r="AG552" s="39">
        <v>20</v>
      </c>
      <c r="AH552" s="39">
        <v>11</v>
      </c>
      <c r="AI552" s="25" t="s">
        <v>2951</v>
      </c>
      <c r="AJ552" s="39">
        <v>120</v>
      </c>
      <c r="AK552" s="39">
        <v>25</v>
      </c>
      <c r="AL552" s="39">
        <v>13</v>
      </c>
      <c r="AM552" s="25" t="s">
        <v>2952</v>
      </c>
      <c r="AN552" s="39">
        <v>140</v>
      </c>
      <c r="AO552" s="39">
        <v>30</v>
      </c>
      <c r="AP552" s="39">
        <v>16</v>
      </c>
      <c r="AQ552" s="25" t="s">
        <v>61</v>
      </c>
      <c r="AR552" s="39"/>
    </row>
    <row r="553" spans="1:44" x14ac:dyDescent="0.2">
      <c r="A553" s="25" t="s">
        <v>29</v>
      </c>
      <c r="B553" s="25" t="s">
        <v>4119</v>
      </c>
      <c r="T553" s="25" t="s">
        <v>1619</v>
      </c>
      <c r="U553" s="25">
        <v>4115</v>
      </c>
      <c r="V553" s="25" t="s">
        <v>2134</v>
      </c>
      <c r="W553" s="38" t="s">
        <v>6609</v>
      </c>
      <c r="X553" s="25" t="s">
        <v>1622</v>
      </c>
      <c r="Y553" s="25" t="s">
        <v>164</v>
      </c>
      <c r="Z553" s="25" t="s">
        <v>1451</v>
      </c>
      <c r="AA553" s="25" t="s">
        <v>1700</v>
      </c>
      <c r="AB553" s="39">
        <v>40</v>
      </c>
      <c r="AC553" s="39">
        <v>5</v>
      </c>
      <c r="AD553" s="39">
        <v>6</v>
      </c>
      <c r="AE553" s="25" t="s">
        <v>2135</v>
      </c>
      <c r="AF553" s="39">
        <v>80</v>
      </c>
      <c r="AG553" s="39">
        <v>10</v>
      </c>
      <c r="AH553" s="39">
        <v>9</v>
      </c>
      <c r="AI553" s="25" t="s">
        <v>2136</v>
      </c>
      <c r="AJ553" s="39">
        <v>110</v>
      </c>
      <c r="AK553" s="39">
        <v>10</v>
      </c>
      <c r="AL553" s="39">
        <v>11</v>
      </c>
      <c r="AM553" s="25" t="s">
        <v>2137</v>
      </c>
      <c r="AN553" s="39">
        <v>130</v>
      </c>
      <c r="AO553" s="39">
        <v>15</v>
      </c>
      <c r="AP553" s="39">
        <v>13</v>
      </c>
      <c r="AQ553" s="25" t="s">
        <v>2138</v>
      </c>
      <c r="AR553" s="39" t="s">
        <v>6456</v>
      </c>
    </row>
    <row r="554" spans="1:44" x14ac:dyDescent="0.2">
      <c r="A554" s="25" t="s">
        <v>29</v>
      </c>
      <c r="B554" s="25" t="s">
        <v>4137</v>
      </c>
      <c r="T554" s="25" t="s">
        <v>29</v>
      </c>
      <c r="U554" s="25">
        <v>27001</v>
      </c>
      <c r="V554" s="25" t="s">
        <v>3897</v>
      </c>
      <c r="W554" s="38" t="s">
        <v>3898</v>
      </c>
      <c r="X554" s="25">
        <v>68</v>
      </c>
      <c r="Y554" s="25" t="s">
        <v>164</v>
      </c>
      <c r="Z554" s="25" t="s">
        <v>1451</v>
      </c>
      <c r="AA554" s="25" t="s">
        <v>3899</v>
      </c>
      <c r="AB554" s="39">
        <v>150</v>
      </c>
      <c r="AC554" s="39" t="s">
        <v>244</v>
      </c>
      <c r="AD554" s="39">
        <v>8</v>
      </c>
      <c r="AE554" s="25" t="s">
        <v>3900</v>
      </c>
      <c r="AF554" s="39">
        <v>200</v>
      </c>
      <c r="AG554" s="39" t="s">
        <v>244</v>
      </c>
      <c r="AH554" s="39">
        <v>10</v>
      </c>
      <c r="AI554" s="25" t="s">
        <v>3901</v>
      </c>
      <c r="AJ554" s="39">
        <v>250</v>
      </c>
      <c r="AK554" s="39" t="s">
        <v>244</v>
      </c>
      <c r="AL554" s="39">
        <v>12</v>
      </c>
      <c r="AM554" s="25" t="s">
        <v>3902</v>
      </c>
      <c r="AN554" s="39">
        <v>300</v>
      </c>
      <c r="AO554" s="39" t="s">
        <v>244</v>
      </c>
      <c r="AP554" s="39">
        <v>15</v>
      </c>
      <c r="AR554" s="39"/>
    </row>
    <row r="555" spans="1:44" x14ac:dyDescent="0.2">
      <c r="A555" s="25" t="s">
        <v>29</v>
      </c>
      <c r="B555" s="25" t="s">
        <v>4157</v>
      </c>
      <c r="T555" s="25" t="s">
        <v>90</v>
      </c>
      <c r="U555" s="25">
        <v>29009</v>
      </c>
      <c r="V555" s="25" t="s">
        <v>4002</v>
      </c>
      <c r="W555" s="38" t="s">
        <v>4003</v>
      </c>
      <c r="X555" s="25">
        <v>96</v>
      </c>
      <c r="Y555" s="25" t="s">
        <v>164</v>
      </c>
      <c r="Z555" s="25" t="s">
        <v>1451</v>
      </c>
      <c r="AA555" s="25" t="s">
        <v>4004</v>
      </c>
      <c r="AB555" s="39">
        <v>400</v>
      </c>
      <c r="AC555" s="39" t="s">
        <v>244</v>
      </c>
      <c r="AD555" s="39">
        <v>10</v>
      </c>
      <c r="AE555" s="25" t="s">
        <v>4005</v>
      </c>
      <c r="AF555" s="39">
        <v>500</v>
      </c>
      <c r="AG555" s="39" t="s">
        <v>244</v>
      </c>
      <c r="AH555" s="39">
        <v>13</v>
      </c>
      <c r="AI555" s="25" t="s">
        <v>4006</v>
      </c>
      <c r="AJ555" s="39">
        <v>600</v>
      </c>
      <c r="AK555" s="39" t="s">
        <v>244</v>
      </c>
      <c r="AL555" s="39">
        <v>15</v>
      </c>
      <c r="AM555" s="25" t="s">
        <v>4007</v>
      </c>
      <c r="AN555" s="39">
        <v>700</v>
      </c>
      <c r="AO555" s="39" t="s">
        <v>244</v>
      </c>
      <c r="AP555" s="39">
        <v>18</v>
      </c>
      <c r="AR555" s="39"/>
    </row>
    <row r="556" spans="1:44" x14ac:dyDescent="0.2">
      <c r="A556" s="25" t="s">
        <v>29</v>
      </c>
      <c r="B556" s="25" t="s">
        <v>4183</v>
      </c>
      <c r="T556" s="25" t="s">
        <v>1596</v>
      </c>
      <c r="U556" s="25">
        <v>6027</v>
      </c>
      <c r="V556" s="25" t="s">
        <v>2439</v>
      </c>
      <c r="W556" s="38" t="s">
        <v>2440</v>
      </c>
      <c r="X556" s="25">
        <v>54</v>
      </c>
      <c r="Y556" s="25" t="s">
        <v>1582</v>
      </c>
      <c r="Z556" s="25" t="s">
        <v>1451</v>
      </c>
      <c r="AA556" s="25" t="s">
        <v>2441</v>
      </c>
      <c r="AB556" s="39">
        <v>250</v>
      </c>
      <c r="AC556" s="39" t="s">
        <v>744</v>
      </c>
      <c r="AD556" s="39">
        <v>10</v>
      </c>
      <c r="AE556" s="25" t="s">
        <v>2442</v>
      </c>
      <c r="AF556" s="39">
        <v>350</v>
      </c>
      <c r="AG556" s="39" t="s">
        <v>744</v>
      </c>
      <c r="AH556" s="39">
        <v>13</v>
      </c>
      <c r="AI556" s="25" t="s">
        <v>2443</v>
      </c>
      <c r="AJ556" s="39">
        <v>450</v>
      </c>
      <c r="AK556" s="39" t="s">
        <v>744</v>
      </c>
      <c r="AL556" s="39">
        <v>15</v>
      </c>
      <c r="AM556" s="25" t="s">
        <v>2444</v>
      </c>
      <c r="AN556" s="39">
        <v>600</v>
      </c>
      <c r="AO556" s="39" t="s">
        <v>744</v>
      </c>
      <c r="AP556" s="39">
        <v>17</v>
      </c>
      <c r="AQ556" s="25" t="s">
        <v>1603</v>
      </c>
      <c r="AR556" s="39"/>
    </row>
    <row r="557" spans="1:44" x14ac:dyDescent="0.2">
      <c r="A557" s="25" t="s">
        <v>29</v>
      </c>
      <c r="B557" s="25" t="s">
        <v>4205</v>
      </c>
      <c r="T557" s="25" t="s">
        <v>90</v>
      </c>
      <c r="U557" s="25">
        <v>12009</v>
      </c>
      <c r="V557" s="25" t="s">
        <v>3236</v>
      </c>
      <c r="W557" s="38" t="s">
        <v>3237</v>
      </c>
      <c r="X557" s="25">
        <v>40</v>
      </c>
      <c r="Y557" s="25" t="s">
        <v>1498</v>
      </c>
      <c r="Z557" s="25" t="s">
        <v>1451</v>
      </c>
      <c r="AA557" s="25" t="s">
        <v>1484</v>
      </c>
      <c r="AB557" s="39">
        <v>100</v>
      </c>
      <c r="AC557" s="39">
        <v>10</v>
      </c>
      <c r="AD557" s="39">
        <v>7</v>
      </c>
      <c r="AE557" s="25" t="s">
        <v>3089</v>
      </c>
      <c r="AF557" s="39">
        <v>180</v>
      </c>
      <c r="AG557" s="39">
        <v>20</v>
      </c>
      <c r="AH557" s="39">
        <v>9</v>
      </c>
      <c r="AI557" s="25" t="s">
        <v>1478</v>
      </c>
      <c r="AJ557" s="39">
        <v>240</v>
      </c>
      <c r="AK557" s="39">
        <v>25</v>
      </c>
      <c r="AL557" s="39">
        <v>12</v>
      </c>
      <c r="AM557" s="25" t="s">
        <v>1479</v>
      </c>
      <c r="AN557" s="39">
        <v>300</v>
      </c>
      <c r="AO557" s="39">
        <v>30</v>
      </c>
      <c r="AP557" s="39">
        <v>15</v>
      </c>
      <c r="AR557" s="39"/>
    </row>
    <row r="558" spans="1:44" x14ac:dyDescent="0.2">
      <c r="A558" s="25" t="s">
        <v>29</v>
      </c>
      <c r="B558" s="25" t="s">
        <v>4223</v>
      </c>
      <c r="T558" s="25" t="s">
        <v>39</v>
      </c>
      <c r="U558" s="25">
        <v>32002</v>
      </c>
      <c r="V558" s="25" t="s">
        <v>4086</v>
      </c>
      <c r="W558" s="38" t="s">
        <v>4087</v>
      </c>
      <c r="X558" s="25">
        <v>80</v>
      </c>
      <c r="Y558" s="25" t="s">
        <v>1705</v>
      </c>
      <c r="Z558" s="25" t="s">
        <v>1451</v>
      </c>
      <c r="AA558" s="25" t="s">
        <v>1668</v>
      </c>
      <c r="AB558" s="39">
        <v>300</v>
      </c>
      <c r="AC558" s="39">
        <v>60</v>
      </c>
      <c r="AD558" s="39">
        <v>12</v>
      </c>
      <c r="AE558" s="25" t="s">
        <v>4083</v>
      </c>
      <c r="AF558" s="39">
        <v>400</v>
      </c>
      <c r="AG558" s="39">
        <v>65</v>
      </c>
      <c r="AH558" s="39">
        <v>14</v>
      </c>
      <c r="AI558" s="25" t="s">
        <v>4084</v>
      </c>
      <c r="AJ558" s="39">
        <v>500</v>
      </c>
      <c r="AK558" s="39">
        <v>70</v>
      </c>
      <c r="AL558" s="39">
        <v>16</v>
      </c>
      <c r="AM558" s="25" t="s">
        <v>4085</v>
      </c>
      <c r="AN558" s="39">
        <v>750</v>
      </c>
      <c r="AO558" s="39">
        <v>80</v>
      </c>
      <c r="AP558" s="39">
        <v>18</v>
      </c>
      <c r="AR558" s="39"/>
    </row>
    <row r="559" spans="1:44" x14ac:dyDescent="0.2">
      <c r="A559" s="25" t="s">
        <v>29</v>
      </c>
      <c r="B559" s="25" t="s">
        <v>4246</v>
      </c>
      <c r="T559" s="25" t="s">
        <v>1671</v>
      </c>
      <c r="U559" s="25">
        <v>5815</v>
      </c>
      <c r="V559" s="25" t="s">
        <v>2327</v>
      </c>
      <c r="W559" s="38" t="s">
        <v>2328</v>
      </c>
      <c r="X559" s="25" t="s">
        <v>1674</v>
      </c>
      <c r="Y559" s="25" t="s">
        <v>1498</v>
      </c>
      <c r="Z559" s="25" t="s">
        <v>1451</v>
      </c>
      <c r="AA559" s="25" t="s">
        <v>2329</v>
      </c>
      <c r="AB559" s="39">
        <v>200</v>
      </c>
      <c r="AC559" s="39" t="s">
        <v>244</v>
      </c>
      <c r="AD559" s="39">
        <v>10</v>
      </c>
      <c r="AE559" s="25" t="s">
        <v>2330</v>
      </c>
      <c r="AF559" s="39">
        <v>280</v>
      </c>
      <c r="AG559" s="39" t="s">
        <v>244</v>
      </c>
      <c r="AH559" s="39">
        <v>12</v>
      </c>
      <c r="AI559" s="25" t="s">
        <v>2331</v>
      </c>
      <c r="AJ559" s="39">
        <v>340</v>
      </c>
      <c r="AK559" s="39" t="s">
        <v>244</v>
      </c>
      <c r="AL559" s="39">
        <v>14</v>
      </c>
      <c r="AM559" s="25" t="s">
        <v>2332</v>
      </c>
      <c r="AN559" s="39">
        <v>400</v>
      </c>
      <c r="AO559" s="39" t="s">
        <v>244</v>
      </c>
      <c r="AP559" s="39">
        <v>16</v>
      </c>
      <c r="AQ559" s="25" t="s">
        <v>698</v>
      </c>
      <c r="AR559" s="39"/>
    </row>
    <row r="560" spans="1:44" x14ac:dyDescent="0.2">
      <c r="A560" s="25" t="s">
        <v>1535</v>
      </c>
      <c r="B560" s="25" t="s">
        <v>1536</v>
      </c>
      <c r="T560" s="25" t="s">
        <v>132</v>
      </c>
      <c r="U560" s="25">
        <v>1021</v>
      </c>
      <c r="V560" s="25" t="s">
        <v>1548</v>
      </c>
      <c r="W560" s="38" t="s">
        <v>6535</v>
      </c>
      <c r="X560" s="25">
        <v>4</v>
      </c>
      <c r="Y560" s="25" t="s">
        <v>164</v>
      </c>
      <c r="Z560" s="25" t="s">
        <v>1451</v>
      </c>
      <c r="AA560" s="25" t="s">
        <v>1549</v>
      </c>
      <c r="AB560" s="39">
        <v>30</v>
      </c>
      <c r="AC560" s="39">
        <v>5</v>
      </c>
      <c r="AD560" s="39">
        <v>5</v>
      </c>
      <c r="AE560" s="25" t="s">
        <v>1550</v>
      </c>
      <c r="AF560" s="39">
        <v>50</v>
      </c>
      <c r="AG560" s="39">
        <v>5</v>
      </c>
      <c r="AH560" s="39">
        <v>8</v>
      </c>
      <c r="AI560" s="25" t="s">
        <v>1551</v>
      </c>
      <c r="AJ560" s="39">
        <v>80</v>
      </c>
      <c r="AK560" s="39">
        <v>5</v>
      </c>
      <c r="AL560" s="39">
        <v>10</v>
      </c>
      <c r="AM560" s="25" t="s">
        <v>1552</v>
      </c>
      <c r="AN560" s="39">
        <v>120</v>
      </c>
      <c r="AO560" s="39">
        <v>10</v>
      </c>
      <c r="AP560" s="39">
        <v>12</v>
      </c>
      <c r="AQ560" s="25" t="s">
        <v>1553</v>
      </c>
      <c r="AR560" s="39" t="s">
        <v>6456</v>
      </c>
    </row>
    <row r="561" spans="1:44" x14ac:dyDescent="0.2">
      <c r="A561" s="25" t="s">
        <v>1535</v>
      </c>
      <c r="B561" s="25" t="s">
        <v>1765</v>
      </c>
      <c r="T561" s="25" t="s">
        <v>35</v>
      </c>
      <c r="U561" s="25">
        <v>12007</v>
      </c>
      <c r="V561" s="25" t="s">
        <v>288</v>
      </c>
      <c r="W561" s="38" t="s">
        <v>3227</v>
      </c>
      <c r="X561" s="25">
        <v>40</v>
      </c>
      <c r="Y561" s="25" t="s">
        <v>164</v>
      </c>
      <c r="Z561" s="25" t="s">
        <v>1451</v>
      </c>
      <c r="AA561" s="25" t="s">
        <v>3228</v>
      </c>
      <c r="AB561" s="39">
        <v>60</v>
      </c>
      <c r="AC561" s="39">
        <v>10</v>
      </c>
      <c r="AD561" s="39">
        <v>6</v>
      </c>
      <c r="AE561" s="25" t="s">
        <v>3229</v>
      </c>
      <c r="AF561" s="39">
        <v>90</v>
      </c>
      <c r="AG561" s="39">
        <v>10</v>
      </c>
      <c r="AH561" s="39">
        <v>9</v>
      </c>
      <c r="AI561" s="25" t="s">
        <v>3230</v>
      </c>
      <c r="AJ561" s="39">
        <v>120</v>
      </c>
      <c r="AK561" s="39">
        <v>15</v>
      </c>
      <c r="AL561" s="39">
        <v>12</v>
      </c>
      <c r="AM561" s="25" t="s">
        <v>3231</v>
      </c>
      <c r="AN561" s="39">
        <v>150</v>
      </c>
      <c r="AO561" s="39">
        <v>15</v>
      </c>
      <c r="AP561" s="39">
        <v>15</v>
      </c>
      <c r="AR561" s="39"/>
    </row>
    <row r="562" spans="1:44" x14ac:dyDescent="0.2">
      <c r="A562" s="25" t="s">
        <v>1535</v>
      </c>
      <c r="B562" s="25" t="s">
        <v>1931</v>
      </c>
      <c r="T562" s="25" t="s">
        <v>1571</v>
      </c>
      <c r="U562" s="25">
        <v>3024</v>
      </c>
      <c r="V562" s="25" t="s">
        <v>1955</v>
      </c>
      <c r="W562" s="38" t="s">
        <v>1956</v>
      </c>
      <c r="X562" s="25">
        <v>24</v>
      </c>
      <c r="Y562" s="25" t="s">
        <v>1482</v>
      </c>
      <c r="Z562" s="25" t="s">
        <v>1451</v>
      </c>
      <c r="AA562" s="25" t="s">
        <v>1585</v>
      </c>
      <c r="AB562" s="39">
        <v>60</v>
      </c>
      <c r="AC562" s="39" t="s">
        <v>744</v>
      </c>
      <c r="AD562" s="39">
        <v>7</v>
      </c>
      <c r="AE562" s="25" t="s">
        <v>1957</v>
      </c>
      <c r="AF562" s="39">
        <v>100</v>
      </c>
      <c r="AG562" s="39" t="s">
        <v>744</v>
      </c>
      <c r="AH562" s="39">
        <v>9</v>
      </c>
      <c r="AI562" s="25" t="s">
        <v>1958</v>
      </c>
      <c r="AJ562" s="39">
        <v>140</v>
      </c>
      <c r="AK562" s="39" t="s">
        <v>744</v>
      </c>
      <c r="AL562" s="39">
        <v>11</v>
      </c>
      <c r="AM562" s="25" t="s">
        <v>1959</v>
      </c>
      <c r="AN562" s="39">
        <v>180</v>
      </c>
      <c r="AO562" s="39" t="s">
        <v>744</v>
      </c>
      <c r="AP562" s="39">
        <v>13</v>
      </c>
      <c r="AQ562" s="25" t="s">
        <v>1578</v>
      </c>
      <c r="AR562" s="39"/>
    </row>
    <row r="563" spans="1:44" x14ac:dyDescent="0.2">
      <c r="A563" s="25" t="s">
        <v>1535</v>
      </c>
      <c r="B563" s="25" t="s">
        <v>2086</v>
      </c>
      <c r="T563" s="25" t="s">
        <v>1571</v>
      </c>
      <c r="U563" s="25">
        <v>4024</v>
      </c>
      <c r="V563" s="25" t="s">
        <v>2105</v>
      </c>
      <c r="W563" s="38" t="s">
        <v>6529</v>
      </c>
      <c r="X563" s="25">
        <v>34</v>
      </c>
      <c r="Y563" s="25" t="s">
        <v>1482</v>
      </c>
      <c r="Z563" s="25" t="s">
        <v>1451</v>
      </c>
      <c r="AA563" s="25" t="s">
        <v>1583</v>
      </c>
      <c r="AB563" s="39">
        <v>80</v>
      </c>
      <c r="AC563" s="39">
        <v>10</v>
      </c>
      <c r="AD563" s="39">
        <v>7</v>
      </c>
      <c r="AE563" s="25" t="s">
        <v>1584</v>
      </c>
      <c r="AF563" s="39">
        <v>120</v>
      </c>
      <c r="AG563" s="39">
        <v>15</v>
      </c>
      <c r="AH563" s="39">
        <v>9</v>
      </c>
      <c r="AI563" s="25" t="s">
        <v>1585</v>
      </c>
      <c r="AJ563" s="39">
        <v>160</v>
      </c>
      <c r="AK563" s="39">
        <v>20</v>
      </c>
      <c r="AL563" s="39">
        <v>11</v>
      </c>
      <c r="AM563" s="25" t="s">
        <v>1668</v>
      </c>
      <c r="AN563" s="39">
        <v>200</v>
      </c>
      <c r="AO563" s="39">
        <v>20</v>
      </c>
      <c r="AP563" s="39">
        <v>13</v>
      </c>
      <c r="AQ563" s="25" t="s">
        <v>1578</v>
      </c>
      <c r="AR563" s="39" t="s">
        <v>6456</v>
      </c>
    </row>
    <row r="564" spans="1:44" x14ac:dyDescent="0.2">
      <c r="A564" s="25" t="s">
        <v>1535</v>
      </c>
      <c r="B564" s="25" t="s">
        <v>2244</v>
      </c>
      <c r="T564" s="25" t="s">
        <v>70</v>
      </c>
      <c r="U564" s="25">
        <v>28005</v>
      </c>
      <c r="V564" s="25" t="s">
        <v>3957</v>
      </c>
      <c r="W564" s="38" t="s">
        <v>6584</v>
      </c>
      <c r="X564" s="25">
        <v>92</v>
      </c>
      <c r="Y564" s="25" t="s">
        <v>1705</v>
      </c>
      <c r="Z564" s="25" t="s">
        <v>1451</v>
      </c>
      <c r="AA564" s="25" t="s">
        <v>3332</v>
      </c>
      <c r="AB564" s="39">
        <v>250</v>
      </c>
      <c r="AC564" s="39">
        <v>50</v>
      </c>
      <c r="AD564" s="39">
        <v>13</v>
      </c>
      <c r="AE564" s="25" t="s">
        <v>3333</v>
      </c>
      <c r="AF564" s="39">
        <v>350</v>
      </c>
      <c r="AG564" s="39">
        <v>70</v>
      </c>
      <c r="AH564" s="39">
        <v>15</v>
      </c>
      <c r="AI564" s="25" t="s">
        <v>3958</v>
      </c>
      <c r="AJ564" s="39">
        <v>500</v>
      </c>
      <c r="AK564" s="39">
        <v>100</v>
      </c>
      <c r="AL564" s="39">
        <v>17</v>
      </c>
      <c r="AM564" s="25" t="s">
        <v>3959</v>
      </c>
      <c r="AN564" s="39">
        <v>750</v>
      </c>
      <c r="AO564" s="39">
        <v>150</v>
      </c>
      <c r="AP564" s="39">
        <v>19</v>
      </c>
      <c r="AR564" s="39" t="s">
        <v>6456</v>
      </c>
    </row>
    <row r="565" spans="1:44" x14ac:dyDescent="0.2">
      <c r="A565" s="25" t="s">
        <v>1535</v>
      </c>
      <c r="B565" s="25" t="s">
        <v>1503</v>
      </c>
      <c r="T565" s="25" t="s">
        <v>70</v>
      </c>
      <c r="U565" s="25">
        <v>20005</v>
      </c>
      <c r="V565" s="25" t="s">
        <v>3625</v>
      </c>
      <c r="W565" s="38" t="s">
        <v>6599</v>
      </c>
      <c r="X565" s="25">
        <v>66</v>
      </c>
      <c r="Y565" s="25" t="s">
        <v>164</v>
      </c>
      <c r="Z565" s="25" t="s">
        <v>1451</v>
      </c>
      <c r="AA565" s="25" t="s">
        <v>3626</v>
      </c>
      <c r="AB565" s="39">
        <v>120</v>
      </c>
      <c r="AC565" s="39">
        <v>10</v>
      </c>
      <c r="AD565" s="39">
        <v>7</v>
      </c>
      <c r="AE565" s="25" t="s">
        <v>3627</v>
      </c>
      <c r="AF565" s="39">
        <v>180</v>
      </c>
      <c r="AG565" s="39">
        <v>10</v>
      </c>
      <c r="AH565" s="39">
        <v>10</v>
      </c>
      <c r="AI565" s="25" t="s">
        <v>3628</v>
      </c>
      <c r="AJ565" s="39">
        <v>240</v>
      </c>
      <c r="AK565" s="39">
        <v>15</v>
      </c>
      <c r="AL565" s="39">
        <v>13</v>
      </c>
      <c r="AM565" s="25" t="s">
        <v>3629</v>
      </c>
      <c r="AN565" s="39">
        <v>300</v>
      </c>
      <c r="AO565" s="39">
        <v>15</v>
      </c>
      <c r="AP565" s="39">
        <v>15</v>
      </c>
      <c r="AR565" s="39" t="s">
        <v>6456</v>
      </c>
    </row>
    <row r="566" spans="1:44" x14ac:dyDescent="0.2">
      <c r="A566" s="25" t="s">
        <v>1535</v>
      </c>
      <c r="B566" s="25" t="s">
        <v>2569</v>
      </c>
      <c r="T566" s="25" t="s">
        <v>70</v>
      </c>
      <c r="U566" s="25">
        <v>17005</v>
      </c>
      <c r="V566" s="25" t="s">
        <v>3505</v>
      </c>
      <c r="W566" s="38" t="s">
        <v>6600</v>
      </c>
      <c r="X566" s="25">
        <v>56</v>
      </c>
      <c r="Y566" s="25" t="s">
        <v>164</v>
      </c>
      <c r="Z566" s="25" t="s">
        <v>1451</v>
      </c>
      <c r="AA566" s="25" t="s">
        <v>3506</v>
      </c>
      <c r="AB566" s="39">
        <v>120</v>
      </c>
      <c r="AC566" s="39">
        <v>10</v>
      </c>
      <c r="AD566" s="39">
        <v>6</v>
      </c>
      <c r="AE566" s="25" t="s">
        <v>3507</v>
      </c>
      <c r="AF566" s="39">
        <v>180</v>
      </c>
      <c r="AG566" s="39">
        <v>10</v>
      </c>
      <c r="AH566" s="39">
        <v>9</v>
      </c>
      <c r="AI566" s="25" t="s">
        <v>3508</v>
      </c>
      <c r="AJ566" s="39">
        <v>240</v>
      </c>
      <c r="AK566" s="39">
        <v>15</v>
      </c>
      <c r="AL566" s="39">
        <v>12</v>
      </c>
      <c r="AM566" s="25" t="s">
        <v>3509</v>
      </c>
      <c r="AN566" s="39">
        <v>300</v>
      </c>
      <c r="AO566" s="39">
        <v>15</v>
      </c>
      <c r="AP566" s="39">
        <v>15</v>
      </c>
      <c r="AR566" s="39" t="s">
        <v>6456</v>
      </c>
    </row>
    <row r="567" spans="1:44" x14ac:dyDescent="0.2">
      <c r="A567" s="25" t="s">
        <v>1535</v>
      </c>
      <c r="B567" s="25" t="s">
        <v>2724</v>
      </c>
      <c r="T567" s="25" t="s">
        <v>1509</v>
      </c>
      <c r="U567" s="25">
        <v>5015</v>
      </c>
      <c r="V567" s="25" t="s">
        <v>561</v>
      </c>
      <c r="W567" s="38" t="s">
        <v>2224</v>
      </c>
      <c r="X567" s="25" t="s">
        <v>1512</v>
      </c>
      <c r="Y567" s="25" t="s">
        <v>164</v>
      </c>
      <c r="Z567" s="25" t="s">
        <v>1451</v>
      </c>
      <c r="AA567" s="25" t="s">
        <v>2225</v>
      </c>
      <c r="AB567" s="39">
        <v>50</v>
      </c>
      <c r="AC567" s="39">
        <v>5</v>
      </c>
      <c r="AD567" s="39">
        <v>5</v>
      </c>
      <c r="AE567" s="25" t="s">
        <v>2226</v>
      </c>
      <c r="AF567" s="39">
        <v>80</v>
      </c>
      <c r="AG567" s="39">
        <v>10</v>
      </c>
      <c r="AH567" s="39">
        <v>8</v>
      </c>
      <c r="AI567" s="25" t="s">
        <v>2227</v>
      </c>
      <c r="AJ567" s="39">
        <v>100</v>
      </c>
      <c r="AK567" s="39">
        <v>10</v>
      </c>
      <c r="AL567" s="39">
        <v>10</v>
      </c>
      <c r="AM567" s="25" t="s">
        <v>2228</v>
      </c>
      <c r="AN567" s="39">
        <v>140</v>
      </c>
      <c r="AO567" s="39">
        <v>15</v>
      </c>
      <c r="AP567" s="39">
        <v>12</v>
      </c>
      <c r="AQ567" s="25" t="s">
        <v>35</v>
      </c>
      <c r="AR567" s="39"/>
    </row>
    <row r="568" spans="1:44" x14ac:dyDescent="0.2">
      <c r="A568" s="25" t="s">
        <v>1535</v>
      </c>
      <c r="B568" s="25" t="s">
        <v>2876</v>
      </c>
      <c r="T568" s="25" t="s">
        <v>1596</v>
      </c>
      <c r="U568" s="25">
        <v>8027</v>
      </c>
      <c r="V568" s="25" t="s">
        <v>2755</v>
      </c>
      <c r="W568" s="38" t="s">
        <v>2756</v>
      </c>
      <c r="X568" s="25">
        <v>74</v>
      </c>
      <c r="Y568" s="25" t="s">
        <v>1582</v>
      </c>
      <c r="Z568" s="25" t="s">
        <v>1451</v>
      </c>
      <c r="AA568" s="25" t="s">
        <v>2757</v>
      </c>
      <c r="AB568" s="39">
        <v>250</v>
      </c>
      <c r="AC568" s="39" t="s">
        <v>744</v>
      </c>
      <c r="AD568" s="39">
        <v>11</v>
      </c>
      <c r="AE568" s="25" t="s">
        <v>2758</v>
      </c>
      <c r="AF568" s="39">
        <v>350</v>
      </c>
      <c r="AG568" s="39" t="s">
        <v>744</v>
      </c>
      <c r="AH568" s="39">
        <v>14</v>
      </c>
      <c r="AI568" s="25" t="s">
        <v>2759</v>
      </c>
      <c r="AJ568" s="39">
        <v>450</v>
      </c>
      <c r="AK568" s="39" t="s">
        <v>744</v>
      </c>
      <c r="AL568" s="39">
        <v>16</v>
      </c>
      <c r="AM568" s="25" t="s">
        <v>2760</v>
      </c>
      <c r="AN568" s="39">
        <v>600</v>
      </c>
      <c r="AO568" s="39" t="s">
        <v>744</v>
      </c>
      <c r="AP568" s="39">
        <v>18</v>
      </c>
      <c r="AQ568" s="25" t="s">
        <v>1603</v>
      </c>
      <c r="AR568" s="39"/>
    </row>
    <row r="569" spans="1:44" x14ac:dyDescent="0.2">
      <c r="A569" s="25" t="s">
        <v>1535</v>
      </c>
      <c r="B569" s="25" t="s">
        <v>3027</v>
      </c>
      <c r="T569" s="25" t="s">
        <v>90</v>
      </c>
      <c r="U569" s="25">
        <v>5009</v>
      </c>
      <c r="V569" s="25" t="s">
        <v>2213</v>
      </c>
      <c r="W569" s="38" t="s">
        <v>2214</v>
      </c>
      <c r="X569" s="25">
        <v>16</v>
      </c>
      <c r="Y569" s="25" t="s">
        <v>164</v>
      </c>
      <c r="Z569" s="25" t="s">
        <v>1451</v>
      </c>
      <c r="AA569" s="40">
        <v>0.2</v>
      </c>
      <c r="AB569" s="39">
        <v>80</v>
      </c>
      <c r="AC569" s="39" t="s">
        <v>244</v>
      </c>
      <c r="AD569" s="39">
        <v>8</v>
      </c>
      <c r="AE569" s="40">
        <v>0.4</v>
      </c>
      <c r="AF569" s="39">
        <v>100</v>
      </c>
      <c r="AG569" s="39" t="s">
        <v>244</v>
      </c>
      <c r="AH569" s="39">
        <v>10</v>
      </c>
      <c r="AI569" s="40">
        <v>0.60000000000000009</v>
      </c>
      <c r="AJ569" s="39">
        <v>120</v>
      </c>
      <c r="AK569" s="39" t="s">
        <v>244</v>
      </c>
      <c r="AL569" s="39">
        <v>13</v>
      </c>
      <c r="AM569" s="40">
        <v>0.8</v>
      </c>
      <c r="AN569" s="39">
        <v>150</v>
      </c>
      <c r="AO569" s="39" t="s">
        <v>244</v>
      </c>
      <c r="AP569" s="39">
        <v>15</v>
      </c>
      <c r="AR569" s="39"/>
    </row>
    <row r="570" spans="1:44" x14ac:dyDescent="0.2">
      <c r="A570" s="25" t="s">
        <v>1543</v>
      </c>
      <c r="B570" s="25" t="s">
        <v>1544</v>
      </c>
      <c r="T570" s="25" t="s">
        <v>1579</v>
      </c>
      <c r="U570" s="25">
        <v>3025</v>
      </c>
      <c r="V570" s="25" t="s">
        <v>1960</v>
      </c>
      <c r="W570" s="38" t="s">
        <v>6458</v>
      </c>
      <c r="X570" s="25">
        <v>24</v>
      </c>
      <c r="Y570" s="25" t="s">
        <v>164</v>
      </c>
      <c r="Z570" s="25" t="s">
        <v>1451</v>
      </c>
      <c r="AA570" s="25" t="s">
        <v>1961</v>
      </c>
      <c r="AB570" s="39">
        <v>50</v>
      </c>
      <c r="AC570" s="39">
        <v>5</v>
      </c>
      <c r="AD570" s="39">
        <v>6</v>
      </c>
      <c r="AE570" s="25">
        <v>100</v>
      </c>
      <c r="AF570" s="39">
        <v>90</v>
      </c>
      <c r="AG570" s="39">
        <v>20</v>
      </c>
      <c r="AH570" s="39">
        <v>9</v>
      </c>
      <c r="AI570" s="25">
        <v>180</v>
      </c>
      <c r="AJ570" s="39">
        <v>120</v>
      </c>
      <c r="AK570" s="39">
        <v>25</v>
      </c>
      <c r="AL570" s="39">
        <v>12</v>
      </c>
      <c r="AM570" s="25">
        <v>300</v>
      </c>
      <c r="AN570" s="39">
        <v>150</v>
      </c>
      <c r="AO570" s="39">
        <v>30</v>
      </c>
      <c r="AP570" s="39">
        <v>15</v>
      </c>
      <c r="AQ570" s="25" t="s">
        <v>1587</v>
      </c>
      <c r="AR570" s="39" t="s">
        <v>6456</v>
      </c>
    </row>
    <row r="571" spans="1:44" x14ac:dyDescent="0.2">
      <c r="A571" s="25" t="s">
        <v>1543</v>
      </c>
      <c r="B571" s="25" t="s">
        <v>1768</v>
      </c>
      <c r="T571" s="25" t="s">
        <v>70</v>
      </c>
      <c r="U571" s="25">
        <v>14005</v>
      </c>
      <c r="V571" s="25" t="s">
        <v>3365</v>
      </c>
      <c r="W571" s="38" t="s">
        <v>3366</v>
      </c>
      <c r="X571" s="25">
        <v>46</v>
      </c>
      <c r="Y571" s="25" t="s">
        <v>1705</v>
      </c>
      <c r="Z571" s="25" t="s">
        <v>1451</v>
      </c>
      <c r="AA571" s="25" t="s">
        <v>3367</v>
      </c>
      <c r="AB571" s="39">
        <v>80</v>
      </c>
      <c r="AC571" s="39" t="s">
        <v>244</v>
      </c>
      <c r="AD571" s="39">
        <v>8</v>
      </c>
      <c r="AE571" s="25" t="s">
        <v>3368</v>
      </c>
      <c r="AF571" s="39">
        <v>120</v>
      </c>
      <c r="AG571" s="39" t="s">
        <v>244</v>
      </c>
      <c r="AH571" s="39">
        <v>10</v>
      </c>
      <c r="AI571" s="25" t="s">
        <v>3369</v>
      </c>
      <c r="AJ571" s="39">
        <v>180</v>
      </c>
      <c r="AK571" s="39" t="s">
        <v>244</v>
      </c>
      <c r="AL571" s="39">
        <v>12</v>
      </c>
      <c r="AM571" s="25" t="s">
        <v>3370</v>
      </c>
      <c r="AN571" s="39">
        <v>240</v>
      </c>
      <c r="AO571" s="39" t="s">
        <v>244</v>
      </c>
      <c r="AP571" s="39">
        <v>14</v>
      </c>
      <c r="AR571" s="39"/>
    </row>
    <row r="572" spans="1:44" x14ac:dyDescent="0.2">
      <c r="A572" s="25" t="s">
        <v>1543</v>
      </c>
      <c r="B572" s="25" t="s">
        <v>1938</v>
      </c>
      <c r="T572" s="25" t="s">
        <v>1531</v>
      </c>
      <c r="U572" s="25">
        <v>9018</v>
      </c>
      <c r="V572" s="25" t="s">
        <v>2875</v>
      </c>
      <c r="W572" s="38" t="s">
        <v>6514</v>
      </c>
      <c r="X572" s="25">
        <v>84</v>
      </c>
      <c r="Y572" s="25" t="s">
        <v>164</v>
      </c>
      <c r="Z572" s="25" t="s">
        <v>1451</v>
      </c>
      <c r="AA572" s="25" t="s">
        <v>2398</v>
      </c>
      <c r="AB572" s="39">
        <v>400</v>
      </c>
      <c r="AC572" s="39">
        <v>40</v>
      </c>
      <c r="AD572" s="39">
        <v>10</v>
      </c>
      <c r="AE572" s="25">
        <v>5</v>
      </c>
      <c r="AF572" s="39">
        <v>600</v>
      </c>
      <c r="AG572" s="39">
        <v>60</v>
      </c>
      <c r="AH572" s="39">
        <v>12</v>
      </c>
      <c r="AI572" s="25">
        <v>7</v>
      </c>
      <c r="AJ572" s="39">
        <v>800</v>
      </c>
      <c r="AK572" s="39">
        <v>80</v>
      </c>
      <c r="AL572" s="39">
        <v>14</v>
      </c>
      <c r="AM572" s="25">
        <v>10</v>
      </c>
      <c r="AN572" s="39">
        <v>1200</v>
      </c>
      <c r="AO572" s="39">
        <v>120</v>
      </c>
      <c r="AP572" s="39">
        <v>17</v>
      </c>
      <c r="AQ572" s="25" t="s">
        <v>1534</v>
      </c>
      <c r="AR572" s="39" t="s">
        <v>6456</v>
      </c>
    </row>
    <row r="573" spans="1:44" x14ac:dyDescent="0.2">
      <c r="A573" s="25" t="s">
        <v>1543</v>
      </c>
      <c r="B573" s="25" t="s">
        <v>2089</v>
      </c>
      <c r="T573" s="25" t="s">
        <v>1679</v>
      </c>
      <c r="U573" s="25">
        <v>2915</v>
      </c>
      <c r="V573" s="25" t="s">
        <v>1858</v>
      </c>
      <c r="W573" s="38" t="s">
        <v>1859</v>
      </c>
      <c r="X573" s="25" t="s">
        <v>1682</v>
      </c>
      <c r="Y573" s="25" t="s">
        <v>164</v>
      </c>
      <c r="Z573" s="25" t="s">
        <v>1451</v>
      </c>
      <c r="AA573" s="25" t="s">
        <v>1860</v>
      </c>
      <c r="AB573" s="39">
        <v>200</v>
      </c>
      <c r="AC573" s="39" t="s">
        <v>244</v>
      </c>
      <c r="AD573" s="39">
        <v>11</v>
      </c>
      <c r="AE573" s="25" t="s">
        <v>1861</v>
      </c>
      <c r="AF573" s="39">
        <v>360</v>
      </c>
      <c r="AG573" s="39" t="s">
        <v>244</v>
      </c>
      <c r="AH573" s="39">
        <v>13</v>
      </c>
      <c r="AI573" s="25" t="s">
        <v>1862</v>
      </c>
      <c r="AJ573" s="39">
        <v>420</v>
      </c>
      <c r="AK573" s="39" t="s">
        <v>244</v>
      </c>
      <c r="AL573" s="39">
        <v>15</v>
      </c>
      <c r="AM573" s="25" t="s">
        <v>1863</v>
      </c>
      <c r="AN573" s="39">
        <v>480</v>
      </c>
      <c r="AO573" s="39" t="s">
        <v>244</v>
      </c>
      <c r="AP573" s="39">
        <v>17</v>
      </c>
      <c r="AQ573" s="25" t="s">
        <v>698</v>
      </c>
      <c r="AR573" s="39"/>
    </row>
    <row r="574" spans="1:44" x14ac:dyDescent="0.2">
      <c r="A574" s="25" t="s">
        <v>1543</v>
      </c>
      <c r="B574" s="25" t="s">
        <v>2250</v>
      </c>
      <c r="T574" s="25" t="s">
        <v>264</v>
      </c>
      <c r="U574" s="25">
        <v>4028</v>
      </c>
      <c r="V574" s="25" t="s">
        <v>2122</v>
      </c>
      <c r="W574" s="38" t="s">
        <v>2123</v>
      </c>
      <c r="X574" s="25">
        <v>34</v>
      </c>
      <c r="Y574" s="25" t="s">
        <v>1582</v>
      </c>
      <c r="Z574" s="25" t="s">
        <v>1451</v>
      </c>
      <c r="AA574" s="25" t="s">
        <v>2124</v>
      </c>
      <c r="AB574" s="39">
        <v>80</v>
      </c>
      <c r="AC574" s="39">
        <v>5</v>
      </c>
      <c r="AD574" s="39">
        <v>7</v>
      </c>
      <c r="AE574" s="25" t="s">
        <v>2125</v>
      </c>
      <c r="AF574" s="39">
        <v>100</v>
      </c>
      <c r="AG574" s="39">
        <v>10</v>
      </c>
      <c r="AH574" s="39">
        <v>10</v>
      </c>
      <c r="AI574" s="25" t="s">
        <v>2126</v>
      </c>
      <c r="AJ574" s="39">
        <v>120</v>
      </c>
      <c r="AK574" s="39">
        <v>15</v>
      </c>
      <c r="AL574" s="39">
        <v>13</v>
      </c>
      <c r="AM574" s="25" t="s">
        <v>2127</v>
      </c>
      <c r="AN574" s="39">
        <v>140</v>
      </c>
      <c r="AO574" s="39">
        <v>20</v>
      </c>
      <c r="AP574" s="39">
        <v>15</v>
      </c>
      <c r="AQ574" s="25" t="s">
        <v>1610</v>
      </c>
      <c r="AR574" s="39"/>
    </row>
    <row r="575" spans="1:44" x14ac:dyDescent="0.2">
      <c r="A575" s="25" t="s">
        <v>1543</v>
      </c>
      <c r="B575" s="25" t="s">
        <v>2414</v>
      </c>
      <c r="T575" s="25" t="s">
        <v>70</v>
      </c>
      <c r="U575" s="25">
        <v>4005</v>
      </c>
      <c r="V575" s="25" t="s">
        <v>2036</v>
      </c>
      <c r="W575" s="38" t="s">
        <v>2037</v>
      </c>
      <c r="X575" s="25">
        <v>12</v>
      </c>
      <c r="Y575" s="25" t="s">
        <v>1482</v>
      </c>
      <c r="Z575" s="25" t="s">
        <v>1451</v>
      </c>
      <c r="AA575" s="25" t="s">
        <v>1651</v>
      </c>
      <c r="AB575" s="39">
        <v>60</v>
      </c>
      <c r="AC575" s="39">
        <v>10</v>
      </c>
      <c r="AD575" s="39">
        <v>6</v>
      </c>
      <c r="AE575" s="25" t="s">
        <v>2038</v>
      </c>
      <c r="AF575" s="39">
        <v>100</v>
      </c>
      <c r="AG575" s="39">
        <v>10</v>
      </c>
      <c r="AH575" s="39">
        <v>9</v>
      </c>
      <c r="AI575" s="25" t="s">
        <v>2000</v>
      </c>
      <c r="AJ575" s="39">
        <v>140</v>
      </c>
      <c r="AK575" s="39">
        <v>15</v>
      </c>
      <c r="AL575" s="39">
        <v>12</v>
      </c>
      <c r="AM575" s="25" t="s">
        <v>2039</v>
      </c>
      <c r="AN575" s="39">
        <v>200</v>
      </c>
      <c r="AO575" s="39">
        <v>15</v>
      </c>
      <c r="AP575" s="39">
        <v>15</v>
      </c>
      <c r="AR575" s="39"/>
    </row>
    <row r="576" spans="1:44" x14ac:dyDescent="0.2">
      <c r="A576" s="25" t="s">
        <v>1543</v>
      </c>
      <c r="B576" s="25" t="s">
        <v>2575</v>
      </c>
      <c r="T576" s="25" t="s">
        <v>1516</v>
      </c>
      <c r="U576" s="25">
        <v>1016</v>
      </c>
      <c r="V576" s="25" t="s">
        <v>1517</v>
      </c>
      <c r="W576" s="38" t="s">
        <v>6608</v>
      </c>
      <c r="X576" s="25">
        <v>4</v>
      </c>
      <c r="Y576" s="25" t="s">
        <v>1518</v>
      </c>
      <c r="Z576" s="25" t="s">
        <v>1451</v>
      </c>
      <c r="AA576" s="25" t="s">
        <v>1519</v>
      </c>
      <c r="AB576" s="39">
        <v>50</v>
      </c>
      <c r="AC576" s="39">
        <v>5</v>
      </c>
      <c r="AD576" s="39">
        <v>5</v>
      </c>
      <c r="AE576" s="25" t="s">
        <v>1520</v>
      </c>
      <c r="AF576" s="39">
        <v>80</v>
      </c>
      <c r="AG576" s="39">
        <v>10</v>
      </c>
      <c r="AH576" s="39">
        <v>8</v>
      </c>
      <c r="AI576" s="25" t="s">
        <v>1477</v>
      </c>
      <c r="AJ576" s="39">
        <v>100</v>
      </c>
      <c r="AK576" s="39">
        <v>10</v>
      </c>
      <c r="AL576" s="39">
        <v>10</v>
      </c>
      <c r="AM576" s="25" t="s">
        <v>1521</v>
      </c>
      <c r="AN576" s="39">
        <v>120</v>
      </c>
      <c r="AO576" s="39">
        <v>15</v>
      </c>
      <c r="AP576" s="39">
        <v>12</v>
      </c>
      <c r="AQ576" s="25" t="s">
        <v>1522</v>
      </c>
      <c r="AR576" s="39" t="s">
        <v>6456</v>
      </c>
    </row>
    <row r="577" spans="1:44" x14ac:dyDescent="0.2">
      <c r="A577" s="25" t="s">
        <v>1543</v>
      </c>
      <c r="B577" s="25" t="s">
        <v>2725</v>
      </c>
      <c r="T577" s="25" t="s">
        <v>1535</v>
      </c>
      <c r="U577" s="25">
        <v>6019</v>
      </c>
      <c r="V577" s="25" t="s">
        <v>1503</v>
      </c>
      <c r="W577" s="38" t="s">
        <v>2409</v>
      </c>
      <c r="X577" s="25">
        <v>54</v>
      </c>
      <c r="Y577" s="25" t="s">
        <v>164</v>
      </c>
      <c r="Z577" s="25" t="s">
        <v>1451</v>
      </c>
      <c r="AA577" s="25" t="s">
        <v>2410</v>
      </c>
      <c r="AB577" s="39">
        <v>80</v>
      </c>
      <c r="AC577" s="39">
        <v>10</v>
      </c>
      <c r="AD577" s="39">
        <v>7</v>
      </c>
      <c r="AE577" s="25" t="s">
        <v>2411</v>
      </c>
      <c r="AF577" s="39">
        <v>100</v>
      </c>
      <c r="AG577" s="39">
        <v>10</v>
      </c>
      <c r="AH577" s="39">
        <v>10</v>
      </c>
      <c r="AI577" s="25" t="s">
        <v>2412</v>
      </c>
      <c r="AJ577" s="39">
        <v>120</v>
      </c>
      <c r="AK577" s="39">
        <v>15</v>
      </c>
      <c r="AL577" s="39">
        <v>13</v>
      </c>
      <c r="AM577" s="25" t="s">
        <v>2413</v>
      </c>
      <c r="AN577" s="39">
        <v>150</v>
      </c>
      <c r="AO577" s="39">
        <v>15</v>
      </c>
      <c r="AP577" s="39">
        <v>15</v>
      </c>
      <c r="AQ577" s="25" t="s">
        <v>1542</v>
      </c>
      <c r="AR577" s="39"/>
    </row>
    <row r="578" spans="1:44" x14ac:dyDescent="0.2">
      <c r="A578" s="25" t="s">
        <v>1543</v>
      </c>
      <c r="B578" s="25" t="s">
        <v>2882</v>
      </c>
      <c r="T578" s="25" t="s">
        <v>101</v>
      </c>
      <c r="U578" s="25">
        <v>1011</v>
      </c>
      <c r="V578" s="25" t="s">
        <v>1503</v>
      </c>
      <c r="W578" s="38" t="s">
        <v>1504</v>
      </c>
      <c r="X578" s="25">
        <v>2</v>
      </c>
      <c r="Y578" s="25" t="s">
        <v>1482</v>
      </c>
      <c r="Z578" s="25" t="s">
        <v>1451</v>
      </c>
      <c r="AA578" s="25" t="s">
        <v>1505</v>
      </c>
      <c r="AB578" s="39">
        <v>30</v>
      </c>
      <c r="AC578" s="39">
        <v>5</v>
      </c>
      <c r="AD578" s="39">
        <v>6</v>
      </c>
      <c r="AE578" s="25" t="s">
        <v>1506</v>
      </c>
      <c r="AF578" s="39">
        <v>60</v>
      </c>
      <c r="AG578" s="39">
        <v>10</v>
      </c>
      <c r="AH578" s="39">
        <v>8</v>
      </c>
      <c r="AI578" s="25" t="s">
        <v>1507</v>
      </c>
      <c r="AJ578" s="39">
        <v>90</v>
      </c>
      <c r="AK578" s="39">
        <v>10</v>
      </c>
      <c r="AL578" s="39">
        <v>10</v>
      </c>
      <c r="AM578" s="25" t="s">
        <v>1508</v>
      </c>
      <c r="AN578" s="39">
        <v>120</v>
      </c>
      <c r="AO578" s="39">
        <v>15</v>
      </c>
      <c r="AP578" s="39">
        <v>12</v>
      </c>
      <c r="AR578" s="39"/>
    </row>
    <row r="579" spans="1:44" x14ac:dyDescent="0.2">
      <c r="A579" s="25" t="s">
        <v>1543</v>
      </c>
      <c r="B579" s="25" t="s">
        <v>3032</v>
      </c>
      <c r="T579" s="25" t="s">
        <v>1588</v>
      </c>
      <c r="U579" s="25">
        <v>1026</v>
      </c>
      <c r="V579" s="25" t="s">
        <v>1589</v>
      </c>
      <c r="W579" s="38" t="s">
        <v>1590</v>
      </c>
      <c r="X579" s="25">
        <v>4</v>
      </c>
      <c r="Y579" s="25" t="s">
        <v>1482</v>
      </c>
      <c r="Z579" s="25" t="s">
        <v>1451</v>
      </c>
      <c r="AA579" s="25" t="s">
        <v>1591</v>
      </c>
      <c r="AB579" s="39">
        <v>40</v>
      </c>
      <c r="AC579" s="39" t="s">
        <v>744</v>
      </c>
      <c r="AD579" s="39">
        <v>5</v>
      </c>
      <c r="AE579" s="25" t="s">
        <v>1592</v>
      </c>
      <c r="AF579" s="39">
        <v>60</v>
      </c>
      <c r="AG579" s="39" t="s">
        <v>744</v>
      </c>
      <c r="AH579" s="39">
        <v>8</v>
      </c>
      <c r="AI579" s="25" t="s">
        <v>1593</v>
      </c>
      <c r="AJ579" s="39">
        <v>80</v>
      </c>
      <c r="AK579" s="39" t="s">
        <v>744</v>
      </c>
      <c r="AL579" s="39">
        <v>10</v>
      </c>
      <c r="AM579" s="25" t="s">
        <v>1594</v>
      </c>
      <c r="AN579" s="39">
        <v>100</v>
      </c>
      <c r="AO579" s="39" t="s">
        <v>744</v>
      </c>
      <c r="AP579" s="39">
        <v>12</v>
      </c>
      <c r="AQ579" s="25" t="s">
        <v>1595</v>
      </c>
      <c r="AR579" s="39"/>
    </row>
    <row r="580" spans="1:44" x14ac:dyDescent="0.2">
      <c r="A580" s="25" t="s">
        <v>4264</v>
      </c>
      <c r="B580" s="25" t="s">
        <v>87</v>
      </c>
      <c r="T580" s="25" t="s">
        <v>1563</v>
      </c>
      <c r="U580" s="25">
        <v>1023</v>
      </c>
      <c r="V580" s="25" t="s">
        <v>1564</v>
      </c>
      <c r="W580" s="38" t="s">
        <v>1565</v>
      </c>
      <c r="X580" s="25">
        <v>4</v>
      </c>
      <c r="Y580" s="25" t="s">
        <v>1482</v>
      </c>
      <c r="Z580" s="25" t="s">
        <v>1451</v>
      </c>
      <c r="AA580" s="25" t="s">
        <v>1566</v>
      </c>
      <c r="AB580" s="39">
        <v>40</v>
      </c>
      <c r="AC580" s="39" t="s">
        <v>744</v>
      </c>
      <c r="AD580" s="39">
        <v>6</v>
      </c>
      <c r="AE580" s="25" t="s">
        <v>1567</v>
      </c>
      <c r="AF580" s="39">
        <v>60</v>
      </c>
      <c r="AG580" s="39" t="s">
        <v>744</v>
      </c>
      <c r="AH580" s="39">
        <v>8</v>
      </c>
      <c r="AI580" s="25" t="s">
        <v>1568</v>
      </c>
      <c r="AJ580" s="39">
        <v>90</v>
      </c>
      <c r="AK580" s="39" t="s">
        <v>744</v>
      </c>
      <c r="AL580" s="39">
        <v>10</v>
      </c>
      <c r="AM580" s="25" t="s">
        <v>1569</v>
      </c>
      <c r="AN580" s="39">
        <v>120</v>
      </c>
      <c r="AO580" s="39" t="s">
        <v>744</v>
      </c>
      <c r="AP580" s="39">
        <v>12</v>
      </c>
      <c r="AQ580" s="25" t="s">
        <v>1570</v>
      </c>
      <c r="AR580" s="39"/>
    </row>
    <row r="581" spans="1:44" x14ac:dyDescent="0.2">
      <c r="A581" s="25" t="s">
        <v>101</v>
      </c>
      <c r="B581" s="25" t="s">
        <v>1503</v>
      </c>
      <c r="T581" s="25" t="s">
        <v>65</v>
      </c>
      <c r="U581" s="25">
        <v>29006</v>
      </c>
      <c r="V581" s="25" t="s">
        <v>3997</v>
      </c>
      <c r="W581" s="38" t="s">
        <v>6499</v>
      </c>
      <c r="X581" s="25">
        <v>96</v>
      </c>
      <c r="Y581" s="25" t="s">
        <v>1498</v>
      </c>
      <c r="Z581" s="25" t="s">
        <v>1451</v>
      </c>
      <c r="AA581" s="25" t="s">
        <v>3101</v>
      </c>
      <c r="AB581" s="39">
        <v>300</v>
      </c>
      <c r="AC581" s="39">
        <v>30</v>
      </c>
      <c r="AD581" s="39">
        <v>10</v>
      </c>
      <c r="AE581" s="25" t="s">
        <v>3961</v>
      </c>
      <c r="AF581" s="39">
        <v>450</v>
      </c>
      <c r="AG581" s="39">
        <v>45</v>
      </c>
      <c r="AH581" s="39">
        <v>12</v>
      </c>
      <c r="AI581" s="25" t="s">
        <v>3962</v>
      </c>
      <c r="AJ581" s="39">
        <v>600</v>
      </c>
      <c r="AK581" s="39">
        <v>60</v>
      </c>
      <c r="AL581" s="39">
        <v>15</v>
      </c>
      <c r="AM581" s="25" t="s">
        <v>3998</v>
      </c>
      <c r="AN581" s="39">
        <v>1000</v>
      </c>
      <c r="AO581" s="39">
        <v>100</v>
      </c>
      <c r="AP581" s="39">
        <v>18</v>
      </c>
      <c r="AR581" s="39" t="s">
        <v>6456</v>
      </c>
    </row>
    <row r="582" spans="1:44" x14ac:dyDescent="0.2">
      <c r="A582" s="25" t="s">
        <v>101</v>
      </c>
      <c r="B582" s="25" t="s">
        <v>1737</v>
      </c>
      <c r="T582" s="25" t="s">
        <v>90</v>
      </c>
      <c r="U582" s="25">
        <v>30009</v>
      </c>
      <c r="V582" s="25" t="s">
        <v>4053</v>
      </c>
      <c r="W582" s="38" t="s">
        <v>6498</v>
      </c>
      <c r="X582" s="25">
        <v>100</v>
      </c>
      <c r="Y582" s="25" t="s">
        <v>1498</v>
      </c>
      <c r="Z582" s="25" t="s">
        <v>1451</v>
      </c>
      <c r="AA582" s="25" t="s">
        <v>4054</v>
      </c>
      <c r="AB582" s="39">
        <v>600</v>
      </c>
      <c r="AC582" s="39">
        <v>120</v>
      </c>
      <c r="AD582" s="39">
        <v>12</v>
      </c>
      <c r="AE582" s="25" t="s">
        <v>4055</v>
      </c>
      <c r="AF582" s="39">
        <v>800</v>
      </c>
      <c r="AG582" s="39">
        <v>160</v>
      </c>
      <c r="AH582" s="39">
        <v>14</v>
      </c>
      <c r="AI582" s="25" t="s">
        <v>4056</v>
      </c>
      <c r="AJ582" s="39">
        <v>1200</v>
      </c>
      <c r="AK582" s="39">
        <v>240</v>
      </c>
      <c r="AL582" s="39">
        <v>16</v>
      </c>
      <c r="AM582" s="25" t="s">
        <v>4057</v>
      </c>
      <c r="AN582" s="39">
        <v>1500</v>
      </c>
      <c r="AO582" s="39">
        <v>300</v>
      </c>
      <c r="AP582" s="39">
        <v>18</v>
      </c>
      <c r="AR582" s="39" t="s">
        <v>6456</v>
      </c>
    </row>
    <row r="583" spans="1:44" x14ac:dyDescent="0.2">
      <c r="A583" s="25" t="s">
        <v>101</v>
      </c>
      <c r="B583" s="25" t="s">
        <v>1905</v>
      </c>
      <c r="T583" s="25" t="s">
        <v>65</v>
      </c>
      <c r="U583" s="25">
        <v>28006</v>
      </c>
      <c r="V583" s="25" t="s">
        <v>3960</v>
      </c>
      <c r="W583" s="38" t="s">
        <v>6499</v>
      </c>
      <c r="X583" s="25">
        <v>92</v>
      </c>
      <c r="Y583" s="25" t="s">
        <v>1498</v>
      </c>
      <c r="Z583" s="25" t="s">
        <v>1451</v>
      </c>
      <c r="AA583" s="25" t="s">
        <v>3101</v>
      </c>
      <c r="AB583" s="39">
        <v>300</v>
      </c>
      <c r="AC583" s="39">
        <v>30</v>
      </c>
      <c r="AD583" s="39">
        <v>10</v>
      </c>
      <c r="AE583" s="25" t="s">
        <v>3961</v>
      </c>
      <c r="AF583" s="39">
        <v>450</v>
      </c>
      <c r="AG583" s="39">
        <v>45</v>
      </c>
      <c r="AH583" s="39">
        <v>12</v>
      </c>
      <c r="AI583" s="25" t="s">
        <v>3962</v>
      </c>
      <c r="AJ583" s="39">
        <v>600</v>
      </c>
      <c r="AK583" s="39">
        <v>60</v>
      </c>
      <c r="AL583" s="39">
        <v>14</v>
      </c>
      <c r="AM583" s="25" t="s">
        <v>3963</v>
      </c>
      <c r="AN583" s="39">
        <v>1000</v>
      </c>
      <c r="AO583" s="39">
        <v>100</v>
      </c>
      <c r="AP583" s="39">
        <v>16</v>
      </c>
      <c r="AR583" s="39" t="s">
        <v>6456</v>
      </c>
    </row>
    <row r="584" spans="1:44" x14ac:dyDescent="0.2">
      <c r="A584" s="25" t="s">
        <v>101</v>
      </c>
      <c r="B584" s="25" t="s">
        <v>2063</v>
      </c>
      <c r="T584" s="25" t="s">
        <v>264</v>
      </c>
      <c r="U584" s="25">
        <v>8028</v>
      </c>
      <c r="V584" s="25" t="s">
        <v>2761</v>
      </c>
      <c r="W584" s="38" t="s">
        <v>2762</v>
      </c>
      <c r="X584" s="25">
        <v>74</v>
      </c>
      <c r="Y584" s="25" t="s">
        <v>2084</v>
      </c>
      <c r="Z584" s="25" t="s">
        <v>1451</v>
      </c>
      <c r="AA584" s="25" t="s">
        <v>2763</v>
      </c>
      <c r="AB584" s="39">
        <v>200</v>
      </c>
      <c r="AC584" s="39" t="s">
        <v>744</v>
      </c>
      <c r="AD584" s="39">
        <v>10</v>
      </c>
      <c r="AE584" s="25" t="s">
        <v>2764</v>
      </c>
      <c r="AF584" s="39">
        <v>300</v>
      </c>
      <c r="AG584" s="39" t="s">
        <v>744</v>
      </c>
      <c r="AH584" s="39">
        <v>12</v>
      </c>
      <c r="AI584" s="25" t="s">
        <v>2765</v>
      </c>
      <c r="AJ584" s="39">
        <v>400</v>
      </c>
      <c r="AK584" s="39" t="s">
        <v>744</v>
      </c>
      <c r="AL584" s="39">
        <v>14</v>
      </c>
      <c r="AM584" s="25" t="s">
        <v>2766</v>
      </c>
      <c r="AN584" s="39">
        <v>500</v>
      </c>
      <c r="AO584" s="39" t="s">
        <v>744</v>
      </c>
      <c r="AP584" s="39">
        <v>16</v>
      </c>
      <c r="AQ584" s="25" t="s">
        <v>1610</v>
      </c>
      <c r="AR584" s="39"/>
    </row>
    <row r="585" spans="1:44" x14ac:dyDescent="0.2">
      <c r="A585" s="25" t="s">
        <v>101</v>
      </c>
      <c r="B585" s="25" t="s">
        <v>2221</v>
      </c>
      <c r="T585" s="25" t="s">
        <v>101</v>
      </c>
      <c r="U585" s="25">
        <v>38011</v>
      </c>
      <c r="V585" s="25" t="s">
        <v>4221</v>
      </c>
      <c r="W585" s="38" t="s">
        <v>6566</v>
      </c>
      <c r="X585" s="25">
        <v>96</v>
      </c>
      <c r="Y585" s="25" t="s">
        <v>1498</v>
      </c>
      <c r="Z585" s="25" t="s">
        <v>1451</v>
      </c>
      <c r="AA585" s="25" t="s">
        <v>3101</v>
      </c>
      <c r="AB585" s="39">
        <v>300</v>
      </c>
      <c r="AC585" s="39">
        <v>30</v>
      </c>
      <c r="AD585" s="39">
        <v>12</v>
      </c>
      <c r="AE585" s="25" t="s">
        <v>3102</v>
      </c>
      <c r="AF585" s="39">
        <v>600</v>
      </c>
      <c r="AG585" s="39">
        <v>60</v>
      </c>
      <c r="AH585" s="39">
        <v>14</v>
      </c>
      <c r="AI585" s="25" t="s">
        <v>3103</v>
      </c>
      <c r="AJ585" s="39">
        <v>1000</v>
      </c>
      <c r="AK585" s="39">
        <v>100</v>
      </c>
      <c r="AL585" s="39">
        <v>16</v>
      </c>
      <c r="AM585" s="25" t="s">
        <v>4222</v>
      </c>
      <c r="AN585" s="39">
        <v>2000</v>
      </c>
      <c r="AO585" s="39">
        <v>200</v>
      </c>
      <c r="AP585" s="39">
        <v>18</v>
      </c>
      <c r="AR585" s="39" t="s">
        <v>6456</v>
      </c>
    </row>
    <row r="586" spans="1:44" x14ac:dyDescent="0.2">
      <c r="A586" s="25" t="s">
        <v>101</v>
      </c>
      <c r="B586" s="25" t="s">
        <v>2385</v>
      </c>
      <c r="T586" s="25" t="s">
        <v>29</v>
      </c>
      <c r="U586" s="25">
        <v>32001</v>
      </c>
      <c r="V586" s="25" t="s">
        <v>4081</v>
      </c>
      <c r="W586" s="38" t="s">
        <v>4082</v>
      </c>
      <c r="X586" s="25">
        <v>80</v>
      </c>
      <c r="Y586" s="25" t="s">
        <v>1705</v>
      </c>
      <c r="Z586" s="25" t="s">
        <v>1451</v>
      </c>
      <c r="AA586" s="25" t="s">
        <v>1668</v>
      </c>
      <c r="AB586" s="39">
        <v>300</v>
      </c>
      <c r="AC586" s="39">
        <v>60</v>
      </c>
      <c r="AD586" s="39">
        <v>12</v>
      </c>
      <c r="AE586" s="25" t="s">
        <v>4083</v>
      </c>
      <c r="AF586" s="39">
        <v>400</v>
      </c>
      <c r="AG586" s="39">
        <v>65</v>
      </c>
      <c r="AH586" s="39">
        <v>14</v>
      </c>
      <c r="AI586" s="25" t="s">
        <v>4084</v>
      </c>
      <c r="AJ586" s="39">
        <v>500</v>
      </c>
      <c r="AK586" s="39">
        <v>70</v>
      </c>
      <c r="AL586" s="39">
        <v>16</v>
      </c>
      <c r="AM586" s="25" t="s">
        <v>4085</v>
      </c>
      <c r="AN586" s="39">
        <v>750</v>
      </c>
      <c r="AO586" s="39">
        <v>80</v>
      </c>
      <c r="AP586" s="39">
        <v>18</v>
      </c>
      <c r="AR586" s="39"/>
    </row>
    <row r="587" spans="1:44" x14ac:dyDescent="0.2">
      <c r="A587" s="25" t="s">
        <v>101</v>
      </c>
      <c r="B587" s="25" t="s">
        <v>2544</v>
      </c>
      <c r="T587" s="25" t="s">
        <v>60</v>
      </c>
      <c r="U587" s="25">
        <v>29008</v>
      </c>
      <c r="V587" s="25" t="s">
        <v>4001</v>
      </c>
      <c r="W587" s="38" t="s">
        <v>6499</v>
      </c>
      <c r="X587" s="25">
        <v>96</v>
      </c>
      <c r="Y587" s="25" t="s">
        <v>1498</v>
      </c>
      <c r="Z587" s="25" t="s">
        <v>1451</v>
      </c>
      <c r="AA587" s="25" t="s">
        <v>3101</v>
      </c>
      <c r="AB587" s="39">
        <v>300</v>
      </c>
      <c r="AC587" s="39">
        <v>30</v>
      </c>
      <c r="AD587" s="39">
        <v>10</v>
      </c>
      <c r="AE587" s="25" t="s">
        <v>3961</v>
      </c>
      <c r="AF587" s="39">
        <v>450</v>
      </c>
      <c r="AG587" s="39">
        <v>45</v>
      </c>
      <c r="AH587" s="39">
        <v>12</v>
      </c>
      <c r="AI587" s="25" t="s">
        <v>3962</v>
      </c>
      <c r="AJ587" s="39">
        <v>600</v>
      </c>
      <c r="AK587" s="39">
        <v>60</v>
      </c>
      <c r="AL587" s="39">
        <v>14</v>
      </c>
      <c r="AM587" s="25" t="s">
        <v>3963</v>
      </c>
      <c r="AN587" s="39">
        <v>1000</v>
      </c>
      <c r="AO587" s="39">
        <v>100</v>
      </c>
      <c r="AP587" s="39">
        <v>16</v>
      </c>
      <c r="AR587" s="39" t="s">
        <v>6456</v>
      </c>
    </row>
    <row r="588" spans="1:44" x14ac:dyDescent="0.2">
      <c r="A588" s="25" t="s">
        <v>101</v>
      </c>
      <c r="B588" s="25" t="s">
        <v>2703</v>
      </c>
      <c r="T588" s="25" t="s">
        <v>70</v>
      </c>
      <c r="U588" s="25">
        <v>29005</v>
      </c>
      <c r="V588" s="25" t="s">
        <v>3995</v>
      </c>
      <c r="W588" s="38" t="s">
        <v>6499</v>
      </c>
      <c r="X588" s="25">
        <v>96</v>
      </c>
      <c r="Y588" s="25" t="s">
        <v>1498</v>
      </c>
      <c r="Z588" s="25" t="s">
        <v>1451</v>
      </c>
      <c r="AA588" s="25" t="s">
        <v>3101</v>
      </c>
      <c r="AB588" s="39">
        <v>300</v>
      </c>
      <c r="AC588" s="39">
        <v>30</v>
      </c>
      <c r="AD588" s="39">
        <v>10</v>
      </c>
      <c r="AE588" s="25" t="s">
        <v>3961</v>
      </c>
      <c r="AF588" s="39">
        <v>450</v>
      </c>
      <c r="AG588" s="39">
        <v>45</v>
      </c>
      <c r="AH588" s="39">
        <v>12</v>
      </c>
      <c r="AI588" s="25" t="s">
        <v>3962</v>
      </c>
      <c r="AJ588" s="39">
        <v>600</v>
      </c>
      <c r="AK588" s="39">
        <v>60</v>
      </c>
      <c r="AL588" s="39">
        <v>15</v>
      </c>
      <c r="AM588" s="25" t="s">
        <v>3996</v>
      </c>
      <c r="AN588" s="39">
        <v>1000</v>
      </c>
      <c r="AO588" s="39">
        <v>100</v>
      </c>
      <c r="AP588" s="39">
        <v>18</v>
      </c>
      <c r="AR588" s="39" t="s">
        <v>6456</v>
      </c>
    </row>
    <row r="589" spans="1:44" x14ac:dyDescent="0.2">
      <c r="A589" s="25" t="s">
        <v>101</v>
      </c>
      <c r="B589" s="25" t="s">
        <v>2856</v>
      </c>
      <c r="T589" s="25" t="s">
        <v>94</v>
      </c>
      <c r="U589" s="25">
        <v>19010</v>
      </c>
      <c r="V589" s="25" t="s">
        <v>3605</v>
      </c>
      <c r="W589" s="38" t="s">
        <v>3606</v>
      </c>
      <c r="X589" s="25">
        <v>62</v>
      </c>
      <c r="Y589" s="25" t="s">
        <v>1498</v>
      </c>
      <c r="Z589" s="25" t="s">
        <v>1451</v>
      </c>
      <c r="AA589" s="25" t="s">
        <v>3239</v>
      </c>
      <c r="AB589" s="39">
        <v>100</v>
      </c>
      <c r="AC589" s="39">
        <v>10</v>
      </c>
      <c r="AD589" s="39">
        <v>8</v>
      </c>
      <c r="AE589" s="25" t="s">
        <v>3240</v>
      </c>
      <c r="AF589" s="39">
        <v>120</v>
      </c>
      <c r="AG589" s="39">
        <v>15</v>
      </c>
      <c r="AH589" s="39">
        <v>11</v>
      </c>
      <c r="AI589" s="25" t="s">
        <v>3241</v>
      </c>
      <c r="AJ589" s="39">
        <v>150</v>
      </c>
      <c r="AK589" s="39">
        <v>15</v>
      </c>
      <c r="AL589" s="39">
        <v>13</v>
      </c>
      <c r="AM589" s="25" t="s">
        <v>3242</v>
      </c>
      <c r="AN589" s="39">
        <v>200</v>
      </c>
      <c r="AO589" s="39">
        <v>20</v>
      </c>
      <c r="AP589" s="39">
        <v>16</v>
      </c>
      <c r="AR589" s="39"/>
    </row>
    <row r="590" spans="1:44" x14ac:dyDescent="0.2">
      <c r="A590" s="25" t="s">
        <v>101</v>
      </c>
      <c r="B590" s="25" t="s">
        <v>3008</v>
      </c>
      <c r="T590" s="25" t="s">
        <v>1627</v>
      </c>
      <c r="U590" s="25">
        <v>6215</v>
      </c>
      <c r="V590" s="25" t="s">
        <v>2456</v>
      </c>
      <c r="W590" s="38" t="s">
        <v>2457</v>
      </c>
      <c r="X590" s="25" t="s">
        <v>1629</v>
      </c>
      <c r="Y590" s="25" t="s">
        <v>1582</v>
      </c>
      <c r="Z590" s="25" t="s">
        <v>1451</v>
      </c>
      <c r="AA590" s="25" t="s">
        <v>1667</v>
      </c>
      <c r="AB590" s="39">
        <v>50</v>
      </c>
      <c r="AC590" s="39">
        <v>5</v>
      </c>
      <c r="AD590" s="39">
        <v>6</v>
      </c>
      <c r="AE590" s="25" t="s">
        <v>1668</v>
      </c>
      <c r="AF590" s="39">
        <v>70</v>
      </c>
      <c r="AG590" s="39">
        <v>10</v>
      </c>
      <c r="AH590" s="39">
        <v>9</v>
      </c>
      <c r="AI590" s="25" t="s">
        <v>1586</v>
      </c>
      <c r="AJ590" s="39">
        <v>100</v>
      </c>
      <c r="AK590" s="39">
        <v>10</v>
      </c>
      <c r="AL590" s="39">
        <v>11</v>
      </c>
      <c r="AM590" s="25" t="s">
        <v>1669</v>
      </c>
      <c r="AN590" s="39">
        <v>130</v>
      </c>
      <c r="AO590" s="39">
        <v>15</v>
      </c>
      <c r="AP590" s="39">
        <v>13</v>
      </c>
      <c r="AQ590" s="25" t="s">
        <v>2458</v>
      </c>
      <c r="AR590" s="39"/>
    </row>
    <row r="591" spans="1:44" x14ac:dyDescent="0.2">
      <c r="A591" s="25" t="s">
        <v>101</v>
      </c>
      <c r="B591" s="25" t="s">
        <v>3151</v>
      </c>
      <c r="T591" s="25" t="s">
        <v>61</v>
      </c>
      <c r="U591" s="25">
        <v>32004</v>
      </c>
      <c r="V591" s="25" t="s">
        <v>4094</v>
      </c>
      <c r="W591" s="38" t="s">
        <v>4095</v>
      </c>
      <c r="X591" s="25">
        <v>80</v>
      </c>
      <c r="Y591" s="25" t="s">
        <v>1582</v>
      </c>
      <c r="Z591" s="25" t="s">
        <v>1451</v>
      </c>
      <c r="AA591" s="25" t="s">
        <v>4096</v>
      </c>
      <c r="AB591" s="39">
        <v>350</v>
      </c>
      <c r="AC591" s="39" t="s">
        <v>244</v>
      </c>
      <c r="AD591" s="39">
        <v>12</v>
      </c>
      <c r="AE591" s="25" t="s">
        <v>4097</v>
      </c>
      <c r="AF591" s="39">
        <v>500</v>
      </c>
      <c r="AG591" s="39" t="s">
        <v>244</v>
      </c>
      <c r="AH591" s="39">
        <v>14</v>
      </c>
      <c r="AI591" s="25" t="s">
        <v>4098</v>
      </c>
      <c r="AJ591" s="39">
        <v>600</v>
      </c>
      <c r="AK591" s="39" t="s">
        <v>244</v>
      </c>
      <c r="AL591" s="39">
        <v>16</v>
      </c>
      <c r="AM591" s="25" t="s">
        <v>4099</v>
      </c>
      <c r="AN591" s="39">
        <v>800</v>
      </c>
      <c r="AO591" s="39" t="s">
        <v>244</v>
      </c>
      <c r="AP591" s="39">
        <v>18</v>
      </c>
      <c r="AR591" s="39"/>
    </row>
    <row r="592" spans="1:44" x14ac:dyDescent="0.2">
      <c r="A592" s="25" t="s">
        <v>101</v>
      </c>
      <c r="B592" s="25" t="s">
        <v>3243</v>
      </c>
      <c r="T592" s="25" t="s">
        <v>1554</v>
      </c>
      <c r="U592" s="25">
        <v>6022</v>
      </c>
      <c r="V592" s="25" t="s">
        <v>2422</v>
      </c>
      <c r="W592" s="38" t="s">
        <v>2423</v>
      </c>
      <c r="X592" s="25">
        <v>54</v>
      </c>
      <c r="Y592" s="25" t="s">
        <v>1498</v>
      </c>
      <c r="Z592" s="25" t="s">
        <v>1557</v>
      </c>
      <c r="AA592" s="25" t="s">
        <v>1667</v>
      </c>
      <c r="AB592" s="39">
        <v>100</v>
      </c>
      <c r="AC592" s="39" t="s">
        <v>744</v>
      </c>
      <c r="AD592" s="39">
        <v>8</v>
      </c>
      <c r="AE592" s="25" t="s">
        <v>1586</v>
      </c>
      <c r="AF592" s="39">
        <v>180</v>
      </c>
      <c r="AG592" s="39" t="s">
        <v>744</v>
      </c>
      <c r="AH592" s="39">
        <v>10</v>
      </c>
      <c r="AI592" s="25" t="s">
        <v>2104</v>
      </c>
      <c r="AJ592" s="39">
        <v>260</v>
      </c>
      <c r="AK592" s="39" t="s">
        <v>744</v>
      </c>
      <c r="AL592" s="39">
        <v>12</v>
      </c>
      <c r="AM592" s="25" t="s">
        <v>2223</v>
      </c>
      <c r="AN592" s="39">
        <v>340</v>
      </c>
      <c r="AO592" s="39" t="s">
        <v>744</v>
      </c>
      <c r="AP592" s="39">
        <v>14</v>
      </c>
      <c r="AQ592" s="25" t="s">
        <v>1562</v>
      </c>
      <c r="AR592" s="39"/>
    </row>
    <row r="593" spans="1:44" x14ac:dyDescent="0.2">
      <c r="A593" s="25" t="s">
        <v>101</v>
      </c>
      <c r="B593" s="25" t="s">
        <v>3340</v>
      </c>
      <c r="T593" s="25" t="s">
        <v>1563</v>
      </c>
      <c r="U593" s="25">
        <v>7023</v>
      </c>
      <c r="V593" s="25" t="s">
        <v>2585</v>
      </c>
      <c r="W593" s="38" t="s">
        <v>2586</v>
      </c>
      <c r="X593" s="25">
        <v>64</v>
      </c>
      <c r="Y593" s="25" t="s">
        <v>1582</v>
      </c>
      <c r="Z593" s="25" t="s">
        <v>1451</v>
      </c>
      <c r="AA593" s="25" t="s">
        <v>2587</v>
      </c>
      <c r="AB593" s="39">
        <v>80</v>
      </c>
      <c r="AC593" s="39">
        <v>5</v>
      </c>
      <c r="AD593" s="39">
        <v>7</v>
      </c>
      <c r="AE593" s="25" t="s">
        <v>2588</v>
      </c>
      <c r="AF593" s="39">
        <v>100</v>
      </c>
      <c r="AG593" s="39">
        <v>5</v>
      </c>
      <c r="AH593" s="39">
        <v>9</v>
      </c>
      <c r="AI593" s="25" t="s">
        <v>2589</v>
      </c>
      <c r="AJ593" s="39">
        <v>120</v>
      </c>
      <c r="AK593" s="39">
        <v>10</v>
      </c>
      <c r="AL593" s="39">
        <v>11</v>
      </c>
      <c r="AM593" s="25" t="s">
        <v>2590</v>
      </c>
      <c r="AN593" s="39">
        <v>150</v>
      </c>
      <c r="AO593" s="39">
        <v>10</v>
      </c>
      <c r="AP593" s="39">
        <v>13</v>
      </c>
      <c r="AQ593" s="25" t="s">
        <v>1570</v>
      </c>
      <c r="AR593" s="39"/>
    </row>
    <row r="594" spans="1:44" x14ac:dyDescent="0.2">
      <c r="A594" s="25" t="s">
        <v>101</v>
      </c>
      <c r="B594" s="25" t="s">
        <v>3395</v>
      </c>
      <c r="T594" s="25" t="s">
        <v>1596</v>
      </c>
      <c r="U594" s="25">
        <v>10027</v>
      </c>
      <c r="V594" s="25" t="s">
        <v>3061</v>
      </c>
      <c r="W594" s="38" t="s">
        <v>3062</v>
      </c>
      <c r="X594" s="25">
        <v>94</v>
      </c>
      <c r="Y594" s="25" t="s">
        <v>164</v>
      </c>
      <c r="Z594" s="25" t="s">
        <v>1451</v>
      </c>
      <c r="AA594" s="25" t="s">
        <v>3063</v>
      </c>
      <c r="AB594" s="39">
        <v>500</v>
      </c>
      <c r="AC594" s="39" t="s">
        <v>744</v>
      </c>
      <c r="AD594" s="39">
        <v>12</v>
      </c>
      <c r="AE594" s="25" t="s">
        <v>3064</v>
      </c>
      <c r="AF594" s="39">
        <v>800</v>
      </c>
      <c r="AG594" s="39" t="s">
        <v>744</v>
      </c>
      <c r="AH594" s="39">
        <v>15</v>
      </c>
      <c r="AI594" s="25" t="s">
        <v>3065</v>
      </c>
      <c r="AJ594" s="39">
        <v>1250</v>
      </c>
      <c r="AK594" s="39" t="s">
        <v>744</v>
      </c>
      <c r="AL594" s="39">
        <v>17</v>
      </c>
      <c r="AM594" s="25" t="s">
        <v>3066</v>
      </c>
      <c r="AN594" s="39">
        <v>2500</v>
      </c>
      <c r="AO594" s="39" t="s">
        <v>744</v>
      </c>
      <c r="AP594" s="39">
        <v>19</v>
      </c>
      <c r="AQ594" s="25" t="s">
        <v>1603</v>
      </c>
      <c r="AR594" s="39"/>
    </row>
    <row r="595" spans="1:44" x14ac:dyDescent="0.2">
      <c r="A595" s="25" t="s">
        <v>101</v>
      </c>
      <c r="B595" s="25" t="s">
        <v>3441</v>
      </c>
      <c r="T595" s="25" t="s">
        <v>39</v>
      </c>
      <c r="U595" s="25">
        <v>5002</v>
      </c>
      <c r="V595" s="25" t="s">
        <v>545</v>
      </c>
      <c r="W595" s="38" t="s">
        <v>2182</v>
      </c>
      <c r="X595" s="25">
        <v>12</v>
      </c>
      <c r="Y595" s="25" t="s">
        <v>164</v>
      </c>
      <c r="Z595" s="25" t="s">
        <v>1557</v>
      </c>
      <c r="AA595" s="25" t="s">
        <v>2178</v>
      </c>
      <c r="AB595" s="39">
        <v>50</v>
      </c>
      <c r="AC595" s="39">
        <v>5</v>
      </c>
      <c r="AD595" s="39">
        <v>5</v>
      </c>
      <c r="AE595" s="25" t="s">
        <v>2179</v>
      </c>
      <c r="AF595" s="39">
        <v>150</v>
      </c>
      <c r="AG595" s="39">
        <v>15</v>
      </c>
      <c r="AH595" s="39">
        <v>9</v>
      </c>
      <c r="AI595" s="25" t="s">
        <v>2180</v>
      </c>
      <c r="AJ595" s="39">
        <v>200</v>
      </c>
      <c r="AK595" s="39">
        <v>20</v>
      </c>
      <c r="AL595" s="39">
        <v>12</v>
      </c>
      <c r="AM595" s="25" t="s">
        <v>2181</v>
      </c>
      <c r="AN595" s="39">
        <v>240</v>
      </c>
      <c r="AO595" s="39">
        <v>25</v>
      </c>
      <c r="AP595" s="39">
        <v>14</v>
      </c>
      <c r="AR595" s="39"/>
    </row>
    <row r="596" spans="1:44" x14ac:dyDescent="0.2">
      <c r="A596" s="25" t="s">
        <v>101</v>
      </c>
      <c r="B596" s="25" t="s">
        <v>3485</v>
      </c>
      <c r="T596" s="25" t="s">
        <v>1611</v>
      </c>
      <c r="U596" s="25">
        <v>1029</v>
      </c>
      <c r="V596" s="25" t="s">
        <v>1612</v>
      </c>
      <c r="W596" s="38" t="s">
        <v>1613</v>
      </c>
      <c r="X596" s="25">
        <v>4</v>
      </c>
      <c r="Y596" s="25" t="s">
        <v>1582</v>
      </c>
      <c r="Z596" s="25" t="s">
        <v>1451</v>
      </c>
      <c r="AA596" s="25" t="s">
        <v>1614</v>
      </c>
      <c r="AB596" s="39">
        <v>30</v>
      </c>
      <c r="AC596" s="39" t="s">
        <v>744</v>
      </c>
      <c r="AD596" s="39">
        <v>5</v>
      </c>
      <c r="AE596" s="25" t="s">
        <v>1615</v>
      </c>
      <c r="AF596" s="39">
        <v>60</v>
      </c>
      <c r="AG596" s="39" t="s">
        <v>744</v>
      </c>
      <c r="AH596" s="39">
        <v>8</v>
      </c>
      <c r="AI596" s="25" t="s">
        <v>1616</v>
      </c>
      <c r="AJ596" s="39">
        <v>90</v>
      </c>
      <c r="AK596" s="39" t="s">
        <v>744</v>
      </c>
      <c r="AL596" s="39">
        <v>11</v>
      </c>
      <c r="AM596" s="25" t="s">
        <v>1617</v>
      </c>
      <c r="AN596" s="39">
        <v>120</v>
      </c>
      <c r="AO596" s="39" t="s">
        <v>744</v>
      </c>
      <c r="AP596" s="39">
        <v>14</v>
      </c>
      <c r="AQ596" s="25" t="s">
        <v>1618</v>
      </c>
      <c r="AR596" s="39"/>
    </row>
    <row r="597" spans="1:44" x14ac:dyDescent="0.2">
      <c r="A597" s="25" t="s">
        <v>101</v>
      </c>
      <c r="B597" s="25" t="s">
        <v>3521</v>
      </c>
      <c r="T597" s="25" t="s">
        <v>264</v>
      </c>
      <c r="U597" s="25">
        <v>2028</v>
      </c>
      <c r="V597" s="25" t="s">
        <v>1808</v>
      </c>
      <c r="W597" s="38" t="s">
        <v>1809</v>
      </c>
      <c r="X597" s="25">
        <v>14</v>
      </c>
      <c r="Y597" s="25" t="s">
        <v>164</v>
      </c>
      <c r="Z597" s="25" t="s">
        <v>1451</v>
      </c>
      <c r="AA597" s="25" t="s">
        <v>1810</v>
      </c>
      <c r="AB597" s="39">
        <v>40</v>
      </c>
      <c r="AC597" s="39" t="s">
        <v>744</v>
      </c>
      <c r="AD597" s="39">
        <v>6</v>
      </c>
      <c r="AE597" s="25" t="s">
        <v>1477</v>
      </c>
      <c r="AF597" s="39">
        <v>70</v>
      </c>
      <c r="AG597" s="39" t="s">
        <v>744</v>
      </c>
      <c r="AH597" s="39">
        <v>9</v>
      </c>
      <c r="AI597" s="25" t="s">
        <v>1478</v>
      </c>
      <c r="AJ597" s="39">
        <v>100</v>
      </c>
      <c r="AK597" s="39" t="s">
        <v>744</v>
      </c>
      <c r="AL597" s="39">
        <v>12</v>
      </c>
      <c r="AM597" s="25" t="s">
        <v>1479</v>
      </c>
      <c r="AN597" s="39">
        <v>130</v>
      </c>
      <c r="AO597" s="39" t="s">
        <v>744</v>
      </c>
      <c r="AP597" s="39">
        <v>15</v>
      </c>
      <c r="AQ597" s="25" t="s">
        <v>1610</v>
      </c>
      <c r="AR597" s="39"/>
    </row>
    <row r="598" spans="1:44" x14ac:dyDescent="0.2">
      <c r="A598" s="25" t="s">
        <v>101</v>
      </c>
      <c r="B598" s="25" t="s">
        <v>3561</v>
      </c>
      <c r="T598" s="25" t="s">
        <v>1646</v>
      </c>
      <c r="U598" s="25">
        <v>3515</v>
      </c>
      <c r="V598" s="25" t="s">
        <v>1997</v>
      </c>
      <c r="W598" s="38" t="s">
        <v>1998</v>
      </c>
      <c r="X598" s="25" t="s">
        <v>1649</v>
      </c>
      <c r="Y598" s="25" t="s">
        <v>1582</v>
      </c>
      <c r="Z598" s="25" t="s">
        <v>1451</v>
      </c>
      <c r="AA598" s="25" t="s">
        <v>1999</v>
      </c>
      <c r="AB598" s="39">
        <v>80</v>
      </c>
      <c r="AC598" s="39">
        <v>5</v>
      </c>
      <c r="AD598" s="39">
        <v>8</v>
      </c>
      <c r="AE598" s="25" t="s">
        <v>1823</v>
      </c>
      <c r="AF598" s="39">
        <v>100</v>
      </c>
      <c r="AG598" s="39">
        <v>5</v>
      </c>
      <c r="AH598" s="39">
        <v>10</v>
      </c>
      <c r="AI598" s="25" t="s">
        <v>1824</v>
      </c>
      <c r="AJ598" s="39">
        <v>120</v>
      </c>
      <c r="AK598" s="39">
        <v>10</v>
      </c>
      <c r="AL598" s="39">
        <v>13</v>
      </c>
      <c r="AM598" s="25" t="s">
        <v>2000</v>
      </c>
      <c r="AN598" s="39">
        <v>140</v>
      </c>
      <c r="AO598" s="39">
        <v>10</v>
      </c>
      <c r="AP598" s="39">
        <v>15</v>
      </c>
      <c r="AQ598" s="25" t="s">
        <v>49</v>
      </c>
      <c r="AR598" s="39"/>
    </row>
    <row r="599" spans="1:44" x14ac:dyDescent="0.2">
      <c r="A599" s="25" t="s">
        <v>101</v>
      </c>
      <c r="B599" s="25" t="s">
        <v>3607</v>
      </c>
      <c r="T599" s="25" t="s">
        <v>101</v>
      </c>
      <c r="U599" s="25">
        <v>36011</v>
      </c>
      <c r="V599" s="25" t="s">
        <v>4179</v>
      </c>
      <c r="W599" s="38" t="s">
        <v>4180</v>
      </c>
      <c r="X599" s="25">
        <v>90</v>
      </c>
      <c r="Y599" s="25" t="s">
        <v>164</v>
      </c>
      <c r="Z599" s="25" t="s">
        <v>1451</v>
      </c>
      <c r="AA599" s="25" t="s">
        <v>1700</v>
      </c>
      <c r="AB599" s="39">
        <v>200</v>
      </c>
      <c r="AC599" s="39" t="s">
        <v>244</v>
      </c>
      <c r="AD599" s="39">
        <v>10</v>
      </c>
      <c r="AE599" s="25" t="s">
        <v>1981</v>
      </c>
      <c r="AF599" s="39">
        <v>300</v>
      </c>
      <c r="AG599" s="39" t="s">
        <v>244</v>
      </c>
      <c r="AH599" s="39">
        <v>13</v>
      </c>
      <c r="AI599" s="25" t="s">
        <v>4181</v>
      </c>
      <c r="AJ599" s="39">
        <v>400</v>
      </c>
      <c r="AK599" s="39" t="s">
        <v>244</v>
      </c>
      <c r="AL599" s="39">
        <v>16</v>
      </c>
      <c r="AM599" s="25" t="s">
        <v>4182</v>
      </c>
      <c r="AN599" s="39">
        <v>500</v>
      </c>
      <c r="AO599" s="39" t="s">
        <v>244</v>
      </c>
      <c r="AP599" s="39">
        <v>18</v>
      </c>
      <c r="AR599" s="39"/>
    </row>
    <row r="600" spans="1:44" x14ac:dyDescent="0.2">
      <c r="A600" s="25" t="s">
        <v>101</v>
      </c>
      <c r="B600" s="25" t="s">
        <v>3654</v>
      </c>
      <c r="T600" s="25" t="s">
        <v>1588</v>
      </c>
      <c r="U600" s="25">
        <v>6026</v>
      </c>
      <c r="V600" s="25" t="s">
        <v>2438</v>
      </c>
      <c r="W600" s="38" t="s">
        <v>6462</v>
      </c>
      <c r="X600" s="25">
        <v>54</v>
      </c>
      <c r="Y600" s="25" t="s">
        <v>1582</v>
      </c>
      <c r="Z600" s="25" t="s">
        <v>1451</v>
      </c>
      <c r="AA600" s="25" t="s">
        <v>1583</v>
      </c>
      <c r="AB600" s="39">
        <v>100</v>
      </c>
      <c r="AC600" s="39">
        <v>10</v>
      </c>
      <c r="AD600" s="39">
        <v>7</v>
      </c>
      <c r="AE600" s="25" t="s">
        <v>1584</v>
      </c>
      <c r="AF600" s="39">
        <v>140</v>
      </c>
      <c r="AG600" s="39">
        <v>20</v>
      </c>
      <c r="AH600" s="39">
        <v>9</v>
      </c>
      <c r="AI600" s="25" t="s">
        <v>1585</v>
      </c>
      <c r="AJ600" s="39">
        <v>180</v>
      </c>
      <c r="AK600" s="39">
        <v>20</v>
      </c>
      <c r="AL600" s="39">
        <v>11</v>
      </c>
      <c r="AM600" s="25" t="s">
        <v>1957</v>
      </c>
      <c r="AN600" s="39">
        <v>240</v>
      </c>
      <c r="AO600" s="39">
        <v>25</v>
      </c>
      <c r="AP600" s="39">
        <v>13</v>
      </c>
      <c r="AQ600" s="25" t="s">
        <v>1595</v>
      </c>
      <c r="AR600" s="39" t="s">
        <v>6456</v>
      </c>
    </row>
    <row r="601" spans="1:44" x14ac:dyDescent="0.2">
      <c r="A601" s="25" t="s">
        <v>101</v>
      </c>
      <c r="B601" s="25" t="s">
        <v>3692</v>
      </c>
      <c r="T601" s="25" t="s">
        <v>1588</v>
      </c>
      <c r="U601" s="25">
        <v>2026</v>
      </c>
      <c r="V601" s="25" t="s">
        <v>1797</v>
      </c>
      <c r="W601" s="38" t="s">
        <v>6554</v>
      </c>
      <c r="X601" s="25">
        <v>14</v>
      </c>
      <c r="Y601" s="25" t="s">
        <v>164</v>
      </c>
      <c r="Z601" s="25" t="s">
        <v>1451</v>
      </c>
      <c r="AA601" s="25" t="s">
        <v>1798</v>
      </c>
      <c r="AB601" s="39">
        <v>60</v>
      </c>
      <c r="AC601" s="39">
        <v>5</v>
      </c>
      <c r="AD601" s="39">
        <v>5</v>
      </c>
      <c r="AE601" s="25" t="s">
        <v>1799</v>
      </c>
      <c r="AF601" s="39">
        <v>80</v>
      </c>
      <c r="AG601" s="39">
        <v>5</v>
      </c>
      <c r="AH601" s="39">
        <v>8</v>
      </c>
      <c r="AI601" s="25" t="s">
        <v>1800</v>
      </c>
      <c r="AJ601" s="39">
        <v>100</v>
      </c>
      <c r="AK601" s="39">
        <v>5</v>
      </c>
      <c r="AL601" s="39">
        <v>10</v>
      </c>
      <c r="AM601" s="25" t="s">
        <v>1801</v>
      </c>
      <c r="AN601" s="39">
        <v>120</v>
      </c>
      <c r="AO601" s="39">
        <v>10</v>
      </c>
      <c r="AP601" s="39">
        <v>12</v>
      </c>
      <c r="AQ601" s="25" t="s">
        <v>1595</v>
      </c>
      <c r="AR601" s="39" t="s">
        <v>6456</v>
      </c>
    </row>
    <row r="602" spans="1:44" x14ac:dyDescent="0.2">
      <c r="A602" s="25" t="s">
        <v>101</v>
      </c>
      <c r="B602" s="25" t="s">
        <v>3737</v>
      </c>
      <c r="T602" s="25" t="s">
        <v>101</v>
      </c>
      <c r="U602" s="25">
        <v>32011</v>
      </c>
      <c r="V602" s="25" t="s">
        <v>4100</v>
      </c>
      <c r="W602" s="38" t="s">
        <v>4101</v>
      </c>
      <c r="X602" s="25">
        <v>80</v>
      </c>
      <c r="Y602" s="25" t="s">
        <v>164</v>
      </c>
      <c r="Z602" s="25" t="s">
        <v>1451</v>
      </c>
      <c r="AA602" s="25" t="s">
        <v>4102</v>
      </c>
      <c r="AB602" s="39">
        <v>250</v>
      </c>
      <c r="AC602" s="39" t="s">
        <v>244</v>
      </c>
      <c r="AD602" s="39">
        <v>10</v>
      </c>
      <c r="AE602" s="25" t="s">
        <v>4103</v>
      </c>
      <c r="AF602" s="39">
        <v>500</v>
      </c>
      <c r="AG602" s="39" t="s">
        <v>244</v>
      </c>
      <c r="AH602" s="39">
        <v>13</v>
      </c>
      <c r="AI602" s="25" t="s">
        <v>4104</v>
      </c>
      <c r="AJ602" s="39">
        <v>1000</v>
      </c>
      <c r="AK602" s="39" t="s">
        <v>244</v>
      </c>
      <c r="AL602" s="39">
        <v>15</v>
      </c>
      <c r="AM602" s="25" t="s">
        <v>4105</v>
      </c>
      <c r="AN602" s="39">
        <v>2500</v>
      </c>
      <c r="AO602" s="39" t="s">
        <v>244</v>
      </c>
      <c r="AP602" s="39">
        <v>17</v>
      </c>
      <c r="AR602" s="39"/>
    </row>
    <row r="603" spans="1:44" x14ac:dyDescent="0.2">
      <c r="A603" s="25" t="s">
        <v>101</v>
      </c>
      <c r="B603" s="25" t="s">
        <v>3776</v>
      </c>
      <c r="T603" s="25" t="s">
        <v>264</v>
      </c>
      <c r="U603" s="25">
        <v>3028</v>
      </c>
      <c r="V603" s="25" t="s">
        <v>1970</v>
      </c>
      <c r="W603" s="38" t="s">
        <v>1971</v>
      </c>
      <c r="X603" s="25">
        <v>24</v>
      </c>
      <c r="Y603" s="25" t="s">
        <v>1498</v>
      </c>
      <c r="Z603" s="25" t="s">
        <v>1451</v>
      </c>
      <c r="AA603" s="25" t="s">
        <v>1689</v>
      </c>
      <c r="AB603" s="39">
        <v>60</v>
      </c>
      <c r="AC603" s="39">
        <v>5</v>
      </c>
      <c r="AD603" s="39">
        <v>6</v>
      </c>
      <c r="AE603" s="25" t="s">
        <v>1690</v>
      </c>
      <c r="AF603" s="39">
        <v>100</v>
      </c>
      <c r="AG603" s="39">
        <v>5</v>
      </c>
      <c r="AH603" s="39">
        <v>9</v>
      </c>
      <c r="AI603" s="25" t="s">
        <v>1691</v>
      </c>
      <c r="AJ603" s="39">
        <v>160</v>
      </c>
      <c r="AK603" s="39">
        <v>10</v>
      </c>
      <c r="AL603" s="39">
        <v>12</v>
      </c>
      <c r="AM603" s="25" t="s">
        <v>1697</v>
      </c>
      <c r="AN603" s="39">
        <v>200</v>
      </c>
      <c r="AO603" s="39">
        <v>10</v>
      </c>
      <c r="AP603" s="39">
        <v>15</v>
      </c>
      <c r="AQ603" s="25" t="s">
        <v>1610</v>
      </c>
      <c r="AR603" s="39"/>
    </row>
    <row r="604" spans="1:44" x14ac:dyDescent="0.2">
      <c r="A604" s="25" t="s">
        <v>101</v>
      </c>
      <c r="B604" s="25" t="s">
        <v>3817</v>
      </c>
      <c r="T604" s="25" t="s">
        <v>60</v>
      </c>
      <c r="U604" s="25">
        <v>12008</v>
      </c>
      <c r="V604" s="25" t="s">
        <v>3232</v>
      </c>
      <c r="W604" s="38" t="s">
        <v>3233</v>
      </c>
      <c r="X604" s="25">
        <v>40</v>
      </c>
      <c r="Y604" s="25" t="s">
        <v>116</v>
      </c>
      <c r="Z604" s="25" t="s">
        <v>1451</v>
      </c>
      <c r="AA604" s="25" t="s">
        <v>3234</v>
      </c>
      <c r="AB604" s="39">
        <v>60</v>
      </c>
      <c r="AC604" s="39" t="s">
        <v>244</v>
      </c>
      <c r="AD604" s="39">
        <v>6</v>
      </c>
      <c r="AE604" s="25" t="s">
        <v>3235</v>
      </c>
      <c r="AF604" s="39">
        <v>150</v>
      </c>
      <c r="AG604" s="39" t="s">
        <v>244</v>
      </c>
      <c r="AH604" s="39">
        <v>9</v>
      </c>
      <c r="AI604" s="25" t="s">
        <v>2121</v>
      </c>
      <c r="AJ604" s="39">
        <v>240</v>
      </c>
      <c r="AK604" s="39" t="s">
        <v>244</v>
      </c>
      <c r="AL604" s="39">
        <v>12</v>
      </c>
      <c r="AM604" s="25" t="s">
        <v>1484</v>
      </c>
      <c r="AN604" s="39">
        <v>350</v>
      </c>
      <c r="AO604" s="39" t="s">
        <v>244</v>
      </c>
      <c r="AP604" s="39">
        <v>15</v>
      </c>
      <c r="AR604" s="39"/>
    </row>
    <row r="605" spans="1:44" x14ac:dyDescent="0.2">
      <c r="A605" s="25" t="s">
        <v>101</v>
      </c>
      <c r="B605" s="25" t="s">
        <v>3845</v>
      </c>
      <c r="T605" s="25" t="s">
        <v>1531</v>
      </c>
      <c r="U605" s="25">
        <v>6018</v>
      </c>
      <c r="V605" s="25" t="s">
        <v>2403</v>
      </c>
      <c r="W605" s="38" t="s">
        <v>2404</v>
      </c>
      <c r="X605" s="25">
        <v>54</v>
      </c>
      <c r="Y605" s="25" t="s">
        <v>2084</v>
      </c>
      <c r="Z605" s="25" t="s">
        <v>1451</v>
      </c>
      <c r="AA605" s="25" t="s">
        <v>2405</v>
      </c>
      <c r="AB605" s="39">
        <v>240</v>
      </c>
      <c r="AC605" s="39">
        <v>15</v>
      </c>
      <c r="AD605" s="39">
        <v>6</v>
      </c>
      <c r="AE605" s="25" t="s">
        <v>2406</v>
      </c>
      <c r="AF605" s="39">
        <v>360</v>
      </c>
      <c r="AG605" s="39">
        <v>20</v>
      </c>
      <c r="AH605" s="39">
        <v>9</v>
      </c>
      <c r="AI605" s="25" t="s">
        <v>2407</v>
      </c>
      <c r="AJ605" s="39">
        <v>480</v>
      </c>
      <c r="AK605" s="39">
        <v>25</v>
      </c>
      <c r="AL605" s="39">
        <v>12</v>
      </c>
      <c r="AM605" s="25" t="s">
        <v>2408</v>
      </c>
      <c r="AN605" s="39">
        <v>600</v>
      </c>
      <c r="AO605" s="39">
        <v>30</v>
      </c>
      <c r="AP605" s="39">
        <v>15</v>
      </c>
      <c r="AQ605" s="25" t="s">
        <v>1534</v>
      </c>
      <c r="AR605" s="39"/>
    </row>
    <row r="606" spans="1:44" x14ac:dyDescent="0.2">
      <c r="A606" s="25" t="s">
        <v>101</v>
      </c>
      <c r="B606" s="25" t="s">
        <v>3891</v>
      </c>
      <c r="T606" s="25" t="s">
        <v>35</v>
      </c>
      <c r="U606" s="25">
        <v>13007</v>
      </c>
      <c r="V606" s="25" t="s">
        <v>3321</v>
      </c>
      <c r="W606" s="38" t="s">
        <v>3322</v>
      </c>
      <c r="X606" s="25">
        <v>42</v>
      </c>
      <c r="Y606" s="25" t="s">
        <v>164</v>
      </c>
      <c r="Z606" s="25" t="s">
        <v>1451</v>
      </c>
      <c r="AA606" s="25" t="s">
        <v>3323</v>
      </c>
      <c r="AB606" s="39">
        <v>120</v>
      </c>
      <c r="AC606" s="39" t="s">
        <v>244</v>
      </c>
      <c r="AD606" s="39">
        <v>6</v>
      </c>
      <c r="AE606" s="25" t="s">
        <v>3324</v>
      </c>
      <c r="AF606" s="39">
        <v>180</v>
      </c>
      <c r="AG606" s="39" t="s">
        <v>244</v>
      </c>
      <c r="AH606" s="39">
        <v>9</v>
      </c>
      <c r="AI606" s="25" t="s">
        <v>3325</v>
      </c>
      <c r="AJ606" s="39">
        <v>240</v>
      </c>
      <c r="AK606" s="39" t="s">
        <v>244</v>
      </c>
      <c r="AL606" s="39">
        <v>12</v>
      </c>
      <c r="AM606" s="25" t="s">
        <v>3326</v>
      </c>
      <c r="AN606" s="39">
        <v>300</v>
      </c>
      <c r="AO606" s="39" t="s">
        <v>244</v>
      </c>
      <c r="AP606" s="39">
        <v>15</v>
      </c>
      <c r="AR606" s="39"/>
    </row>
    <row r="607" spans="1:44" x14ac:dyDescent="0.2">
      <c r="A607" s="25" t="s">
        <v>101</v>
      </c>
      <c r="B607" s="25" t="s">
        <v>3933</v>
      </c>
      <c r="T607" s="25" t="s">
        <v>60</v>
      </c>
      <c r="U607" s="25">
        <v>26008</v>
      </c>
      <c r="V607" s="25" t="s">
        <v>3875</v>
      </c>
      <c r="W607" s="38" t="s">
        <v>6592</v>
      </c>
      <c r="X607" s="25">
        <v>86</v>
      </c>
      <c r="Y607" s="25" t="s">
        <v>164</v>
      </c>
      <c r="Z607" s="25" t="s">
        <v>1451</v>
      </c>
      <c r="AA607" s="25" t="s">
        <v>3876</v>
      </c>
      <c r="AB607" s="39">
        <v>160</v>
      </c>
      <c r="AC607" s="39">
        <v>35</v>
      </c>
      <c r="AD607" s="39">
        <v>10</v>
      </c>
      <c r="AE607" s="25" t="s">
        <v>3877</v>
      </c>
      <c r="AF607" s="39">
        <v>280</v>
      </c>
      <c r="AG607" s="39">
        <v>40</v>
      </c>
      <c r="AH607" s="39">
        <v>12</v>
      </c>
      <c r="AI607" s="25" t="s">
        <v>3878</v>
      </c>
      <c r="AJ607" s="39">
        <v>400</v>
      </c>
      <c r="AK607" s="39">
        <v>50</v>
      </c>
      <c r="AL607" s="39">
        <v>14</v>
      </c>
      <c r="AM607" s="25" t="s">
        <v>3879</v>
      </c>
      <c r="AN607" s="39">
        <v>550</v>
      </c>
      <c r="AO607" s="39">
        <v>60</v>
      </c>
      <c r="AP607" s="39">
        <v>16</v>
      </c>
      <c r="AR607" s="39" t="s">
        <v>6456</v>
      </c>
    </row>
    <row r="608" spans="1:44" x14ac:dyDescent="0.2">
      <c r="A608" s="25" t="s">
        <v>101</v>
      </c>
      <c r="B608" s="25" t="s">
        <v>3984</v>
      </c>
      <c r="T608" s="25" t="s">
        <v>60</v>
      </c>
      <c r="U608" s="25">
        <v>20008</v>
      </c>
      <c r="V608" s="25" t="s">
        <v>3641</v>
      </c>
      <c r="W608" s="38" t="s">
        <v>3642</v>
      </c>
      <c r="X608" s="25">
        <v>66</v>
      </c>
      <c r="Y608" s="25" t="s">
        <v>164</v>
      </c>
      <c r="Z608" s="25" t="s">
        <v>1451</v>
      </c>
      <c r="AA608" s="25" t="s">
        <v>3643</v>
      </c>
      <c r="AB608" s="39">
        <v>180</v>
      </c>
      <c r="AC608" s="39" t="s">
        <v>244</v>
      </c>
      <c r="AD608" s="39">
        <v>8</v>
      </c>
      <c r="AE608" s="25" t="s">
        <v>3644</v>
      </c>
      <c r="AF608" s="39">
        <v>300</v>
      </c>
      <c r="AG608" s="39" t="s">
        <v>244</v>
      </c>
      <c r="AH608" s="39">
        <v>11</v>
      </c>
      <c r="AI608" s="25" t="s">
        <v>3645</v>
      </c>
      <c r="AJ608" s="39">
        <v>450</v>
      </c>
      <c r="AK608" s="39" t="s">
        <v>244</v>
      </c>
      <c r="AL608" s="39">
        <v>13</v>
      </c>
      <c r="AM608" s="25" t="s">
        <v>3646</v>
      </c>
      <c r="AN608" s="39">
        <v>600</v>
      </c>
      <c r="AO608" s="39" t="s">
        <v>244</v>
      </c>
      <c r="AP608" s="39">
        <v>16</v>
      </c>
      <c r="AR608" s="39"/>
    </row>
    <row r="609" spans="1:44" x14ac:dyDescent="0.2">
      <c r="A609" s="25" t="s">
        <v>101</v>
      </c>
      <c r="B609" s="25" t="s">
        <v>4013</v>
      </c>
      <c r="T609" s="25" t="s">
        <v>1671</v>
      </c>
      <c r="U609" s="25">
        <v>12815</v>
      </c>
      <c r="V609" s="25" t="s">
        <v>3284</v>
      </c>
      <c r="W609" s="38" t="s">
        <v>3285</v>
      </c>
      <c r="X609" s="25" t="s">
        <v>1674</v>
      </c>
      <c r="Y609" s="25" t="s">
        <v>164</v>
      </c>
      <c r="Z609" s="25" t="s">
        <v>1451</v>
      </c>
      <c r="AA609" s="25" t="s">
        <v>3286</v>
      </c>
      <c r="AB609" s="39">
        <v>300</v>
      </c>
      <c r="AC609" s="39" t="s">
        <v>244</v>
      </c>
      <c r="AD609" s="39">
        <v>10</v>
      </c>
      <c r="AE609" s="25" t="s">
        <v>3287</v>
      </c>
      <c r="AF609" s="39">
        <v>480</v>
      </c>
      <c r="AG609" s="39" t="s">
        <v>244</v>
      </c>
      <c r="AH609" s="39">
        <v>12</v>
      </c>
      <c r="AI609" s="25" t="s">
        <v>3288</v>
      </c>
      <c r="AJ609" s="39">
        <v>560</v>
      </c>
      <c r="AK609" s="39" t="s">
        <v>244</v>
      </c>
      <c r="AL609" s="39">
        <v>14</v>
      </c>
      <c r="AM609" s="25" t="s">
        <v>3289</v>
      </c>
      <c r="AN609" s="39">
        <v>640</v>
      </c>
      <c r="AO609" s="39" t="s">
        <v>244</v>
      </c>
      <c r="AP609" s="39">
        <v>16</v>
      </c>
      <c r="AQ609" s="25" t="s">
        <v>35</v>
      </c>
      <c r="AR609" s="39"/>
    </row>
    <row r="610" spans="1:44" x14ac:dyDescent="0.2">
      <c r="A610" s="25" t="s">
        <v>101</v>
      </c>
      <c r="B610" s="25" t="s">
        <v>4060</v>
      </c>
      <c r="T610" s="25" t="s">
        <v>1543</v>
      </c>
      <c r="U610" s="25">
        <v>1020</v>
      </c>
      <c r="V610" s="25" t="s">
        <v>1544</v>
      </c>
      <c r="W610" s="38" t="s">
        <v>1545</v>
      </c>
      <c r="X610" s="25">
        <v>4</v>
      </c>
      <c r="Y610" s="25" t="s">
        <v>164</v>
      </c>
      <c r="Z610" s="25" t="s">
        <v>1451</v>
      </c>
      <c r="AA610" s="25" t="s">
        <v>1546</v>
      </c>
      <c r="AB610" s="39">
        <v>30</v>
      </c>
      <c r="AC610" s="39" t="s">
        <v>744</v>
      </c>
      <c r="AD610" s="39">
        <v>5</v>
      </c>
      <c r="AE610" s="25">
        <v>60</v>
      </c>
      <c r="AF610" s="39">
        <v>50</v>
      </c>
      <c r="AG610" s="39" t="s">
        <v>744</v>
      </c>
      <c r="AH610" s="39">
        <v>8</v>
      </c>
      <c r="AI610" s="25">
        <v>80</v>
      </c>
      <c r="AJ610" s="39">
        <v>70</v>
      </c>
      <c r="AK610" s="39" t="s">
        <v>744</v>
      </c>
      <c r="AL610" s="39">
        <v>10</v>
      </c>
      <c r="AM610" s="25">
        <v>100</v>
      </c>
      <c r="AN610" s="39">
        <v>100</v>
      </c>
      <c r="AO610" s="39" t="s">
        <v>744</v>
      </c>
      <c r="AP610" s="39">
        <v>12</v>
      </c>
      <c r="AQ610" s="25" t="s">
        <v>1547</v>
      </c>
      <c r="AR610" s="39"/>
    </row>
    <row r="611" spans="1:44" x14ac:dyDescent="0.2">
      <c r="A611" s="25" t="s">
        <v>101</v>
      </c>
      <c r="B611" s="25" t="s">
        <v>4079</v>
      </c>
      <c r="T611" s="25" t="s">
        <v>35</v>
      </c>
      <c r="U611" s="25">
        <v>23007</v>
      </c>
      <c r="V611" s="25" t="s">
        <v>3762</v>
      </c>
      <c r="W611" s="38" t="s">
        <v>3763</v>
      </c>
      <c r="X611" s="25">
        <v>76</v>
      </c>
      <c r="Y611" s="25" t="s">
        <v>164</v>
      </c>
      <c r="Z611" s="25" t="s">
        <v>1451</v>
      </c>
      <c r="AA611" s="25" t="s">
        <v>1478</v>
      </c>
      <c r="AB611" s="39">
        <v>150</v>
      </c>
      <c r="AC611" s="39">
        <v>15</v>
      </c>
      <c r="AD611" s="39">
        <v>8</v>
      </c>
      <c r="AE611" s="25" t="s">
        <v>3589</v>
      </c>
      <c r="AF611" s="39">
        <v>200</v>
      </c>
      <c r="AG611" s="39">
        <v>20</v>
      </c>
      <c r="AH611" s="39">
        <v>10</v>
      </c>
      <c r="AI611" s="25" t="s">
        <v>1761</v>
      </c>
      <c r="AJ611" s="39">
        <v>300</v>
      </c>
      <c r="AK611" s="39">
        <v>25</v>
      </c>
      <c r="AL611" s="39">
        <v>12</v>
      </c>
      <c r="AM611" s="25" t="s">
        <v>3726</v>
      </c>
      <c r="AN611" s="39">
        <v>400</v>
      </c>
      <c r="AO611" s="39">
        <v>30</v>
      </c>
      <c r="AP611" s="39">
        <v>14</v>
      </c>
      <c r="AR611" s="39"/>
    </row>
    <row r="612" spans="1:44" x14ac:dyDescent="0.2">
      <c r="A612" s="25" t="s">
        <v>101</v>
      </c>
      <c r="B612" s="25" t="s">
        <v>4100</v>
      </c>
      <c r="T612" s="25" t="s">
        <v>264</v>
      </c>
      <c r="U612" s="25">
        <v>7028</v>
      </c>
      <c r="V612" s="25" t="s">
        <v>2607</v>
      </c>
      <c r="W612" s="38" t="s">
        <v>2608</v>
      </c>
      <c r="X612" s="25">
        <v>64</v>
      </c>
      <c r="Y612" s="25" t="s">
        <v>1582</v>
      </c>
      <c r="Z612" s="25" t="s">
        <v>1451</v>
      </c>
      <c r="AA612" s="25" t="s">
        <v>2609</v>
      </c>
      <c r="AB612" s="39">
        <v>80</v>
      </c>
      <c r="AC612" s="39">
        <v>10</v>
      </c>
      <c r="AD612" s="39">
        <v>8</v>
      </c>
      <c r="AE612" s="25" t="s">
        <v>2610</v>
      </c>
      <c r="AF612" s="39">
        <v>140</v>
      </c>
      <c r="AG612" s="39">
        <v>15</v>
      </c>
      <c r="AH612" s="39">
        <v>10</v>
      </c>
      <c r="AI612" s="25" t="s">
        <v>2611</v>
      </c>
      <c r="AJ612" s="39">
        <v>200</v>
      </c>
      <c r="AK612" s="39">
        <v>20</v>
      </c>
      <c r="AL612" s="39">
        <v>12</v>
      </c>
      <c r="AM612" s="25" t="s">
        <v>2612</v>
      </c>
      <c r="AN612" s="39">
        <v>240</v>
      </c>
      <c r="AO612" s="39">
        <v>25</v>
      </c>
      <c r="AP612" s="39">
        <v>15</v>
      </c>
      <c r="AQ612" s="25" t="s">
        <v>1610</v>
      </c>
      <c r="AR612" s="39"/>
    </row>
    <row r="613" spans="1:44" x14ac:dyDescent="0.2">
      <c r="A613" s="25" t="s">
        <v>101</v>
      </c>
      <c r="B613" s="25" t="s">
        <v>4117</v>
      </c>
      <c r="T613" s="25" t="s">
        <v>101</v>
      </c>
      <c r="U613" s="25">
        <v>35011</v>
      </c>
      <c r="V613" s="25" t="s">
        <v>4155</v>
      </c>
      <c r="W613" s="38" t="s">
        <v>4156</v>
      </c>
      <c r="X613" s="25">
        <v>88</v>
      </c>
      <c r="Y613" s="25" t="s">
        <v>164</v>
      </c>
      <c r="Z613" s="25" t="s">
        <v>1451</v>
      </c>
      <c r="AA613" s="25" t="s">
        <v>1479</v>
      </c>
      <c r="AB613" s="39">
        <v>350</v>
      </c>
      <c r="AC613" s="39">
        <v>35</v>
      </c>
      <c r="AD613" s="39">
        <v>9</v>
      </c>
      <c r="AE613" s="25" t="s">
        <v>1761</v>
      </c>
      <c r="AF613" s="39">
        <v>600</v>
      </c>
      <c r="AG613" s="39">
        <v>60</v>
      </c>
      <c r="AH613" s="39">
        <v>12</v>
      </c>
      <c r="AI613" s="25" t="s">
        <v>1762</v>
      </c>
      <c r="AJ613" s="39">
        <v>900</v>
      </c>
      <c r="AK613" s="39">
        <v>90</v>
      </c>
      <c r="AL613" s="39">
        <v>14</v>
      </c>
      <c r="AM613" s="25" t="s">
        <v>1841</v>
      </c>
      <c r="AN613" s="39">
        <v>1500</v>
      </c>
      <c r="AO613" s="39">
        <v>150</v>
      </c>
      <c r="AP613" s="39">
        <v>16</v>
      </c>
      <c r="AR613" s="39"/>
    </row>
    <row r="614" spans="1:44" x14ac:dyDescent="0.2">
      <c r="A614" s="25" t="s">
        <v>101</v>
      </c>
      <c r="B614" s="25" t="s">
        <v>4135</v>
      </c>
      <c r="T614" s="25" t="s">
        <v>70</v>
      </c>
      <c r="U614" s="25">
        <v>23005</v>
      </c>
      <c r="V614" s="25" t="s">
        <v>3750</v>
      </c>
      <c r="W614" s="38" t="s">
        <v>3751</v>
      </c>
      <c r="X614" s="25">
        <v>76</v>
      </c>
      <c r="Y614" s="25" t="s">
        <v>1498</v>
      </c>
      <c r="Z614" s="25" t="s">
        <v>1451</v>
      </c>
      <c r="AA614" s="25" t="s">
        <v>3752</v>
      </c>
      <c r="AB614" s="39">
        <v>150</v>
      </c>
      <c r="AC614" s="39">
        <v>15</v>
      </c>
      <c r="AD614" s="39">
        <v>8</v>
      </c>
      <c r="AE614" s="25" t="s">
        <v>3753</v>
      </c>
      <c r="AF614" s="39">
        <v>200</v>
      </c>
      <c r="AG614" s="39">
        <v>20</v>
      </c>
      <c r="AH614" s="39">
        <v>10</v>
      </c>
      <c r="AI614" s="25" t="s">
        <v>3754</v>
      </c>
      <c r="AJ614" s="39">
        <v>240</v>
      </c>
      <c r="AK614" s="39">
        <v>25</v>
      </c>
      <c r="AL614" s="39">
        <v>12</v>
      </c>
      <c r="AM614" s="25" t="s">
        <v>3755</v>
      </c>
      <c r="AN614" s="39">
        <v>280</v>
      </c>
      <c r="AO614" s="39">
        <v>30</v>
      </c>
      <c r="AP614" s="39">
        <v>15</v>
      </c>
      <c r="AR614" s="39"/>
    </row>
    <row r="615" spans="1:44" x14ac:dyDescent="0.2">
      <c r="A615" s="25" t="s">
        <v>101</v>
      </c>
      <c r="B615" s="25" t="s">
        <v>4155</v>
      </c>
      <c r="T615" s="25" t="s">
        <v>65</v>
      </c>
      <c r="U615" s="25">
        <v>18006</v>
      </c>
      <c r="V615" s="25" t="s">
        <v>3543</v>
      </c>
      <c r="W615" s="38" t="s">
        <v>3544</v>
      </c>
      <c r="X615" s="25">
        <v>60</v>
      </c>
      <c r="Y615" s="25" t="s">
        <v>1498</v>
      </c>
      <c r="Z615" s="25" t="s">
        <v>1451</v>
      </c>
      <c r="AA615" s="25" t="s">
        <v>1484</v>
      </c>
      <c r="AB615" s="39">
        <v>120</v>
      </c>
      <c r="AC615" s="39">
        <v>10</v>
      </c>
      <c r="AD615" s="39">
        <v>7</v>
      </c>
      <c r="AE615" s="25" t="s">
        <v>1907</v>
      </c>
      <c r="AF615" s="39">
        <v>180</v>
      </c>
      <c r="AG615" s="39">
        <v>10</v>
      </c>
      <c r="AH615" s="39">
        <v>10</v>
      </c>
      <c r="AI615" s="25" t="s">
        <v>3545</v>
      </c>
      <c r="AJ615" s="39">
        <v>240</v>
      </c>
      <c r="AK615" s="39">
        <v>15</v>
      </c>
      <c r="AL615" s="39">
        <v>12</v>
      </c>
      <c r="AM615" s="25" t="s">
        <v>3546</v>
      </c>
      <c r="AN615" s="39">
        <v>320</v>
      </c>
      <c r="AO615" s="39">
        <v>15</v>
      </c>
      <c r="AP615" s="39">
        <v>15</v>
      </c>
      <c r="AR615" s="39"/>
    </row>
    <row r="616" spans="1:44" x14ac:dyDescent="0.2">
      <c r="A616" s="25" t="s">
        <v>101</v>
      </c>
      <c r="B616" s="25" t="s">
        <v>4179</v>
      </c>
      <c r="T616" s="25" t="s">
        <v>1531</v>
      </c>
      <c r="U616" s="25">
        <v>10018</v>
      </c>
      <c r="V616" s="25" t="s">
        <v>3024</v>
      </c>
      <c r="W616" s="38" t="s">
        <v>3025</v>
      </c>
      <c r="X616" s="25">
        <v>94</v>
      </c>
      <c r="Y616" s="25" t="s">
        <v>2084</v>
      </c>
      <c r="Z616" s="25" t="s">
        <v>1451</v>
      </c>
      <c r="AA616" s="25" t="s">
        <v>3026</v>
      </c>
      <c r="AB616" s="39">
        <v>500</v>
      </c>
      <c r="AC616" s="39" t="s">
        <v>744</v>
      </c>
      <c r="AD616" s="39">
        <v>12</v>
      </c>
      <c r="AE616" s="25">
        <v>140</v>
      </c>
      <c r="AF616" s="39">
        <v>900</v>
      </c>
      <c r="AG616" s="39" t="s">
        <v>744</v>
      </c>
      <c r="AH616" s="39">
        <v>15</v>
      </c>
      <c r="AI616" s="25">
        <v>160</v>
      </c>
      <c r="AJ616" s="39">
        <v>1400</v>
      </c>
      <c r="AK616" s="39" t="s">
        <v>744</v>
      </c>
      <c r="AL616" s="39">
        <v>17</v>
      </c>
      <c r="AM616" s="25">
        <v>180</v>
      </c>
      <c r="AN616" s="39">
        <v>2500</v>
      </c>
      <c r="AO616" s="39" t="s">
        <v>744</v>
      </c>
      <c r="AP616" s="39">
        <v>19</v>
      </c>
      <c r="AQ616" s="25" t="s">
        <v>1534</v>
      </c>
      <c r="AR616" s="39"/>
    </row>
    <row r="617" spans="1:44" x14ac:dyDescent="0.2">
      <c r="A617" s="25" t="s">
        <v>101</v>
      </c>
      <c r="B617" s="25" t="s">
        <v>4199</v>
      </c>
      <c r="T617" s="25" t="s">
        <v>35</v>
      </c>
      <c r="U617" s="25">
        <v>4007</v>
      </c>
      <c r="V617" s="25" t="s">
        <v>2041</v>
      </c>
      <c r="W617" s="38" t="s">
        <v>2042</v>
      </c>
      <c r="X617" s="25">
        <v>12</v>
      </c>
      <c r="Y617" s="25" t="s">
        <v>164</v>
      </c>
      <c r="Z617" s="25" t="s">
        <v>1557</v>
      </c>
      <c r="AA617" s="25" t="s">
        <v>2043</v>
      </c>
      <c r="AB617" s="39">
        <v>40</v>
      </c>
      <c r="AC617" s="39">
        <v>5</v>
      </c>
      <c r="AD617" s="39">
        <v>6</v>
      </c>
      <c r="AE617" s="25" t="s">
        <v>2044</v>
      </c>
      <c r="AF617" s="39">
        <v>80</v>
      </c>
      <c r="AG617" s="39">
        <v>5</v>
      </c>
      <c r="AH617" s="39">
        <v>8</v>
      </c>
      <c r="AI617" s="25" t="s">
        <v>2045</v>
      </c>
      <c r="AJ617" s="39">
        <v>120</v>
      </c>
      <c r="AK617" s="39">
        <v>5</v>
      </c>
      <c r="AL617" s="39">
        <v>11</v>
      </c>
      <c r="AM617" s="25" t="s">
        <v>2046</v>
      </c>
      <c r="AN617" s="39">
        <v>160</v>
      </c>
      <c r="AO617" s="39">
        <v>10</v>
      </c>
      <c r="AP617" s="39">
        <v>13</v>
      </c>
      <c r="AR617" s="39"/>
    </row>
    <row r="618" spans="1:44" x14ac:dyDescent="0.2">
      <c r="A618" s="25" t="s">
        <v>101</v>
      </c>
      <c r="B618" s="25" t="s">
        <v>4221</v>
      </c>
      <c r="T618" s="25" t="s">
        <v>1579</v>
      </c>
      <c r="U618" s="25">
        <v>5025</v>
      </c>
      <c r="V618" s="25" t="s">
        <v>2270</v>
      </c>
      <c r="W618" s="38" t="s">
        <v>2271</v>
      </c>
      <c r="X618" s="25">
        <v>44</v>
      </c>
      <c r="Y618" s="25" t="s">
        <v>164</v>
      </c>
      <c r="Z618" s="25" t="s">
        <v>1451</v>
      </c>
      <c r="AA618" s="25" t="s">
        <v>2272</v>
      </c>
      <c r="AB618" s="39">
        <v>40</v>
      </c>
      <c r="AC618" s="39" t="s">
        <v>744</v>
      </c>
      <c r="AD618" s="39">
        <v>6</v>
      </c>
      <c r="AE618" s="25" t="s">
        <v>2273</v>
      </c>
      <c r="AF618" s="39">
        <v>60</v>
      </c>
      <c r="AG618" s="39" t="s">
        <v>744</v>
      </c>
      <c r="AH618" s="39">
        <v>8</v>
      </c>
      <c r="AI618" s="25" t="s">
        <v>2274</v>
      </c>
      <c r="AJ618" s="39">
        <v>80</v>
      </c>
      <c r="AK618" s="39" t="s">
        <v>744</v>
      </c>
      <c r="AL618" s="39">
        <v>10</v>
      </c>
      <c r="AM618" s="25" t="s">
        <v>2275</v>
      </c>
      <c r="AN618" s="39">
        <v>100</v>
      </c>
      <c r="AO618" s="39" t="s">
        <v>744</v>
      </c>
      <c r="AP618" s="39">
        <v>12</v>
      </c>
      <c r="AQ618" s="25" t="s">
        <v>1587</v>
      </c>
      <c r="AR618" s="39"/>
    </row>
    <row r="619" spans="1:44" x14ac:dyDescent="0.2">
      <c r="A619" s="25" t="s">
        <v>101</v>
      </c>
      <c r="B619" s="25" t="s">
        <v>4240</v>
      </c>
      <c r="T619" s="25" t="s">
        <v>90</v>
      </c>
      <c r="U619" s="25">
        <v>23009</v>
      </c>
      <c r="V619" s="25" t="s">
        <v>3769</v>
      </c>
      <c r="W619" s="38" t="s">
        <v>3770</v>
      </c>
      <c r="X619" s="25">
        <v>76</v>
      </c>
      <c r="Y619" s="25" t="s">
        <v>1582</v>
      </c>
      <c r="Z619" s="25" t="s">
        <v>1451</v>
      </c>
      <c r="AA619" s="25" t="s">
        <v>3771</v>
      </c>
      <c r="AB619" s="39">
        <v>180</v>
      </c>
      <c r="AC619" s="39" t="s">
        <v>244</v>
      </c>
      <c r="AD619" s="39">
        <v>9</v>
      </c>
      <c r="AE619" s="25" t="s">
        <v>3772</v>
      </c>
      <c r="AF619" s="39">
        <v>240</v>
      </c>
      <c r="AG619" s="39" t="s">
        <v>244</v>
      </c>
      <c r="AH619" s="39">
        <v>12</v>
      </c>
      <c r="AI619" s="25" t="s">
        <v>3773</v>
      </c>
      <c r="AJ619" s="39">
        <v>300</v>
      </c>
      <c r="AK619" s="39" t="s">
        <v>244</v>
      </c>
      <c r="AL619" s="39">
        <v>15</v>
      </c>
      <c r="AM619" s="25" t="s">
        <v>3774</v>
      </c>
      <c r="AN619" s="39">
        <v>540</v>
      </c>
      <c r="AO619" s="39" t="s">
        <v>244</v>
      </c>
      <c r="AP619" s="39">
        <v>18</v>
      </c>
      <c r="AR619" s="39"/>
    </row>
    <row r="620" spans="1:44" x14ac:dyDescent="0.2">
      <c r="A620" s="25" t="s">
        <v>101</v>
      </c>
      <c r="B620" s="25" t="s">
        <v>4262</v>
      </c>
      <c r="T620" s="25" t="s">
        <v>39</v>
      </c>
      <c r="U620" s="25">
        <v>31002</v>
      </c>
      <c r="V620" s="25" t="s">
        <v>4068</v>
      </c>
      <c r="W620" s="38" t="s">
        <v>4069</v>
      </c>
      <c r="X620" s="25">
        <v>78</v>
      </c>
      <c r="Y620" s="25" t="s">
        <v>1705</v>
      </c>
      <c r="Z620" s="25" t="s">
        <v>1451</v>
      </c>
      <c r="AA620" s="25" t="s">
        <v>4064</v>
      </c>
      <c r="AB620" s="39">
        <v>250</v>
      </c>
      <c r="AC620" s="39" t="s">
        <v>244</v>
      </c>
      <c r="AD620" s="39">
        <v>10</v>
      </c>
      <c r="AE620" s="25" t="s">
        <v>4065</v>
      </c>
      <c r="AF620" s="39">
        <v>360</v>
      </c>
      <c r="AG620" s="39" t="s">
        <v>244</v>
      </c>
      <c r="AH620" s="39">
        <v>12</v>
      </c>
      <c r="AI620" s="25" t="s">
        <v>4066</v>
      </c>
      <c r="AJ620" s="39">
        <v>450</v>
      </c>
      <c r="AK620" s="39" t="s">
        <v>244</v>
      </c>
      <c r="AL620" s="39">
        <v>14</v>
      </c>
      <c r="AM620" s="25" t="s">
        <v>4067</v>
      </c>
      <c r="AN620" s="39">
        <v>600</v>
      </c>
      <c r="AO620" s="39" t="s">
        <v>244</v>
      </c>
      <c r="AP620" s="39">
        <v>16</v>
      </c>
      <c r="AR620" s="39"/>
    </row>
    <row r="621" spans="1:44" x14ac:dyDescent="0.2">
      <c r="A621" s="25" t="s">
        <v>132</v>
      </c>
      <c r="B621" s="25" t="s">
        <v>1548</v>
      </c>
      <c r="T621" s="25" t="s">
        <v>29</v>
      </c>
      <c r="U621" s="25">
        <v>31001</v>
      </c>
      <c r="V621" s="25" t="s">
        <v>4062</v>
      </c>
      <c r="W621" s="38" t="s">
        <v>4063</v>
      </c>
      <c r="X621" s="25">
        <v>78</v>
      </c>
      <c r="Y621" s="25" t="s">
        <v>1705</v>
      </c>
      <c r="Z621" s="25" t="s">
        <v>1451</v>
      </c>
      <c r="AA621" s="25" t="s">
        <v>4064</v>
      </c>
      <c r="AB621" s="39">
        <v>250</v>
      </c>
      <c r="AC621" s="39" t="s">
        <v>244</v>
      </c>
      <c r="AD621" s="39">
        <v>10</v>
      </c>
      <c r="AE621" s="25" t="s">
        <v>4065</v>
      </c>
      <c r="AF621" s="39">
        <v>360</v>
      </c>
      <c r="AG621" s="39" t="s">
        <v>244</v>
      </c>
      <c r="AH621" s="39">
        <v>12</v>
      </c>
      <c r="AI621" s="25" t="s">
        <v>4066</v>
      </c>
      <c r="AJ621" s="39">
        <v>450</v>
      </c>
      <c r="AK621" s="39" t="s">
        <v>244</v>
      </c>
      <c r="AL621" s="39">
        <v>14</v>
      </c>
      <c r="AM621" s="25" t="s">
        <v>4067</v>
      </c>
      <c r="AN621" s="39">
        <v>600</v>
      </c>
      <c r="AO621" s="39" t="s">
        <v>244</v>
      </c>
      <c r="AP621" s="39">
        <v>16</v>
      </c>
      <c r="AR621" s="39"/>
    </row>
    <row r="622" spans="1:44" x14ac:dyDescent="0.2">
      <c r="A622" s="25" t="s">
        <v>132</v>
      </c>
      <c r="B622" s="25" t="s">
        <v>1771</v>
      </c>
      <c r="T622" s="25" t="s">
        <v>49</v>
      </c>
      <c r="U622" s="25">
        <v>28003</v>
      </c>
      <c r="V622" s="25" t="s">
        <v>3945</v>
      </c>
      <c r="W622" s="38" t="s">
        <v>3946</v>
      </c>
      <c r="X622" s="25">
        <v>70</v>
      </c>
      <c r="Y622" s="25" t="s">
        <v>1582</v>
      </c>
      <c r="Z622" s="25" t="s">
        <v>1451</v>
      </c>
      <c r="AA622" s="25" t="s">
        <v>3947</v>
      </c>
      <c r="AB622" s="39">
        <v>250</v>
      </c>
      <c r="AC622" s="39" t="s">
        <v>244</v>
      </c>
      <c r="AD622" s="39">
        <v>9</v>
      </c>
      <c r="AE622" s="25" t="s">
        <v>3948</v>
      </c>
      <c r="AF622" s="39">
        <v>350</v>
      </c>
      <c r="AG622" s="39" t="s">
        <v>244</v>
      </c>
      <c r="AH622" s="39">
        <v>12</v>
      </c>
      <c r="AI622" s="25" t="s">
        <v>3949</v>
      </c>
      <c r="AJ622" s="39">
        <v>500</v>
      </c>
      <c r="AK622" s="39" t="s">
        <v>244</v>
      </c>
      <c r="AL622" s="39">
        <v>15</v>
      </c>
      <c r="AM622" s="25" t="s">
        <v>3950</v>
      </c>
      <c r="AN622" s="39">
        <v>800</v>
      </c>
      <c r="AO622" s="39" t="s">
        <v>244</v>
      </c>
      <c r="AP622" s="39">
        <v>18</v>
      </c>
      <c r="AR622" s="39"/>
    </row>
    <row r="623" spans="1:44" x14ac:dyDescent="0.2">
      <c r="A623" s="25" t="s">
        <v>132</v>
      </c>
      <c r="B623" s="25" t="s">
        <v>1941</v>
      </c>
      <c r="T623" s="25" t="s">
        <v>60</v>
      </c>
      <c r="U623" s="25">
        <v>8008</v>
      </c>
      <c r="V623" s="25" t="s">
        <v>2689</v>
      </c>
      <c r="W623" s="38" t="s">
        <v>2690</v>
      </c>
      <c r="X623" s="25">
        <v>26</v>
      </c>
      <c r="Y623" s="25" t="s">
        <v>164</v>
      </c>
      <c r="Z623" s="25" t="s">
        <v>1557</v>
      </c>
      <c r="AA623" s="25" t="s">
        <v>2691</v>
      </c>
      <c r="AB623" s="39">
        <v>50</v>
      </c>
      <c r="AC623" s="39" t="s">
        <v>244</v>
      </c>
      <c r="AD623" s="39">
        <v>6</v>
      </c>
      <c r="AE623" s="25" t="s">
        <v>2692</v>
      </c>
      <c r="AF623" s="39">
        <v>80</v>
      </c>
      <c r="AG623" s="39" t="s">
        <v>244</v>
      </c>
      <c r="AH623" s="39">
        <v>8</v>
      </c>
      <c r="AI623" s="25" t="s">
        <v>2693</v>
      </c>
      <c r="AJ623" s="39">
        <v>120</v>
      </c>
      <c r="AK623" s="39" t="s">
        <v>244</v>
      </c>
      <c r="AL623" s="39">
        <v>10</v>
      </c>
      <c r="AM623" s="25" t="s">
        <v>2694</v>
      </c>
      <c r="AN623" s="39">
        <v>150</v>
      </c>
      <c r="AO623" s="39" t="s">
        <v>244</v>
      </c>
      <c r="AP623" s="39">
        <v>12</v>
      </c>
      <c r="AR623" s="39"/>
    </row>
    <row r="624" spans="1:44" x14ac:dyDescent="0.2">
      <c r="A624" s="25" t="s">
        <v>132</v>
      </c>
      <c r="B624" s="25" t="s">
        <v>2092</v>
      </c>
      <c r="T624" s="25" t="s">
        <v>1638</v>
      </c>
      <c r="U624" s="25">
        <v>10415</v>
      </c>
      <c r="V624" s="25" t="s">
        <v>3087</v>
      </c>
      <c r="W624" s="38" t="s">
        <v>3088</v>
      </c>
      <c r="X624" s="25" t="s">
        <v>1641</v>
      </c>
      <c r="Y624" s="25" t="s">
        <v>164</v>
      </c>
      <c r="Z624" s="25" t="s">
        <v>1451</v>
      </c>
      <c r="AA624" s="25" t="s">
        <v>2121</v>
      </c>
      <c r="AB624" s="39">
        <v>60</v>
      </c>
      <c r="AC624" s="39" t="s">
        <v>244</v>
      </c>
      <c r="AD624" s="39">
        <v>6</v>
      </c>
      <c r="AE624" s="25" t="s">
        <v>1476</v>
      </c>
      <c r="AF624" s="39">
        <v>90</v>
      </c>
      <c r="AG624" s="39" t="s">
        <v>244</v>
      </c>
      <c r="AH624" s="39">
        <v>9</v>
      </c>
      <c r="AI624" s="25" t="s">
        <v>3089</v>
      </c>
      <c r="AJ624" s="39">
        <v>120</v>
      </c>
      <c r="AK624" s="39" t="s">
        <v>244</v>
      </c>
      <c r="AL624" s="39">
        <v>12</v>
      </c>
      <c r="AM624" s="25" t="s">
        <v>3090</v>
      </c>
      <c r="AN624" s="39">
        <v>150</v>
      </c>
      <c r="AO624" s="39" t="s">
        <v>244</v>
      </c>
      <c r="AP624" s="39">
        <v>15</v>
      </c>
      <c r="AQ624" s="25" t="s">
        <v>35</v>
      </c>
      <c r="AR624" s="39"/>
    </row>
    <row r="625" spans="1:44" x14ac:dyDescent="0.2">
      <c r="A625" s="25" t="s">
        <v>132</v>
      </c>
      <c r="B625" s="25" t="s">
        <v>2256</v>
      </c>
      <c r="T625" s="25" t="s">
        <v>1619</v>
      </c>
      <c r="U625" s="25">
        <v>5115</v>
      </c>
      <c r="V625" s="25" t="s">
        <v>565</v>
      </c>
      <c r="W625" s="38" t="s">
        <v>2291</v>
      </c>
      <c r="X625" s="25" t="s">
        <v>1622</v>
      </c>
      <c r="Y625" s="25" t="s">
        <v>164</v>
      </c>
      <c r="Z625" s="25" t="s">
        <v>1451</v>
      </c>
      <c r="AA625" s="25" t="s">
        <v>2292</v>
      </c>
      <c r="AB625" s="39">
        <v>50</v>
      </c>
      <c r="AC625" s="39">
        <v>5</v>
      </c>
      <c r="AD625" s="39">
        <v>6</v>
      </c>
      <c r="AE625" s="25" t="s">
        <v>2293</v>
      </c>
      <c r="AF625" s="39">
        <v>80</v>
      </c>
      <c r="AG625" s="39">
        <v>10</v>
      </c>
      <c r="AH625" s="39">
        <v>9</v>
      </c>
      <c r="AI625" s="25" t="s">
        <v>2294</v>
      </c>
      <c r="AJ625" s="39">
        <v>120</v>
      </c>
      <c r="AK625" s="39">
        <v>15</v>
      </c>
      <c r="AL625" s="39">
        <v>11</v>
      </c>
      <c r="AM625" s="25" t="s">
        <v>2295</v>
      </c>
      <c r="AN625" s="39">
        <v>160</v>
      </c>
      <c r="AO625" s="39">
        <v>20</v>
      </c>
      <c r="AP625" s="39">
        <v>13</v>
      </c>
      <c r="AQ625" s="25" t="s">
        <v>60</v>
      </c>
      <c r="AR625" s="39"/>
    </row>
    <row r="626" spans="1:44" x14ac:dyDescent="0.2">
      <c r="A626" s="25" t="s">
        <v>132</v>
      </c>
      <c r="B626" s="25" t="s">
        <v>2420</v>
      </c>
      <c r="T626" s="25" t="s">
        <v>65</v>
      </c>
      <c r="U626" s="25">
        <v>22006</v>
      </c>
      <c r="V626" s="25" t="s">
        <v>3720</v>
      </c>
      <c r="W626" s="38" t="s">
        <v>3721</v>
      </c>
      <c r="X626" s="25">
        <v>72</v>
      </c>
      <c r="Y626" s="25" t="s">
        <v>164</v>
      </c>
      <c r="Z626" s="25" t="s">
        <v>1451</v>
      </c>
      <c r="AA626" s="25" t="s">
        <v>1770</v>
      </c>
      <c r="AB626" s="39">
        <v>250</v>
      </c>
      <c r="AC626" s="39" t="s">
        <v>244</v>
      </c>
      <c r="AD626" s="39">
        <v>10</v>
      </c>
      <c r="AE626" s="25" t="s">
        <v>1761</v>
      </c>
      <c r="AF626" s="39">
        <v>350</v>
      </c>
      <c r="AG626" s="39" t="s">
        <v>244</v>
      </c>
      <c r="AH626" s="39">
        <v>12</v>
      </c>
      <c r="AI626" s="25" t="s">
        <v>3722</v>
      </c>
      <c r="AJ626" s="39">
        <v>450</v>
      </c>
      <c r="AK626" s="39" t="s">
        <v>244</v>
      </c>
      <c r="AL626" s="39">
        <v>15</v>
      </c>
      <c r="AM626" s="25" t="s">
        <v>3723</v>
      </c>
      <c r="AN626" s="39">
        <v>550</v>
      </c>
      <c r="AO626" s="39" t="s">
        <v>244</v>
      </c>
      <c r="AP626" s="39">
        <v>17</v>
      </c>
      <c r="AR626" s="39"/>
    </row>
    <row r="627" spans="1:44" x14ac:dyDescent="0.2">
      <c r="A627" s="25" t="s">
        <v>132</v>
      </c>
      <c r="B627" s="25" t="s">
        <v>2581</v>
      </c>
      <c r="T627" s="25" t="s">
        <v>60</v>
      </c>
      <c r="U627" s="25">
        <v>27008</v>
      </c>
      <c r="V627" s="25" t="s">
        <v>3922</v>
      </c>
      <c r="W627" s="38" t="s">
        <v>6487</v>
      </c>
      <c r="X627" s="25">
        <v>90</v>
      </c>
      <c r="Y627" s="25" t="s">
        <v>164</v>
      </c>
      <c r="Z627" s="25" t="s">
        <v>1451</v>
      </c>
      <c r="AA627" s="25" t="s">
        <v>3923</v>
      </c>
      <c r="AB627" s="39">
        <v>180</v>
      </c>
      <c r="AC627" s="39">
        <v>20</v>
      </c>
      <c r="AD627" s="39">
        <v>9</v>
      </c>
      <c r="AE627" s="25" t="s">
        <v>3924</v>
      </c>
      <c r="AF627" s="39">
        <v>270</v>
      </c>
      <c r="AG627" s="39">
        <v>30</v>
      </c>
      <c r="AH627" s="39">
        <v>11</v>
      </c>
      <c r="AI627" s="25" t="s">
        <v>3925</v>
      </c>
      <c r="AJ627" s="39">
        <v>360</v>
      </c>
      <c r="AK627" s="39">
        <v>40</v>
      </c>
      <c r="AL627" s="39">
        <v>13</v>
      </c>
      <c r="AM627" s="25" t="s">
        <v>3926</v>
      </c>
      <c r="AN627" s="39">
        <v>450</v>
      </c>
      <c r="AO627" s="39">
        <v>45</v>
      </c>
      <c r="AP627" s="39">
        <v>16</v>
      </c>
      <c r="AR627" s="39" t="s">
        <v>6456</v>
      </c>
    </row>
    <row r="628" spans="1:44" x14ac:dyDescent="0.2">
      <c r="A628" s="25" t="s">
        <v>132</v>
      </c>
      <c r="B628" s="25" t="s">
        <v>2728</v>
      </c>
      <c r="T628" s="25" t="s">
        <v>60</v>
      </c>
      <c r="U628" s="25">
        <v>30008</v>
      </c>
      <c r="V628" s="25" t="s">
        <v>4047</v>
      </c>
      <c r="W628" s="38" t="s">
        <v>4048</v>
      </c>
      <c r="X628" s="25">
        <v>100</v>
      </c>
      <c r="Y628" s="25" t="s">
        <v>1498</v>
      </c>
      <c r="Z628" s="25" t="s">
        <v>1451</v>
      </c>
      <c r="AA628" s="25" t="s">
        <v>4049</v>
      </c>
      <c r="AB628" s="39">
        <v>450</v>
      </c>
      <c r="AC628" s="39">
        <v>45</v>
      </c>
      <c r="AD628" s="39">
        <v>12</v>
      </c>
      <c r="AE628" s="25" t="s">
        <v>4050</v>
      </c>
      <c r="AF628" s="39">
        <v>800</v>
      </c>
      <c r="AG628" s="39">
        <v>80</v>
      </c>
      <c r="AH628" s="39">
        <v>14</v>
      </c>
      <c r="AI628" s="25" t="s">
        <v>4051</v>
      </c>
      <c r="AJ628" s="39">
        <v>1200</v>
      </c>
      <c r="AK628" s="39">
        <v>120</v>
      </c>
      <c r="AL628" s="39">
        <v>14</v>
      </c>
      <c r="AM628" s="25" t="s">
        <v>4052</v>
      </c>
      <c r="AN628" s="39">
        <v>1600</v>
      </c>
      <c r="AO628" s="39">
        <v>200</v>
      </c>
      <c r="AP628" s="39">
        <v>18</v>
      </c>
      <c r="AR628" s="39"/>
    </row>
    <row r="629" spans="1:44" x14ac:dyDescent="0.2">
      <c r="A629" s="25" t="s">
        <v>132</v>
      </c>
      <c r="B629" s="25" t="s">
        <v>2888</v>
      </c>
      <c r="T629" s="25" t="s">
        <v>1579</v>
      </c>
      <c r="U629" s="25">
        <v>10025</v>
      </c>
      <c r="V629" s="25" t="s">
        <v>3050</v>
      </c>
      <c r="W629" s="38" t="s">
        <v>3051</v>
      </c>
      <c r="X629" s="25">
        <v>94</v>
      </c>
      <c r="Y629" s="25" t="s">
        <v>1582</v>
      </c>
      <c r="Z629" s="25" t="s">
        <v>1451</v>
      </c>
      <c r="AA629" s="25" t="s">
        <v>3052</v>
      </c>
      <c r="AB629" s="39">
        <v>280</v>
      </c>
      <c r="AC629" s="39" t="s">
        <v>744</v>
      </c>
      <c r="AD629" s="39">
        <v>10</v>
      </c>
      <c r="AE629" s="25" t="s">
        <v>3053</v>
      </c>
      <c r="AF629" s="39">
        <v>320</v>
      </c>
      <c r="AG629" s="39" t="s">
        <v>744</v>
      </c>
      <c r="AH629" s="39">
        <v>13</v>
      </c>
      <c r="AI629" s="25" t="s">
        <v>3054</v>
      </c>
      <c r="AJ629" s="39">
        <v>360</v>
      </c>
      <c r="AK629" s="39" t="s">
        <v>744</v>
      </c>
      <c r="AL629" s="39">
        <v>15</v>
      </c>
      <c r="AM629" s="25" t="s">
        <v>3055</v>
      </c>
      <c r="AN629" s="39">
        <v>400</v>
      </c>
      <c r="AO629" s="39" t="s">
        <v>744</v>
      </c>
      <c r="AP629" s="39">
        <v>17</v>
      </c>
      <c r="AQ629" s="25" t="s">
        <v>1587</v>
      </c>
      <c r="AR629" s="39"/>
    </row>
    <row r="630" spans="1:44" x14ac:dyDescent="0.2">
      <c r="A630" s="25" t="s">
        <v>132</v>
      </c>
      <c r="B630" s="25" t="s">
        <v>3035</v>
      </c>
      <c r="T630" s="25" t="s">
        <v>65</v>
      </c>
      <c r="U630" s="25">
        <v>30006</v>
      </c>
      <c r="V630" s="25" t="s">
        <v>4040</v>
      </c>
      <c r="W630" s="38" t="s">
        <v>6573</v>
      </c>
      <c r="X630" s="25">
        <v>100</v>
      </c>
      <c r="Y630" s="25" t="s">
        <v>1498</v>
      </c>
      <c r="Z630" s="25" t="s">
        <v>1451</v>
      </c>
      <c r="AA630" s="25" t="s">
        <v>1667</v>
      </c>
      <c r="AB630" s="39">
        <v>450</v>
      </c>
      <c r="AC630" s="39">
        <v>90</v>
      </c>
      <c r="AD630" s="39">
        <v>12</v>
      </c>
      <c r="AE630" s="25" t="s">
        <v>1669</v>
      </c>
      <c r="AF630" s="39">
        <v>800</v>
      </c>
      <c r="AG630" s="39">
        <v>115</v>
      </c>
      <c r="AH630" s="39">
        <v>15</v>
      </c>
      <c r="AI630" s="25" t="s">
        <v>1670</v>
      </c>
      <c r="AJ630" s="39">
        <v>1200</v>
      </c>
      <c r="AK630" s="39">
        <v>130</v>
      </c>
      <c r="AL630" s="39">
        <v>17</v>
      </c>
      <c r="AM630" s="25" t="s">
        <v>3342</v>
      </c>
      <c r="AN630" s="39">
        <v>1600</v>
      </c>
      <c r="AO630" s="39">
        <v>145</v>
      </c>
      <c r="AP630" s="39">
        <v>20</v>
      </c>
      <c r="AR630" s="39" t="s">
        <v>6456</v>
      </c>
    </row>
    <row r="631" spans="1:44" x14ac:dyDescent="0.2">
      <c r="A631" s="25" t="s">
        <v>39</v>
      </c>
      <c r="B631" s="25" t="s">
        <v>1456</v>
      </c>
      <c r="T631" s="25" t="s">
        <v>35</v>
      </c>
      <c r="U631" s="25">
        <v>29007</v>
      </c>
      <c r="V631" s="25" t="s">
        <v>3999</v>
      </c>
      <c r="W631" s="38" t="s">
        <v>6499</v>
      </c>
      <c r="X631" s="25">
        <v>96</v>
      </c>
      <c r="Y631" s="25" t="s">
        <v>1498</v>
      </c>
      <c r="Z631" s="25" t="s">
        <v>1451</v>
      </c>
      <c r="AA631" s="25" t="s">
        <v>3101</v>
      </c>
      <c r="AB631" s="39">
        <v>300</v>
      </c>
      <c r="AC631" s="39">
        <v>30</v>
      </c>
      <c r="AD631" s="39">
        <v>10</v>
      </c>
      <c r="AE631" s="25" t="s">
        <v>3961</v>
      </c>
      <c r="AF631" s="39">
        <v>450</v>
      </c>
      <c r="AG631" s="39">
        <v>45</v>
      </c>
      <c r="AH631" s="39">
        <v>12</v>
      </c>
      <c r="AI631" s="25" t="s">
        <v>3962</v>
      </c>
      <c r="AJ631" s="39">
        <v>600</v>
      </c>
      <c r="AK631" s="39">
        <v>60</v>
      </c>
      <c r="AL631" s="39">
        <v>15</v>
      </c>
      <c r="AM631" s="25" t="s">
        <v>4000</v>
      </c>
      <c r="AN631" s="39">
        <v>1000</v>
      </c>
      <c r="AO631" s="39">
        <v>100</v>
      </c>
      <c r="AP631" s="39">
        <v>18</v>
      </c>
      <c r="AR631" s="39" t="s">
        <v>6456</v>
      </c>
    </row>
    <row r="632" spans="1:44" x14ac:dyDescent="0.2">
      <c r="A632" s="25" t="s">
        <v>39</v>
      </c>
      <c r="B632" s="25" t="s">
        <v>1693</v>
      </c>
      <c r="T632" s="25" t="s">
        <v>61</v>
      </c>
      <c r="U632" s="25">
        <v>36004</v>
      </c>
      <c r="V632" s="25" t="s">
        <v>4173</v>
      </c>
      <c r="W632" s="38" t="s">
        <v>4174</v>
      </c>
      <c r="X632" s="25">
        <v>90</v>
      </c>
      <c r="Y632" s="25" t="s">
        <v>164</v>
      </c>
      <c r="Z632" s="25" t="s">
        <v>1451</v>
      </c>
      <c r="AA632" s="25" t="s">
        <v>4175</v>
      </c>
      <c r="AB632" s="39">
        <v>250</v>
      </c>
      <c r="AC632" s="39">
        <v>25</v>
      </c>
      <c r="AD632" s="39">
        <v>12</v>
      </c>
      <c r="AE632" s="25" t="s">
        <v>4176</v>
      </c>
      <c r="AF632" s="39">
        <v>350</v>
      </c>
      <c r="AG632" s="39">
        <v>40</v>
      </c>
      <c r="AH632" s="39">
        <v>14</v>
      </c>
      <c r="AI632" s="25" t="s">
        <v>4177</v>
      </c>
      <c r="AJ632" s="39">
        <v>500</v>
      </c>
      <c r="AK632" s="39">
        <v>45</v>
      </c>
      <c r="AL632" s="39">
        <v>16</v>
      </c>
      <c r="AM632" s="25" t="s">
        <v>4178</v>
      </c>
      <c r="AN632" s="39">
        <v>800</v>
      </c>
      <c r="AO632" s="39">
        <v>55</v>
      </c>
      <c r="AP632" s="39">
        <v>18</v>
      </c>
      <c r="AR632" s="39"/>
    </row>
    <row r="633" spans="1:44" x14ac:dyDescent="0.2">
      <c r="A633" s="25" t="s">
        <v>39</v>
      </c>
      <c r="B633" s="25" t="s">
        <v>1870</v>
      </c>
      <c r="T633" s="25" t="s">
        <v>1579</v>
      </c>
      <c r="U633" s="25">
        <v>7025</v>
      </c>
      <c r="V633" s="25" t="s">
        <v>2593</v>
      </c>
      <c r="W633" s="38" t="s">
        <v>2594</v>
      </c>
      <c r="X633" s="25">
        <v>64</v>
      </c>
      <c r="Y633" s="25" t="s">
        <v>164</v>
      </c>
      <c r="Z633" s="25" t="s">
        <v>1451</v>
      </c>
      <c r="AA633" s="25" t="s">
        <v>2595</v>
      </c>
      <c r="AB633" s="39">
        <v>150</v>
      </c>
      <c r="AC633" s="39">
        <v>10</v>
      </c>
      <c r="AD633" s="39">
        <v>8</v>
      </c>
      <c r="AE633" s="40">
        <v>0.2</v>
      </c>
      <c r="AF633" s="39">
        <v>200</v>
      </c>
      <c r="AG633" s="39">
        <v>10</v>
      </c>
      <c r="AH633" s="39">
        <v>10</v>
      </c>
      <c r="AI633" s="40">
        <v>0.30000000000000004</v>
      </c>
      <c r="AJ633" s="39">
        <v>250</v>
      </c>
      <c r="AK633" s="39">
        <v>15</v>
      </c>
      <c r="AL633" s="39">
        <v>12</v>
      </c>
      <c r="AM633" s="40">
        <v>0.4</v>
      </c>
      <c r="AN633" s="39">
        <v>300</v>
      </c>
      <c r="AO633" s="39">
        <v>15</v>
      </c>
      <c r="AP633" s="39">
        <v>15</v>
      </c>
      <c r="AQ633" s="25" t="s">
        <v>1587</v>
      </c>
      <c r="AR633" s="39"/>
    </row>
    <row r="634" spans="1:44" x14ac:dyDescent="0.2">
      <c r="A634" s="25" t="s">
        <v>39</v>
      </c>
      <c r="B634" s="25" t="s">
        <v>2028</v>
      </c>
      <c r="T634" s="25" t="s">
        <v>101</v>
      </c>
      <c r="U634" s="25">
        <v>30011</v>
      </c>
      <c r="V634" s="25" t="s">
        <v>4060</v>
      </c>
      <c r="W634" s="38" t="s">
        <v>4061</v>
      </c>
      <c r="X634" s="25">
        <v>76</v>
      </c>
      <c r="Y634" s="25" t="s">
        <v>1582</v>
      </c>
      <c r="Z634" s="25" t="s">
        <v>1451</v>
      </c>
      <c r="AA634" s="25" t="s">
        <v>3894</v>
      </c>
      <c r="AB634" s="39">
        <v>250</v>
      </c>
      <c r="AC634" s="39" t="s">
        <v>244</v>
      </c>
      <c r="AD634" s="39">
        <v>10</v>
      </c>
      <c r="AE634" s="25" t="s">
        <v>3896</v>
      </c>
      <c r="AF634" s="39">
        <v>360</v>
      </c>
      <c r="AG634" s="39" t="s">
        <v>244</v>
      </c>
      <c r="AH634" s="39">
        <v>13</v>
      </c>
      <c r="AI634" s="25" t="s">
        <v>4015</v>
      </c>
      <c r="AJ634" s="39">
        <v>450</v>
      </c>
      <c r="AK634" s="39" t="s">
        <v>244</v>
      </c>
      <c r="AL634" s="39">
        <v>15</v>
      </c>
      <c r="AM634" s="25" t="s">
        <v>4016</v>
      </c>
      <c r="AN634" s="39">
        <v>540</v>
      </c>
      <c r="AO634" s="39" t="s">
        <v>244</v>
      </c>
      <c r="AP634" s="39">
        <v>18</v>
      </c>
      <c r="AR634" s="39"/>
    </row>
    <row r="635" spans="1:44" x14ac:dyDescent="0.2">
      <c r="A635" s="25" t="s">
        <v>39</v>
      </c>
      <c r="B635" s="25" t="s">
        <v>545</v>
      </c>
      <c r="T635" s="25" t="s">
        <v>60</v>
      </c>
      <c r="U635" s="25">
        <v>13008</v>
      </c>
      <c r="V635" s="25" t="s">
        <v>3327</v>
      </c>
      <c r="W635" s="38" t="s">
        <v>6644</v>
      </c>
      <c r="X635" s="25">
        <v>42</v>
      </c>
      <c r="Y635" s="25" t="s">
        <v>164</v>
      </c>
      <c r="Z635" s="25" t="s">
        <v>1451</v>
      </c>
      <c r="AA635" s="25" t="s">
        <v>3328</v>
      </c>
      <c r="AB635" s="39">
        <v>80</v>
      </c>
      <c r="AC635" s="39">
        <v>10</v>
      </c>
      <c r="AD635" s="39">
        <v>8</v>
      </c>
      <c r="AE635" s="25" t="s">
        <v>2048</v>
      </c>
      <c r="AF635" s="39">
        <v>100</v>
      </c>
      <c r="AG635" s="39">
        <v>10</v>
      </c>
      <c r="AH635" s="39">
        <v>10</v>
      </c>
      <c r="AI635" s="25" t="s">
        <v>2210</v>
      </c>
      <c r="AJ635" s="39">
        <v>120</v>
      </c>
      <c r="AK635" s="39">
        <v>15</v>
      </c>
      <c r="AL635" s="39">
        <v>12</v>
      </c>
      <c r="AM635" s="25" t="s">
        <v>2211</v>
      </c>
      <c r="AN635" s="39">
        <v>140</v>
      </c>
      <c r="AO635" s="39">
        <v>15</v>
      </c>
      <c r="AP635" s="39">
        <v>14</v>
      </c>
      <c r="AR635" s="39" t="s">
        <v>6456</v>
      </c>
    </row>
    <row r="636" spans="1:44" x14ac:dyDescent="0.2">
      <c r="A636" s="25" t="s">
        <v>39</v>
      </c>
      <c r="B636" s="25" t="s">
        <v>2344</v>
      </c>
      <c r="T636" s="25" t="s">
        <v>1523</v>
      </c>
      <c r="U636" s="25">
        <v>3017</v>
      </c>
      <c r="V636" s="25" t="s">
        <v>1921</v>
      </c>
      <c r="W636" s="38" t="s">
        <v>1922</v>
      </c>
      <c r="X636" s="25">
        <v>24</v>
      </c>
      <c r="Y636" s="25" t="s">
        <v>164</v>
      </c>
      <c r="Z636" s="25" t="s">
        <v>1451</v>
      </c>
      <c r="AA636" s="25" t="s">
        <v>1923</v>
      </c>
      <c r="AB636" s="39">
        <v>50</v>
      </c>
      <c r="AC636" s="39">
        <v>5</v>
      </c>
      <c r="AD636" s="39">
        <v>6</v>
      </c>
      <c r="AE636" s="25" t="s">
        <v>1924</v>
      </c>
      <c r="AF636" s="39">
        <v>90</v>
      </c>
      <c r="AG636" s="39">
        <v>10</v>
      </c>
      <c r="AH636" s="39">
        <v>9</v>
      </c>
      <c r="AI636" s="25" t="s">
        <v>1925</v>
      </c>
      <c r="AJ636" s="39">
        <v>120</v>
      </c>
      <c r="AK636" s="39">
        <v>15</v>
      </c>
      <c r="AL636" s="39">
        <v>12</v>
      </c>
      <c r="AM636" s="25" t="s">
        <v>1926</v>
      </c>
      <c r="AN636" s="39">
        <v>150</v>
      </c>
      <c r="AO636" s="39">
        <v>15</v>
      </c>
      <c r="AP636" s="39">
        <v>15</v>
      </c>
      <c r="AQ636" s="25" t="s">
        <v>1530</v>
      </c>
      <c r="AR636" s="39"/>
    </row>
    <row r="637" spans="1:44" x14ac:dyDescent="0.2">
      <c r="A637" s="25" t="s">
        <v>39</v>
      </c>
      <c r="B637" s="25" t="s">
        <v>2502</v>
      </c>
      <c r="T637" s="25" t="s">
        <v>90</v>
      </c>
      <c r="U637" s="25">
        <v>9009</v>
      </c>
      <c r="V637" s="25" t="s">
        <v>2846</v>
      </c>
      <c r="W637" s="38" t="s">
        <v>2847</v>
      </c>
      <c r="X637" s="25">
        <v>30</v>
      </c>
      <c r="Y637" s="25" t="s">
        <v>1582</v>
      </c>
      <c r="Z637" s="25" t="s">
        <v>1451</v>
      </c>
      <c r="AA637" s="25" t="s">
        <v>2848</v>
      </c>
      <c r="AB637" s="39">
        <v>60</v>
      </c>
      <c r="AC637" s="39" t="s">
        <v>244</v>
      </c>
      <c r="AD637" s="39">
        <v>6</v>
      </c>
      <c r="AE637" s="25" t="s">
        <v>1828</v>
      </c>
      <c r="AF637" s="39">
        <v>90</v>
      </c>
      <c r="AG637" s="39" t="s">
        <v>244</v>
      </c>
      <c r="AH637" s="39">
        <v>9</v>
      </c>
      <c r="AI637" s="25" t="s">
        <v>2849</v>
      </c>
      <c r="AJ637" s="39">
        <v>120</v>
      </c>
      <c r="AK637" s="39" t="s">
        <v>244</v>
      </c>
      <c r="AL637" s="39">
        <v>12</v>
      </c>
      <c r="AM637" s="25" t="s">
        <v>1829</v>
      </c>
      <c r="AN637" s="39">
        <v>150</v>
      </c>
      <c r="AO637" s="39" t="s">
        <v>244</v>
      </c>
      <c r="AP637" s="39">
        <v>15</v>
      </c>
      <c r="AR637" s="39"/>
    </row>
    <row r="638" spans="1:44" x14ac:dyDescent="0.2">
      <c r="A638" s="25" t="s">
        <v>39</v>
      </c>
      <c r="B638" s="25" t="s">
        <v>2662</v>
      </c>
      <c r="T638" s="25" t="s">
        <v>39</v>
      </c>
      <c r="U638" s="25">
        <v>3002</v>
      </c>
      <c r="V638" s="25" t="s">
        <v>1870</v>
      </c>
      <c r="W638" s="38" t="s">
        <v>6585</v>
      </c>
      <c r="X638" s="25">
        <v>8</v>
      </c>
      <c r="Y638" s="25" t="s">
        <v>164</v>
      </c>
      <c r="Z638" s="25" t="s">
        <v>1451</v>
      </c>
      <c r="AA638" s="25" t="s">
        <v>1675</v>
      </c>
      <c r="AB638" s="39">
        <v>40</v>
      </c>
      <c r="AC638" s="39">
        <v>5</v>
      </c>
      <c r="AD638" s="39">
        <v>5</v>
      </c>
      <c r="AE638" s="25" t="s">
        <v>1676</v>
      </c>
      <c r="AF638" s="39">
        <v>80</v>
      </c>
      <c r="AG638" s="39">
        <v>10</v>
      </c>
      <c r="AH638" s="39">
        <v>8</v>
      </c>
      <c r="AI638" s="25" t="s">
        <v>1677</v>
      </c>
      <c r="AJ638" s="39">
        <v>100</v>
      </c>
      <c r="AK638" s="39">
        <v>10</v>
      </c>
      <c r="AL638" s="39">
        <v>10</v>
      </c>
      <c r="AM638" s="25" t="s">
        <v>1871</v>
      </c>
      <c r="AN638" s="39">
        <v>120</v>
      </c>
      <c r="AO638" s="39">
        <v>15</v>
      </c>
      <c r="AP638" s="39">
        <v>12</v>
      </c>
      <c r="AR638" s="39" t="s">
        <v>6456</v>
      </c>
    </row>
    <row r="639" spans="1:44" x14ac:dyDescent="0.2">
      <c r="A639" s="25" t="s">
        <v>39</v>
      </c>
      <c r="B639" s="25" t="s">
        <v>2819</v>
      </c>
      <c r="T639" s="25" t="s">
        <v>70</v>
      </c>
      <c r="U639" s="25">
        <v>10005</v>
      </c>
      <c r="V639" s="25" t="s">
        <v>2982</v>
      </c>
      <c r="W639" s="38" t="s">
        <v>2983</v>
      </c>
      <c r="X639" s="25">
        <v>32</v>
      </c>
      <c r="Y639" s="25" t="s">
        <v>164</v>
      </c>
      <c r="Z639" s="25" t="s">
        <v>1451</v>
      </c>
      <c r="AA639" s="25" t="s">
        <v>2984</v>
      </c>
      <c r="AB639" s="39">
        <v>60</v>
      </c>
      <c r="AC639" s="39" t="s">
        <v>244</v>
      </c>
      <c r="AD639" s="39">
        <v>6</v>
      </c>
      <c r="AE639" s="25" t="s">
        <v>2985</v>
      </c>
      <c r="AF639" s="39">
        <v>140</v>
      </c>
      <c r="AG639" s="39" t="s">
        <v>244</v>
      </c>
      <c r="AH639" s="39">
        <v>10</v>
      </c>
      <c r="AI639" s="25" t="s">
        <v>2986</v>
      </c>
      <c r="AJ639" s="39">
        <v>220</v>
      </c>
      <c r="AK639" s="39" t="s">
        <v>244</v>
      </c>
      <c r="AL639" s="39">
        <v>13</v>
      </c>
      <c r="AM639" s="25" t="s">
        <v>2987</v>
      </c>
      <c r="AN639" s="39">
        <v>340</v>
      </c>
      <c r="AO639" s="39" t="s">
        <v>244</v>
      </c>
      <c r="AP639" s="39">
        <v>15</v>
      </c>
      <c r="AR639" s="39"/>
    </row>
    <row r="640" spans="1:44" x14ac:dyDescent="0.2">
      <c r="A640" s="25" t="s">
        <v>39</v>
      </c>
      <c r="B640" s="25" t="s">
        <v>2966</v>
      </c>
      <c r="T640" s="25" t="s">
        <v>29</v>
      </c>
      <c r="U640" s="25">
        <v>24001</v>
      </c>
      <c r="V640" s="25" t="s">
        <v>3782</v>
      </c>
      <c r="W640" s="38" t="s">
        <v>6615</v>
      </c>
      <c r="X640" s="25">
        <v>60</v>
      </c>
      <c r="Y640" s="25" t="s">
        <v>164</v>
      </c>
      <c r="Z640" s="25" t="s">
        <v>1451</v>
      </c>
      <c r="AA640" s="25" t="s">
        <v>3783</v>
      </c>
      <c r="AB640" s="39">
        <v>100</v>
      </c>
      <c r="AC640" s="39">
        <v>10</v>
      </c>
      <c r="AD640" s="39">
        <v>8</v>
      </c>
      <c r="AE640" s="25" t="s">
        <v>3784</v>
      </c>
      <c r="AF640" s="39">
        <v>120</v>
      </c>
      <c r="AG640" s="39">
        <v>15</v>
      </c>
      <c r="AH640" s="39">
        <v>12</v>
      </c>
      <c r="AI640" s="25" t="s">
        <v>3785</v>
      </c>
      <c r="AJ640" s="39">
        <v>180</v>
      </c>
      <c r="AK640" s="39">
        <v>15</v>
      </c>
      <c r="AL640" s="39">
        <v>14</v>
      </c>
      <c r="AM640" s="25" t="s">
        <v>3786</v>
      </c>
      <c r="AN640" s="39">
        <v>250</v>
      </c>
      <c r="AO640" s="39">
        <v>25</v>
      </c>
      <c r="AP640" s="39">
        <v>16</v>
      </c>
      <c r="AR640" s="39" t="s">
        <v>6456</v>
      </c>
    </row>
    <row r="641" spans="1:44" x14ac:dyDescent="0.2">
      <c r="A641" s="25" t="s">
        <v>39</v>
      </c>
      <c r="B641" s="25" t="s">
        <v>3115</v>
      </c>
      <c r="T641" s="25" t="s">
        <v>90</v>
      </c>
      <c r="U641" s="25">
        <v>27009</v>
      </c>
      <c r="V641" s="25" t="s">
        <v>3927</v>
      </c>
      <c r="W641" s="38" t="s">
        <v>3928</v>
      </c>
      <c r="X641" s="25">
        <v>90</v>
      </c>
      <c r="Y641" s="25" t="s">
        <v>164</v>
      </c>
      <c r="Z641" s="25" t="s">
        <v>1451</v>
      </c>
      <c r="AA641" s="25" t="s">
        <v>1761</v>
      </c>
      <c r="AB641" s="39">
        <v>250</v>
      </c>
      <c r="AC641" s="39" t="s">
        <v>244</v>
      </c>
      <c r="AD641" s="39">
        <v>10</v>
      </c>
      <c r="AE641" s="25" t="s">
        <v>3929</v>
      </c>
      <c r="AF641" s="39">
        <v>450</v>
      </c>
      <c r="AG641" s="39" t="s">
        <v>244</v>
      </c>
      <c r="AH641" s="39">
        <v>12</v>
      </c>
      <c r="AI641" s="25" t="s">
        <v>3930</v>
      </c>
      <c r="AJ641" s="39">
        <v>600</v>
      </c>
      <c r="AK641" s="39" t="s">
        <v>244</v>
      </c>
      <c r="AL641" s="39">
        <v>13</v>
      </c>
      <c r="AM641" s="25" t="s">
        <v>3931</v>
      </c>
      <c r="AN641" s="39">
        <v>750</v>
      </c>
      <c r="AO641" s="39" t="s">
        <v>244</v>
      </c>
      <c r="AP641" s="39">
        <v>16</v>
      </c>
      <c r="AR641" s="39"/>
    </row>
    <row r="642" spans="1:44" x14ac:dyDescent="0.2">
      <c r="A642" s="25" t="s">
        <v>39</v>
      </c>
      <c r="B642" s="25" t="s">
        <v>3206</v>
      </c>
      <c r="T642" s="25" t="s">
        <v>1571</v>
      </c>
      <c r="U642" s="25">
        <v>10024</v>
      </c>
      <c r="V642" s="25" t="s">
        <v>3047</v>
      </c>
      <c r="W642" s="38" t="s">
        <v>3048</v>
      </c>
      <c r="X642" s="25">
        <v>94</v>
      </c>
      <c r="Y642" s="25" t="s">
        <v>164</v>
      </c>
      <c r="Z642" s="25" t="s">
        <v>1451</v>
      </c>
      <c r="AA642" s="25" t="s">
        <v>3049</v>
      </c>
      <c r="AB642" s="39">
        <v>400</v>
      </c>
      <c r="AC642" s="39">
        <v>40</v>
      </c>
      <c r="AD642" s="39">
        <v>10</v>
      </c>
      <c r="AE642" s="25">
        <v>2</v>
      </c>
      <c r="AF642" s="39">
        <v>600</v>
      </c>
      <c r="AG642" s="39">
        <v>60</v>
      </c>
      <c r="AH642" s="39">
        <v>12</v>
      </c>
      <c r="AI642" s="25">
        <v>3</v>
      </c>
      <c r="AJ642" s="39">
        <v>800</v>
      </c>
      <c r="AK642" s="39">
        <v>80</v>
      </c>
      <c r="AL642" s="39">
        <v>14</v>
      </c>
      <c r="AM642" s="25">
        <v>4</v>
      </c>
      <c r="AN642" s="39">
        <v>1000</v>
      </c>
      <c r="AO642" s="39">
        <v>100</v>
      </c>
      <c r="AP642" s="39">
        <v>16</v>
      </c>
      <c r="AQ642" s="25" t="s">
        <v>1578</v>
      </c>
      <c r="AR642" s="39"/>
    </row>
    <row r="643" spans="1:44" x14ac:dyDescent="0.2">
      <c r="A643" s="25" t="s">
        <v>39</v>
      </c>
      <c r="B643" s="25" t="s">
        <v>3298</v>
      </c>
      <c r="T643" s="25" t="s">
        <v>94</v>
      </c>
      <c r="U643" s="25">
        <v>23010</v>
      </c>
      <c r="V643" s="25" t="s">
        <v>3775</v>
      </c>
      <c r="W643" s="38" t="s">
        <v>6556</v>
      </c>
      <c r="X643" s="25">
        <v>76</v>
      </c>
      <c r="Y643" s="25" t="s">
        <v>1582</v>
      </c>
      <c r="Z643" s="25" t="s">
        <v>1451</v>
      </c>
      <c r="AA643" s="25" t="s">
        <v>2125</v>
      </c>
      <c r="AB643" s="39">
        <v>140</v>
      </c>
      <c r="AC643" s="39">
        <v>15</v>
      </c>
      <c r="AD643" s="39">
        <v>8</v>
      </c>
      <c r="AE643" s="25" t="s">
        <v>2126</v>
      </c>
      <c r="AF643" s="39">
        <v>200</v>
      </c>
      <c r="AG643" s="39">
        <v>20</v>
      </c>
      <c r="AH643" s="39">
        <v>10</v>
      </c>
      <c r="AI643" s="25" t="s">
        <v>2127</v>
      </c>
      <c r="AJ643" s="39">
        <v>260</v>
      </c>
      <c r="AK643" s="39">
        <v>30</v>
      </c>
      <c r="AL643" s="39">
        <v>13</v>
      </c>
      <c r="AM643" s="25" t="s">
        <v>2286</v>
      </c>
      <c r="AN643" s="39">
        <v>320</v>
      </c>
      <c r="AO643" s="39">
        <v>35</v>
      </c>
      <c r="AP643" s="39">
        <v>16</v>
      </c>
      <c r="AR643" s="39" t="s">
        <v>6456</v>
      </c>
    </row>
    <row r="644" spans="1:44" x14ac:dyDescent="0.2">
      <c r="A644" s="25" t="s">
        <v>39</v>
      </c>
      <c r="B644" s="25" t="s">
        <v>3348</v>
      </c>
      <c r="T644" s="25" t="s">
        <v>1679</v>
      </c>
      <c r="U644" s="25">
        <v>10915</v>
      </c>
      <c r="V644" s="25" t="s">
        <v>3107</v>
      </c>
      <c r="W644" s="38" t="s">
        <v>3108</v>
      </c>
      <c r="X644" s="25" t="s">
        <v>1682</v>
      </c>
      <c r="Y644" s="25" t="s">
        <v>164</v>
      </c>
      <c r="Z644" s="25" t="s">
        <v>1451</v>
      </c>
      <c r="AA644" s="25" t="s">
        <v>1667</v>
      </c>
      <c r="AB644" s="39">
        <v>100</v>
      </c>
      <c r="AC644" s="39" t="s">
        <v>244</v>
      </c>
      <c r="AD644" s="39">
        <v>10</v>
      </c>
      <c r="AE644" s="25" t="s">
        <v>1668</v>
      </c>
      <c r="AF644" s="39">
        <v>150</v>
      </c>
      <c r="AG644" s="39" t="s">
        <v>244</v>
      </c>
      <c r="AH644" s="39">
        <v>12</v>
      </c>
      <c r="AI644" s="25" t="s">
        <v>1586</v>
      </c>
      <c r="AJ644" s="39">
        <v>200</v>
      </c>
      <c r="AK644" s="39" t="s">
        <v>244</v>
      </c>
      <c r="AL644" s="39">
        <v>14</v>
      </c>
      <c r="AM644" s="25" t="s">
        <v>1669</v>
      </c>
      <c r="AN644" s="39">
        <v>250</v>
      </c>
      <c r="AO644" s="39" t="s">
        <v>244</v>
      </c>
      <c r="AP644" s="39">
        <v>16</v>
      </c>
      <c r="AQ644" s="25" t="s">
        <v>698</v>
      </c>
      <c r="AR644" s="39"/>
    </row>
    <row r="645" spans="1:44" x14ac:dyDescent="0.2">
      <c r="A645" s="25" t="s">
        <v>39</v>
      </c>
      <c r="B645" s="25" t="s">
        <v>3403</v>
      </c>
      <c r="T645" s="25" t="s">
        <v>1646</v>
      </c>
      <c r="U645" s="25">
        <v>2515</v>
      </c>
      <c r="V645" s="25" t="s">
        <v>1837</v>
      </c>
      <c r="W645" s="38" t="s">
        <v>1838</v>
      </c>
      <c r="X645" s="25" t="s">
        <v>1649</v>
      </c>
      <c r="Y645" s="25" t="s">
        <v>164</v>
      </c>
      <c r="Z645" s="25" t="s">
        <v>1451</v>
      </c>
      <c r="AA645" s="25" t="s">
        <v>1839</v>
      </c>
      <c r="AB645" s="39">
        <v>60</v>
      </c>
      <c r="AC645" s="39" t="s">
        <v>244</v>
      </c>
      <c r="AD645" s="39">
        <v>8</v>
      </c>
      <c r="AE645" s="25" t="s">
        <v>1762</v>
      </c>
      <c r="AF645" s="39">
        <v>90</v>
      </c>
      <c r="AG645" s="39" t="s">
        <v>244</v>
      </c>
      <c r="AH645" s="39">
        <v>10</v>
      </c>
      <c r="AI645" s="25" t="s">
        <v>1840</v>
      </c>
      <c r="AJ645" s="39">
        <v>120</v>
      </c>
      <c r="AK645" s="39" t="s">
        <v>244</v>
      </c>
      <c r="AL645" s="39">
        <v>13</v>
      </c>
      <c r="AM645" s="25" t="s">
        <v>1841</v>
      </c>
      <c r="AN645" s="39">
        <v>150</v>
      </c>
      <c r="AO645" s="39" t="s">
        <v>244</v>
      </c>
      <c r="AP645" s="39">
        <v>15</v>
      </c>
      <c r="AQ645" s="25" t="s">
        <v>39</v>
      </c>
      <c r="AR645" s="39"/>
    </row>
    <row r="646" spans="1:44" x14ac:dyDescent="0.2">
      <c r="A646" s="25" t="s">
        <v>39</v>
      </c>
      <c r="B646" s="25" t="s">
        <v>3449</v>
      </c>
      <c r="T646" s="25" t="s">
        <v>49</v>
      </c>
      <c r="U646" s="25">
        <v>25003</v>
      </c>
      <c r="V646" s="25" t="s">
        <v>3826</v>
      </c>
      <c r="W646" s="38" t="s">
        <v>6481</v>
      </c>
      <c r="X646" s="25">
        <v>62</v>
      </c>
      <c r="Y646" s="25" t="s">
        <v>164</v>
      </c>
      <c r="Z646" s="25" t="s">
        <v>1451</v>
      </c>
      <c r="AA646" s="25" t="s">
        <v>2178</v>
      </c>
      <c r="AB646" s="39">
        <v>150</v>
      </c>
      <c r="AC646" s="39">
        <v>15</v>
      </c>
      <c r="AD646" s="39">
        <v>8</v>
      </c>
      <c r="AE646" s="25" t="s">
        <v>3827</v>
      </c>
      <c r="AF646" s="39">
        <v>200</v>
      </c>
      <c r="AG646" s="39">
        <v>20</v>
      </c>
      <c r="AH646" s="39">
        <v>10</v>
      </c>
      <c r="AI646" s="25" t="s">
        <v>3828</v>
      </c>
      <c r="AJ646" s="39">
        <v>250</v>
      </c>
      <c r="AK646" s="39">
        <v>25</v>
      </c>
      <c r="AL646" s="39">
        <v>13</v>
      </c>
      <c r="AM646" s="25" t="s">
        <v>2179</v>
      </c>
      <c r="AN646" s="39">
        <v>350</v>
      </c>
      <c r="AO646" s="39">
        <v>35</v>
      </c>
      <c r="AP646" s="39">
        <v>16</v>
      </c>
      <c r="AR646" s="39" t="s">
        <v>6456</v>
      </c>
    </row>
    <row r="647" spans="1:44" x14ac:dyDescent="0.2">
      <c r="A647" s="25" t="s">
        <v>39</v>
      </c>
      <c r="B647" s="25" t="s">
        <v>3490</v>
      </c>
      <c r="T647" s="25" t="s">
        <v>1611</v>
      </c>
      <c r="U647" s="25">
        <v>4029</v>
      </c>
      <c r="V647" s="25" t="s">
        <v>2128</v>
      </c>
      <c r="W647" s="38" t="s">
        <v>2129</v>
      </c>
      <c r="X647" s="25">
        <v>34</v>
      </c>
      <c r="Y647" s="25" t="s">
        <v>1498</v>
      </c>
      <c r="Z647" s="25" t="s">
        <v>1451</v>
      </c>
      <c r="AA647" s="25" t="s">
        <v>2130</v>
      </c>
      <c r="AB647" s="39">
        <v>80</v>
      </c>
      <c r="AC647" s="39">
        <v>5</v>
      </c>
      <c r="AD647" s="39">
        <v>7</v>
      </c>
      <c r="AE647" s="25" t="s">
        <v>2131</v>
      </c>
      <c r="AF647" s="39">
        <v>120</v>
      </c>
      <c r="AG647" s="39">
        <v>10</v>
      </c>
      <c r="AH647" s="39">
        <v>10</v>
      </c>
      <c r="AI647" s="25" t="s">
        <v>2132</v>
      </c>
      <c r="AJ647" s="39">
        <v>180</v>
      </c>
      <c r="AK647" s="39">
        <v>15</v>
      </c>
      <c r="AL647" s="39">
        <v>13</v>
      </c>
      <c r="AM647" s="25" t="s">
        <v>2133</v>
      </c>
      <c r="AN647" s="39">
        <v>240</v>
      </c>
      <c r="AO647" s="39">
        <v>25</v>
      </c>
      <c r="AP647" s="39">
        <v>15</v>
      </c>
      <c r="AQ647" s="25" t="s">
        <v>1618</v>
      </c>
      <c r="AR647" s="39"/>
    </row>
    <row r="648" spans="1:44" x14ac:dyDescent="0.2">
      <c r="A648" s="25" t="s">
        <v>39</v>
      </c>
      <c r="B648" s="25" t="s">
        <v>3529</v>
      </c>
      <c r="T648" s="25" t="s">
        <v>60</v>
      </c>
      <c r="U648" s="25">
        <v>9008</v>
      </c>
      <c r="V648" s="25" t="s">
        <v>2006</v>
      </c>
      <c r="W648" s="38" t="s">
        <v>2007</v>
      </c>
      <c r="X648" s="25">
        <v>30</v>
      </c>
      <c r="Y648" s="25" t="s">
        <v>164</v>
      </c>
      <c r="Z648" s="25" t="s">
        <v>1451</v>
      </c>
      <c r="AA648" s="25" t="s">
        <v>2842</v>
      </c>
      <c r="AB648" s="39">
        <v>60</v>
      </c>
      <c r="AC648" s="39">
        <v>15</v>
      </c>
      <c r="AD648" s="39">
        <v>6</v>
      </c>
      <c r="AE648" s="25" t="s">
        <v>2843</v>
      </c>
      <c r="AF648" s="39">
        <v>100</v>
      </c>
      <c r="AG648" s="39">
        <v>20</v>
      </c>
      <c r="AH648" s="39">
        <v>9</v>
      </c>
      <c r="AI648" s="25" t="s">
        <v>2844</v>
      </c>
      <c r="AJ648" s="39">
        <v>150</v>
      </c>
      <c r="AK648" s="39">
        <v>25</v>
      </c>
      <c r="AL648" s="39">
        <v>12</v>
      </c>
      <c r="AM648" s="25" t="s">
        <v>2845</v>
      </c>
      <c r="AN648" s="39">
        <v>240</v>
      </c>
      <c r="AO648" s="39">
        <v>30</v>
      </c>
      <c r="AP648" s="39">
        <v>15</v>
      </c>
      <c r="AR648" s="39"/>
    </row>
    <row r="649" spans="1:44" x14ac:dyDescent="0.2">
      <c r="A649" s="25" t="s">
        <v>39</v>
      </c>
      <c r="B649" s="25" t="s">
        <v>3569</v>
      </c>
      <c r="T649" s="25" t="s">
        <v>1663</v>
      </c>
      <c r="U649" s="25">
        <v>3715</v>
      </c>
      <c r="V649" s="25" t="s">
        <v>2006</v>
      </c>
      <c r="W649" s="38" t="s">
        <v>2007</v>
      </c>
      <c r="X649" s="25" t="s">
        <v>1666</v>
      </c>
      <c r="Y649" s="25" t="s">
        <v>164</v>
      </c>
      <c r="Z649" s="25" t="s">
        <v>1451</v>
      </c>
      <c r="AA649" s="25" t="s">
        <v>2008</v>
      </c>
      <c r="AB649" s="39">
        <v>100</v>
      </c>
      <c r="AC649" s="39">
        <v>5</v>
      </c>
      <c r="AD649" s="39">
        <v>8</v>
      </c>
      <c r="AE649" s="25" t="s">
        <v>2009</v>
      </c>
      <c r="AF649" s="39">
        <v>120</v>
      </c>
      <c r="AG649" s="39">
        <v>10</v>
      </c>
      <c r="AH649" s="39">
        <v>11</v>
      </c>
      <c r="AI649" s="25" t="s">
        <v>2010</v>
      </c>
      <c r="AJ649" s="39">
        <v>140</v>
      </c>
      <c r="AK649" s="39">
        <v>10</v>
      </c>
      <c r="AL649" s="39">
        <v>13</v>
      </c>
      <c r="AM649" s="25" t="s">
        <v>2011</v>
      </c>
      <c r="AN649" s="39">
        <v>160</v>
      </c>
      <c r="AO649" s="39">
        <v>10</v>
      </c>
      <c r="AP649" s="39">
        <v>16</v>
      </c>
      <c r="AQ649" s="25" t="s">
        <v>35</v>
      </c>
      <c r="AR649" s="39"/>
    </row>
    <row r="650" spans="1:44" x14ac:dyDescent="0.2">
      <c r="A650" s="25" t="s">
        <v>39</v>
      </c>
      <c r="B650" s="25" t="s">
        <v>3613</v>
      </c>
      <c r="T650" s="25" t="s">
        <v>61</v>
      </c>
      <c r="U650" s="25">
        <v>27004</v>
      </c>
      <c r="V650" s="25" t="s">
        <v>3909</v>
      </c>
      <c r="W650" s="38" t="s">
        <v>6525</v>
      </c>
      <c r="X650" s="25">
        <v>68</v>
      </c>
      <c r="Y650" s="25" t="s">
        <v>1498</v>
      </c>
      <c r="Z650" s="25" t="s">
        <v>1451</v>
      </c>
      <c r="AA650" s="25" t="s">
        <v>1823</v>
      </c>
      <c r="AB650" s="39">
        <v>200</v>
      </c>
      <c r="AC650" s="39">
        <v>20</v>
      </c>
      <c r="AD650" s="39">
        <v>9</v>
      </c>
      <c r="AE650" s="25" t="s">
        <v>1653</v>
      </c>
      <c r="AF650" s="39">
        <v>300</v>
      </c>
      <c r="AG650" s="39">
        <v>30</v>
      </c>
      <c r="AH650" s="39">
        <v>12</v>
      </c>
      <c r="AI650" s="25" t="s">
        <v>3910</v>
      </c>
      <c r="AJ650" s="39">
        <v>400</v>
      </c>
      <c r="AK650" s="39">
        <v>40</v>
      </c>
      <c r="AL650" s="39">
        <v>14</v>
      </c>
      <c r="AM650" s="25" t="s">
        <v>3911</v>
      </c>
      <c r="AN650" s="39">
        <v>500</v>
      </c>
      <c r="AO650" s="39">
        <v>50</v>
      </c>
      <c r="AP650" s="39">
        <v>16</v>
      </c>
      <c r="AR650" s="39" t="s">
        <v>6456</v>
      </c>
    </row>
    <row r="651" spans="1:44" x14ac:dyDescent="0.2">
      <c r="A651" s="25" t="s">
        <v>39</v>
      </c>
      <c r="B651" s="25" t="s">
        <v>3662</v>
      </c>
      <c r="T651" s="25" t="s">
        <v>29</v>
      </c>
      <c r="U651" s="25">
        <v>19001</v>
      </c>
      <c r="V651" s="25" t="s">
        <v>3564</v>
      </c>
      <c r="W651" s="38" t="s">
        <v>6524</v>
      </c>
      <c r="X651" s="25">
        <v>48</v>
      </c>
      <c r="Y651" s="25" t="s">
        <v>1482</v>
      </c>
      <c r="Z651" s="25" t="s">
        <v>1451</v>
      </c>
      <c r="AA651" s="25" t="s">
        <v>3565</v>
      </c>
      <c r="AB651" s="39">
        <v>140</v>
      </c>
      <c r="AC651" s="39">
        <v>10</v>
      </c>
      <c r="AD651" s="39">
        <v>7</v>
      </c>
      <c r="AE651" s="25" t="s">
        <v>3566</v>
      </c>
      <c r="AF651" s="39">
        <v>200</v>
      </c>
      <c r="AG651" s="39">
        <v>10</v>
      </c>
      <c r="AH651" s="39">
        <v>10</v>
      </c>
      <c r="AI651" s="25" t="s">
        <v>3567</v>
      </c>
      <c r="AJ651" s="39">
        <v>280</v>
      </c>
      <c r="AK651" s="39">
        <v>15</v>
      </c>
      <c r="AL651" s="39">
        <v>12</v>
      </c>
      <c r="AM651" s="25" t="s">
        <v>3568</v>
      </c>
      <c r="AN651" s="39">
        <v>360</v>
      </c>
      <c r="AO651" s="39">
        <v>15</v>
      </c>
      <c r="AP651" s="39">
        <v>15</v>
      </c>
      <c r="AR651" s="39" t="s">
        <v>6456</v>
      </c>
    </row>
    <row r="652" spans="1:44" x14ac:dyDescent="0.2">
      <c r="A652" s="25" t="s">
        <v>39</v>
      </c>
      <c r="B652" s="25" t="s">
        <v>3704</v>
      </c>
      <c r="T652" s="25" t="s">
        <v>39</v>
      </c>
      <c r="U652" s="25">
        <v>19002</v>
      </c>
      <c r="V652" s="25" t="s">
        <v>3569</v>
      </c>
      <c r="W652" s="38" t="s">
        <v>6624</v>
      </c>
      <c r="X652" s="25">
        <v>48</v>
      </c>
      <c r="Y652" s="25" t="s">
        <v>1482</v>
      </c>
      <c r="Z652" s="25" t="s">
        <v>1451</v>
      </c>
      <c r="AA652" s="25" t="s">
        <v>3570</v>
      </c>
      <c r="AB652" s="39">
        <v>140</v>
      </c>
      <c r="AC652" s="39">
        <v>10</v>
      </c>
      <c r="AD652" s="39">
        <v>7</v>
      </c>
      <c r="AE652" s="25" t="s">
        <v>3571</v>
      </c>
      <c r="AF652" s="39">
        <v>180</v>
      </c>
      <c r="AG652" s="39">
        <v>10</v>
      </c>
      <c r="AH652" s="39">
        <v>9</v>
      </c>
      <c r="AI652" s="25" t="s">
        <v>3572</v>
      </c>
      <c r="AJ652" s="39">
        <v>240</v>
      </c>
      <c r="AK652" s="39">
        <v>15</v>
      </c>
      <c r="AL652" s="39">
        <v>12</v>
      </c>
      <c r="AM652" s="25" t="s">
        <v>3573</v>
      </c>
      <c r="AN652" s="39">
        <v>300</v>
      </c>
      <c r="AO652" s="39">
        <v>15</v>
      </c>
      <c r="AP652" s="39">
        <v>15</v>
      </c>
      <c r="AR652" s="39" t="s">
        <v>6456</v>
      </c>
    </row>
    <row r="653" spans="1:44" x14ac:dyDescent="0.2">
      <c r="A653" s="25" t="s">
        <v>39</v>
      </c>
      <c r="B653" s="25" t="s">
        <v>3745</v>
      </c>
      <c r="T653" s="25" t="s">
        <v>49</v>
      </c>
      <c r="U653" s="25">
        <v>33003</v>
      </c>
      <c r="V653" s="25" t="s">
        <v>4108</v>
      </c>
      <c r="W653" s="38" t="s">
        <v>6507</v>
      </c>
      <c r="X653" s="25">
        <v>82</v>
      </c>
      <c r="Y653" s="25" t="s">
        <v>1498</v>
      </c>
      <c r="Z653" s="25" t="s">
        <v>1451</v>
      </c>
      <c r="AA653" s="25" t="s">
        <v>1501</v>
      </c>
      <c r="AB653" s="39">
        <v>350</v>
      </c>
      <c r="AC653" s="39">
        <v>35</v>
      </c>
      <c r="AD653" s="39">
        <v>12</v>
      </c>
      <c r="AE653" s="25" t="s">
        <v>3824</v>
      </c>
      <c r="AF653" s="39">
        <v>500</v>
      </c>
      <c r="AG653" s="39">
        <v>50</v>
      </c>
      <c r="AH653" s="39">
        <v>15</v>
      </c>
      <c r="AI653" s="25" t="s">
        <v>4109</v>
      </c>
      <c r="AJ653" s="39">
        <v>800</v>
      </c>
      <c r="AK653" s="39">
        <v>80</v>
      </c>
      <c r="AL653" s="39">
        <v>17</v>
      </c>
      <c r="AM653" s="25" t="s">
        <v>4110</v>
      </c>
      <c r="AN653" s="39">
        <v>1500</v>
      </c>
      <c r="AO653" s="39">
        <v>150</v>
      </c>
      <c r="AP653" s="39">
        <v>18</v>
      </c>
      <c r="AR653" s="39" t="s">
        <v>6456</v>
      </c>
    </row>
    <row r="654" spans="1:44" x14ac:dyDescent="0.2">
      <c r="A654" s="25" t="s">
        <v>39</v>
      </c>
      <c r="B654" s="25" t="s">
        <v>3787</v>
      </c>
      <c r="T654" s="25" t="s">
        <v>61</v>
      </c>
      <c r="U654" s="25">
        <v>30004</v>
      </c>
      <c r="V654" s="25" t="s">
        <v>4029</v>
      </c>
      <c r="W654" s="38" t="s">
        <v>6604</v>
      </c>
      <c r="X654" s="25">
        <v>76</v>
      </c>
      <c r="Y654" s="25" t="s">
        <v>1498</v>
      </c>
      <c r="Z654" s="25" t="s">
        <v>1451</v>
      </c>
      <c r="AA654" s="25" t="s">
        <v>4030</v>
      </c>
      <c r="AB654" s="39">
        <v>250</v>
      </c>
      <c r="AC654" s="39">
        <v>25</v>
      </c>
      <c r="AD654" s="39">
        <v>9</v>
      </c>
      <c r="AE654" s="25" t="s">
        <v>4031</v>
      </c>
      <c r="AF654" s="39">
        <v>360</v>
      </c>
      <c r="AG654" s="39">
        <v>40</v>
      </c>
      <c r="AH654" s="39">
        <v>12</v>
      </c>
      <c r="AI654" s="25" t="s">
        <v>4032</v>
      </c>
      <c r="AJ654" s="39">
        <v>450</v>
      </c>
      <c r="AK654" s="39">
        <v>45</v>
      </c>
      <c r="AL654" s="39">
        <v>15</v>
      </c>
      <c r="AM654" s="25" t="s">
        <v>4033</v>
      </c>
      <c r="AN654" s="39">
        <v>600</v>
      </c>
      <c r="AO654" s="39">
        <v>55</v>
      </c>
      <c r="AP654" s="39">
        <v>17</v>
      </c>
      <c r="AR654" s="39" t="s">
        <v>6456</v>
      </c>
    </row>
    <row r="655" spans="1:44" x14ac:dyDescent="0.2">
      <c r="A655" s="25" t="s">
        <v>39</v>
      </c>
      <c r="B655" s="25" t="s">
        <v>3825</v>
      </c>
      <c r="T655" s="25" t="s">
        <v>1619</v>
      </c>
      <c r="U655" s="25">
        <v>7115</v>
      </c>
      <c r="V655" s="25" t="s">
        <v>2619</v>
      </c>
      <c r="W655" s="38" t="s">
        <v>2620</v>
      </c>
      <c r="X655" s="25" t="s">
        <v>1622</v>
      </c>
      <c r="Y655" s="25" t="s">
        <v>164</v>
      </c>
      <c r="Z655" s="25" t="s">
        <v>1451</v>
      </c>
      <c r="AA655" s="25" t="s">
        <v>1127</v>
      </c>
      <c r="AB655" s="39">
        <v>50</v>
      </c>
      <c r="AC655" s="39">
        <v>5</v>
      </c>
      <c r="AD655" s="39">
        <v>6</v>
      </c>
      <c r="AE655" s="25" t="s">
        <v>2121</v>
      </c>
      <c r="AF655" s="39">
        <v>100</v>
      </c>
      <c r="AG655" s="39">
        <v>10</v>
      </c>
      <c r="AH655" s="39">
        <v>9</v>
      </c>
      <c r="AI655" s="25" t="s">
        <v>1484</v>
      </c>
      <c r="AJ655" s="39">
        <v>160</v>
      </c>
      <c r="AK655" s="39">
        <v>10</v>
      </c>
      <c r="AL655" s="39">
        <v>11</v>
      </c>
      <c r="AM655" s="25" t="s">
        <v>2621</v>
      </c>
      <c r="AN655" s="39">
        <v>240</v>
      </c>
      <c r="AO655" s="39">
        <v>15</v>
      </c>
      <c r="AP655" s="39">
        <v>13</v>
      </c>
      <c r="AQ655" s="25" t="s">
        <v>70</v>
      </c>
      <c r="AR655" s="39"/>
    </row>
    <row r="656" spans="1:44" x14ac:dyDescent="0.2">
      <c r="A656" s="25" t="s">
        <v>39</v>
      </c>
      <c r="B656" s="25" t="s">
        <v>3850</v>
      </c>
    </row>
    <row r="657" spans="1:2" x14ac:dyDescent="0.2">
      <c r="A657" s="25" t="s">
        <v>39</v>
      </c>
      <c r="B657" s="25" t="s">
        <v>3903</v>
      </c>
    </row>
    <row r="658" spans="1:2" x14ac:dyDescent="0.2">
      <c r="A658" s="25" t="s">
        <v>39</v>
      </c>
      <c r="B658" s="25" t="s">
        <v>3943</v>
      </c>
    </row>
    <row r="659" spans="1:2" x14ac:dyDescent="0.2">
      <c r="A659" s="25" t="s">
        <v>39</v>
      </c>
      <c r="B659" s="25" t="s">
        <v>3991</v>
      </c>
    </row>
    <row r="660" spans="1:2" x14ac:dyDescent="0.2">
      <c r="A660" s="25" t="s">
        <v>39</v>
      </c>
      <c r="B660" s="25" t="s">
        <v>4023</v>
      </c>
    </row>
    <row r="661" spans="1:2" x14ac:dyDescent="0.2">
      <c r="A661" s="25" t="s">
        <v>39</v>
      </c>
      <c r="B661" s="25" t="s">
        <v>4068</v>
      </c>
    </row>
    <row r="662" spans="1:2" x14ac:dyDescent="0.2">
      <c r="A662" s="25" t="s">
        <v>39</v>
      </c>
      <c r="B662" s="25" t="s">
        <v>4086</v>
      </c>
    </row>
    <row r="663" spans="1:2" x14ac:dyDescent="0.2">
      <c r="A663" s="25" t="s">
        <v>39</v>
      </c>
      <c r="B663" s="25" t="s">
        <v>4107</v>
      </c>
    </row>
    <row r="664" spans="1:2" x14ac:dyDescent="0.2">
      <c r="A664" s="25" t="s">
        <v>39</v>
      </c>
      <c r="B664" s="25" t="s">
        <v>4124</v>
      </c>
    </row>
    <row r="665" spans="1:2" x14ac:dyDescent="0.2">
      <c r="A665" s="25" t="s">
        <v>39</v>
      </c>
      <c r="B665" s="25" t="s">
        <v>4143</v>
      </c>
    </row>
    <row r="666" spans="1:2" x14ac:dyDescent="0.2">
      <c r="A666" s="25" t="s">
        <v>39</v>
      </c>
      <c r="B666" s="25" t="s">
        <v>4163</v>
      </c>
    </row>
    <row r="667" spans="1:2" x14ac:dyDescent="0.2">
      <c r="A667" s="25" t="s">
        <v>39</v>
      </c>
      <c r="B667" s="25" t="s">
        <v>4189</v>
      </c>
    </row>
    <row r="668" spans="1:2" x14ac:dyDescent="0.2">
      <c r="A668" s="25" t="s">
        <v>39</v>
      </c>
      <c r="B668" s="25" t="s">
        <v>4211</v>
      </c>
    </row>
    <row r="669" spans="1:2" x14ac:dyDescent="0.2">
      <c r="A669" s="25" t="s">
        <v>39</v>
      </c>
      <c r="B669" s="25" t="s">
        <v>4229</v>
      </c>
    </row>
    <row r="670" spans="1:2" x14ac:dyDescent="0.2">
      <c r="A670" s="25" t="s">
        <v>39</v>
      </c>
      <c r="B670" s="25" t="s">
        <v>4252</v>
      </c>
    </row>
    <row r="671" spans="1:2" x14ac:dyDescent="0.2">
      <c r="A671" s="25" t="s">
        <v>1554</v>
      </c>
      <c r="B671" s="25" t="s">
        <v>1555</v>
      </c>
    </row>
    <row r="672" spans="1:2" x14ac:dyDescent="0.2">
      <c r="A672" s="25" t="s">
        <v>1554</v>
      </c>
      <c r="B672" s="25" t="s">
        <v>1777</v>
      </c>
    </row>
    <row r="673" spans="1:2" x14ac:dyDescent="0.2">
      <c r="A673" s="25" t="s">
        <v>1554</v>
      </c>
      <c r="B673" s="25" t="s">
        <v>1943</v>
      </c>
    </row>
    <row r="674" spans="1:2" x14ac:dyDescent="0.2">
      <c r="A674" s="25" t="s">
        <v>1554</v>
      </c>
      <c r="B674" s="25" t="s">
        <v>2096</v>
      </c>
    </row>
    <row r="675" spans="1:2" x14ac:dyDescent="0.2">
      <c r="A675" s="25" t="s">
        <v>1554</v>
      </c>
      <c r="B675" s="25" t="s">
        <v>2259</v>
      </c>
    </row>
    <row r="676" spans="1:2" x14ac:dyDescent="0.2">
      <c r="A676" s="25" t="s">
        <v>1554</v>
      </c>
      <c r="B676" s="25" t="s">
        <v>2422</v>
      </c>
    </row>
    <row r="677" spans="1:2" x14ac:dyDescent="0.2">
      <c r="A677" s="25" t="s">
        <v>1554</v>
      </c>
      <c r="B677" s="25" t="s">
        <v>2583</v>
      </c>
    </row>
    <row r="678" spans="1:2" x14ac:dyDescent="0.2">
      <c r="A678" s="25" t="s">
        <v>1554</v>
      </c>
      <c r="B678" s="25" t="s">
        <v>2733</v>
      </c>
    </row>
    <row r="679" spans="1:2" x14ac:dyDescent="0.2">
      <c r="A679" s="25" t="s">
        <v>1554</v>
      </c>
      <c r="B679" s="25" t="s">
        <v>2893</v>
      </c>
    </row>
    <row r="680" spans="1:2" x14ac:dyDescent="0.2">
      <c r="A680" s="25" t="s">
        <v>1554</v>
      </c>
      <c r="B680" s="25" t="s">
        <v>3040</v>
      </c>
    </row>
    <row r="681" spans="1:2" x14ac:dyDescent="0.2">
      <c r="A681" s="25" t="s">
        <v>1563</v>
      </c>
      <c r="B681" s="25" t="s">
        <v>1564</v>
      </c>
    </row>
    <row r="682" spans="1:2" x14ac:dyDescent="0.2">
      <c r="A682" s="25" t="s">
        <v>1563</v>
      </c>
      <c r="B682" s="25" t="s">
        <v>1782</v>
      </c>
    </row>
    <row r="683" spans="1:2" x14ac:dyDescent="0.2">
      <c r="A683" s="25" t="s">
        <v>1563</v>
      </c>
      <c r="B683" s="25" t="s">
        <v>1949</v>
      </c>
    </row>
    <row r="684" spans="1:2" x14ac:dyDescent="0.2">
      <c r="A684" s="25" t="s">
        <v>1563</v>
      </c>
      <c r="B684" s="25" t="s">
        <v>2102</v>
      </c>
    </row>
    <row r="685" spans="1:2" x14ac:dyDescent="0.2">
      <c r="A685" s="25" t="s">
        <v>1563</v>
      </c>
      <c r="B685" s="25" t="s">
        <v>251</v>
      </c>
    </row>
    <row r="686" spans="1:2" x14ac:dyDescent="0.2">
      <c r="A686" s="25" t="s">
        <v>1563</v>
      </c>
      <c r="B686" s="25" t="s">
        <v>2424</v>
      </c>
    </row>
    <row r="687" spans="1:2" x14ac:dyDescent="0.2">
      <c r="A687" s="25" t="s">
        <v>1563</v>
      </c>
      <c r="B687" s="25" t="s">
        <v>2585</v>
      </c>
    </row>
    <row r="688" spans="1:2" x14ac:dyDescent="0.2">
      <c r="A688" s="25" t="s">
        <v>1563</v>
      </c>
      <c r="B688" s="25" t="s">
        <v>2739</v>
      </c>
    </row>
    <row r="689" spans="1:2" x14ac:dyDescent="0.2">
      <c r="A689" s="25" t="s">
        <v>1563</v>
      </c>
      <c r="B689" s="25" t="s">
        <v>2895</v>
      </c>
    </row>
    <row r="690" spans="1:2" x14ac:dyDescent="0.2">
      <c r="A690" s="25" t="s">
        <v>1563</v>
      </c>
      <c r="B690" s="25" t="s">
        <v>3045</v>
      </c>
    </row>
    <row r="691" spans="1:2" x14ac:dyDescent="0.2">
      <c r="A691" s="25" t="s">
        <v>1579</v>
      </c>
      <c r="B691" s="25" t="s">
        <v>1580</v>
      </c>
    </row>
    <row r="692" spans="1:2" x14ac:dyDescent="0.2">
      <c r="A692" s="25" t="s">
        <v>1579</v>
      </c>
      <c r="B692" s="25" t="s">
        <v>1793</v>
      </c>
    </row>
    <row r="693" spans="1:2" x14ac:dyDescent="0.2">
      <c r="A693" s="25" t="s">
        <v>1579</v>
      </c>
      <c r="B693" s="25" t="s">
        <v>1960</v>
      </c>
    </row>
    <row r="694" spans="1:2" x14ac:dyDescent="0.2">
      <c r="A694" s="25" t="s">
        <v>1579</v>
      </c>
      <c r="B694" s="25" t="s">
        <v>2106</v>
      </c>
    </row>
    <row r="695" spans="1:2" x14ac:dyDescent="0.2">
      <c r="A695" s="25" t="s">
        <v>1579</v>
      </c>
      <c r="B695" s="25" t="s">
        <v>2270</v>
      </c>
    </row>
    <row r="696" spans="1:2" x14ac:dyDescent="0.2">
      <c r="A696" s="25" t="s">
        <v>1579</v>
      </c>
      <c r="B696" s="25" t="s">
        <v>2432</v>
      </c>
    </row>
    <row r="697" spans="1:2" x14ac:dyDescent="0.2">
      <c r="A697" s="25" t="s">
        <v>1579</v>
      </c>
      <c r="B697" s="25" t="s">
        <v>2593</v>
      </c>
    </row>
    <row r="698" spans="1:2" x14ac:dyDescent="0.2">
      <c r="A698" s="25" t="s">
        <v>1579</v>
      </c>
      <c r="B698" s="25" t="s">
        <v>2747</v>
      </c>
    </row>
    <row r="699" spans="1:2" x14ac:dyDescent="0.2">
      <c r="A699" s="25" t="s">
        <v>1579</v>
      </c>
      <c r="B699" s="25" t="s">
        <v>2902</v>
      </c>
    </row>
    <row r="700" spans="1:2" x14ac:dyDescent="0.2">
      <c r="A700" s="25" t="s">
        <v>1579</v>
      </c>
      <c r="B700" s="25" t="s">
        <v>3050</v>
      </c>
    </row>
    <row r="701" spans="1:2" x14ac:dyDescent="0.2">
      <c r="A701" s="25" t="s">
        <v>1588</v>
      </c>
      <c r="B701" s="25" t="s">
        <v>1589</v>
      </c>
    </row>
    <row r="702" spans="1:2" x14ac:dyDescent="0.2">
      <c r="A702" s="25" t="s">
        <v>1588</v>
      </c>
      <c r="B702" s="25" t="s">
        <v>1797</v>
      </c>
    </row>
    <row r="703" spans="1:2" x14ac:dyDescent="0.2">
      <c r="A703" s="25" t="s">
        <v>1588</v>
      </c>
      <c r="B703" s="25" t="s">
        <v>1962</v>
      </c>
    </row>
    <row r="704" spans="1:2" x14ac:dyDescent="0.2">
      <c r="A704" s="25" t="s">
        <v>1588</v>
      </c>
      <c r="B704" s="25" t="s">
        <v>2112</v>
      </c>
    </row>
    <row r="705" spans="1:2" x14ac:dyDescent="0.2">
      <c r="A705" s="25" t="s">
        <v>1588</v>
      </c>
      <c r="B705" s="25" t="s">
        <v>2276</v>
      </c>
    </row>
    <row r="706" spans="1:2" x14ac:dyDescent="0.2">
      <c r="A706" s="25" t="s">
        <v>1588</v>
      </c>
      <c r="B706" s="25" t="s">
        <v>2438</v>
      </c>
    </row>
    <row r="707" spans="1:2" x14ac:dyDescent="0.2">
      <c r="A707" s="25" t="s">
        <v>1588</v>
      </c>
      <c r="B707" s="25" t="s">
        <v>2596</v>
      </c>
    </row>
    <row r="708" spans="1:2" x14ac:dyDescent="0.2">
      <c r="A708" s="25" t="s">
        <v>1588</v>
      </c>
      <c r="B708" s="25" t="s">
        <v>2753</v>
      </c>
    </row>
    <row r="709" spans="1:2" x14ac:dyDescent="0.2">
      <c r="A709" s="25" t="s">
        <v>1588</v>
      </c>
      <c r="B709" s="25" t="s">
        <v>2908</v>
      </c>
    </row>
    <row r="710" spans="1:2" x14ac:dyDescent="0.2">
      <c r="A710" s="25" t="s">
        <v>1588</v>
      </c>
      <c r="B710" s="25" t="s">
        <v>3056</v>
      </c>
    </row>
    <row r="711" spans="1:2" x14ac:dyDescent="0.2">
      <c r="A711" s="25" t="s">
        <v>1596</v>
      </c>
      <c r="B711" s="25" t="s">
        <v>1597</v>
      </c>
    </row>
    <row r="712" spans="1:2" x14ac:dyDescent="0.2">
      <c r="A712" s="25" t="s">
        <v>1596</v>
      </c>
      <c r="B712" s="25" t="s">
        <v>1802</v>
      </c>
    </row>
    <row r="713" spans="1:2" x14ac:dyDescent="0.2">
      <c r="A713" s="25" t="s">
        <v>1596</v>
      </c>
      <c r="B713" s="25" t="s">
        <v>1964</v>
      </c>
    </row>
    <row r="714" spans="1:2" x14ac:dyDescent="0.2">
      <c r="A714" s="25" t="s">
        <v>1596</v>
      </c>
      <c r="B714" s="25" t="s">
        <v>2118</v>
      </c>
    </row>
    <row r="715" spans="1:2" x14ac:dyDescent="0.2">
      <c r="A715" s="25" t="s">
        <v>1596</v>
      </c>
      <c r="B715" s="25" t="s">
        <v>2280</v>
      </c>
    </row>
    <row r="716" spans="1:2" x14ac:dyDescent="0.2">
      <c r="A716" s="25" t="s">
        <v>1596</v>
      </c>
      <c r="B716" s="25" t="s">
        <v>2439</v>
      </c>
    </row>
    <row r="717" spans="1:2" x14ac:dyDescent="0.2">
      <c r="A717" s="25" t="s">
        <v>1596</v>
      </c>
      <c r="B717" s="25" t="s">
        <v>2601</v>
      </c>
    </row>
    <row r="718" spans="1:2" x14ac:dyDescent="0.2">
      <c r="A718" s="25" t="s">
        <v>1596</v>
      </c>
      <c r="B718" s="25" t="s">
        <v>2755</v>
      </c>
    </row>
    <row r="719" spans="1:2" x14ac:dyDescent="0.2">
      <c r="A719" s="25" t="s">
        <v>1596</v>
      </c>
      <c r="B719" s="25" t="s">
        <v>2913</v>
      </c>
    </row>
    <row r="720" spans="1:2" x14ac:dyDescent="0.2">
      <c r="A720" s="25" t="s">
        <v>1596</v>
      </c>
      <c r="B720" s="25" t="s">
        <v>3061</v>
      </c>
    </row>
    <row r="721" spans="1:2" x14ac:dyDescent="0.2">
      <c r="A721" s="25" t="s">
        <v>35</v>
      </c>
      <c r="B721" s="25" t="s">
        <v>1480</v>
      </c>
    </row>
    <row r="722" spans="1:2" x14ac:dyDescent="0.2">
      <c r="A722" s="25" t="s">
        <v>35</v>
      </c>
      <c r="B722" s="25" t="s">
        <v>1716</v>
      </c>
    </row>
    <row r="723" spans="1:2" x14ac:dyDescent="0.2">
      <c r="A723" s="25" t="s">
        <v>35</v>
      </c>
      <c r="B723" s="25" t="s">
        <v>1888</v>
      </c>
    </row>
    <row r="724" spans="1:2" x14ac:dyDescent="0.2">
      <c r="A724" s="25" t="s">
        <v>35</v>
      </c>
      <c r="B724" s="25" t="s">
        <v>2041</v>
      </c>
    </row>
    <row r="725" spans="1:2" x14ac:dyDescent="0.2">
      <c r="A725" s="25" t="s">
        <v>35</v>
      </c>
      <c r="B725" s="25" t="s">
        <v>2203</v>
      </c>
    </row>
    <row r="726" spans="1:2" x14ac:dyDescent="0.2">
      <c r="A726" s="25" t="s">
        <v>35</v>
      </c>
      <c r="B726" s="25" t="s">
        <v>2363</v>
      </c>
    </row>
    <row r="727" spans="1:2" x14ac:dyDescent="0.2">
      <c r="A727" s="25" t="s">
        <v>35</v>
      </c>
      <c r="B727" s="25" t="s">
        <v>2527</v>
      </c>
    </row>
    <row r="728" spans="1:2" x14ac:dyDescent="0.2">
      <c r="A728" s="25" t="s">
        <v>35</v>
      </c>
      <c r="B728" s="25" t="s">
        <v>2688</v>
      </c>
    </row>
    <row r="729" spans="1:2" x14ac:dyDescent="0.2">
      <c r="A729" s="25" t="s">
        <v>35</v>
      </c>
      <c r="B729" s="25" t="s">
        <v>2837</v>
      </c>
    </row>
    <row r="730" spans="1:2" x14ac:dyDescent="0.2">
      <c r="A730" s="25" t="s">
        <v>35</v>
      </c>
      <c r="B730" s="25" t="s">
        <v>2993</v>
      </c>
    </row>
    <row r="731" spans="1:2" x14ac:dyDescent="0.2">
      <c r="A731" s="25" t="s">
        <v>35</v>
      </c>
      <c r="B731" s="25" t="s">
        <v>3133</v>
      </c>
    </row>
    <row r="732" spans="1:2" x14ac:dyDescent="0.2">
      <c r="A732" s="25" t="s">
        <v>35</v>
      </c>
      <c r="B732" s="25" t="s">
        <v>288</v>
      </c>
    </row>
    <row r="733" spans="1:2" x14ac:dyDescent="0.2">
      <c r="A733" s="25" t="s">
        <v>35</v>
      </c>
      <c r="B733" s="25" t="s">
        <v>3321</v>
      </c>
    </row>
    <row r="734" spans="1:2" x14ac:dyDescent="0.2">
      <c r="A734" s="25" t="s">
        <v>35</v>
      </c>
      <c r="B734" s="25" t="s">
        <v>3377</v>
      </c>
    </row>
    <row r="735" spans="1:2" x14ac:dyDescent="0.2">
      <c r="A735" s="25" t="s">
        <v>35</v>
      </c>
      <c r="B735" s="25" t="s">
        <v>648</v>
      </c>
    </row>
    <row r="736" spans="1:2" x14ac:dyDescent="0.2">
      <c r="A736" s="25" t="s">
        <v>35</v>
      </c>
      <c r="B736" s="25" t="s">
        <v>3465</v>
      </c>
    </row>
    <row r="737" spans="1:2" x14ac:dyDescent="0.2">
      <c r="A737" s="25" t="s">
        <v>35</v>
      </c>
      <c r="B737" s="25" t="s">
        <v>3513</v>
      </c>
    </row>
    <row r="738" spans="1:2" x14ac:dyDescent="0.2">
      <c r="A738" s="25" t="s">
        <v>35</v>
      </c>
      <c r="B738" s="25" t="s">
        <v>3547</v>
      </c>
    </row>
    <row r="739" spans="1:2" x14ac:dyDescent="0.2">
      <c r="A739" s="25" t="s">
        <v>35</v>
      </c>
      <c r="B739" s="25" t="s">
        <v>3591</v>
      </c>
    </row>
    <row r="740" spans="1:2" x14ac:dyDescent="0.2">
      <c r="A740" s="25" t="s">
        <v>35</v>
      </c>
      <c r="B740" s="25" t="s">
        <v>3636</v>
      </c>
    </row>
    <row r="741" spans="1:2" x14ac:dyDescent="0.2">
      <c r="A741" s="25" t="s">
        <v>35</v>
      </c>
      <c r="B741" s="25" t="s">
        <v>3677</v>
      </c>
    </row>
    <row r="742" spans="1:2" x14ac:dyDescent="0.2">
      <c r="A742" s="25" t="s">
        <v>35</v>
      </c>
      <c r="B742" s="25" t="s">
        <v>3724</v>
      </c>
    </row>
    <row r="743" spans="1:2" x14ac:dyDescent="0.2">
      <c r="A743" s="25" t="s">
        <v>35</v>
      </c>
      <c r="B743" s="25" t="s">
        <v>3762</v>
      </c>
    </row>
    <row r="744" spans="1:2" x14ac:dyDescent="0.2">
      <c r="A744" s="25" t="s">
        <v>35</v>
      </c>
      <c r="B744" s="25" t="s">
        <v>3804</v>
      </c>
    </row>
    <row r="745" spans="1:2" x14ac:dyDescent="0.2">
      <c r="A745" s="25" t="s">
        <v>35</v>
      </c>
      <c r="B745" s="25" t="s">
        <v>3838</v>
      </c>
    </row>
    <row r="746" spans="1:2" x14ac:dyDescent="0.2">
      <c r="A746" s="25" t="s">
        <v>35</v>
      </c>
      <c r="B746" s="25" t="s">
        <v>3870</v>
      </c>
    </row>
    <row r="747" spans="1:2" x14ac:dyDescent="0.2">
      <c r="A747" s="25" t="s">
        <v>35</v>
      </c>
      <c r="B747" s="25" t="s">
        <v>3916</v>
      </c>
    </row>
    <row r="748" spans="1:2" x14ac:dyDescent="0.2">
      <c r="A748" s="25" t="s">
        <v>35</v>
      </c>
      <c r="B748" s="25" t="s">
        <v>3964</v>
      </c>
    </row>
    <row r="749" spans="1:2" x14ac:dyDescent="0.2">
      <c r="A749" s="25" t="s">
        <v>35</v>
      </c>
      <c r="B749" s="25" t="s">
        <v>3999</v>
      </c>
    </row>
    <row r="750" spans="1:2" x14ac:dyDescent="0.2">
      <c r="A750" s="25" t="s">
        <v>35</v>
      </c>
      <c r="B750" s="25" t="s">
        <v>4041</v>
      </c>
    </row>
    <row r="751" spans="1:2" x14ac:dyDescent="0.2">
      <c r="A751" s="25" t="s">
        <v>264</v>
      </c>
      <c r="B751" s="25" t="s">
        <v>1604</v>
      </c>
    </row>
    <row r="752" spans="1:2" x14ac:dyDescent="0.2">
      <c r="A752" s="25" t="s">
        <v>264</v>
      </c>
      <c r="B752" s="25" t="s">
        <v>1808</v>
      </c>
    </row>
    <row r="753" spans="1:2" x14ac:dyDescent="0.2">
      <c r="A753" s="25" t="s">
        <v>264</v>
      </c>
      <c r="B753" s="25" t="s">
        <v>1970</v>
      </c>
    </row>
    <row r="754" spans="1:2" x14ac:dyDescent="0.2">
      <c r="A754" s="25" t="s">
        <v>264</v>
      </c>
      <c r="B754" s="25" t="s">
        <v>2122</v>
      </c>
    </row>
    <row r="755" spans="1:2" x14ac:dyDescent="0.2">
      <c r="A755" s="25" t="s">
        <v>264</v>
      </c>
      <c r="B755" s="25" t="s">
        <v>2285</v>
      </c>
    </row>
    <row r="756" spans="1:2" x14ac:dyDescent="0.2">
      <c r="A756" s="25" t="s">
        <v>264</v>
      </c>
      <c r="B756" s="25" t="s">
        <v>2445</v>
      </c>
    </row>
    <row r="757" spans="1:2" x14ac:dyDescent="0.2">
      <c r="A757" s="25" t="s">
        <v>264</v>
      </c>
      <c r="B757" s="25" t="s">
        <v>2607</v>
      </c>
    </row>
    <row r="758" spans="1:2" x14ac:dyDescent="0.2">
      <c r="A758" s="25" t="s">
        <v>264</v>
      </c>
      <c r="B758" s="25" t="s">
        <v>2761</v>
      </c>
    </row>
    <row r="759" spans="1:2" x14ac:dyDescent="0.2">
      <c r="A759" s="25" t="s">
        <v>264</v>
      </c>
      <c r="B759" s="25" t="s">
        <v>2919</v>
      </c>
    </row>
    <row r="760" spans="1:2" x14ac:dyDescent="0.2">
      <c r="A760" s="25" t="s">
        <v>264</v>
      </c>
      <c r="B760" s="25" t="s">
        <v>3067</v>
      </c>
    </row>
    <row r="761" spans="1:2" x14ac:dyDescent="0.2">
      <c r="A761" s="25" t="s">
        <v>1611</v>
      </c>
      <c r="B761" s="25" t="s">
        <v>1612</v>
      </c>
    </row>
    <row r="762" spans="1:2" x14ac:dyDescent="0.2">
      <c r="A762" s="25" t="s">
        <v>1611</v>
      </c>
      <c r="B762" s="25" t="s">
        <v>1811</v>
      </c>
    </row>
    <row r="763" spans="1:2" x14ac:dyDescent="0.2">
      <c r="A763" s="25" t="s">
        <v>1611</v>
      </c>
      <c r="B763" s="25" t="s">
        <v>1972</v>
      </c>
    </row>
    <row r="764" spans="1:2" x14ac:dyDescent="0.2">
      <c r="A764" s="25" t="s">
        <v>1611</v>
      </c>
      <c r="B764" s="25" t="s">
        <v>2128</v>
      </c>
    </row>
    <row r="765" spans="1:2" x14ac:dyDescent="0.2">
      <c r="A765" s="25" t="s">
        <v>1611</v>
      </c>
      <c r="B765" s="25" t="s">
        <v>2288</v>
      </c>
    </row>
    <row r="766" spans="1:2" x14ac:dyDescent="0.2">
      <c r="A766" s="25" t="s">
        <v>1611</v>
      </c>
      <c r="B766" s="25" t="s">
        <v>2450</v>
      </c>
    </row>
    <row r="767" spans="1:2" x14ac:dyDescent="0.2">
      <c r="A767" s="25" t="s">
        <v>1611</v>
      </c>
      <c r="B767" s="25" t="s">
        <v>2613</v>
      </c>
    </row>
    <row r="768" spans="1:2" x14ac:dyDescent="0.2">
      <c r="A768" s="25" t="s">
        <v>1611</v>
      </c>
      <c r="B768" s="25" t="s">
        <v>2767</v>
      </c>
    </row>
    <row r="769" spans="1:2" x14ac:dyDescent="0.2">
      <c r="A769" s="25" t="s">
        <v>1611</v>
      </c>
      <c r="B769" s="25" t="s">
        <v>2925</v>
      </c>
    </row>
    <row r="770" spans="1:2" x14ac:dyDescent="0.2">
      <c r="A770" s="25" t="s">
        <v>1611</v>
      </c>
      <c r="B770" s="25" t="s">
        <v>3069</v>
      </c>
    </row>
  </sheetData>
  <sheetProtection selectLockedCells="1" selectUnlockedCells="1"/>
  <sortState ref="AX47:AX56">
    <sortCondition descending="1" ref="AX47:AX56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B44" sqref="B44:D44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41" t="s">
        <v>4265</v>
      </c>
      <c r="B1" s="525" t="s">
        <v>4266</v>
      </c>
      <c r="C1" s="525"/>
    </row>
    <row r="2" spans="1:3" x14ac:dyDescent="0.2">
      <c r="A2" s="41">
        <v>11</v>
      </c>
      <c r="B2" s="525" t="str">
        <f>LOOKUP($A$2,HP!$H$1:$I$14)</f>
        <v>Electromagnetismo</v>
      </c>
      <c r="C2" s="525"/>
    </row>
    <row r="3" spans="1:3" x14ac:dyDescent="0.2">
      <c r="A3" s="525" t="s">
        <v>20</v>
      </c>
      <c r="B3" s="525"/>
      <c r="C3" s="525"/>
    </row>
    <row r="4" spans="1:3" x14ac:dyDescent="0.2">
      <c r="A4" s="41">
        <f>LOOKUP($A$2,HP!$H$1:$H$14,HP!$J$1:$J$14)</f>
        <v>1101</v>
      </c>
      <c r="B4" s="525" t="str">
        <f>LOOKUP(A4,HP!$H$17:$H$141,HP!$I$17:$I$141)</f>
        <v>Localización psíquica</v>
      </c>
      <c r="C4" s="525"/>
    </row>
    <row r="5" spans="1:3" x14ac:dyDescent="0.2">
      <c r="A5" s="41">
        <f>LOOKUP($A$2,HP!$H$1:$H$14,HP!$K$1:$K$14)</f>
        <v>1102</v>
      </c>
      <c r="B5" s="525" t="str">
        <f>LOOKUP(A5,HP!$H$17:$H$141,HP!$I$17:$I$141)</f>
        <v>Localización psíquica</v>
      </c>
      <c r="C5" s="525"/>
    </row>
    <row r="6" spans="1:3" x14ac:dyDescent="0.2">
      <c r="A6" s="41">
        <f>LOOKUP($A$2,HP!$H$1:$H$14,HP!$L$1:$L$14)</f>
        <v>1103</v>
      </c>
      <c r="B6" s="525" t="str">
        <f>LOOKUP(A6,HP!$H$17:$H$141,HP!$I$17:$I$141)</f>
        <v>Localización psíquica</v>
      </c>
      <c r="C6" s="525"/>
    </row>
    <row r="7" spans="1:3" x14ac:dyDescent="0.2">
      <c r="A7" s="41">
        <f>LOOKUP($A$2,HP!$H$1:$H$14,HP!$M$1:$M$14)</f>
        <v>1104</v>
      </c>
      <c r="B7" s="525" t="str">
        <f>LOOKUP(A7,HP!$H$17:$H$141,HP!$I$17:$I$141)</f>
        <v>Manipulación magnética</v>
      </c>
      <c r="C7" s="525"/>
    </row>
    <row r="8" spans="1:3" x14ac:dyDescent="0.2">
      <c r="A8" s="41">
        <f>LOOKUP($A$2,HP!$H$1:$H$14,HP!$N$1:$N$14)</f>
        <v>1105</v>
      </c>
      <c r="B8" s="525" t="str">
        <f>LOOKUP(A8,HP!$H$17:$H$141,HP!$I$17:$I$141)</f>
        <v>Manipulación magnética</v>
      </c>
      <c r="C8" s="525"/>
    </row>
    <row r="9" spans="1:3" x14ac:dyDescent="0.2">
      <c r="A9" s="41">
        <f>LOOKUP($A$2,HP!$H$1:$H$14,HP!$O$1:$O$14)</f>
        <v>1106</v>
      </c>
      <c r="B9" s="525" t="str">
        <f>LOOKUP(A9,HP!$H$17:$H$141,HP!$I$17:$I$141)</f>
        <v>Manipulación magnética</v>
      </c>
      <c r="C9" s="525"/>
    </row>
    <row r="10" spans="1:3" x14ac:dyDescent="0.2">
      <c r="A10" s="41">
        <f>LOOKUP($A$2,HP!$H$1:$H$14,HP!$P$1:$P$14)</f>
        <v>1107</v>
      </c>
      <c r="B10" s="525" t="str">
        <f>LOOKUP(A10,HP!$H$17:$H$141,HP!$I$17:$I$141)</f>
        <v>Manipulación magnética</v>
      </c>
      <c r="C10" s="525"/>
    </row>
    <row r="11" spans="1:3" x14ac:dyDescent="0.2">
      <c r="A11" s="41">
        <f>LOOKUP($A$2,HP!$H$1:$H$14,HP!$Q$1:$Q$14)</f>
        <v>1108</v>
      </c>
      <c r="B11" s="525" t="str">
        <f>LOOKUP(A11,HP!$H$17:$H$141,HP!$I$17:$I$141)</f>
        <v>Manipulación magnética</v>
      </c>
      <c r="C11" s="525"/>
    </row>
    <row r="12" spans="1:3" x14ac:dyDescent="0.2">
      <c r="A12" s="41">
        <f>LOOKUP($A$2,HP!$H$1:$H$14,HP!$R$1:$R$14)</f>
        <v>1109</v>
      </c>
      <c r="B12" s="525" t="str">
        <f>LOOKUP(A12,HP!$H$17:$H$141,HP!$I$17:$I$141)</f>
        <v>Manipulación magnética</v>
      </c>
      <c r="C12" s="525"/>
    </row>
    <row r="13" spans="1:3" x14ac:dyDescent="0.2">
      <c r="A13" s="41">
        <f>LOOKUP($A$2,HP!$H$1:$H$14,HP!$S$1:$S$14)</f>
        <v>0</v>
      </c>
      <c r="B13" s="525">
        <f>LOOKUP(A13,HP!$H$17:$H$141,HP!$I$17:$I$141)</f>
        <v>0</v>
      </c>
      <c r="C13" s="525"/>
    </row>
    <row r="14" spans="1:3" x14ac:dyDescent="0.2">
      <c r="A14" s="41">
        <f>LOOKUP($A$2,HP!$H$1:$H$14,HP!$T$1:$T$14)</f>
        <v>0</v>
      </c>
      <c r="B14" s="525">
        <f>LOOKUP(A14,HP!$H$17:$H$141,HP!$I$17:$I$141)</f>
        <v>0</v>
      </c>
      <c r="C14" s="525"/>
    </row>
    <row r="15" spans="1:3" x14ac:dyDescent="0.2">
      <c r="A15" s="41">
        <f>LOOKUP($A$2,HP!$H$1:$H$14,HP!$U$1:$U$14)</f>
        <v>0</v>
      </c>
      <c r="B15" s="525">
        <f>LOOKUP(A15,HP!$H$17:$H$141,HP!$I$17:$I$141)</f>
        <v>0</v>
      </c>
      <c r="C15" s="525"/>
    </row>
    <row r="16" spans="1:3" x14ac:dyDescent="0.2">
      <c r="A16" s="41">
        <f>LOOKUP($A$2,HP!$H$1:$H$14,HP!$V$1:$V$14)</f>
        <v>0</v>
      </c>
      <c r="B16" s="525">
        <f>LOOKUP(A16,HP!$H$17:$H$141,HP!$I$17:$I$141)</f>
        <v>0</v>
      </c>
      <c r="C16" s="525"/>
    </row>
    <row r="17" spans="1:5" x14ac:dyDescent="0.2">
      <c r="A17" s="41">
        <f>LOOKUP($A$2,HP!$H$1:$H$14,HP!$W$1:$W$14)</f>
        <v>0</v>
      </c>
      <c r="B17" s="525">
        <f>LOOKUP(A17,HP!$H$17:$H$141,HP!$I$17:$I$141)</f>
        <v>0</v>
      </c>
      <c r="C17" s="525"/>
    </row>
    <row r="18" spans="1:5" x14ac:dyDescent="0.2">
      <c r="A18" s="41">
        <f>LOOKUP($A$2,HP!$H$1:$H$14,HP!$X$1:$X$14)</f>
        <v>0</v>
      </c>
      <c r="B18" s="525">
        <f>LOOKUP(A18,HP!$H$17:$H$141,HP!$I$17:$I$141)</f>
        <v>0</v>
      </c>
      <c r="C18" s="525"/>
    </row>
    <row r="19" spans="1:5" x14ac:dyDescent="0.2">
      <c r="A19" s="42"/>
      <c r="B19" s="526"/>
      <c r="C19" s="526"/>
    </row>
    <row r="20" spans="1:5" x14ac:dyDescent="0.2">
      <c r="A20" s="47" t="s">
        <v>169</v>
      </c>
      <c r="B20" s="358" t="s">
        <v>0</v>
      </c>
      <c r="C20" s="358"/>
      <c r="E20" s="65" t="s">
        <v>5218</v>
      </c>
    </row>
    <row r="21" spans="1:5" x14ac:dyDescent="0.2">
      <c r="A21" s="46"/>
      <c r="B21" s="322"/>
      <c r="C21" s="322"/>
    </row>
    <row r="22" spans="1:5" x14ac:dyDescent="0.2">
      <c r="A22" s="47" t="s">
        <v>14</v>
      </c>
      <c r="B22" s="47" t="s">
        <v>175</v>
      </c>
      <c r="C22" s="47" t="s">
        <v>177</v>
      </c>
    </row>
    <row r="23" spans="1:5" x14ac:dyDescent="0.2">
      <c r="A23" s="46" t="str">
        <f>LOOKUP(B21,HP!$I$17:$I$141,HP!$J$17:$J$141)</f>
        <v/>
      </c>
      <c r="B23" s="46" t="str">
        <f>LOOKUP(B21,HP!$I$17:$I$141,HP!$K$17:$K$141)</f>
        <v/>
      </c>
      <c r="C23" s="46" t="str">
        <f>LOOKUP(B21,HP!$I$17:$I$141,HP!$L$17:$L$141)</f>
        <v/>
      </c>
    </row>
    <row r="24" spans="1:5" x14ac:dyDescent="0.2">
      <c r="A24" s="358" t="s">
        <v>138</v>
      </c>
      <c r="B24" s="365" t="str">
        <f>LOOKUP(B21,HP!$I$17:$I$141,HP!$M$17:$M$141)</f>
        <v/>
      </c>
      <c r="C24" s="365"/>
    </row>
    <row r="25" spans="1:5" x14ac:dyDescent="0.2">
      <c r="A25" s="358"/>
      <c r="B25" s="365"/>
      <c r="C25" s="365"/>
    </row>
    <row r="26" spans="1:5" x14ac:dyDescent="0.2">
      <c r="A26" s="358"/>
      <c r="B26" s="365"/>
      <c r="C26" s="365"/>
    </row>
    <row r="27" spans="1:5" x14ac:dyDescent="0.2">
      <c r="A27" s="46">
        <v>20</v>
      </c>
      <c r="B27" s="322" t="str">
        <f>LOOKUP(B21,HP!$I$17:$I$141,HP!$N$17:$N$141)</f>
        <v/>
      </c>
      <c r="C27" s="322"/>
    </row>
    <row r="28" spans="1:5" x14ac:dyDescent="0.2">
      <c r="A28" s="46">
        <v>40</v>
      </c>
      <c r="B28" s="322" t="str">
        <f>LOOKUP(B21,HP!$I$17:$I$141,HP!$O$17:$O$141)</f>
        <v/>
      </c>
      <c r="C28" s="322"/>
    </row>
    <row r="29" spans="1:5" x14ac:dyDescent="0.2">
      <c r="A29" s="46">
        <v>80</v>
      </c>
      <c r="B29" s="322" t="str">
        <f>LOOKUP(B21,HP!$I$17:$I$141,HP!$P$17:$P$141)</f>
        <v/>
      </c>
      <c r="C29" s="322"/>
    </row>
    <row r="30" spans="1:5" x14ac:dyDescent="0.2">
      <c r="A30" s="46">
        <v>120</v>
      </c>
      <c r="B30" s="322" t="str">
        <f>LOOKUP(B21,HP!$I$17:$I$141,HP!$Q$17:$Q$141)</f>
        <v/>
      </c>
      <c r="C30" s="322"/>
    </row>
    <row r="31" spans="1:5" x14ac:dyDescent="0.2">
      <c r="A31" s="46">
        <v>140</v>
      </c>
      <c r="B31" s="322" t="str">
        <f>LOOKUP(B21,HP!$I$17:$I$141,HP!$R$17:$R$141)</f>
        <v/>
      </c>
      <c r="C31" s="322"/>
    </row>
    <row r="32" spans="1:5" x14ac:dyDescent="0.2">
      <c r="A32" s="46">
        <v>180</v>
      </c>
      <c r="B32" s="322" t="str">
        <f>LOOKUP(B21,HP!$I$17:$I$141,HP!$S$17:$S$141)</f>
        <v/>
      </c>
      <c r="C32" s="322"/>
    </row>
    <row r="33" spans="1:4" x14ac:dyDescent="0.2">
      <c r="A33" s="46">
        <v>240</v>
      </c>
      <c r="B33" s="322" t="str">
        <f>LOOKUP(B21,HP!$I$17:$I$141,HP!$T$17:$T$141)</f>
        <v/>
      </c>
      <c r="C33" s="322"/>
    </row>
    <row r="34" spans="1:4" x14ac:dyDescent="0.2">
      <c r="A34" s="46">
        <v>280</v>
      </c>
      <c r="B34" s="322" t="str">
        <f>LOOKUP(B21,HP!$I$17:$I$141,HP!$U$17:$U$141)</f>
        <v/>
      </c>
      <c r="C34" s="322"/>
    </row>
    <row r="35" spans="1:4" x14ac:dyDescent="0.2">
      <c r="A35" s="46">
        <v>320</v>
      </c>
      <c r="B35" s="322" t="str">
        <f>LOOKUP(B21,HP!$I$17:$I$141,HP!$V$17:$V$141)</f>
        <v/>
      </c>
      <c r="C35" s="322"/>
    </row>
    <row r="36" spans="1:4" x14ac:dyDescent="0.2">
      <c r="A36" s="46">
        <v>440</v>
      </c>
      <c r="B36" s="322" t="str">
        <f>LOOKUP(B21,HP!$I$17:$I$141,HP!$W$17:$W$141)</f>
        <v/>
      </c>
      <c r="C36" s="322"/>
    </row>
    <row r="43" spans="1:4" x14ac:dyDescent="0.2">
      <c r="A43" s="47" t="s">
        <v>169</v>
      </c>
      <c r="B43" s="358" t="s">
        <v>0</v>
      </c>
      <c r="C43" s="358"/>
      <c r="D43" s="358"/>
    </row>
    <row r="44" spans="1:4" x14ac:dyDescent="0.2">
      <c r="A44" s="46"/>
      <c r="B44" s="322"/>
      <c r="C44" s="322"/>
      <c r="D44" s="322"/>
    </row>
    <row r="45" spans="1:4" x14ac:dyDescent="0.2">
      <c r="A45" s="47" t="s">
        <v>14</v>
      </c>
      <c r="B45" s="47" t="s">
        <v>175</v>
      </c>
      <c r="C45" s="358" t="s">
        <v>177</v>
      </c>
      <c r="D45" s="358"/>
    </row>
    <row r="46" spans="1:4" x14ac:dyDescent="0.2">
      <c r="A46" s="46" t="str">
        <f>LOOKUP(B44,HP!$I$17:$I$141,HP!$J$17:$J$141)</f>
        <v/>
      </c>
      <c r="B46" s="46" t="str">
        <f>LOOKUP(B44,HP!$I$17:$I$141,HP!$K$17:$K$141)</f>
        <v/>
      </c>
      <c r="C46" s="322" t="str">
        <f>LOOKUP(B44,HP!$I$17:$I$141,HP!$L$17:$L$141)</f>
        <v/>
      </c>
      <c r="D46" s="322"/>
    </row>
    <row r="47" spans="1:4" x14ac:dyDescent="0.2">
      <c r="A47" s="358" t="s">
        <v>138</v>
      </c>
      <c r="B47" s="365" t="str">
        <f>LOOKUP(B44,HP!$I$17:$I$141,HP!$M$17:$M$141)</f>
        <v/>
      </c>
      <c r="C47" s="365"/>
      <c r="D47" s="365"/>
    </row>
    <row r="48" spans="1:4" x14ac:dyDescent="0.2">
      <c r="A48" s="358"/>
      <c r="B48" s="365"/>
      <c r="C48" s="365"/>
      <c r="D48" s="365"/>
    </row>
    <row r="49" spans="1:4" x14ac:dyDescent="0.2">
      <c r="A49" s="358"/>
      <c r="B49" s="365"/>
      <c r="C49" s="365"/>
      <c r="D49" s="365"/>
    </row>
    <row r="50" spans="1:4" x14ac:dyDescent="0.2">
      <c r="A50" s="46">
        <v>20</v>
      </c>
      <c r="B50" s="322" t="str">
        <f>LOOKUP(B44,HP!$I$17:$I$141,HP!$N$17:$N$141)</f>
        <v/>
      </c>
      <c r="C50" s="322"/>
      <c r="D50" s="322"/>
    </row>
    <row r="51" spans="1:4" x14ac:dyDescent="0.2">
      <c r="A51" s="46">
        <v>40</v>
      </c>
      <c r="B51" s="322" t="str">
        <f>LOOKUP(B44,HP!$I$17:$I$141,HP!$O$17:$O$141)</f>
        <v/>
      </c>
      <c r="C51" s="322"/>
      <c r="D51" s="322"/>
    </row>
    <row r="52" spans="1:4" x14ac:dyDescent="0.2">
      <c r="A52" s="46">
        <v>80</v>
      </c>
      <c r="B52" s="322" t="str">
        <f>LOOKUP(B44,HP!$I$17:$I$141,HP!$P$17:$P$141)</f>
        <v/>
      </c>
      <c r="C52" s="322"/>
      <c r="D52" s="322"/>
    </row>
    <row r="53" spans="1:4" x14ac:dyDescent="0.2">
      <c r="A53" s="46">
        <v>120</v>
      </c>
      <c r="B53" s="322" t="str">
        <f>LOOKUP(B44,HP!$I$17:$I$141,HP!$Q$17:$Q$141)</f>
        <v/>
      </c>
      <c r="C53" s="322"/>
      <c r="D53" s="322"/>
    </row>
    <row r="54" spans="1:4" x14ac:dyDescent="0.2">
      <c r="A54" s="46">
        <v>140</v>
      </c>
      <c r="B54" s="322" t="str">
        <f>LOOKUP(B44,HP!$I$17:$I$141,HP!$R$17:$R$141)</f>
        <v/>
      </c>
      <c r="C54" s="322"/>
      <c r="D54" s="322"/>
    </row>
    <row r="55" spans="1:4" x14ac:dyDescent="0.2">
      <c r="A55" s="46">
        <v>180</v>
      </c>
      <c r="B55" s="322" t="str">
        <f>LOOKUP(B44,HP!$I$17:$I$141,HP!$S$17:$S$141)</f>
        <v/>
      </c>
      <c r="C55" s="322"/>
      <c r="D55" s="322"/>
    </row>
    <row r="56" spans="1:4" x14ac:dyDescent="0.2">
      <c r="A56" s="46">
        <v>240</v>
      </c>
      <c r="B56" s="322" t="str">
        <f>LOOKUP(B44,HP!$I$17:$I$141,HP!$T$17:$T$141)</f>
        <v/>
      </c>
      <c r="C56" s="322"/>
      <c r="D56" s="322"/>
    </row>
    <row r="57" spans="1:4" x14ac:dyDescent="0.2">
      <c r="A57" s="46">
        <v>280</v>
      </c>
      <c r="B57" s="322" t="str">
        <f>LOOKUP(B44,HP!$I$17:$I$141,HP!$U$17:$U$141)</f>
        <v/>
      </c>
      <c r="C57" s="322"/>
      <c r="D57" s="322"/>
    </row>
    <row r="58" spans="1:4" x14ac:dyDescent="0.2">
      <c r="A58" s="46">
        <v>320</v>
      </c>
      <c r="B58" s="322" t="str">
        <f>LOOKUP(B44,HP!$I$17:$I$141,HP!$V$17:$V$141)</f>
        <v/>
      </c>
      <c r="C58" s="322"/>
      <c r="D58" s="322"/>
    </row>
    <row r="59" spans="1:4" x14ac:dyDescent="0.2">
      <c r="A59" s="46">
        <v>440</v>
      </c>
      <c r="B59" s="322" t="str">
        <f>LOOKUP(B44,HP!$I$17:$I$141,HP!$W$17:$W$141)</f>
        <v/>
      </c>
      <c r="C59" s="322"/>
      <c r="D59" s="322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" zoomScale="130" zoomScaleNormal="130" workbookViewId="0">
      <selection activeCell="I16" sqref="I16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4267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4268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4269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4270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4271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4272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3321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4273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4274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4275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4276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3284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29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4277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169</v>
      </c>
      <c r="I16" t="s">
        <v>0</v>
      </c>
      <c r="J16" t="s">
        <v>14</v>
      </c>
      <c r="K16" t="s">
        <v>175</v>
      </c>
      <c r="L16" t="s">
        <v>177</v>
      </c>
      <c r="M16" t="s">
        <v>138</v>
      </c>
      <c r="N16" t="s">
        <v>458</v>
      </c>
      <c r="O16" t="s">
        <v>5219</v>
      </c>
      <c r="P16" t="s">
        <v>5220</v>
      </c>
      <c r="Q16" t="s">
        <v>5221</v>
      </c>
      <c r="R16" t="s">
        <v>5222</v>
      </c>
      <c r="S16" t="s">
        <v>5223</v>
      </c>
      <c r="T16" t="s">
        <v>5224</v>
      </c>
      <c r="U16" t="s">
        <v>5225</v>
      </c>
      <c r="V16" t="s">
        <v>5226</v>
      </c>
      <c r="W16" t="s">
        <v>5227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65" t="s">
        <v>5703</v>
      </c>
      <c r="K17" s="65" t="s">
        <v>5703</v>
      </c>
      <c r="L17" s="65" t="s">
        <v>5703</v>
      </c>
      <c r="M17" s="65" t="s">
        <v>5703</v>
      </c>
      <c r="N17" s="65" t="s">
        <v>5703</v>
      </c>
      <c r="O17" s="65" t="s">
        <v>5703</v>
      </c>
      <c r="P17" s="65" t="s">
        <v>5703</v>
      </c>
      <c r="Q17" s="65" t="s">
        <v>5703</v>
      </c>
      <c r="R17" s="65" t="s">
        <v>5703</v>
      </c>
      <c r="S17" s="65" t="s">
        <v>5703</v>
      </c>
      <c r="T17" s="65" t="s">
        <v>5703</v>
      </c>
      <c r="U17" s="65" t="s">
        <v>5703</v>
      </c>
      <c r="V17" s="65" t="s">
        <v>5703</v>
      </c>
      <c r="W17" s="65" t="s">
        <v>5703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4978</v>
      </c>
      <c r="J18">
        <v>3</v>
      </c>
      <c r="K18" t="s">
        <v>1451</v>
      </c>
      <c r="L18" t="s">
        <v>4279</v>
      </c>
      <c r="M18" t="s">
        <v>4979</v>
      </c>
      <c r="N18" t="s">
        <v>4354</v>
      </c>
      <c r="O18" t="s">
        <v>4351</v>
      </c>
      <c r="P18" t="s">
        <v>4330</v>
      </c>
      <c r="Q18" t="s">
        <v>4325</v>
      </c>
      <c r="R18" t="s">
        <v>4322</v>
      </c>
      <c r="S18" t="s">
        <v>4980</v>
      </c>
      <c r="T18" t="s">
        <v>4981</v>
      </c>
      <c r="U18" t="s">
        <v>4982</v>
      </c>
      <c r="V18" t="s">
        <v>4983</v>
      </c>
      <c r="W18" t="s">
        <v>4984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4891</v>
      </c>
      <c r="J19">
        <v>2</v>
      </c>
      <c r="K19" t="s">
        <v>1451</v>
      </c>
      <c r="L19" t="s">
        <v>244</v>
      </c>
      <c r="M19" t="s">
        <v>4892</v>
      </c>
      <c r="N19" t="s">
        <v>4325</v>
      </c>
      <c r="O19" t="s">
        <v>4322</v>
      </c>
      <c r="P19" t="s">
        <v>4281</v>
      </c>
      <c r="Q19" t="s">
        <v>4282</v>
      </c>
      <c r="R19" t="s">
        <v>4893</v>
      </c>
      <c r="S19" t="s">
        <v>4894</v>
      </c>
      <c r="T19" t="s">
        <v>4895</v>
      </c>
      <c r="U19" t="s">
        <v>4896</v>
      </c>
      <c r="V19" t="s">
        <v>4897</v>
      </c>
      <c r="W19" t="s">
        <v>4898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4323</v>
      </c>
      <c r="J20">
        <v>2</v>
      </c>
      <c r="K20" t="s">
        <v>1451</v>
      </c>
      <c r="L20" t="s">
        <v>4279</v>
      </c>
      <c r="M20" t="s">
        <v>4324</v>
      </c>
      <c r="N20" t="s">
        <v>4325</v>
      </c>
      <c r="O20" t="s">
        <v>4322</v>
      </c>
      <c r="P20" t="s">
        <v>4281</v>
      </c>
      <c r="Q20" t="s">
        <v>4293</v>
      </c>
      <c r="R20" t="s">
        <v>4294</v>
      </c>
      <c r="S20" t="s">
        <v>4295</v>
      </c>
      <c r="T20" t="s">
        <v>4296</v>
      </c>
      <c r="U20" t="s">
        <v>4297</v>
      </c>
      <c r="V20" t="s">
        <v>4298</v>
      </c>
      <c r="W20" t="s">
        <v>4299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4937</v>
      </c>
      <c r="J21">
        <v>2</v>
      </c>
      <c r="K21" t="s">
        <v>1451</v>
      </c>
      <c r="L21" t="s">
        <v>244</v>
      </c>
      <c r="M21" t="s">
        <v>4938</v>
      </c>
      <c r="N21" t="s">
        <v>4322</v>
      </c>
      <c r="O21" t="s">
        <v>4281</v>
      </c>
      <c r="P21" t="s">
        <v>4282</v>
      </c>
      <c r="Q21" t="s">
        <v>4939</v>
      </c>
      <c r="R21" t="s">
        <v>2290</v>
      </c>
      <c r="S21" t="s">
        <v>4566</v>
      </c>
      <c r="T21" t="s">
        <v>4940</v>
      </c>
      <c r="U21" t="s">
        <v>4941</v>
      </c>
      <c r="V21" t="s">
        <v>4942</v>
      </c>
      <c r="W21" t="s">
        <v>3363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285</v>
      </c>
      <c r="J22">
        <v>3</v>
      </c>
      <c r="K22" t="s">
        <v>1451</v>
      </c>
      <c r="L22" t="s">
        <v>4279</v>
      </c>
      <c r="M22" t="s">
        <v>4355</v>
      </c>
      <c r="N22" t="s">
        <v>4354</v>
      </c>
      <c r="O22" t="s">
        <v>4351</v>
      </c>
      <c r="P22" t="s">
        <v>4330</v>
      </c>
      <c r="Q22" t="s">
        <v>4322</v>
      </c>
      <c r="R22" t="s">
        <v>4356</v>
      </c>
      <c r="S22" t="s">
        <v>4357</v>
      </c>
      <c r="T22" t="s">
        <v>4358</v>
      </c>
      <c r="U22" t="s">
        <v>4333</v>
      </c>
      <c r="V22" t="s">
        <v>4334</v>
      </c>
      <c r="W22" t="s">
        <v>4335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285</v>
      </c>
      <c r="J23">
        <v>3</v>
      </c>
      <c r="K23" t="s">
        <v>1451</v>
      </c>
      <c r="L23" t="s">
        <v>4279</v>
      </c>
      <c r="M23" t="s">
        <v>4842</v>
      </c>
      <c r="N23" t="s">
        <v>4354</v>
      </c>
      <c r="O23" t="s">
        <v>4351</v>
      </c>
      <c r="P23" t="s">
        <v>4330</v>
      </c>
      <c r="Q23" t="s">
        <v>4322</v>
      </c>
      <c r="R23" t="s">
        <v>1483</v>
      </c>
      <c r="S23" t="s">
        <v>1476</v>
      </c>
      <c r="T23" t="s">
        <v>1479</v>
      </c>
      <c r="U23" t="s">
        <v>1761</v>
      </c>
      <c r="V23" t="s">
        <v>1762</v>
      </c>
      <c r="W23" t="s">
        <v>4840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4386</v>
      </c>
      <c r="J24">
        <v>1</v>
      </c>
      <c r="K24" t="s">
        <v>1557</v>
      </c>
      <c r="L24" t="s">
        <v>4279</v>
      </c>
      <c r="M24" t="s">
        <v>4387</v>
      </c>
      <c r="N24" t="s">
        <v>4281</v>
      </c>
      <c r="O24" t="s">
        <v>4282</v>
      </c>
      <c r="P24" t="s">
        <v>4388</v>
      </c>
      <c r="Q24" t="s">
        <v>1984</v>
      </c>
      <c r="R24" t="s">
        <v>1985</v>
      </c>
      <c r="S24" t="s">
        <v>1986</v>
      </c>
      <c r="T24" t="s">
        <v>1987</v>
      </c>
      <c r="U24" t="s">
        <v>4389</v>
      </c>
      <c r="V24" t="s">
        <v>4390</v>
      </c>
      <c r="W24" t="s">
        <v>4391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4338</v>
      </c>
      <c r="J25">
        <v>2</v>
      </c>
      <c r="K25" t="s">
        <v>1451</v>
      </c>
      <c r="L25" t="s">
        <v>244</v>
      </c>
      <c r="M25" t="s">
        <v>4339</v>
      </c>
      <c r="N25" t="s">
        <v>4330</v>
      </c>
      <c r="O25" t="s">
        <v>4322</v>
      </c>
      <c r="P25" t="s">
        <v>4281</v>
      </c>
      <c r="Q25" t="s">
        <v>4294</v>
      </c>
      <c r="R25" t="s">
        <v>4295</v>
      </c>
      <c r="S25" t="s">
        <v>4296</v>
      </c>
      <c r="T25" t="s">
        <v>4297</v>
      </c>
      <c r="U25" t="s">
        <v>4298</v>
      </c>
      <c r="V25" t="s">
        <v>4299</v>
      </c>
      <c r="W25" t="s">
        <v>4340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4943</v>
      </c>
      <c r="J26">
        <v>3</v>
      </c>
      <c r="K26" t="s">
        <v>1451</v>
      </c>
      <c r="L26" t="s">
        <v>244</v>
      </c>
      <c r="M26" t="s">
        <v>4944</v>
      </c>
      <c r="N26" t="s">
        <v>4351</v>
      </c>
      <c r="O26" t="s">
        <v>4945</v>
      </c>
      <c r="P26" t="s">
        <v>4330</v>
      </c>
      <c r="Q26" t="s">
        <v>4325</v>
      </c>
      <c r="R26" t="s">
        <v>4322</v>
      </c>
      <c r="S26" t="s">
        <v>4281</v>
      </c>
      <c r="T26" t="s">
        <v>4946</v>
      </c>
      <c r="U26" t="s">
        <v>4947</v>
      </c>
      <c r="V26" t="s">
        <v>4948</v>
      </c>
      <c r="W26" t="s">
        <v>4949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4525</v>
      </c>
      <c r="J27">
        <v>2</v>
      </c>
      <c r="K27" t="s">
        <v>1451</v>
      </c>
      <c r="L27" t="s">
        <v>4279</v>
      </c>
      <c r="M27" t="s">
        <v>4526</v>
      </c>
      <c r="N27" t="s">
        <v>4325</v>
      </c>
      <c r="O27" t="s">
        <v>4322</v>
      </c>
      <c r="P27" t="s">
        <v>4281</v>
      </c>
      <c r="Q27" t="s">
        <v>4282</v>
      </c>
      <c r="R27" t="s">
        <v>4527</v>
      </c>
      <c r="S27" t="s">
        <v>4528</v>
      </c>
      <c r="T27" t="s">
        <v>4529</v>
      </c>
      <c r="U27" t="s">
        <v>4530</v>
      </c>
      <c r="V27" t="s">
        <v>4531</v>
      </c>
      <c r="W27" t="s">
        <v>4532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4966</v>
      </c>
      <c r="J28">
        <v>1</v>
      </c>
      <c r="K28" t="s">
        <v>1451</v>
      </c>
      <c r="L28" t="s">
        <v>244</v>
      </c>
      <c r="M28" t="s">
        <v>4967</v>
      </c>
      <c r="N28" t="s">
        <v>4325</v>
      </c>
      <c r="O28" t="s">
        <v>4322</v>
      </c>
      <c r="P28" t="s">
        <v>4281</v>
      </c>
      <c r="Q28" t="s">
        <v>1109</v>
      </c>
      <c r="R28" t="s">
        <v>1127</v>
      </c>
      <c r="S28" t="s">
        <v>1483</v>
      </c>
      <c r="T28" t="s">
        <v>2121</v>
      </c>
      <c r="U28" t="s">
        <v>1484</v>
      </c>
      <c r="V28" t="s">
        <v>1476</v>
      </c>
      <c r="W28" t="s">
        <v>1477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4977</v>
      </c>
      <c r="J29">
        <v>2</v>
      </c>
      <c r="K29" t="s">
        <v>1451</v>
      </c>
      <c r="L29" t="s">
        <v>244</v>
      </c>
      <c r="M29" t="s">
        <v>4967</v>
      </c>
      <c r="N29" t="s">
        <v>4351</v>
      </c>
      <c r="O29" t="s">
        <v>4330</v>
      </c>
      <c r="P29" t="s">
        <v>4325</v>
      </c>
      <c r="Q29" t="s">
        <v>4322</v>
      </c>
      <c r="R29" t="s">
        <v>4281</v>
      </c>
      <c r="S29" t="s">
        <v>1479</v>
      </c>
      <c r="T29" t="s">
        <v>1761</v>
      </c>
      <c r="U29" t="s">
        <v>1762</v>
      </c>
      <c r="V29" t="s">
        <v>1763</v>
      </c>
      <c r="W29" t="s">
        <v>1764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4400</v>
      </c>
      <c r="J30">
        <v>2</v>
      </c>
      <c r="K30" t="s">
        <v>1451</v>
      </c>
      <c r="L30" t="s">
        <v>244</v>
      </c>
      <c r="M30" t="s">
        <v>4401</v>
      </c>
      <c r="N30" t="s">
        <v>4322</v>
      </c>
      <c r="O30" t="s">
        <v>4281</v>
      </c>
      <c r="P30" t="s">
        <v>4282</v>
      </c>
      <c r="Q30" t="s">
        <v>4402</v>
      </c>
      <c r="R30" t="s">
        <v>4403</v>
      </c>
      <c r="S30" t="s">
        <v>4404</v>
      </c>
      <c r="T30" t="s">
        <v>4405</v>
      </c>
      <c r="U30" t="s">
        <v>4406</v>
      </c>
      <c r="V30" t="s">
        <v>4407</v>
      </c>
      <c r="W30" t="s">
        <v>4408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4518</v>
      </c>
      <c r="J31">
        <v>2</v>
      </c>
      <c r="K31" t="s">
        <v>1451</v>
      </c>
      <c r="L31" t="s">
        <v>4279</v>
      </c>
      <c r="M31" t="s">
        <v>4519</v>
      </c>
      <c r="N31" t="s">
        <v>4325</v>
      </c>
      <c r="O31" t="s">
        <v>4322</v>
      </c>
      <c r="P31" t="s">
        <v>4281</v>
      </c>
      <c r="Q31" t="s">
        <v>4282</v>
      </c>
      <c r="R31" t="s">
        <v>4520</v>
      </c>
      <c r="S31" t="s">
        <v>4504</v>
      </c>
      <c r="T31" t="s">
        <v>4521</v>
      </c>
      <c r="U31" t="s">
        <v>4522</v>
      </c>
      <c r="V31" t="s">
        <v>4523</v>
      </c>
      <c r="W31" t="s">
        <v>4524</v>
      </c>
    </row>
    <row r="32" spans="1:23" x14ac:dyDescent="0.2">
      <c r="A32" s="147" t="s">
        <v>6026</v>
      </c>
      <c r="B32" s="147"/>
      <c r="D32">
        <v>31</v>
      </c>
      <c r="E32">
        <v>70</v>
      </c>
      <c r="H32">
        <v>807</v>
      </c>
      <c r="I32" t="s">
        <v>4830</v>
      </c>
      <c r="J32">
        <v>2</v>
      </c>
      <c r="K32" t="s">
        <v>1451</v>
      </c>
      <c r="L32" t="s">
        <v>4279</v>
      </c>
      <c r="M32" t="s">
        <v>4831</v>
      </c>
      <c r="N32" t="s">
        <v>4330</v>
      </c>
      <c r="O32" t="s">
        <v>4325</v>
      </c>
      <c r="P32" t="s">
        <v>4322</v>
      </c>
      <c r="Q32" t="s">
        <v>4281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</row>
    <row r="33" spans="4:23" x14ac:dyDescent="0.2">
      <c r="D33">
        <v>32</v>
      </c>
      <c r="E33">
        <v>70</v>
      </c>
      <c r="H33">
        <v>411</v>
      </c>
      <c r="I33" t="s">
        <v>4594</v>
      </c>
      <c r="J33">
        <v>3</v>
      </c>
      <c r="K33" t="s">
        <v>1451</v>
      </c>
      <c r="L33" t="s">
        <v>4279</v>
      </c>
      <c r="M33" t="s">
        <v>4595</v>
      </c>
      <c r="N33" t="s">
        <v>4354</v>
      </c>
      <c r="O33" t="s">
        <v>4351</v>
      </c>
      <c r="P33" t="s">
        <v>4330</v>
      </c>
      <c r="Q33" t="s">
        <v>4325</v>
      </c>
      <c r="R33" t="s">
        <v>4322</v>
      </c>
      <c r="S33" t="s">
        <v>1127</v>
      </c>
      <c r="T33" t="s">
        <v>1483</v>
      </c>
      <c r="U33" t="s">
        <v>1149</v>
      </c>
      <c r="V33" t="s">
        <v>1484</v>
      </c>
      <c r="W33" t="s">
        <v>1476</v>
      </c>
    </row>
    <row r="34" spans="4:23" x14ac:dyDescent="0.2">
      <c r="D34">
        <v>33</v>
      </c>
      <c r="E34">
        <v>70</v>
      </c>
      <c r="H34">
        <v>105</v>
      </c>
      <c r="I34" t="s">
        <v>4314</v>
      </c>
      <c r="J34">
        <v>1</v>
      </c>
      <c r="K34" t="s">
        <v>1451</v>
      </c>
      <c r="L34" t="s">
        <v>4279</v>
      </c>
      <c r="M34" t="s">
        <v>4315</v>
      </c>
      <c r="N34" t="s">
        <v>4281</v>
      </c>
      <c r="O34" t="s">
        <v>4282</v>
      </c>
      <c r="P34" t="s">
        <v>1476</v>
      </c>
      <c r="Q34" t="s">
        <v>1478</v>
      </c>
      <c r="R34" t="s">
        <v>1770</v>
      </c>
      <c r="S34" t="s">
        <v>4316</v>
      </c>
      <c r="T34" t="s">
        <v>4317</v>
      </c>
      <c r="U34" t="s">
        <v>4318</v>
      </c>
      <c r="V34" t="s">
        <v>4319</v>
      </c>
      <c r="W34" t="s">
        <v>3902</v>
      </c>
    </row>
    <row r="35" spans="4:23" x14ac:dyDescent="0.2">
      <c r="D35">
        <v>34</v>
      </c>
      <c r="E35">
        <v>70</v>
      </c>
      <c r="H35">
        <v>904</v>
      </c>
      <c r="I35" t="s">
        <v>4873</v>
      </c>
      <c r="J35" t="s">
        <v>430</v>
      </c>
      <c r="K35" t="s">
        <v>1451</v>
      </c>
      <c r="L35" t="s">
        <v>4279</v>
      </c>
      <c r="M35" t="s">
        <v>4874</v>
      </c>
      <c r="N35" t="s">
        <v>4325</v>
      </c>
      <c r="O35" t="s">
        <v>4322</v>
      </c>
      <c r="P35" t="s">
        <v>4281</v>
      </c>
      <c r="Q35" t="s">
        <v>4875</v>
      </c>
      <c r="R35" t="s">
        <v>4876</v>
      </c>
      <c r="S35" t="s">
        <v>4877</v>
      </c>
      <c r="T35" t="s">
        <v>4878</v>
      </c>
      <c r="U35" t="s">
        <v>4879</v>
      </c>
      <c r="V35" t="s">
        <v>4880</v>
      </c>
      <c r="W35" t="s">
        <v>4881</v>
      </c>
    </row>
    <row r="36" spans="4:23" x14ac:dyDescent="0.2">
      <c r="D36">
        <v>35</v>
      </c>
      <c r="E36">
        <v>70</v>
      </c>
      <c r="H36">
        <v>803</v>
      </c>
      <c r="I36" t="s">
        <v>4814</v>
      </c>
      <c r="J36">
        <v>1</v>
      </c>
      <c r="K36" t="s">
        <v>1451</v>
      </c>
      <c r="L36" t="s">
        <v>4279</v>
      </c>
      <c r="M36" t="s">
        <v>4815</v>
      </c>
      <c r="N36" t="s">
        <v>4281</v>
      </c>
      <c r="O36" t="s">
        <v>4282</v>
      </c>
      <c r="P36" t="s">
        <v>4816</v>
      </c>
      <c r="Q36" t="s">
        <v>4817</v>
      </c>
      <c r="R36" t="s">
        <v>4818</v>
      </c>
      <c r="S36" t="s">
        <v>4819</v>
      </c>
      <c r="T36" t="s">
        <v>4820</v>
      </c>
      <c r="U36" t="s">
        <v>4821</v>
      </c>
      <c r="V36" t="s">
        <v>4822</v>
      </c>
      <c r="W36" t="s">
        <v>4823</v>
      </c>
    </row>
    <row r="37" spans="4:23" x14ac:dyDescent="0.2">
      <c r="D37">
        <v>36</v>
      </c>
      <c r="E37">
        <v>80</v>
      </c>
      <c r="H37">
        <v>108</v>
      </c>
      <c r="I37" t="s">
        <v>4326</v>
      </c>
      <c r="J37">
        <v>2</v>
      </c>
      <c r="K37" t="s">
        <v>1451</v>
      </c>
      <c r="L37" t="s">
        <v>4279</v>
      </c>
      <c r="M37" t="s">
        <v>4327</v>
      </c>
      <c r="N37" t="s">
        <v>4325</v>
      </c>
      <c r="O37" t="s">
        <v>4322</v>
      </c>
      <c r="P37" t="s">
        <v>4281</v>
      </c>
      <c r="Q37" t="s">
        <v>1476</v>
      </c>
      <c r="R37" t="s">
        <v>1478</v>
      </c>
      <c r="S37" t="s">
        <v>1770</v>
      </c>
      <c r="T37" t="s">
        <v>4316</v>
      </c>
      <c r="U37" t="s">
        <v>4317</v>
      </c>
      <c r="V37" t="s">
        <v>4318</v>
      </c>
      <c r="W37" t="s">
        <v>3902</v>
      </c>
    </row>
    <row r="38" spans="4:23" x14ac:dyDescent="0.2">
      <c r="D38">
        <v>37</v>
      </c>
      <c r="E38">
        <v>80</v>
      </c>
      <c r="H38">
        <v>402</v>
      </c>
      <c r="I38" t="s">
        <v>2988</v>
      </c>
      <c r="J38">
        <v>1</v>
      </c>
      <c r="K38" t="s">
        <v>1451</v>
      </c>
      <c r="L38" t="s">
        <v>4279</v>
      </c>
      <c r="M38" t="s">
        <v>4551</v>
      </c>
      <c r="N38" t="s">
        <v>4330</v>
      </c>
      <c r="O38" t="s">
        <v>4325</v>
      </c>
      <c r="P38" t="s">
        <v>4322</v>
      </c>
      <c r="Q38" t="s">
        <v>4552</v>
      </c>
      <c r="R38" t="s">
        <v>4553</v>
      </c>
      <c r="S38" t="s">
        <v>4554</v>
      </c>
      <c r="T38" t="s">
        <v>4555</v>
      </c>
      <c r="U38" t="s">
        <v>4556</v>
      </c>
      <c r="V38" t="s">
        <v>4557</v>
      </c>
      <c r="W38" t="s">
        <v>4558</v>
      </c>
    </row>
    <row r="39" spans="4:23" x14ac:dyDescent="0.2">
      <c r="D39">
        <v>38</v>
      </c>
      <c r="E39">
        <v>80</v>
      </c>
      <c r="H39">
        <v>309</v>
      </c>
      <c r="I39" t="s">
        <v>4533</v>
      </c>
      <c r="J39">
        <v>3</v>
      </c>
      <c r="K39" t="s">
        <v>1451</v>
      </c>
      <c r="L39" t="s">
        <v>244</v>
      </c>
      <c r="M39" t="s">
        <v>4534</v>
      </c>
      <c r="N39" t="s">
        <v>4354</v>
      </c>
      <c r="O39" t="s">
        <v>4351</v>
      </c>
      <c r="P39" t="s">
        <v>4330</v>
      </c>
      <c r="Q39" t="s">
        <v>4325</v>
      </c>
      <c r="R39" t="s">
        <v>4322</v>
      </c>
      <c r="S39" t="s">
        <v>4535</v>
      </c>
      <c r="T39" t="s">
        <v>4536</v>
      </c>
      <c r="U39" t="s">
        <v>4537</v>
      </c>
      <c r="V39" t="s">
        <v>4538</v>
      </c>
      <c r="W39" t="s">
        <v>4539</v>
      </c>
    </row>
    <row r="40" spans="4:23" x14ac:dyDescent="0.2">
      <c r="D40">
        <v>39</v>
      </c>
      <c r="E40">
        <v>80</v>
      </c>
      <c r="H40">
        <v>213</v>
      </c>
      <c r="I40" t="s">
        <v>4459</v>
      </c>
      <c r="J40">
        <v>3</v>
      </c>
      <c r="K40" t="s">
        <v>1451</v>
      </c>
      <c r="L40" t="s">
        <v>4279</v>
      </c>
      <c r="M40" t="s">
        <v>4460</v>
      </c>
      <c r="N40" t="s">
        <v>4354</v>
      </c>
      <c r="O40" t="s">
        <v>4351</v>
      </c>
      <c r="P40" t="s">
        <v>4330</v>
      </c>
      <c r="Q40" t="s">
        <v>4325</v>
      </c>
      <c r="R40" t="s">
        <v>4322</v>
      </c>
      <c r="S40" t="s">
        <v>4461</v>
      </c>
      <c r="T40" t="s">
        <v>4462</v>
      </c>
      <c r="U40" t="s">
        <v>4463</v>
      </c>
      <c r="V40" t="s">
        <v>4464</v>
      </c>
      <c r="W40" t="s">
        <v>4465</v>
      </c>
    </row>
    <row r="41" spans="4:23" x14ac:dyDescent="0.2">
      <c r="D41">
        <v>40</v>
      </c>
      <c r="E41">
        <v>80</v>
      </c>
      <c r="H41">
        <v>113</v>
      </c>
      <c r="I41" t="s">
        <v>4349</v>
      </c>
      <c r="J41">
        <v>3</v>
      </c>
      <c r="K41" t="s">
        <v>1451</v>
      </c>
      <c r="L41" t="s">
        <v>4279</v>
      </c>
      <c r="M41" t="s">
        <v>4350</v>
      </c>
      <c r="N41" t="s">
        <v>4351</v>
      </c>
      <c r="O41" t="s">
        <v>4330</v>
      </c>
      <c r="P41" t="s">
        <v>4325</v>
      </c>
      <c r="Q41" t="s">
        <v>4322</v>
      </c>
      <c r="R41" t="s">
        <v>4293</v>
      </c>
      <c r="S41" t="s">
        <v>4294</v>
      </c>
      <c r="T41" t="s">
        <v>4295</v>
      </c>
      <c r="U41" t="s">
        <v>4296</v>
      </c>
      <c r="V41" t="s">
        <v>4297</v>
      </c>
      <c r="W41" t="s">
        <v>4299</v>
      </c>
    </row>
    <row r="42" spans="4:23" x14ac:dyDescent="0.2">
      <c r="D42">
        <v>41</v>
      </c>
      <c r="E42">
        <v>80</v>
      </c>
      <c r="H42">
        <v>405</v>
      </c>
      <c r="I42" t="s">
        <v>4563</v>
      </c>
      <c r="J42">
        <v>1</v>
      </c>
      <c r="K42" t="s">
        <v>1451</v>
      </c>
      <c r="L42" t="s">
        <v>4279</v>
      </c>
      <c r="M42" t="s">
        <v>4492</v>
      </c>
      <c r="N42" t="s">
        <v>4281</v>
      </c>
      <c r="O42" t="s">
        <v>4282</v>
      </c>
      <c r="P42" t="s">
        <v>4493</v>
      </c>
      <c r="Q42" t="s">
        <v>4494</v>
      </c>
      <c r="R42" t="s">
        <v>4495</v>
      </c>
      <c r="S42" t="s">
        <v>4496</v>
      </c>
      <c r="T42" t="s">
        <v>4497</v>
      </c>
      <c r="U42" t="s">
        <v>4498</v>
      </c>
      <c r="V42" t="s">
        <v>4499</v>
      </c>
      <c r="W42" t="s">
        <v>4500</v>
      </c>
    </row>
    <row r="43" spans="4:23" x14ac:dyDescent="0.2">
      <c r="D43">
        <v>42</v>
      </c>
      <c r="E43">
        <v>80</v>
      </c>
      <c r="H43">
        <v>1103</v>
      </c>
      <c r="I43" t="s">
        <v>4917</v>
      </c>
      <c r="J43">
        <v>1</v>
      </c>
      <c r="K43" t="s">
        <v>1451</v>
      </c>
      <c r="L43" t="s">
        <v>4279</v>
      </c>
      <c r="M43" t="s">
        <v>4918</v>
      </c>
      <c r="N43" t="s">
        <v>4281</v>
      </c>
      <c r="O43" t="s">
        <v>4282</v>
      </c>
      <c r="P43" t="s">
        <v>4493</v>
      </c>
      <c r="Q43" t="s">
        <v>4494</v>
      </c>
      <c r="R43" t="s">
        <v>4495</v>
      </c>
      <c r="S43" t="s">
        <v>4496</v>
      </c>
      <c r="T43" t="s">
        <v>4497</v>
      </c>
      <c r="U43" t="s">
        <v>4498</v>
      </c>
      <c r="V43" t="s">
        <v>4499</v>
      </c>
      <c r="W43" t="s">
        <v>4500</v>
      </c>
    </row>
    <row r="44" spans="4:23" x14ac:dyDescent="0.2">
      <c r="D44">
        <v>43</v>
      </c>
      <c r="E44">
        <v>80</v>
      </c>
      <c r="H44">
        <v>608</v>
      </c>
      <c r="I44" t="s">
        <v>4755</v>
      </c>
      <c r="J44">
        <v>2</v>
      </c>
      <c r="K44" t="s">
        <v>1451</v>
      </c>
      <c r="L44" t="s">
        <v>4279</v>
      </c>
      <c r="M44" t="s">
        <v>4492</v>
      </c>
      <c r="N44" t="s">
        <v>4325</v>
      </c>
      <c r="O44" t="s">
        <v>4322</v>
      </c>
      <c r="P44" t="s">
        <v>4281</v>
      </c>
      <c r="Q44" t="s">
        <v>4493</v>
      </c>
      <c r="R44" t="s">
        <v>4494</v>
      </c>
      <c r="S44" t="s">
        <v>4495</v>
      </c>
      <c r="T44" t="s">
        <v>4496</v>
      </c>
      <c r="U44" t="s">
        <v>4497</v>
      </c>
      <c r="V44" t="s">
        <v>4498</v>
      </c>
      <c r="W44" t="s">
        <v>4756</v>
      </c>
    </row>
    <row r="45" spans="4:23" x14ac:dyDescent="0.2">
      <c r="D45">
        <v>44</v>
      </c>
      <c r="E45">
        <v>80</v>
      </c>
      <c r="H45">
        <v>303</v>
      </c>
      <c r="I45" t="s">
        <v>4491</v>
      </c>
      <c r="J45">
        <v>1</v>
      </c>
      <c r="K45" t="s">
        <v>1451</v>
      </c>
      <c r="L45" t="s">
        <v>4279</v>
      </c>
      <c r="M45" t="s">
        <v>4492</v>
      </c>
      <c r="N45" t="s">
        <v>4281</v>
      </c>
      <c r="O45" t="s">
        <v>4282</v>
      </c>
      <c r="P45" t="s">
        <v>4493</v>
      </c>
      <c r="Q45" t="s">
        <v>4494</v>
      </c>
      <c r="R45" t="s">
        <v>4495</v>
      </c>
      <c r="S45" t="s">
        <v>4496</v>
      </c>
      <c r="T45" t="s">
        <v>4497</v>
      </c>
      <c r="U45" t="s">
        <v>4498</v>
      </c>
      <c r="V45" t="s">
        <v>4499</v>
      </c>
      <c r="W45" t="s">
        <v>4500</v>
      </c>
    </row>
    <row r="46" spans="4:23" x14ac:dyDescent="0.2">
      <c r="D46">
        <v>45</v>
      </c>
      <c r="E46">
        <v>90</v>
      </c>
      <c r="H46">
        <v>1109</v>
      </c>
      <c r="I46" t="s">
        <v>4950</v>
      </c>
      <c r="J46">
        <v>3</v>
      </c>
      <c r="K46" t="s">
        <v>1451</v>
      </c>
      <c r="L46" t="s">
        <v>244</v>
      </c>
      <c r="M46" t="s">
        <v>4951</v>
      </c>
      <c r="N46" t="s">
        <v>4351</v>
      </c>
      <c r="O46" t="s">
        <v>4945</v>
      </c>
      <c r="P46" t="s">
        <v>4330</v>
      </c>
      <c r="Q46" t="s">
        <v>4325</v>
      </c>
      <c r="R46" t="s">
        <v>4322</v>
      </c>
      <c r="S46" t="s">
        <v>4281</v>
      </c>
      <c r="T46" t="s">
        <v>4952</v>
      </c>
      <c r="U46" t="s">
        <v>4953</v>
      </c>
      <c r="V46" t="s">
        <v>4954</v>
      </c>
      <c r="W46" t="s">
        <v>4955</v>
      </c>
    </row>
    <row r="47" spans="4:23" x14ac:dyDescent="0.2">
      <c r="D47">
        <v>46</v>
      </c>
      <c r="E47">
        <v>90</v>
      </c>
      <c r="H47">
        <v>1005</v>
      </c>
      <c r="I47" t="s">
        <v>4904</v>
      </c>
      <c r="J47">
        <v>3</v>
      </c>
      <c r="K47" t="s">
        <v>1451</v>
      </c>
      <c r="L47" t="s">
        <v>244</v>
      </c>
      <c r="M47" t="s">
        <v>4905</v>
      </c>
      <c r="N47" t="s">
        <v>4354</v>
      </c>
      <c r="O47" t="s">
        <v>4351</v>
      </c>
      <c r="P47" t="s">
        <v>4330</v>
      </c>
      <c r="Q47" t="s">
        <v>4325</v>
      </c>
      <c r="R47" t="s">
        <v>4322</v>
      </c>
      <c r="S47" t="s">
        <v>4281</v>
      </c>
      <c r="T47" t="s">
        <v>4906</v>
      </c>
      <c r="U47" t="s">
        <v>4907</v>
      </c>
      <c r="V47" t="s">
        <v>4908</v>
      </c>
      <c r="W47" t="s">
        <v>4909</v>
      </c>
    </row>
    <row r="48" spans="4:23" x14ac:dyDescent="0.2">
      <c r="D48">
        <v>47</v>
      </c>
      <c r="E48">
        <v>90</v>
      </c>
      <c r="H48">
        <v>603</v>
      </c>
      <c r="I48" t="s">
        <v>4730</v>
      </c>
      <c r="J48">
        <v>1</v>
      </c>
      <c r="K48" t="s">
        <v>1451</v>
      </c>
      <c r="L48" t="s">
        <v>4279</v>
      </c>
      <c r="M48" t="s">
        <v>4731</v>
      </c>
      <c r="N48" t="s">
        <v>4322</v>
      </c>
      <c r="O48" t="s">
        <v>4281</v>
      </c>
      <c r="P48" t="s">
        <v>4282</v>
      </c>
      <c r="Q48" t="s">
        <v>4732</v>
      </c>
      <c r="R48" t="s">
        <v>4733</v>
      </c>
      <c r="S48" t="s">
        <v>3234</v>
      </c>
      <c r="T48" t="s">
        <v>4734</v>
      </c>
      <c r="U48" t="s">
        <v>1127</v>
      </c>
      <c r="V48" t="s">
        <v>1483</v>
      </c>
      <c r="W48" t="s">
        <v>1149</v>
      </c>
    </row>
    <row r="49" spans="1:23" x14ac:dyDescent="0.2">
      <c r="D49">
        <v>48</v>
      </c>
      <c r="E49">
        <v>90</v>
      </c>
      <c r="H49">
        <v>1001</v>
      </c>
      <c r="I49" t="s">
        <v>4882</v>
      </c>
      <c r="J49">
        <v>1</v>
      </c>
      <c r="K49" t="s">
        <v>1451</v>
      </c>
      <c r="L49" t="s">
        <v>4279</v>
      </c>
      <c r="M49" t="s">
        <v>4883</v>
      </c>
      <c r="N49" t="s">
        <v>4351</v>
      </c>
      <c r="O49" t="s">
        <v>4330</v>
      </c>
      <c r="P49" t="s">
        <v>4325</v>
      </c>
      <c r="Q49" t="s">
        <v>4322</v>
      </c>
      <c r="R49" t="s">
        <v>4281</v>
      </c>
      <c r="S49" t="s">
        <v>1484</v>
      </c>
      <c r="T49" t="s">
        <v>1478</v>
      </c>
      <c r="U49" t="s">
        <v>1479</v>
      </c>
      <c r="V49" t="s">
        <v>1908</v>
      </c>
      <c r="W49" t="s">
        <v>3590</v>
      </c>
    </row>
    <row r="50" spans="1:23" x14ac:dyDescent="0.2">
      <c r="A50" s="64" t="s">
        <v>4275</v>
      </c>
      <c r="B50" s="64">
        <v>10</v>
      </c>
      <c r="C50" s="64" t="s">
        <v>5204</v>
      </c>
      <c r="D50">
        <v>49</v>
      </c>
      <c r="E50">
        <v>90</v>
      </c>
      <c r="H50">
        <v>1102</v>
      </c>
      <c r="I50" t="s">
        <v>4915</v>
      </c>
      <c r="J50">
        <v>1</v>
      </c>
      <c r="K50" t="s">
        <v>1451</v>
      </c>
      <c r="L50" t="s">
        <v>4279</v>
      </c>
      <c r="M50" t="s">
        <v>4916</v>
      </c>
      <c r="N50" t="s">
        <v>4281</v>
      </c>
      <c r="O50" t="s">
        <v>4282</v>
      </c>
      <c r="P50" t="s">
        <v>4472</v>
      </c>
      <c r="Q50" t="s">
        <v>1513</v>
      </c>
      <c r="R50" t="s">
        <v>4473</v>
      </c>
      <c r="S50" t="s">
        <v>4474</v>
      </c>
      <c r="T50" t="s">
        <v>4475</v>
      </c>
      <c r="U50" t="s">
        <v>4476</v>
      </c>
      <c r="V50" t="s">
        <v>4477</v>
      </c>
      <c r="W50" t="s">
        <v>4478</v>
      </c>
    </row>
    <row r="51" spans="1:23" x14ac:dyDescent="0.2">
      <c r="A51" t="s">
        <v>4270</v>
      </c>
      <c r="B51">
        <v>4</v>
      </c>
      <c r="C51" t="s">
        <v>5205</v>
      </c>
      <c r="D51">
        <v>50</v>
      </c>
      <c r="E51">
        <v>90</v>
      </c>
      <c r="H51">
        <v>601</v>
      </c>
      <c r="I51" t="s">
        <v>4725</v>
      </c>
      <c r="J51">
        <v>1</v>
      </c>
      <c r="K51" t="s">
        <v>1451</v>
      </c>
      <c r="L51" t="s">
        <v>4279</v>
      </c>
      <c r="M51" t="s">
        <v>4726</v>
      </c>
      <c r="N51" t="s">
        <v>4281</v>
      </c>
      <c r="O51" t="s">
        <v>4282</v>
      </c>
      <c r="P51" t="s">
        <v>1471</v>
      </c>
      <c r="Q51" t="s">
        <v>1513</v>
      </c>
      <c r="R51" t="s">
        <v>4473</v>
      </c>
      <c r="S51" t="s">
        <v>4474</v>
      </c>
      <c r="T51" t="s">
        <v>4475</v>
      </c>
      <c r="U51" t="s">
        <v>4476</v>
      </c>
      <c r="V51" t="s">
        <v>4477</v>
      </c>
      <c r="W51" t="s">
        <v>4478</v>
      </c>
    </row>
    <row r="52" spans="1:23" x14ac:dyDescent="0.2">
      <c r="A52" s="64" t="s">
        <v>4276</v>
      </c>
      <c r="B52" s="64">
        <v>11</v>
      </c>
      <c r="C52" s="64" t="s">
        <v>5206</v>
      </c>
      <c r="D52">
        <v>51</v>
      </c>
      <c r="E52">
        <v>90</v>
      </c>
      <c r="H52">
        <v>403</v>
      </c>
      <c r="I52" t="s">
        <v>4559</v>
      </c>
      <c r="J52">
        <v>1</v>
      </c>
      <c r="K52" t="s">
        <v>1451</v>
      </c>
      <c r="L52" t="s">
        <v>4279</v>
      </c>
      <c r="M52" t="s">
        <v>4560</v>
      </c>
      <c r="N52" t="s">
        <v>4282</v>
      </c>
      <c r="O52" t="s">
        <v>1471</v>
      </c>
      <c r="P52" t="s">
        <v>1513</v>
      </c>
      <c r="Q52" t="s">
        <v>4473</v>
      </c>
      <c r="R52" t="s">
        <v>4474</v>
      </c>
      <c r="S52" t="s">
        <v>4475</v>
      </c>
      <c r="T52" t="s">
        <v>4476</v>
      </c>
      <c r="U52" t="s">
        <v>4477</v>
      </c>
      <c r="V52" t="s">
        <v>4478</v>
      </c>
      <c r="W52" t="s">
        <v>4479</v>
      </c>
    </row>
    <row r="53" spans="1:23" x14ac:dyDescent="0.2">
      <c r="A53" t="s">
        <v>4272</v>
      </c>
      <c r="B53">
        <v>6</v>
      </c>
      <c r="C53" t="s">
        <v>5207</v>
      </c>
      <c r="D53">
        <v>52</v>
      </c>
      <c r="E53">
        <v>90</v>
      </c>
      <c r="H53">
        <v>301</v>
      </c>
      <c r="I53" t="s">
        <v>4471</v>
      </c>
      <c r="J53">
        <v>1</v>
      </c>
      <c r="K53" t="s">
        <v>1451</v>
      </c>
      <c r="L53" t="s">
        <v>4279</v>
      </c>
      <c r="M53" t="s">
        <v>1511</v>
      </c>
      <c r="N53" t="s">
        <v>4282</v>
      </c>
      <c r="O53" t="s">
        <v>4472</v>
      </c>
      <c r="P53" t="s">
        <v>1513</v>
      </c>
      <c r="Q53" t="s">
        <v>4473</v>
      </c>
      <c r="R53" t="s">
        <v>4474</v>
      </c>
      <c r="S53" t="s">
        <v>4475</v>
      </c>
      <c r="T53" t="s">
        <v>4476</v>
      </c>
      <c r="U53" t="s">
        <v>4477</v>
      </c>
      <c r="V53" t="s">
        <v>4478</v>
      </c>
      <c r="W53" t="s">
        <v>4479</v>
      </c>
    </row>
    <row r="54" spans="1:23" x14ac:dyDescent="0.2">
      <c r="A54" s="64" t="s">
        <v>4277</v>
      </c>
      <c r="B54" s="64">
        <v>14</v>
      </c>
      <c r="C54" s="64" t="s">
        <v>5208</v>
      </c>
      <c r="D54">
        <v>53</v>
      </c>
      <c r="E54">
        <v>90</v>
      </c>
      <c r="H54">
        <v>1302</v>
      </c>
      <c r="I54" t="s">
        <v>5005</v>
      </c>
      <c r="J54">
        <v>1</v>
      </c>
      <c r="K54" t="s">
        <v>1451</v>
      </c>
      <c r="L54" t="s">
        <v>4279</v>
      </c>
      <c r="M54" t="s">
        <v>5006</v>
      </c>
      <c r="N54" t="s">
        <v>4281</v>
      </c>
      <c r="O54" t="s">
        <v>4282</v>
      </c>
      <c r="P54" t="s">
        <v>1109</v>
      </c>
      <c r="Q54" t="s">
        <v>1127</v>
      </c>
      <c r="R54" t="s">
        <v>1483</v>
      </c>
      <c r="S54" t="s">
        <v>2121</v>
      </c>
      <c r="T54" t="s">
        <v>1484</v>
      </c>
      <c r="U54" t="s">
        <v>1476</v>
      </c>
      <c r="V54" t="s">
        <v>1477</v>
      </c>
      <c r="W54" t="s">
        <v>1478</v>
      </c>
    </row>
    <row r="55" spans="1:23" x14ac:dyDescent="0.2">
      <c r="A55" t="s">
        <v>4271</v>
      </c>
      <c r="B55">
        <v>5</v>
      </c>
      <c r="C55" t="s">
        <v>5209</v>
      </c>
      <c r="D55">
        <v>54</v>
      </c>
      <c r="E55">
        <v>90</v>
      </c>
      <c r="H55">
        <v>1004</v>
      </c>
      <c r="I55" t="s">
        <v>4899</v>
      </c>
      <c r="J55">
        <v>3</v>
      </c>
      <c r="K55" t="s">
        <v>1451</v>
      </c>
      <c r="L55" t="s">
        <v>4279</v>
      </c>
      <c r="M55" t="s">
        <v>4900</v>
      </c>
      <c r="N55" t="s">
        <v>4351</v>
      </c>
      <c r="O55" t="s">
        <v>4330</v>
      </c>
      <c r="P55" t="s">
        <v>4325</v>
      </c>
      <c r="Q55" t="s">
        <v>4322</v>
      </c>
      <c r="R55" t="s">
        <v>4281</v>
      </c>
      <c r="S55" t="s">
        <v>1484</v>
      </c>
      <c r="T55" t="s">
        <v>1478</v>
      </c>
      <c r="U55" t="s">
        <v>4901</v>
      </c>
      <c r="V55" t="s">
        <v>4902</v>
      </c>
      <c r="W55" t="s">
        <v>4903</v>
      </c>
    </row>
    <row r="56" spans="1:23" x14ac:dyDescent="0.2">
      <c r="A56" s="64" t="s">
        <v>29</v>
      </c>
      <c r="B56" s="64">
        <v>13</v>
      </c>
      <c r="C56" s="64" t="s">
        <v>5210</v>
      </c>
      <c r="D56">
        <v>55</v>
      </c>
      <c r="E56">
        <v>100</v>
      </c>
      <c r="H56">
        <v>806</v>
      </c>
      <c r="I56" t="s">
        <v>4828</v>
      </c>
      <c r="J56">
        <v>2</v>
      </c>
      <c r="K56" t="s">
        <v>1451</v>
      </c>
      <c r="L56" t="s">
        <v>4279</v>
      </c>
      <c r="M56" t="s">
        <v>4829</v>
      </c>
      <c r="N56" t="s">
        <v>4330</v>
      </c>
      <c r="O56" t="s">
        <v>4322</v>
      </c>
      <c r="P56" t="s">
        <v>4281</v>
      </c>
      <c r="Q56" t="s">
        <v>4782</v>
      </c>
      <c r="R56" t="s">
        <v>4293</v>
      </c>
      <c r="S56" t="s">
        <v>4294</v>
      </c>
      <c r="T56" t="s">
        <v>4295</v>
      </c>
      <c r="U56" t="s">
        <v>4296</v>
      </c>
      <c r="V56" t="s">
        <v>4297</v>
      </c>
      <c r="W56" t="s">
        <v>4298</v>
      </c>
    </row>
    <row r="57" spans="1:23" x14ac:dyDescent="0.2">
      <c r="A57" t="s">
        <v>4269</v>
      </c>
      <c r="B57">
        <v>3</v>
      </c>
      <c r="C57" t="s">
        <v>5211</v>
      </c>
      <c r="D57">
        <v>56</v>
      </c>
      <c r="E57">
        <v>100</v>
      </c>
      <c r="H57">
        <v>409</v>
      </c>
      <c r="I57" t="s">
        <v>4586</v>
      </c>
      <c r="J57">
        <v>2</v>
      </c>
      <c r="K57" t="s">
        <v>1451</v>
      </c>
      <c r="L57" t="s">
        <v>4279</v>
      </c>
      <c r="M57" t="s">
        <v>4587</v>
      </c>
      <c r="N57" t="s">
        <v>4351</v>
      </c>
      <c r="O57" t="s">
        <v>4330</v>
      </c>
      <c r="P57" t="s">
        <v>4325</v>
      </c>
      <c r="Q57" t="s">
        <v>4322</v>
      </c>
      <c r="R57" t="s">
        <v>4281</v>
      </c>
      <c r="S57" t="s">
        <v>4419</v>
      </c>
      <c r="T57" t="s">
        <v>4420</v>
      </c>
      <c r="U57" t="s">
        <v>4421</v>
      </c>
      <c r="V57" t="s">
        <v>4422</v>
      </c>
      <c r="W57" t="s">
        <v>4423</v>
      </c>
    </row>
    <row r="58" spans="1:23" x14ac:dyDescent="0.2">
      <c r="A58" s="64" t="s">
        <v>4274</v>
      </c>
      <c r="B58" s="64">
        <v>9</v>
      </c>
      <c r="C58" s="64" t="s">
        <v>5212</v>
      </c>
      <c r="D58">
        <v>57</v>
      </c>
      <c r="E58">
        <v>100</v>
      </c>
      <c r="H58">
        <v>610</v>
      </c>
      <c r="I58" t="s">
        <v>4759</v>
      </c>
      <c r="J58">
        <v>3</v>
      </c>
      <c r="K58" t="s">
        <v>1451</v>
      </c>
      <c r="L58" t="s">
        <v>244</v>
      </c>
      <c r="M58" t="s">
        <v>4760</v>
      </c>
      <c r="N58" t="s">
        <v>4354</v>
      </c>
      <c r="O58" t="s">
        <v>4351</v>
      </c>
      <c r="P58" t="s">
        <v>4330</v>
      </c>
      <c r="Q58" t="s">
        <v>4325</v>
      </c>
      <c r="R58" t="s">
        <v>4322</v>
      </c>
      <c r="S58" t="s">
        <v>4761</v>
      </c>
      <c r="T58" t="s">
        <v>4762</v>
      </c>
      <c r="U58" t="s">
        <v>4763</v>
      </c>
      <c r="V58" t="s">
        <v>4764</v>
      </c>
      <c r="W58" t="s">
        <v>4765</v>
      </c>
    </row>
    <row r="59" spans="1:23" x14ac:dyDescent="0.2">
      <c r="A59" t="s">
        <v>4273</v>
      </c>
      <c r="B59">
        <v>8</v>
      </c>
      <c r="C59" t="s">
        <v>5213</v>
      </c>
      <c r="D59">
        <v>58</v>
      </c>
      <c r="E59">
        <v>100</v>
      </c>
      <c r="H59">
        <v>604</v>
      </c>
      <c r="I59" t="s">
        <v>4736</v>
      </c>
      <c r="J59">
        <v>1</v>
      </c>
      <c r="K59" t="s">
        <v>1451</v>
      </c>
      <c r="L59" t="s">
        <v>244</v>
      </c>
      <c r="M59" t="s">
        <v>4737</v>
      </c>
      <c r="N59" t="s">
        <v>4322</v>
      </c>
      <c r="O59" t="s">
        <v>4281</v>
      </c>
      <c r="P59" t="s">
        <v>4282</v>
      </c>
      <c r="Q59" t="s">
        <v>2832</v>
      </c>
      <c r="R59" t="s">
        <v>2833</v>
      </c>
      <c r="S59" t="s">
        <v>3361</v>
      </c>
      <c r="T59" t="s">
        <v>4566</v>
      </c>
      <c r="U59" t="s">
        <v>4738</v>
      </c>
      <c r="V59" t="s">
        <v>4739</v>
      </c>
      <c r="W59" t="s">
        <v>4740</v>
      </c>
    </row>
    <row r="60" spans="1:23" x14ac:dyDescent="0.2">
      <c r="A60" s="64" t="s">
        <v>3321</v>
      </c>
      <c r="B60" s="64">
        <v>7</v>
      </c>
      <c r="C60" s="64" t="s">
        <v>5214</v>
      </c>
      <c r="D60">
        <v>59</v>
      </c>
      <c r="E60">
        <v>100</v>
      </c>
      <c r="H60">
        <v>606</v>
      </c>
      <c r="I60" t="s">
        <v>4746</v>
      </c>
      <c r="J60">
        <v>2</v>
      </c>
      <c r="K60" t="s">
        <v>1451</v>
      </c>
      <c r="L60" t="s">
        <v>244</v>
      </c>
      <c r="M60" t="s">
        <v>4562</v>
      </c>
      <c r="N60" t="s">
        <v>4325</v>
      </c>
      <c r="O60" t="s">
        <v>4322</v>
      </c>
      <c r="P60" t="s">
        <v>4281</v>
      </c>
      <c r="Q60" t="s">
        <v>4747</v>
      </c>
      <c r="R60" t="s">
        <v>4748</v>
      </c>
      <c r="S60" t="s">
        <v>4749</v>
      </c>
      <c r="T60" t="s">
        <v>4750</v>
      </c>
      <c r="U60" t="s">
        <v>4751</v>
      </c>
      <c r="V60" t="s">
        <v>4752</v>
      </c>
      <c r="W60" t="s">
        <v>4753</v>
      </c>
    </row>
    <row r="61" spans="1:23" x14ac:dyDescent="0.2">
      <c r="A61" t="s">
        <v>4267</v>
      </c>
      <c r="B61">
        <v>1</v>
      </c>
      <c r="C61" t="s">
        <v>5215</v>
      </c>
      <c r="D61">
        <v>60</v>
      </c>
      <c r="E61">
        <v>100</v>
      </c>
      <c r="H61">
        <v>1402</v>
      </c>
      <c r="I61" t="s">
        <v>5040</v>
      </c>
      <c r="J61">
        <v>2</v>
      </c>
      <c r="K61" t="s">
        <v>1451</v>
      </c>
      <c r="L61" t="s">
        <v>4279</v>
      </c>
      <c r="M61" t="s">
        <v>5041</v>
      </c>
      <c r="N61" t="s">
        <v>4322</v>
      </c>
      <c r="O61" t="s">
        <v>4281</v>
      </c>
      <c r="P61" t="s">
        <v>1109</v>
      </c>
      <c r="Q61" t="s">
        <v>1127</v>
      </c>
      <c r="R61" t="s">
        <v>1483</v>
      </c>
      <c r="S61" t="s">
        <v>2121</v>
      </c>
      <c r="T61" t="s">
        <v>1484</v>
      </c>
      <c r="U61" t="s">
        <v>1476</v>
      </c>
      <c r="V61" t="s">
        <v>1477</v>
      </c>
      <c r="W61" t="s">
        <v>1478</v>
      </c>
    </row>
    <row r="62" spans="1:23" x14ac:dyDescent="0.2">
      <c r="A62" s="64" t="s">
        <v>4268</v>
      </c>
      <c r="B62" s="64">
        <v>2</v>
      </c>
      <c r="C62" s="64" t="s">
        <v>5216</v>
      </c>
      <c r="D62">
        <v>61</v>
      </c>
      <c r="E62">
        <v>100</v>
      </c>
      <c r="H62">
        <v>208</v>
      </c>
      <c r="I62" t="s">
        <v>3903</v>
      </c>
      <c r="J62">
        <v>2</v>
      </c>
      <c r="K62" t="s">
        <v>1451</v>
      </c>
      <c r="L62" t="s">
        <v>244</v>
      </c>
      <c r="M62" t="s">
        <v>4417</v>
      </c>
      <c r="N62" t="s">
        <v>4330</v>
      </c>
      <c r="O62" t="s">
        <v>4325</v>
      </c>
      <c r="P62" t="s">
        <v>4322</v>
      </c>
      <c r="Q62" t="s">
        <v>4281</v>
      </c>
      <c r="R62" t="s">
        <v>4418</v>
      </c>
      <c r="S62" t="s">
        <v>4419</v>
      </c>
      <c r="T62" t="s">
        <v>4420</v>
      </c>
      <c r="U62" t="s">
        <v>4421</v>
      </c>
      <c r="V62" t="s">
        <v>4422</v>
      </c>
      <c r="W62" t="s">
        <v>4423</v>
      </c>
    </row>
    <row r="63" spans="1:23" x14ac:dyDescent="0.2">
      <c r="A63" t="s">
        <v>3284</v>
      </c>
      <c r="B63">
        <v>12</v>
      </c>
      <c r="C63" t="s">
        <v>5217</v>
      </c>
      <c r="D63">
        <v>62</v>
      </c>
      <c r="E63">
        <v>100</v>
      </c>
      <c r="H63">
        <v>902</v>
      </c>
      <c r="I63" t="s">
        <v>4854</v>
      </c>
      <c r="J63" t="s">
        <v>430</v>
      </c>
      <c r="K63" t="s">
        <v>1451</v>
      </c>
      <c r="L63" t="s">
        <v>4279</v>
      </c>
      <c r="M63" t="s">
        <v>4855</v>
      </c>
      <c r="N63" t="s">
        <v>4325</v>
      </c>
      <c r="O63" t="s">
        <v>4322</v>
      </c>
      <c r="P63" t="s">
        <v>4281</v>
      </c>
      <c r="Q63" t="s">
        <v>4856</v>
      </c>
      <c r="R63" t="s">
        <v>4857</v>
      </c>
      <c r="S63" t="s">
        <v>4858</v>
      </c>
      <c r="T63" t="s">
        <v>4859</v>
      </c>
      <c r="U63" t="s">
        <v>4860</v>
      </c>
      <c r="V63" t="s">
        <v>4861</v>
      </c>
      <c r="W63" t="s">
        <v>4862</v>
      </c>
    </row>
    <row r="64" spans="1:23" x14ac:dyDescent="0.2">
      <c r="D64">
        <v>63</v>
      </c>
      <c r="E64">
        <v>100</v>
      </c>
      <c r="H64">
        <v>810</v>
      </c>
      <c r="I64" t="s">
        <v>4843</v>
      </c>
      <c r="J64">
        <v>3</v>
      </c>
      <c r="K64" t="s">
        <v>1451</v>
      </c>
      <c r="L64" t="s">
        <v>244</v>
      </c>
      <c r="M64" t="s">
        <v>4844</v>
      </c>
      <c r="N64" t="s">
        <v>4354</v>
      </c>
      <c r="O64" t="s">
        <v>4351</v>
      </c>
      <c r="P64" t="s">
        <v>4330</v>
      </c>
      <c r="Q64" t="s">
        <v>4325</v>
      </c>
      <c r="R64" t="s">
        <v>4322</v>
      </c>
      <c r="S64" t="s">
        <v>4294</v>
      </c>
      <c r="T64" t="s">
        <v>4295</v>
      </c>
      <c r="U64" t="s">
        <v>4296</v>
      </c>
      <c r="V64" t="s">
        <v>4297</v>
      </c>
      <c r="W64" t="s">
        <v>4298</v>
      </c>
    </row>
    <row r="65" spans="1:23" x14ac:dyDescent="0.2">
      <c r="D65">
        <v>64</v>
      </c>
      <c r="E65">
        <v>100</v>
      </c>
      <c r="H65">
        <v>209</v>
      </c>
      <c r="I65" t="s">
        <v>4424</v>
      </c>
      <c r="J65">
        <v>2</v>
      </c>
      <c r="K65" t="s">
        <v>1451</v>
      </c>
      <c r="L65" t="s">
        <v>4279</v>
      </c>
      <c r="M65" t="s">
        <v>4425</v>
      </c>
      <c r="N65" t="s">
        <v>4322</v>
      </c>
      <c r="O65" t="s">
        <v>4281</v>
      </c>
      <c r="P65" t="s">
        <v>4282</v>
      </c>
      <c r="Q65" t="s">
        <v>4426</v>
      </c>
      <c r="R65" t="s">
        <v>4427</v>
      </c>
      <c r="S65" t="s">
        <v>4428</v>
      </c>
      <c r="T65" t="s">
        <v>4429</v>
      </c>
      <c r="U65" t="s">
        <v>4430</v>
      </c>
      <c r="V65" t="s">
        <v>4431</v>
      </c>
      <c r="W65" t="s">
        <v>4432</v>
      </c>
    </row>
    <row r="66" spans="1:23" x14ac:dyDescent="0.2">
      <c r="D66">
        <v>65</v>
      </c>
      <c r="E66">
        <v>100</v>
      </c>
      <c r="H66">
        <v>802</v>
      </c>
      <c r="I66" t="s">
        <v>4804</v>
      </c>
      <c r="J66">
        <v>1</v>
      </c>
      <c r="K66" t="s">
        <v>1451</v>
      </c>
      <c r="L66" t="s">
        <v>4279</v>
      </c>
      <c r="M66" t="s">
        <v>4805</v>
      </c>
      <c r="N66" t="s">
        <v>4281</v>
      </c>
      <c r="O66" t="s">
        <v>4282</v>
      </c>
      <c r="P66" t="s">
        <v>4806</v>
      </c>
      <c r="Q66" t="s">
        <v>4807</v>
      </c>
      <c r="R66" t="s">
        <v>4808</v>
      </c>
      <c r="S66" t="s">
        <v>4809</v>
      </c>
      <c r="T66" t="s">
        <v>4810</v>
      </c>
      <c r="U66" t="s">
        <v>4811</v>
      </c>
      <c r="V66" t="s">
        <v>4812</v>
      </c>
      <c r="W66" t="s">
        <v>4813</v>
      </c>
    </row>
    <row r="67" spans="1:23" x14ac:dyDescent="0.2">
      <c r="D67">
        <v>66</v>
      </c>
      <c r="E67">
        <v>110</v>
      </c>
      <c r="H67">
        <v>407</v>
      </c>
      <c r="I67" t="s">
        <v>4569</v>
      </c>
      <c r="J67">
        <v>2</v>
      </c>
      <c r="K67" t="s">
        <v>1451</v>
      </c>
      <c r="L67" t="s">
        <v>4279</v>
      </c>
      <c r="M67" t="s">
        <v>4570</v>
      </c>
      <c r="N67" t="s">
        <v>4325</v>
      </c>
      <c r="O67" t="s">
        <v>4322</v>
      </c>
      <c r="P67" t="s">
        <v>4281</v>
      </c>
      <c r="Q67" t="s">
        <v>4282</v>
      </c>
      <c r="R67" t="s">
        <v>4571</v>
      </c>
      <c r="S67" t="s">
        <v>4572</v>
      </c>
      <c r="T67" t="s">
        <v>4573</v>
      </c>
      <c r="U67" t="s">
        <v>4574</v>
      </c>
      <c r="V67" t="s">
        <v>4575</v>
      </c>
      <c r="W67" t="s">
        <v>4576</v>
      </c>
    </row>
    <row r="68" spans="1:23" x14ac:dyDescent="0.2">
      <c r="H68">
        <v>512</v>
      </c>
      <c r="I68" t="s">
        <v>4712</v>
      </c>
      <c r="J68">
        <v>3</v>
      </c>
      <c r="K68" t="s">
        <v>1451</v>
      </c>
      <c r="L68" t="s">
        <v>244</v>
      </c>
      <c r="M68" t="s">
        <v>4713</v>
      </c>
      <c r="N68" t="s">
        <v>4354</v>
      </c>
      <c r="O68" t="s">
        <v>4351</v>
      </c>
      <c r="P68" t="s">
        <v>4330</v>
      </c>
      <c r="Q68" t="s">
        <v>4325</v>
      </c>
      <c r="R68" t="s">
        <v>4322</v>
      </c>
      <c r="S68" t="s">
        <v>4714</v>
      </c>
      <c r="T68" t="s">
        <v>4715</v>
      </c>
      <c r="U68" t="s">
        <v>4716</v>
      </c>
      <c r="V68" t="s">
        <v>4717</v>
      </c>
      <c r="W68" t="s">
        <v>723</v>
      </c>
    </row>
    <row r="69" spans="1:23" x14ac:dyDescent="0.2">
      <c r="H69">
        <v>404</v>
      </c>
      <c r="I69" t="s">
        <v>4561</v>
      </c>
      <c r="J69">
        <v>1</v>
      </c>
      <c r="K69" t="s">
        <v>1451</v>
      </c>
      <c r="L69" t="s">
        <v>244</v>
      </c>
      <c r="M69" t="s">
        <v>4562</v>
      </c>
      <c r="N69" t="s">
        <v>4282</v>
      </c>
      <c r="O69" t="s">
        <v>4482</v>
      </c>
      <c r="P69" t="s">
        <v>4483</v>
      </c>
      <c r="Q69" t="s">
        <v>4484</v>
      </c>
      <c r="R69" t="s">
        <v>4485</v>
      </c>
      <c r="S69" t="s">
        <v>4486</v>
      </c>
      <c r="T69" t="s">
        <v>4487</v>
      </c>
      <c r="U69" t="s">
        <v>4488</v>
      </c>
      <c r="V69" t="s">
        <v>4489</v>
      </c>
      <c r="W69" t="s">
        <v>4490</v>
      </c>
    </row>
    <row r="70" spans="1:23" x14ac:dyDescent="0.2">
      <c r="H70">
        <v>1002</v>
      </c>
      <c r="I70" t="s">
        <v>4884</v>
      </c>
      <c r="J70">
        <v>2</v>
      </c>
      <c r="K70" t="s">
        <v>1451</v>
      </c>
      <c r="L70" t="s">
        <v>4279</v>
      </c>
      <c r="M70" t="s">
        <v>4885</v>
      </c>
      <c r="N70" t="s">
        <v>4351</v>
      </c>
      <c r="O70" t="s">
        <v>4330</v>
      </c>
      <c r="P70" t="s">
        <v>4325</v>
      </c>
      <c r="Q70" t="s">
        <v>4322</v>
      </c>
      <c r="R70" t="s">
        <v>4281</v>
      </c>
      <c r="S70" t="s">
        <v>4886</v>
      </c>
      <c r="T70" t="s">
        <v>4887</v>
      </c>
      <c r="U70" t="s">
        <v>4888</v>
      </c>
      <c r="V70" t="s">
        <v>4889</v>
      </c>
      <c r="W70" t="s">
        <v>4890</v>
      </c>
    </row>
    <row r="71" spans="1:23" x14ac:dyDescent="0.2">
      <c r="A71" t="s">
        <v>4608</v>
      </c>
      <c r="B71" t="s">
        <v>4609</v>
      </c>
      <c r="C71" t="s">
        <v>4610</v>
      </c>
      <c r="D71" t="s">
        <v>82</v>
      </c>
      <c r="E71" t="s">
        <v>13</v>
      </c>
      <c r="F71" t="s">
        <v>6059</v>
      </c>
      <c r="G71" t="s">
        <v>5704</v>
      </c>
      <c r="H71">
        <v>805</v>
      </c>
      <c r="I71" t="s">
        <v>4826</v>
      </c>
      <c r="J71">
        <v>2</v>
      </c>
      <c r="K71" t="s">
        <v>1451</v>
      </c>
      <c r="L71" t="s">
        <v>4279</v>
      </c>
      <c r="M71" t="s">
        <v>4827</v>
      </c>
      <c r="N71" t="s">
        <v>4330</v>
      </c>
      <c r="O71" t="s">
        <v>4325</v>
      </c>
      <c r="P71" t="s">
        <v>4322</v>
      </c>
      <c r="Q71" t="s">
        <v>4281</v>
      </c>
      <c r="R71" t="s">
        <v>4796</v>
      </c>
      <c r="S71" t="s">
        <v>4797</v>
      </c>
      <c r="T71" t="s">
        <v>4798</v>
      </c>
      <c r="U71" t="s">
        <v>4799</v>
      </c>
      <c r="V71" t="s">
        <v>4800</v>
      </c>
      <c r="W71" t="s">
        <v>4802</v>
      </c>
    </row>
    <row r="72" spans="1:23" x14ac:dyDescent="0.2">
      <c r="A72">
        <v>0</v>
      </c>
      <c r="B72" s="65">
        <v>0</v>
      </c>
      <c r="C72" s="65">
        <v>0</v>
      </c>
      <c r="D72" s="65" t="s">
        <v>5703</v>
      </c>
      <c r="E72" s="65" t="s">
        <v>5703</v>
      </c>
      <c r="F72" s="65" t="s">
        <v>5703</v>
      </c>
      <c r="G72" t="s">
        <v>250</v>
      </c>
      <c r="H72">
        <v>611</v>
      </c>
      <c r="I72" t="s">
        <v>4766</v>
      </c>
      <c r="J72">
        <v>3</v>
      </c>
      <c r="K72" t="s">
        <v>1451</v>
      </c>
      <c r="L72" t="s">
        <v>4279</v>
      </c>
      <c r="M72" t="s">
        <v>4767</v>
      </c>
      <c r="N72" t="s">
        <v>4454</v>
      </c>
      <c r="O72" t="s">
        <v>4354</v>
      </c>
      <c r="P72" t="s">
        <v>4351</v>
      </c>
      <c r="Q72" t="s">
        <v>4330</v>
      </c>
      <c r="R72" t="s">
        <v>4325</v>
      </c>
      <c r="S72" t="s">
        <v>4322</v>
      </c>
      <c r="T72" t="s">
        <v>3863</v>
      </c>
      <c r="U72" t="s">
        <v>4768</v>
      </c>
      <c r="V72" t="s">
        <v>4769</v>
      </c>
      <c r="W72" t="s">
        <v>4770</v>
      </c>
    </row>
    <row r="73" spans="1:23" x14ac:dyDescent="0.2">
      <c r="A73" t="s">
        <v>250</v>
      </c>
      <c r="B73">
        <v>30</v>
      </c>
      <c r="C73">
        <v>40</v>
      </c>
      <c r="D73" t="s">
        <v>4620</v>
      </c>
      <c r="E73" s="65" t="s">
        <v>6061</v>
      </c>
      <c r="F73" s="65" t="s">
        <v>6062</v>
      </c>
      <c r="G73" t="s">
        <v>4631</v>
      </c>
      <c r="H73">
        <v>703</v>
      </c>
      <c r="I73" t="s">
        <v>4780</v>
      </c>
      <c r="J73">
        <v>2</v>
      </c>
      <c r="K73" t="s">
        <v>1451</v>
      </c>
      <c r="L73" t="s">
        <v>244</v>
      </c>
      <c r="M73" t="s">
        <v>4781</v>
      </c>
      <c r="N73" t="s">
        <v>4325</v>
      </c>
      <c r="O73" t="s">
        <v>4322</v>
      </c>
      <c r="P73" t="s">
        <v>4281</v>
      </c>
      <c r="Q73" t="s">
        <v>4782</v>
      </c>
      <c r="R73" t="s">
        <v>4783</v>
      </c>
      <c r="S73" t="s">
        <v>4784</v>
      </c>
      <c r="T73" t="s">
        <v>4785</v>
      </c>
      <c r="U73" t="s">
        <v>4786</v>
      </c>
      <c r="V73" t="s">
        <v>4787</v>
      </c>
      <c r="W73" t="s">
        <v>4788</v>
      </c>
    </row>
    <row r="74" spans="1:23" x14ac:dyDescent="0.2">
      <c r="A74" t="s">
        <v>4631</v>
      </c>
      <c r="B74">
        <v>40</v>
      </c>
      <c r="C74">
        <v>50</v>
      </c>
      <c r="D74" t="s">
        <v>4620</v>
      </c>
      <c r="E74" s="65" t="s">
        <v>5703</v>
      </c>
      <c r="F74" s="65" t="s">
        <v>5703</v>
      </c>
      <c r="G74" t="s">
        <v>4640</v>
      </c>
      <c r="H74">
        <v>101</v>
      </c>
      <c r="I74" t="s">
        <v>4278</v>
      </c>
      <c r="J74">
        <v>1</v>
      </c>
      <c r="K74" t="s">
        <v>1451</v>
      </c>
      <c r="L74" t="s">
        <v>4279</v>
      </c>
      <c r="M74" t="s">
        <v>4280</v>
      </c>
      <c r="N74" t="s">
        <v>4281</v>
      </c>
      <c r="O74" t="s">
        <v>4282</v>
      </c>
      <c r="P74" t="s">
        <v>4283</v>
      </c>
      <c r="Q74" t="s">
        <v>4284</v>
      </c>
      <c r="R74" t="s">
        <v>4285</v>
      </c>
      <c r="S74" t="s">
        <v>4286</v>
      </c>
      <c r="T74" t="s">
        <v>4287</v>
      </c>
      <c r="U74" t="s">
        <v>4288</v>
      </c>
      <c r="V74" t="s">
        <v>4289</v>
      </c>
      <c r="W74" t="s">
        <v>4290</v>
      </c>
    </row>
    <row r="75" spans="1:23" x14ac:dyDescent="0.2">
      <c r="A75" t="s">
        <v>4640</v>
      </c>
      <c r="B75">
        <v>30</v>
      </c>
      <c r="C75">
        <v>40</v>
      </c>
      <c r="D75" t="s">
        <v>4641</v>
      </c>
      <c r="E75" s="65" t="s">
        <v>6063</v>
      </c>
      <c r="F75" s="65" t="s">
        <v>6064</v>
      </c>
      <c r="G75" t="s">
        <v>4653</v>
      </c>
      <c r="H75">
        <v>605</v>
      </c>
      <c r="I75" t="s">
        <v>4741</v>
      </c>
      <c r="J75">
        <v>1</v>
      </c>
      <c r="K75" t="s">
        <v>1557</v>
      </c>
      <c r="L75" t="s">
        <v>4279</v>
      </c>
      <c r="M75" t="s">
        <v>4742</v>
      </c>
      <c r="N75" t="s">
        <v>4325</v>
      </c>
      <c r="O75" t="s">
        <v>4322</v>
      </c>
      <c r="P75" t="s">
        <v>4281</v>
      </c>
      <c r="Q75" t="s">
        <v>2141</v>
      </c>
      <c r="R75" t="s">
        <v>2506</v>
      </c>
      <c r="S75" t="s">
        <v>4580</v>
      </c>
      <c r="T75" t="s">
        <v>4381</v>
      </c>
      <c r="U75" t="s">
        <v>4743</v>
      </c>
      <c r="V75" t="s">
        <v>4744</v>
      </c>
      <c r="W75" t="s">
        <v>4745</v>
      </c>
    </row>
    <row r="76" spans="1:23" x14ac:dyDescent="0.2">
      <c r="A76" t="s">
        <v>4653</v>
      </c>
      <c r="B76">
        <v>40</v>
      </c>
      <c r="C76">
        <v>50</v>
      </c>
      <c r="D76" t="s">
        <v>4641</v>
      </c>
      <c r="E76" s="65" t="s">
        <v>5703</v>
      </c>
      <c r="F76" s="65" t="s">
        <v>5703</v>
      </c>
      <c r="G76" t="s">
        <v>4665</v>
      </c>
      <c r="H76">
        <v>408</v>
      </c>
      <c r="I76" t="s">
        <v>4577</v>
      </c>
      <c r="J76">
        <v>2</v>
      </c>
      <c r="K76" t="s">
        <v>1451</v>
      </c>
      <c r="L76" t="s">
        <v>4279</v>
      </c>
      <c r="M76" t="s">
        <v>4578</v>
      </c>
      <c r="N76" t="s">
        <v>4325</v>
      </c>
      <c r="O76" t="s">
        <v>4322</v>
      </c>
      <c r="P76" t="s">
        <v>4281</v>
      </c>
      <c r="Q76" t="s">
        <v>4579</v>
      </c>
      <c r="R76" t="s">
        <v>4580</v>
      </c>
      <c r="S76" t="s">
        <v>4581</v>
      </c>
      <c r="T76" t="s">
        <v>4582</v>
      </c>
      <c r="U76" t="s">
        <v>4583</v>
      </c>
      <c r="V76" t="s">
        <v>4584</v>
      </c>
      <c r="W76" t="s">
        <v>4585</v>
      </c>
    </row>
    <row r="77" spans="1:23" x14ac:dyDescent="0.2">
      <c r="A77" t="s">
        <v>4665</v>
      </c>
      <c r="B77">
        <v>30</v>
      </c>
      <c r="C77">
        <v>40</v>
      </c>
      <c r="D77" t="s">
        <v>4666</v>
      </c>
      <c r="E77" s="65" t="s">
        <v>6065</v>
      </c>
      <c r="F77" t="s">
        <v>6066</v>
      </c>
      <c r="G77" t="s">
        <v>4676</v>
      </c>
      <c r="H77">
        <v>1105</v>
      </c>
      <c r="I77" t="s">
        <v>4925</v>
      </c>
      <c r="J77">
        <v>2</v>
      </c>
      <c r="K77" t="s">
        <v>1557</v>
      </c>
      <c r="L77" t="s">
        <v>4279</v>
      </c>
      <c r="M77" t="s">
        <v>4926</v>
      </c>
      <c r="N77" t="s">
        <v>4322</v>
      </c>
      <c r="O77" t="s">
        <v>4281</v>
      </c>
      <c r="P77" t="s">
        <v>4282</v>
      </c>
      <c r="Q77" t="s">
        <v>4579</v>
      </c>
      <c r="R77" t="s">
        <v>4580</v>
      </c>
      <c r="S77" t="s">
        <v>4581</v>
      </c>
      <c r="T77" t="s">
        <v>4927</v>
      </c>
      <c r="U77" t="s">
        <v>4583</v>
      </c>
      <c r="V77" t="s">
        <v>4584</v>
      </c>
      <c r="W77" t="s">
        <v>4585</v>
      </c>
    </row>
    <row r="78" spans="1:23" x14ac:dyDescent="0.2">
      <c r="A78" t="s">
        <v>4676</v>
      </c>
      <c r="B78">
        <v>40</v>
      </c>
      <c r="C78">
        <v>50</v>
      </c>
      <c r="D78" t="s">
        <v>4666</v>
      </c>
      <c r="E78" s="65" t="s">
        <v>5703</v>
      </c>
      <c r="F78" s="65" t="s">
        <v>5703</v>
      </c>
      <c r="G78" t="s">
        <v>4666</v>
      </c>
      <c r="H78">
        <v>104</v>
      </c>
      <c r="I78" t="s">
        <v>4304</v>
      </c>
      <c r="J78">
        <v>1</v>
      </c>
      <c r="K78" t="s">
        <v>1557</v>
      </c>
      <c r="L78" t="s">
        <v>4279</v>
      </c>
      <c r="M78" t="s">
        <v>4305</v>
      </c>
      <c r="N78" t="s">
        <v>4281</v>
      </c>
      <c r="O78" t="s">
        <v>4282</v>
      </c>
      <c r="P78" t="s">
        <v>4306</v>
      </c>
      <c r="Q78" t="s">
        <v>4307</v>
      </c>
      <c r="R78" t="s">
        <v>4308</v>
      </c>
      <c r="S78" t="s">
        <v>4309</v>
      </c>
      <c r="T78" t="s">
        <v>4310</v>
      </c>
      <c r="U78" t="s">
        <v>4311</v>
      </c>
      <c r="V78" t="s">
        <v>4312</v>
      </c>
      <c r="W78" t="s">
        <v>4313</v>
      </c>
    </row>
    <row r="79" spans="1:23" x14ac:dyDescent="0.2">
      <c r="A79" t="s">
        <v>4666</v>
      </c>
      <c r="B79">
        <v>30</v>
      </c>
      <c r="C79">
        <v>40</v>
      </c>
      <c r="D79" t="s">
        <v>4665</v>
      </c>
      <c r="E79" s="65" t="s">
        <v>6067</v>
      </c>
      <c r="F79" s="179" t="s">
        <v>6068</v>
      </c>
      <c r="G79" t="s">
        <v>4695</v>
      </c>
      <c r="H79">
        <v>203</v>
      </c>
      <c r="I79" t="s">
        <v>4378</v>
      </c>
      <c r="J79">
        <v>1</v>
      </c>
      <c r="K79" t="s">
        <v>1557</v>
      </c>
      <c r="L79" t="s">
        <v>4279</v>
      </c>
      <c r="M79" t="s">
        <v>4379</v>
      </c>
      <c r="N79" t="s">
        <v>4281</v>
      </c>
      <c r="O79" t="s">
        <v>4282</v>
      </c>
      <c r="P79" t="s">
        <v>2141</v>
      </c>
      <c r="Q79" t="s">
        <v>2506</v>
      </c>
      <c r="R79" t="s">
        <v>4380</v>
      </c>
      <c r="S79" t="s">
        <v>4381</v>
      </c>
      <c r="T79" t="s">
        <v>4382</v>
      </c>
      <c r="U79" t="s">
        <v>4383</v>
      </c>
      <c r="V79" t="s">
        <v>4384</v>
      </c>
      <c r="W79" t="s">
        <v>4385</v>
      </c>
    </row>
    <row r="80" spans="1:23" x14ac:dyDescent="0.2">
      <c r="A80" t="s">
        <v>4695</v>
      </c>
      <c r="B80">
        <v>40</v>
      </c>
      <c r="C80">
        <v>50</v>
      </c>
      <c r="D80" t="s">
        <v>4665</v>
      </c>
      <c r="E80" s="65" t="s">
        <v>5703</v>
      </c>
      <c r="F80" s="65" t="s">
        <v>5703</v>
      </c>
      <c r="G80" t="s">
        <v>4704</v>
      </c>
      <c r="H80">
        <v>406</v>
      </c>
      <c r="I80" t="s">
        <v>4564</v>
      </c>
      <c r="J80">
        <v>2</v>
      </c>
      <c r="K80" t="s">
        <v>1451</v>
      </c>
      <c r="L80" t="s">
        <v>244</v>
      </c>
      <c r="M80" t="s">
        <v>4565</v>
      </c>
      <c r="N80" t="s">
        <v>4330</v>
      </c>
      <c r="O80" t="s">
        <v>4325</v>
      </c>
      <c r="P80" t="s">
        <v>4322</v>
      </c>
      <c r="Q80" t="s">
        <v>4281</v>
      </c>
      <c r="R80" t="s">
        <v>4282</v>
      </c>
      <c r="S80" t="s">
        <v>2290</v>
      </c>
      <c r="T80" t="s">
        <v>3361</v>
      </c>
      <c r="U80" t="s">
        <v>4566</v>
      </c>
      <c r="V80" t="s">
        <v>4567</v>
      </c>
      <c r="W80" t="s">
        <v>4568</v>
      </c>
    </row>
    <row r="81" spans="1:23" x14ac:dyDescent="0.2">
      <c r="A81" t="s">
        <v>4704</v>
      </c>
      <c r="B81">
        <v>20</v>
      </c>
      <c r="C81">
        <v>30</v>
      </c>
      <c r="D81" t="s">
        <v>38</v>
      </c>
      <c r="E81" t="s">
        <v>6070</v>
      </c>
      <c r="F81" t="s">
        <v>6069</v>
      </c>
      <c r="G81" t="s">
        <v>4711</v>
      </c>
      <c r="H81">
        <v>1401</v>
      </c>
      <c r="I81" t="s">
        <v>5029</v>
      </c>
      <c r="J81">
        <v>1</v>
      </c>
      <c r="K81" t="s">
        <v>1557</v>
      </c>
      <c r="L81" t="s">
        <v>4279</v>
      </c>
      <c r="M81" t="s">
        <v>5030</v>
      </c>
      <c r="N81" t="s">
        <v>4282</v>
      </c>
      <c r="O81" t="s">
        <v>5031</v>
      </c>
      <c r="P81" t="s">
        <v>5032</v>
      </c>
      <c r="Q81" t="s">
        <v>5033</v>
      </c>
      <c r="R81" t="s">
        <v>5034</v>
      </c>
      <c r="S81" t="s">
        <v>5035</v>
      </c>
      <c r="T81" t="s">
        <v>5036</v>
      </c>
      <c r="U81" t="s">
        <v>5037</v>
      </c>
      <c r="V81" t="s">
        <v>5038</v>
      </c>
      <c r="W81" t="s">
        <v>5039</v>
      </c>
    </row>
    <row r="82" spans="1:23" x14ac:dyDescent="0.2">
      <c r="A82" t="s">
        <v>4711</v>
      </c>
      <c r="B82">
        <v>30</v>
      </c>
      <c r="C82">
        <v>40</v>
      </c>
      <c r="D82" t="s">
        <v>38</v>
      </c>
      <c r="E82" s="65" t="s">
        <v>5703</v>
      </c>
      <c r="F82" s="65" t="s">
        <v>5703</v>
      </c>
      <c r="G82" t="s">
        <v>4641</v>
      </c>
      <c r="H82">
        <v>1303</v>
      </c>
      <c r="I82" t="s">
        <v>5007</v>
      </c>
      <c r="J82">
        <v>1</v>
      </c>
      <c r="K82" t="s">
        <v>1451</v>
      </c>
      <c r="L82" t="s">
        <v>244</v>
      </c>
      <c r="M82" t="s">
        <v>5008</v>
      </c>
      <c r="N82" t="s">
        <v>4281</v>
      </c>
      <c r="O82" t="s">
        <v>4282</v>
      </c>
      <c r="P82" t="s">
        <v>5009</v>
      </c>
      <c r="Q82" t="s">
        <v>5010</v>
      </c>
      <c r="R82" t="s">
        <v>5011</v>
      </c>
      <c r="S82" t="s">
        <v>5012</v>
      </c>
      <c r="T82" t="s">
        <v>5013</v>
      </c>
      <c r="U82" t="s">
        <v>5014</v>
      </c>
      <c r="V82" t="s">
        <v>5015</v>
      </c>
      <c r="W82" t="s">
        <v>5016</v>
      </c>
    </row>
    <row r="83" spans="1:23" x14ac:dyDescent="0.2">
      <c r="A83" t="s">
        <v>4641</v>
      </c>
      <c r="B83">
        <v>30</v>
      </c>
      <c r="C83">
        <v>40</v>
      </c>
      <c r="D83" t="s">
        <v>4640</v>
      </c>
      <c r="E83" s="65" t="s">
        <v>6071</v>
      </c>
      <c r="F83" s="65" t="s">
        <v>6072</v>
      </c>
      <c r="G83" t="s">
        <v>4727</v>
      </c>
      <c r="H83">
        <v>110</v>
      </c>
      <c r="I83" t="s">
        <v>4331</v>
      </c>
      <c r="J83">
        <v>2</v>
      </c>
      <c r="K83" t="s">
        <v>1451</v>
      </c>
      <c r="L83" t="s">
        <v>4279</v>
      </c>
      <c r="M83" t="s">
        <v>4332</v>
      </c>
      <c r="N83" t="s">
        <v>4330</v>
      </c>
      <c r="O83" t="s">
        <v>4325</v>
      </c>
      <c r="P83" t="s">
        <v>4322</v>
      </c>
      <c r="Q83" t="s">
        <v>4281</v>
      </c>
      <c r="R83" t="s">
        <v>4333</v>
      </c>
      <c r="S83" t="s">
        <v>4334</v>
      </c>
      <c r="T83" t="s">
        <v>4335</v>
      </c>
      <c r="U83" t="s">
        <v>4336</v>
      </c>
      <c r="V83" t="s">
        <v>4337</v>
      </c>
      <c r="W83" t="s">
        <v>3902</v>
      </c>
    </row>
    <row r="84" spans="1:23" x14ac:dyDescent="0.2">
      <c r="A84" t="s">
        <v>4727</v>
      </c>
      <c r="B84">
        <v>40</v>
      </c>
      <c r="C84">
        <v>50</v>
      </c>
      <c r="D84" t="s">
        <v>4640</v>
      </c>
      <c r="E84" s="65" t="s">
        <v>5703</v>
      </c>
      <c r="F84" s="65" t="s">
        <v>5703</v>
      </c>
      <c r="G84" t="s">
        <v>4620</v>
      </c>
      <c r="H84">
        <v>412</v>
      </c>
      <c r="I84" t="s">
        <v>4596</v>
      </c>
      <c r="J84">
        <v>3</v>
      </c>
      <c r="K84" t="s">
        <v>1451</v>
      </c>
      <c r="L84" t="s">
        <v>4279</v>
      </c>
      <c r="M84" t="s">
        <v>4597</v>
      </c>
      <c r="N84" t="s">
        <v>4454</v>
      </c>
      <c r="O84" t="s">
        <v>4354</v>
      </c>
      <c r="P84" t="s">
        <v>4351</v>
      </c>
      <c r="Q84" t="s">
        <v>4330</v>
      </c>
      <c r="R84" t="s">
        <v>4325</v>
      </c>
      <c r="S84" t="s">
        <v>4322</v>
      </c>
      <c r="T84" t="s">
        <v>1884</v>
      </c>
      <c r="U84" t="s">
        <v>4514</v>
      </c>
      <c r="V84" t="s">
        <v>4515</v>
      </c>
      <c r="W84" t="s">
        <v>4548</v>
      </c>
    </row>
    <row r="85" spans="1:23" x14ac:dyDescent="0.2">
      <c r="A85" t="s">
        <v>4620</v>
      </c>
      <c r="B85">
        <v>30</v>
      </c>
      <c r="C85">
        <v>40</v>
      </c>
      <c r="D85" t="s">
        <v>250</v>
      </c>
      <c r="E85" s="65" t="s">
        <v>6073</v>
      </c>
      <c r="F85" s="65" t="s">
        <v>6074</v>
      </c>
      <c r="G85" t="s">
        <v>4735</v>
      </c>
      <c r="H85">
        <v>311</v>
      </c>
      <c r="I85" t="s">
        <v>4546</v>
      </c>
      <c r="J85">
        <v>3</v>
      </c>
      <c r="K85" t="s">
        <v>1451</v>
      </c>
      <c r="L85" t="s">
        <v>4279</v>
      </c>
      <c r="M85" t="s">
        <v>4547</v>
      </c>
      <c r="N85" t="s">
        <v>4454</v>
      </c>
      <c r="O85" t="s">
        <v>4354</v>
      </c>
      <c r="P85" t="s">
        <v>4351</v>
      </c>
      <c r="Q85" t="s">
        <v>4330</v>
      </c>
      <c r="R85" t="s">
        <v>4325</v>
      </c>
      <c r="S85" t="s">
        <v>4322</v>
      </c>
      <c r="T85" t="s">
        <v>4513</v>
      </c>
      <c r="U85" t="s">
        <v>4514</v>
      </c>
      <c r="V85" t="s">
        <v>4515</v>
      </c>
      <c r="W85" t="s">
        <v>4548</v>
      </c>
    </row>
    <row r="86" spans="1:23" x14ac:dyDescent="0.2">
      <c r="A86" t="s">
        <v>4735</v>
      </c>
      <c r="B86">
        <v>40</v>
      </c>
      <c r="C86">
        <v>50</v>
      </c>
      <c r="D86" t="s">
        <v>250</v>
      </c>
      <c r="E86" s="65" t="s">
        <v>5703</v>
      </c>
      <c r="F86" s="65" t="s">
        <v>5703</v>
      </c>
      <c r="H86">
        <v>1305</v>
      </c>
      <c r="I86" t="s">
        <v>2960</v>
      </c>
      <c r="J86">
        <v>2</v>
      </c>
      <c r="K86" t="s">
        <v>1451</v>
      </c>
      <c r="L86" t="s">
        <v>4279</v>
      </c>
      <c r="M86" t="s">
        <v>5020</v>
      </c>
      <c r="N86" t="s">
        <v>4330</v>
      </c>
      <c r="O86" t="s">
        <v>4325</v>
      </c>
      <c r="P86" t="s">
        <v>4322</v>
      </c>
      <c r="Q86" t="s">
        <v>4281</v>
      </c>
      <c r="R86" t="s">
        <v>4282</v>
      </c>
      <c r="S86" t="s">
        <v>5021</v>
      </c>
      <c r="T86" t="s">
        <v>1127</v>
      </c>
      <c r="U86" t="s">
        <v>1483</v>
      </c>
      <c r="V86" t="s">
        <v>2121</v>
      </c>
      <c r="W86" t="s">
        <v>1484</v>
      </c>
    </row>
    <row r="87" spans="1:23" x14ac:dyDescent="0.2">
      <c r="H87">
        <v>103</v>
      </c>
      <c r="I87" t="s">
        <v>4301</v>
      </c>
      <c r="J87">
        <v>1</v>
      </c>
      <c r="K87" t="s">
        <v>1451</v>
      </c>
      <c r="L87" t="s">
        <v>4279</v>
      </c>
      <c r="M87" t="s">
        <v>4302</v>
      </c>
      <c r="N87" t="s">
        <v>4281</v>
      </c>
      <c r="O87" t="s">
        <v>4282</v>
      </c>
      <c r="P87" t="s">
        <v>4303</v>
      </c>
      <c r="Q87" t="s">
        <v>4293</v>
      </c>
      <c r="R87" t="s">
        <v>4294</v>
      </c>
      <c r="S87" t="s">
        <v>4295</v>
      </c>
      <c r="T87" t="s">
        <v>4296</v>
      </c>
      <c r="U87" t="s">
        <v>4297</v>
      </c>
      <c r="V87" t="s">
        <v>4298</v>
      </c>
      <c r="W87" t="s">
        <v>4299</v>
      </c>
    </row>
    <row r="88" spans="1:23" x14ac:dyDescent="0.2">
      <c r="H88">
        <v>513</v>
      </c>
      <c r="I88" t="s">
        <v>4718</v>
      </c>
      <c r="J88">
        <v>3</v>
      </c>
      <c r="K88" t="s">
        <v>1451</v>
      </c>
      <c r="L88" t="s">
        <v>4279</v>
      </c>
      <c r="M88" t="s">
        <v>4719</v>
      </c>
      <c r="N88" t="s">
        <v>4354</v>
      </c>
      <c r="O88" t="s">
        <v>4351</v>
      </c>
      <c r="P88" t="s">
        <v>4330</v>
      </c>
      <c r="Q88" t="s">
        <v>4325</v>
      </c>
      <c r="R88" t="s">
        <v>4322</v>
      </c>
      <c r="S88" t="s">
        <v>4720</v>
      </c>
      <c r="T88" t="s">
        <v>4721</v>
      </c>
      <c r="U88" t="s">
        <v>4722</v>
      </c>
      <c r="V88" t="s">
        <v>4723</v>
      </c>
      <c r="W88" t="s">
        <v>4724</v>
      </c>
    </row>
    <row r="89" spans="1:23" x14ac:dyDescent="0.2">
      <c r="H89">
        <v>202</v>
      </c>
      <c r="I89" t="s">
        <v>4370</v>
      </c>
      <c r="J89">
        <v>1</v>
      </c>
      <c r="K89" t="s">
        <v>1451</v>
      </c>
      <c r="L89" t="s">
        <v>244</v>
      </c>
      <c r="M89" t="s">
        <v>4371</v>
      </c>
      <c r="N89" t="s">
        <v>4281</v>
      </c>
      <c r="O89" t="s">
        <v>4282</v>
      </c>
      <c r="P89" t="s">
        <v>3111</v>
      </c>
      <c r="Q89" t="s">
        <v>4372</v>
      </c>
      <c r="R89" t="s">
        <v>3112</v>
      </c>
      <c r="S89" t="s">
        <v>4373</v>
      </c>
      <c r="T89" t="s">
        <v>4374</v>
      </c>
      <c r="U89" t="s">
        <v>4375</v>
      </c>
      <c r="V89" t="s">
        <v>4376</v>
      </c>
      <c r="W89" t="s">
        <v>4377</v>
      </c>
    </row>
    <row r="90" spans="1:23" x14ac:dyDescent="0.2">
      <c r="H90">
        <v>509</v>
      </c>
      <c r="I90" t="s">
        <v>4686</v>
      </c>
      <c r="J90">
        <v>2</v>
      </c>
      <c r="K90" t="s">
        <v>1557</v>
      </c>
      <c r="L90" t="s">
        <v>4279</v>
      </c>
      <c r="M90" t="s">
        <v>4687</v>
      </c>
      <c r="N90" t="s">
        <v>4330</v>
      </c>
      <c r="O90" t="s">
        <v>4322</v>
      </c>
      <c r="P90" t="s">
        <v>4281</v>
      </c>
      <c r="Q90" t="s">
        <v>4688</v>
      </c>
      <c r="R90" t="s">
        <v>4689</v>
      </c>
      <c r="S90" t="s">
        <v>4690</v>
      </c>
      <c r="T90" t="s">
        <v>4691</v>
      </c>
      <c r="U90" t="s">
        <v>4692</v>
      </c>
      <c r="V90" t="s">
        <v>4693</v>
      </c>
      <c r="W90" t="s">
        <v>4694</v>
      </c>
    </row>
    <row r="91" spans="1:23" x14ac:dyDescent="0.2">
      <c r="H91">
        <v>505</v>
      </c>
      <c r="I91" t="s">
        <v>4642</v>
      </c>
      <c r="J91">
        <v>1</v>
      </c>
      <c r="K91" t="s">
        <v>1451</v>
      </c>
      <c r="L91" t="s">
        <v>4279</v>
      </c>
      <c r="M91" t="s">
        <v>4643</v>
      </c>
      <c r="N91" t="s">
        <v>4281</v>
      </c>
      <c r="O91" t="s">
        <v>4644</v>
      </c>
      <c r="P91" t="s">
        <v>4645</v>
      </c>
      <c r="Q91" t="s">
        <v>4646</v>
      </c>
      <c r="R91" t="s">
        <v>4647</v>
      </c>
      <c r="S91" t="s">
        <v>4648</v>
      </c>
      <c r="T91" t="s">
        <v>4649</v>
      </c>
      <c r="U91" t="s">
        <v>4650</v>
      </c>
      <c r="V91" t="s">
        <v>4651</v>
      </c>
      <c r="W91" t="s">
        <v>4652</v>
      </c>
    </row>
    <row r="92" spans="1:23" x14ac:dyDescent="0.2">
      <c r="H92">
        <v>502</v>
      </c>
      <c r="I92" t="s">
        <v>4611</v>
      </c>
      <c r="J92">
        <v>1</v>
      </c>
      <c r="K92" t="s">
        <v>1451</v>
      </c>
      <c r="L92" t="s">
        <v>4279</v>
      </c>
      <c r="M92" t="s">
        <v>4612</v>
      </c>
      <c r="N92" t="s">
        <v>4325</v>
      </c>
      <c r="O92" t="s">
        <v>4322</v>
      </c>
      <c r="P92" t="s">
        <v>4281</v>
      </c>
      <c r="Q92" t="s">
        <v>4613</v>
      </c>
      <c r="R92" t="s">
        <v>4614</v>
      </c>
      <c r="S92" t="s">
        <v>4615</v>
      </c>
      <c r="T92" t="s">
        <v>4616</v>
      </c>
      <c r="U92" t="s">
        <v>4617</v>
      </c>
      <c r="V92" t="s">
        <v>4618</v>
      </c>
      <c r="W92" t="s">
        <v>4619</v>
      </c>
    </row>
    <row r="93" spans="1:23" x14ac:dyDescent="0.2">
      <c r="H93">
        <v>506</v>
      </c>
      <c r="I93" t="s">
        <v>4654</v>
      </c>
      <c r="J93">
        <v>1</v>
      </c>
      <c r="K93" t="s">
        <v>1451</v>
      </c>
      <c r="L93" t="s">
        <v>4279</v>
      </c>
      <c r="M93" t="s">
        <v>4655</v>
      </c>
      <c r="N93" t="s">
        <v>4281</v>
      </c>
      <c r="O93" t="s">
        <v>4656</v>
      </c>
      <c r="P93" t="s">
        <v>4657</v>
      </c>
      <c r="Q93" t="s">
        <v>4658</v>
      </c>
      <c r="R93" t="s">
        <v>4659</v>
      </c>
      <c r="S93" t="s">
        <v>4660</v>
      </c>
      <c r="T93" t="s">
        <v>4661</v>
      </c>
      <c r="U93" t="s">
        <v>4662</v>
      </c>
      <c r="V93" t="s">
        <v>4663</v>
      </c>
      <c r="W93" t="s">
        <v>4664</v>
      </c>
    </row>
    <row r="94" spans="1:23" x14ac:dyDescent="0.2">
      <c r="A94" t="s">
        <v>4266</v>
      </c>
      <c r="B94" t="s">
        <v>0</v>
      </c>
      <c r="H94">
        <v>501</v>
      </c>
      <c r="I94" t="s">
        <v>4598</v>
      </c>
      <c r="J94">
        <v>1</v>
      </c>
      <c r="K94" t="s">
        <v>1451</v>
      </c>
      <c r="L94" t="s">
        <v>4279</v>
      </c>
      <c r="M94" t="s">
        <v>4599</v>
      </c>
      <c r="N94" t="s">
        <v>4322</v>
      </c>
      <c r="O94" t="s">
        <v>4281</v>
      </c>
      <c r="P94" t="s">
        <v>4600</v>
      </c>
      <c r="Q94" t="s">
        <v>4601</v>
      </c>
      <c r="R94" t="s">
        <v>4602</v>
      </c>
      <c r="S94" t="s">
        <v>4603</v>
      </c>
      <c r="T94" t="s">
        <v>4604</v>
      </c>
      <c r="U94" t="s">
        <v>4605</v>
      </c>
      <c r="V94" t="s">
        <v>4606</v>
      </c>
      <c r="W94" t="s">
        <v>4607</v>
      </c>
    </row>
    <row r="95" spans="1:23" x14ac:dyDescent="0.2">
      <c r="A95" t="s">
        <v>4267</v>
      </c>
      <c r="B95" t="s">
        <v>4278</v>
      </c>
      <c r="H95">
        <v>503</v>
      </c>
      <c r="I95" t="s">
        <v>4621</v>
      </c>
      <c r="J95">
        <v>1</v>
      </c>
      <c r="K95" t="s">
        <v>1451</v>
      </c>
      <c r="L95" t="s">
        <v>4279</v>
      </c>
      <c r="M95" t="s">
        <v>4622</v>
      </c>
      <c r="N95" t="s">
        <v>4322</v>
      </c>
      <c r="O95" t="s">
        <v>4281</v>
      </c>
      <c r="P95" t="s">
        <v>4623</v>
      </c>
      <c r="Q95" t="s">
        <v>4624</v>
      </c>
      <c r="R95" t="s">
        <v>4625</v>
      </c>
      <c r="S95" t="s">
        <v>4626</v>
      </c>
      <c r="T95" t="s">
        <v>4627</v>
      </c>
      <c r="U95" t="s">
        <v>4628</v>
      </c>
      <c r="V95" t="s">
        <v>4629</v>
      </c>
      <c r="W95" t="s">
        <v>4630</v>
      </c>
    </row>
    <row r="96" spans="1:23" x14ac:dyDescent="0.2">
      <c r="A96" t="s">
        <v>4267</v>
      </c>
      <c r="B96" t="s">
        <v>4291</v>
      </c>
      <c r="H96">
        <v>508</v>
      </c>
      <c r="I96" t="s">
        <v>4677</v>
      </c>
      <c r="J96">
        <v>2</v>
      </c>
      <c r="K96" t="s">
        <v>1451</v>
      </c>
      <c r="L96" t="s">
        <v>4279</v>
      </c>
      <c r="M96" t="s">
        <v>4678</v>
      </c>
      <c r="N96" t="s">
        <v>4330</v>
      </c>
      <c r="O96" t="s">
        <v>4322</v>
      </c>
      <c r="P96" t="s">
        <v>4281</v>
      </c>
      <c r="Q96" t="s">
        <v>4679</v>
      </c>
      <c r="R96" t="s">
        <v>4680</v>
      </c>
      <c r="S96" t="s">
        <v>4681</v>
      </c>
      <c r="T96" t="s">
        <v>4682</v>
      </c>
      <c r="U96" t="s">
        <v>4683</v>
      </c>
      <c r="V96" t="s">
        <v>4684</v>
      </c>
      <c r="W96" t="s">
        <v>4685</v>
      </c>
    </row>
    <row r="97" spans="1:23" x14ac:dyDescent="0.2">
      <c r="A97" t="s">
        <v>4267</v>
      </c>
      <c r="B97" t="s">
        <v>4301</v>
      </c>
      <c r="H97">
        <v>507</v>
      </c>
      <c r="I97" t="s">
        <v>4667</v>
      </c>
      <c r="J97">
        <v>2</v>
      </c>
      <c r="K97" t="s">
        <v>1451</v>
      </c>
      <c r="L97" t="s">
        <v>4279</v>
      </c>
      <c r="M97" t="s">
        <v>4668</v>
      </c>
      <c r="N97" t="s">
        <v>4330</v>
      </c>
      <c r="O97" t="s">
        <v>4322</v>
      </c>
      <c r="P97" t="s">
        <v>4281</v>
      </c>
      <c r="Q97" t="s">
        <v>4669</v>
      </c>
      <c r="R97" t="s">
        <v>4670</v>
      </c>
      <c r="S97" t="s">
        <v>4671</v>
      </c>
      <c r="T97" t="s">
        <v>4672</v>
      </c>
      <c r="U97" t="s">
        <v>4673</v>
      </c>
      <c r="V97" t="s">
        <v>4674</v>
      </c>
      <c r="W97" t="s">
        <v>4675</v>
      </c>
    </row>
    <row r="98" spans="1:23" x14ac:dyDescent="0.2">
      <c r="A98" t="s">
        <v>4267</v>
      </c>
      <c r="B98" t="s">
        <v>4304</v>
      </c>
      <c r="H98">
        <v>511</v>
      </c>
      <c r="I98" t="s">
        <v>4705</v>
      </c>
      <c r="J98">
        <v>3</v>
      </c>
      <c r="K98" t="s">
        <v>1451</v>
      </c>
      <c r="L98" t="s">
        <v>4279</v>
      </c>
      <c r="M98" t="s">
        <v>4706</v>
      </c>
      <c r="N98" t="s">
        <v>4354</v>
      </c>
      <c r="O98" t="s">
        <v>4351</v>
      </c>
      <c r="P98" t="s">
        <v>4330</v>
      </c>
      <c r="Q98" t="s">
        <v>4325</v>
      </c>
      <c r="R98" t="s">
        <v>4322</v>
      </c>
      <c r="S98" t="s">
        <v>1659</v>
      </c>
      <c r="T98" t="s">
        <v>4707</v>
      </c>
      <c r="U98" t="s">
        <v>4708</v>
      </c>
      <c r="V98" t="s">
        <v>4709</v>
      </c>
      <c r="W98" t="s">
        <v>4710</v>
      </c>
    </row>
    <row r="99" spans="1:23" x14ac:dyDescent="0.2">
      <c r="A99" t="s">
        <v>4267</v>
      </c>
      <c r="B99" t="s">
        <v>4314</v>
      </c>
      <c r="H99">
        <v>504</v>
      </c>
      <c r="I99" t="s">
        <v>3252</v>
      </c>
      <c r="J99">
        <v>1</v>
      </c>
      <c r="K99" t="s">
        <v>1451</v>
      </c>
      <c r="L99" t="s">
        <v>4279</v>
      </c>
      <c r="M99" t="s">
        <v>4632</v>
      </c>
      <c r="N99" t="s">
        <v>4322</v>
      </c>
      <c r="O99" t="s">
        <v>4281</v>
      </c>
      <c r="P99" t="s">
        <v>3252</v>
      </c>
      <c r="Q99" t="s">
        <v>4633</v>
      </c>
      <c r="R99" t="s">
        <v>4634</v>
      </c>
      <c r="S99" t="s">
        <v>4635</v>
      </c>
      <c r="T99" t="s">
        <v>4636</v>
      </c>
      <c r="U99" t="s">
        <v>4637</v>
      </c>
      <c r="V99" t="s">
        <v>4638</v>
      </c>
      <c r="W99" t="s">
        <v>4639</v>
      </c>
    </row>
    <row r="100" spans="1:23" x14ac:dyDescent="0.2">
      <c r="A100" t="s">
        <v>4267</v>
      </c>
      <c r="B100" t="s">
        <v>4320</v>
      </c>
      <c r="H100">
        <v>304</v>
      </c>
      <c r="I100" t="s">
        <v>4501</v>
      </c>
      <c r="J100">
        <v>1</v>
      </c>
      <c r="K100" t="s">
        <v>1451</v>
      </c>
      <c r="L100" t="s">
        <v>244</v>
      </c>
      <c r="M100" t="s">
        <v>4502</v>
      </c>
      <c r="N100" t="s">
        <v>4322</v>
      </c>
      <c r="O100" t="s">
        <v>4281</v>
      </c>
      <c r="P100" t="s">
        <v>4282</v>
      </c>
      <c r="Q100" t="s">
        <v>4503</v>
      </c>
      <c r="R100" t="s">
        <v>4504</v>
      </c>
      <c r="S100" t="s">
        <v>4505</v>
      </c>
      <c r="T100" t="s">
        <v>4506</v>
      </c>
      <c r="U100" t="s">
        <v>4507</v>
      </c>
      <c r="V100" t="s">
        <v>4508</v>
      </c>
      <c r="W100" t="s">
        <v>4509</v>
      </c>
    </row>
    <row r="101" spans="1:23" x14ac:dyDescent="0.2">
      <c r="A101" t="s">
        <v>4267</v>
      </c>
      <c r="B101" t="s">
        <v>4323</v>
      </c>
      <c r="H101">
        <v>607</v>
      </c>
      <c r="I101" t="s">
        <v>3303</v>
      </c>
      <c r="J101">
        <v>2</v>
      </c>
      <c r="K101" t="s">
        <v>1557</v>
      </c>
      <c r="L101" t="s">
        <v>4279</v>
      </c>
      <c r="M101" t="s">
        <v>4754</v>
      </c>
      <c r="N101" t="s">
        <v>4351</v>
      </c>
      <c r="O101" t="s">
        <v>4330</v>
      </c>
      <c r="P101" t="s">
        <v>4325</v>
      </c>
      <c r="Q101" t="s">
        <v>4322</v>
      </c>
      <c r="R101" t="s">
        <v>4281</v>
      </c>
      <c r="S101" t="s">
        <v>1474</v>
      </c>
      <c r="T101" t="s">
        <v>4512</v>
      </c>
      <c r="U101" t="s">
        <v>4498</v>
      </c>
      <c r="V101" t="s">
        <v>4513</v>
      </c>
      <c r="W101" t="s">
        <v>4514</v>
      </c>
    </row>
    <row r="102" spans="1:23" x14ac:dyDescent="0.2">
      <c r="A102" t="s">
        <v>4267</v>
      </c>
      <c r="B102" t="s">
        <v>4326</v>
      </c>
      <c r="H102">
        <v>306</v>
      </c>
      <c r="I102" t="s">
        <v>4516</v>
      </c>
      <c r="J102">
        <v>2</v>
      </c>
      <c r="K102" t="s">
        <v>1557</v>
      </c>
      <c r="L102" t="s">
        <v>4279</v>
      </c>
      <c r="M102" t="s">
        <v>4517</v>
      </c>
      <c r="N102" t="s">
        <v>4322</v>
      </c>
      <c r="O102" t="s">
        <v>4281</v>
      </c>
      <c r="P102" t="s">
        <v>4282</v>
      </c>
      <c r="Q102" t="s">
        <v>4473</v>
      </c>
      <c r="R102" t="s">
        <v>4475</v>
      </c>
      <c r="S102" t="s">
        <v>4512</v>
      </c>
      <c r="T102" t="s">
        <v>4478</v>
      </c>
      <c r="U102" t="s">
        <v>4513</v>
      </c>
      <c r="V102" t="s">
        <v>4514</v>
      </c>
      <c r="W102" t="s">
        <v>4515</v>
      </c>
    </row>
    <row r="103" spans="1:23" x14ac:dyDescent="0.2">
      <c r="A103" t="s">
        <v>4267</v>
      </c>
      <c r="B103" t="s">
        <v>4328</v>
      </c>
      <c r="H103">
        <v>804</v>
      </c>
      <c r="I103" t="s">
        <v>4824</v>
      </c>
      <c r="J103">
        <v>1</v>
      </c>
      <c r="K103" t="s">
        <v>1451</v>
      </c>
      <c r="L103" t="s">
        <v>4279</v>
      </c>
      <c r="M103" t="s">
        <v>4825</v>
      </c>
      <c r="N103" t="s">
        <v>4281</v>
      </c>
      <c r="O103" t="s">
        <v>4282</v>
      </c>
      <c r="P103" t="s">
        <v>4796</v>
      </c>
      <c r="Q103" t="s">
        <v>4797</v>
      </c>
      <c r="R103" t="s">
        <v>4798</v>
      </c>
      <c r="S103" t="s">
        <v>4799</v>
      </c>
      <c r="T103" t="s">
        <v>4800</v>
      </c>
      <c r="U103" t="s">
        <v>4801</v>
      </c>
      <c r="V103" t="s">
        <v>4802</v>
      </c>
      <c r="W103" t="s">
        <v>4803</v>
      </c>
    </row>
    <row r="104" spans="1:23" x14ac:dyDescent="0.2">
      <c r="A104" t="s">
        <v>4267</v>
      </c>
      <c r="B104" t="s">
        <v>4331</v>
      </c>
      <c r="H104">
        <v>1306</v>
      </c>
      <c r="I104" t="s">
        <v>5022</v>
      </c>
      <c r="J104">
        <v>3</v>
      </c>
      <c r="K104" t="s">
        <v>1451</v>
      </c>
      <c r="L104" t="s">
        <v>244</v>
      </c>
      <c r="M104" t="s">
        <v>5023</v>
      </c>
      <c r="N104" t="s">
        <v>4354</v>
      </c>
      <c r="O104" t="s">
        <v>4351</v>
      </c>
      <c r="P104" t="s">
        <v>4330</v>
      </c>
      <c r="Q104" t="s">
        <v>4325</v>
      </c>
      <c r="R104" t="s">
        <v>4322</v>
      </c>
      <c r="S104" t="s">
        <v>5024</v>
      </c>
      <c r="T104" t="s">
        <v>5025</v>
      </c>
      <c r="U104" t="s">
        <v>5026</v>
      </c>
      <c r="V104" t="s">
        <v>5027</v>
      </c>
      <c r="W104" t="s">
        <v>5028</v>
      </c>
    </row>
    <row r="105" spans="1:23" x14ac:dyDescent="0.2">
      <c r="A105" t="s">
        <v>4267</v>
      </c>
      <c r="B105" t="s">
        <v>4338</v>
      </c>
      <c r="H105">
        <v>102</v>
      </c>
      <c r="I105" t="s">
        <v>4291</v>
      </c>
      <c r="J105">
        <v>1</v>
      </c>
      <c r="K105" t="s">
        <v>1451</v>
      </c>
      <c r="L105" t="s">
        <v>4279</v>
      </c>
      <c r="M105" t="s">
        <v>4292</v>
      </c>
      <c r="N105" t="s">
        <v>4281</v>
      </c>
      <c r="O105" t="s">
        <v>4282</v>
      </c>
      <c r="P105" t="s">
        <v>4293</v>
      </c>
      <c r="Q105" t="s">
        <v>4294</v>
      </c>
      <c r="R105" t="s">
        <v>4295</v>
      </c>
      <c r="S105" t="s">
        <v>4296</v>
      </c>
      <c r="T105" t="s">
        <v>4297</v>
      </c>
      <c r="U105" t="s">
        <v>4298</v>
      </c>
      <c r="V105" t="s">
        <v>4299</v>
      </c>
      <c r="W105" t="s">
        <v>4300</v>
      </c>
    </row>
    <row r="106" spans="1:23" x14ac:dyDescent="0.2">
      <c r="A106" t="s">
        <v>4267</v>
      </c>
      <c r="B106" t="s">
        <v>4341</v>
      </c>
      <c r="H106">
        <v>702</v>
      </c>
      <c r="I106" t="s">
        <v>4778</v>
      </c>
      <c r="J106">
        <v>2</v>
      </c>
      <c r="K106" t="s">
        <v>1451</v>
      </c>
      <c r="L106" t="s">
        <v>244</v>
      </c>
      <c r="M106" t="s">
        <v>4779</v>
      </c>
      <c r="N106" t="s">
        <v>4330</v>
      </c>
      <c r="O106" t="s">
        <v>4325</v>
      </c>
      <c r="P106" t="s">
        <v>4322</v>
      </c>
      <c r="Q106" t="s">
        <v>4281</v>
      </c>
      <c r="R106" t="s">
        <v>4773</v>
      </c>
      <c r="S106" t="s">
        <v>4774</v>
      </c>
      <c r="T106" t="s">
        <v>1928</v>
      </c>
      <c r="U106" t="s">
        <v>4208</v>
      </c>
      <c r="V106" t="s">
        <v>4209</v>
      </c>
      <c r="W106" t="s">
        <v>4210</v>
      </c>
    </row>
    <row r="107" spans="1:23" x14ac:dyDescent="0.2">
      <c r="A107" t="s">
        <v>4267</v>
      </c>
      <c r="B107" t="s">
        <v>4349</v>
      </c>
      <c r="H107">
        <v>1106</v>
      </c>
      <c r="I107" t="s">
        <v>4928</v>
      </c>
      <c r="J107">
        <v>2</v>
      </c>
      <c r="K107" t="s">
        <v>1451</v>
      </c>
      <c r="L107" t="s">
        <v>4279</v>
      </c>
      <c r="M107" t="s">
        <v>4929</v>
      </c>
      <c r="N107" t="s">
        <v>4322</v>
      </c>
      <c r="O107" t="s">
        <v>4281</v>
      </c>
      <c r="P107" t="s">
        <v>4282</v>
      </c>
      <c r="Q107" t="s">
        <v>4930</v>
      </c>
      <c r="R107" t="s">
        <v>4931</v>
      </c>
      <c r="S107" t="s">
        <v>4932</v>
      </c>
      <c r="T107" t="s">
        <v>4933</v>
      </c>
      <c r="U107" t="s">
        <v>4934</v>
      </c>
      <c r="V107" t="s">
        <v>4935</v>
      </c>
      <c r="W107" t="s">
        <v>4936</v>
      </c>
    </row>
    <row r="108" spans="1:23" x14ac:dyDescent="0.2">
      <c r="A108" t="s">
        <v>4267</v>
      </c>
      <c r="B108" t="s">
        <v>4352</v>
      </c>
      <c r="H108">
        <v>112</v>
      </c>
      <c r="I108" t="s">
        <v>4341</v>
      </c>
      <c r="J108">
        <v>2</v>
      </c>
      <c r="K108" t="s">
        <v>1451</v>
      </c>
      <c r="L108" t="s">
        <v>4279</v>
      </c>
      <c r="M108" t="s">
        <v>4342</v>
      </c>
      <c r="N108" t="s">
        <v>4330</v>
      </c>
      <c r="O108" t="s">
        <v>4325</v>
      </c>
      <c r="P108" t="s">
        <v>4322</v>
      </c>
      <c r="Q108" t="s">
        <v>4281</v>
      </c>
      <c r="R108" t="s">
        <v>4343</v>
      </c>
      <c r="S108" t="s">
        <v>4344</v>
      </c>
      <c r="T108" t="s">
        <v>4345</v>
      </c>
      <c r="U108" t="s">
        <v>4346</v>
      </c>
      <c r="V108" t="s">
        <v>4347</v>
      </c>
      <c r="W108" t="s">
        <v>4348</v>
      </c>
    </row>
    <row r="109" spans="1:23" x14ac:dyDescent="0.2">
      <c r="A109" t="s">
        <v>4267</v>
      </c>
      <c r="B109" t="s">
        <v>285</v>
      </c>
      <c r="H109">
        <v>1104</v>
      </c>
      <c r="I109" t="s">
        <v>4919</v>
      </c>
      <c r="J109">
        <v>1</v>
      </c>
      <c r="K109" t="s">
        <v>1451</v>
      </c>
      <c r="L109" t="s">
        <v>4279</v>
      </c>
      <c r="M109" t="s">
        <v>4920</v>
      </c>
      <c r="N109" t="s">
        <v>4322</v>
      </c>
      <c r="O109" t="s">
        <v>4281</v>
      </c>
      <c r="P109" t="s">
        <v>4282</v>
      </c>
      <c r="Q109" t="s">
        <v>4921</v>
      </c>
      <c r="R109" t="s">
        <v>4922</v>
      </c>
      <c r="S109" t="s">
        <v>1745</v>
      </c>
      <c r="T109" t="s">
        <v>4923</v>
      </c>
      <c r="U109" t="s">
        <v>1746</v>
      </c>
      <c r="V109" t="s">
        <v>1747</v>
      </c>
      <c r="W109" t="s">
        <v>4924</v>
      </c>
    </row>
    <row r="110" spans="1:23" x14ac:dyDescent="0.2">
      <c r="A110" t="s">
        <v>4268</v>
      </c>
      <c r="B110" t="s">
        <v>4359</v>
      </c>
      <c r="H110">
        <v>1301</v>
      </c>
      <c r="I110" t="s">
        <v>4996</v>
      </c>
      <c r="J110">
        <v>1</v>
      </c>
      <c r="K110" t="s">
        <v>1451</v>
      </c>
      <c r="L110" t="s">
        <v>4279</v>
      </c>
      <c r="M110" t="s">
        <v>4997</v>
      </c>
      <c r="N110" t="s">
        <v>4322</v>
      </c>
      <c r="O110" t="s">
        <v>4281</v>
      </c>
      <c r="P110" t="s">
        <v>4282</v>
      </c>
      <c r="Q110" t="s">
        <v>4998</v>
      </c>
      <c r="R110" t="s">
        <v>4999</v>
      </c>
      <c r="S110" t="s">
        <v>5000</v>
      </c>
      <c r="T110" t="s">
        <v>5001</v>
      </c>
      <c r="U110" t="s">
        <v>5002</v>
      </c>
      <c r="V110" t="s">
        <v>5003</v>
      </c>
      <c r="W110" t="s">
        <v>5004</v>
      </c>
    </row>
    <row r="111" spans="1:23" x14ac:dyDescent="0.2">
      <c r="A111" t="s">
        <v>4268</v>
      </c>
      <c r="B111" t="s">
        <v>4370</v>
      </c>
      <c r="H111">
        <v>305</v>
      </c>
      <c r="I111" t="s">
        <v>4510</v>
      </c>
      <c r="J111">
        <v>2</v>
      </c>
      <c r="K111" t="s">
        <v>1451</v>
      </c>
      <c r="L111" t="s">
        <v>4279</v>
      </c>
      <c r="M111" t="s">
        <v>4511</v>
      </c>
      <c r="N111" t="s">
        <v>4322</v>
      </c>
      <c r="O111" t="s">
        <v>4281</v>
      </c>
      <c r="P111" t="s">
        <v>4282</v>
      </c>
      <c r="Q111" t="s">
        <v>4473</v>
      </c>
      <c r="R111" t="s">
        <v>4475</v>
      </c>
      <c r="S111" t="s">
        <v>4512</v>
      </c>
      <c r="T111" t="s">
        <v>4478</v>
      </c>
      <c r="U111" t="s">
        <v>4513</v>
      </c>
      <c r="V111" t="s">
        <v>4514</v>
      </c>
      <c r="W111" t="s">
        <v>4515</v>
      </c>
    </row>
    <row r="112" spans="1:23" x14ac:dyDescent="0.2">
      <c r="A112" t="s">
        <v>4268</v>
      </c>
      <c r="B112" t="s">
        <v>4378</v>
      </c>
      <c r="H112">
        <v>302</v>
      </c>
      <c r="I112" t="s">
        <v>4480</v>
      </c>
      <c r="J112">
        <v>1</v>
      </c>
      <c r="K112" t="s">
        <v>1451</v>
      </c>
      <c r="L112" t="s">
        <v>244</v>
      </c>
      <c r="M112" t="s">
        <v>4481</v>
      </c>
      <c r="N112" t="s">
        <v>4282</v>
      </c>
      <c r="O112" t="s">
        <v>4482</v>
      </c>
      <c r="P112" t="s">
        <v>4483</v>
      </c>
      <c r="Q112" t="s">
        <v>4484</v>
      </c>
      <c r="R112" t="s">
        <v>4485</v>
      </c>
      <c r="S112" t="s">
        <v>4486</v>
      </c>
      <c r="T112" t="s">
        <v>4487</v>
      </c>
      <c r="U112" t="s">
        <v>4488</v>
      </c>
      <c r="V112" t="s">
        <v>4489</v>
      </c>
      <c r="W112" t="s">
        <v>4490</v>
      </c>
    </row>
    <row r="113" spans="1:23" x14ac:dyDescent="0.2">
      <c r="A113" t="s">
        <v>4268</v>
      </c>
      <c r="B113" t="s">
        <v>4386</v>
      </c>
      <c r="H113">
        <v>109</v>
      </c>
      <c r="I113" t="s">
        <v>4328</v>
      </c>
      <c r="J113">
        <v>2</v>
      </c>
      <c r="K113" t="s">
        <v>1451</v>
      </c>
      <c r="L113" t="s">
        <v>4279</v>
      </c>
      <c r="M113" t="s">
        <v>4329</v>
      </c>
      <c r="N113" t="s">
        <v>4330</v>
      </c>
      <c r="O113" t="s">
        <v>4325</v>
      </c>
      <c r="P113" t="s">
        <v>4322</v>
      </c>
      <c r="Q113" t="s">
        <v>4281</v>
      </c>
      <c r="R113" t="s">
        <v>4293</v>
      </c>
      <c r="S113" t="s">
        <v>4294</v>
      </c>
      <c r="T113" t="s">
        <v>4295</v>
      </c>
      <c r="U113" t="s">
        <v>4296</v>
      </c>
      <c r="V113" t="s">
        <v>4297</v>
      </c>
      <c r="W113" t="s">
        <v>4298</v>
      </c>
    </row>
    <row r="114" spans="1:23" x14ac:dyDescent="0.2">
      <c r="A114" t="s">
        <v>4268</v>
      </c>
      <c r="B114" t="s">
        <v>4392</v>
      </c>
      <c r="H114">
        <v>609</v>
      </c>
      <c r="I114" t="s">
        <v>4757</v>
      </c>
      <c r="J114">
        <v>2</v>
      </c>
      <c r="K114" t="s">
        <v>1451</v>
      </c>
      <c r="L114" t="s">
        <v>244</v>
      </c>
      <c r="M114" t="s">
        <v>4758</v>
      </c>
      <c r="N114" t="s">
        <v>4330</v>
      </c>
      <c r="O114" t="s">
        <v>4325</v>
      </c>
      <c r="P114" t="s">
        <v>4322</v>
      </c>
      <c r="Q114" t="s">
        <v>4281</v>
      </c>
      <c r="R114" t="s">
        <v>4494</v>
      </c>
      <c r="S114" t="s">
        <v>4495</v>
      </c>
      <c r="T114" t="s">
        <v>4496</v>
      </c>
      <c r="U114" t="s">
        <v>4497</v>
      </c>
      <c r="V114" t="s">
        <v>4498</v>
      </c>
      <c r="W114" t="s">
        <v>4756</v>
      </c>
    </row>
    <row r="115" spans="1:23" x14ac:dyDescent="0.2">
      <c r="A115" t="s">
        <v>4268</v>
      </c>
      <c r="B115" t="s">
        <v>4400</v>
      </c>
      <c r="H115">
        <v>114</v>
      </c>
      <c r="I115" t="s">
        <v>4352</v>
      </c>
      <c r="J115">
        <v>3</v>
      </c>
      <c r="K115" t="s">
        <v>1451</v>
      </c>
      <c r="L115" t="s">
        <v>244</v>
      </c>
      <c r="M115" t="s">
        <v>4353</v>
      </c>
      <c r="N115" t="s">
        <v>4354</v>
      </c>
      <c r="O115" t="s">
        <v>4351</v>
      </c>
      <c r="P115" t="s">
        <v>4330</v>
      </c>
      <c r="Q115" t="s">
        <v>4325</v>
      </c>
      <c r="R115" t="s">
        <v>4322</v>
      </c>
      <c r="S115" t="s">
        <v>4295</v>
      </c>
      <c r="T115" t="s">
        <v>4296</v>
      </c>
      <c r="U115" t="s">
        <v>4297</v>
      </c>
      <c r="V115" t="s">
        <v>4299</v>
      </c>
      <c r="W115" t="s">
        <v>4300</v>
      </c>
    </row>
    <row r="116" spans="1:23" x14ac:dyDescent="0.2">
      <c r="A116" t="s">
        <v>4268</v>
      </c>
      <c r="B116" t="s">
        <v>4409</v>
      </c>
      <c r="H116">
        <v>310</v>
      </c>
      <c r="I116" t="s">
        <v>4540</v>
      </c>
      <c r="J116">
        <v>3</v>
      </c>
      <c r="K116" t="s">
        <v>1451</v>
      </c>
      <c r="L116" t="s">
        <v>4279</v>
      </c>
      <c r="M116" t="s">
        <v>4541</v>
      </c>
      <c r="N116" t="s">
        <v>4354</v>
      </c>
      <c r="O116" t="s">
        <v>4351</v>
      </c>
      <c r="P116" t="s">
        <v>4330</v>
      </c>
      <c r="Q116" t="s">
        <v>4542</v>
      </c>
      <c r="R116" t="s">
        <v>4543</v>
      </c>
      <c r="S116" t="s">
        <v>4544</v>
      </c>
      <c r="T116" t="s">
        <v>2315</v>
      </c>
      <c r="U116" t="s">
        <v>4545</v>
      </c>
      <c r="V116" t="s">
        <v>2316</v>
      </c>
      <c r="W116" t="s">
        <v>3489</v>
      </c>
    </row>
    <row r="117" spans="1:23" x14ac:dyDescent="0.2">
      <c r="A117" t="s">
        <v>4268</v>
      </c>
      <c r="B117" t="s">
        <v>3903</v>
      </c>
      <c r="H117">
        <v>903</v>
      </c>
      <c r="I117" t="s">
        <v>4863</v>
      </c>
      <c r="J117" t="s">
        <v>430</v>
      </c>
      <c r="K117" t="s">
        <v>1557</v>
      </c>
      <c r="L117" t="s">
        <v>4279</v>
      </c>
      <c r="M117" t="s">
        <v>4864</v>
      </c>
      <c r="N117" t="s">
        <v>4281</v>
      </c>
      <c r="O117" t="s">
        <v>4282</v>
      </c>
      <c r="P117" t="s">
        <v>4865</v>
      </c>
      <c r="Q117" t="s">
        <v>4866</v>
      </c>
      <c r="R117" t="s">
        <v>4867</v>
      </c>
      <c r="S117" t="s">
        <v>4868</v>
      </c>
      <c r="T117" t="s">
        <v>4869</v>
      </c>
      <c r="U117" t="s">
        <v>4870</v>
      </c>
      <c r="V117" t="s">
        <v>4871</v>
      </c>
      <c r="W117" t="s">
        <v>4872</v>
      </c>
    </row>
    <row r="118" spans="1:23" x14ac:dyDescent="0.2">
      <c r="A118" t="s">
        <v>4268</v>
      </c>
      <c r="B118" t="s">
        <v>4424</v>
      </c>
      <c r="H118">
        <v>1304</v>
      </c>
      <c r="I118" t="s">
        <v>5017</v>
      </c>
      <c r="J118">
        <v>2</v>
      </c>
      <c r="K118" t="s">
        <v>1557</v>
      </c>
      <c r="L118" t="s">
        <v>4279</v>
      </c>
      <c r="M118" t="s">
        <v>5018</v>
      </c>
      <c r="N118" t="s">
        <v>4325</v>
      </c>
      <c r="O118" t="s">
        <v>4322</v>
      </c>
      <c r="P118" t="s">
        <v>4281</v>
      </c>
      <c r="Q118" t="s">
        <v>4282</v>
      </c>
      <c r="R118" t="s">
        <v>2506</v>
      </c>
      <c r="S118" t="s">
        <v>4580</v>
      </c>
      <c r="T118" t="s">
        <v>4381</v>
      </c>
      <c r="U118" t="s">
        <v>5019</v>
      </c>
      <c r="V118" t="s">
        <v>4744</v>
      </c>
      <c r="W118" t="s">
        <v>4745</v>
      </c>
    </row>
    <row r="119" spans="1:23" x14ac:dyDescent="0.2">
      <c r="A119" t="s">
        <v>4268</v>
      </c>
      <c r="B119" t="s">
        <v>4433</v>
      </c>
      <c r="H119">
        <v>1101</v>
      </c>
      <c r="I119" t="s">
        <v>4910</v>
      </c>
      <c r="J119">
        <v>1</v>
      </c>
      <c r="K119" t="s">
        <v>1451</v>
      </c>
      <c r="L119" t="s">
        <v>244</v>
      </c>
      <c r="M119" t="s">
        <v>4911</v>
      </c>
      <c r="N119" t="s">
        <v>4322</v>
      </c>
      <c r="O119" t="s">
        <v>4281</v>
      </c>
      <c r="P119" t="s">
        <v>4282</v>
      </c>
      <c r="Q119" t="s">
        <v>1758</v>
      </c>
      <c r="R119" t="s">
        <v>1149</v>
      </c>
      <c r="S119" t="s">
        <v>1484</v>
      </c>
      <c r="T119" t="s">
        <v>3417</v>
      </c>
      <c r="U119" t="s">
        <v>4912</v>
      </c>
      <c r="V119" t="s">
        <v>4913</v>
      </c>
      <c r="W119" t="s">
        <v>4914</v>
      </c>
    </row>
    <row r="120" spans="1:23" x14ac:dyDescent="0.2">
      <c r="A120" t="s">
        <v>4268</v>
      </c>
      <c r="B120" t="s">
        <v>4442</v>
      </c>
      <c r="H120">
        <v>602</v>
      </c>
      <c r="I120" t="s">
        <v>4728</v>
      </c>
      <c r="J120">
        <v>1</v>
      </c>
      <c r="K120" t="s">
        <v>1451</v>
      </c>
      <c r="L120" t="s">
        <v>4279</v>
      </c>
      <c r="M120" t="s">
        <v>4729</v>
      </c>
      <c r="N120" t="s">
        <v>4281</v>
      </c>
      <c r="O120" t="s">
        <v>4282</v>
      </c>
      <c r="P120" t="s">
        <v>1758</v>
      </c>
      <c r="Q120" t="s">
        <v>1484</v>
      </c>
      <c r="R120" t="s">
        <v>1476</v>
      </c>
      <c r="S120" t="s">
        <v>1477</v>
      </c>
      <c r="T120" t="s">
        <v>1478</v>
      </c>
      <c r="U120" t="s">
        <v>1479</v>
      </c>
      <c r="V120" t="s">
        <v>1761</v>
      </c>
      <c r="W120" t="s">
        <v>1762</v>
      </c>
    </row>
    <row r="121" spans="1:23" x14ac:dyDescent="0.2">
      <c r="A121" t="s">
        <v>4268</v>
      </c>
      <c r="B121" t="s">
        <v>4451</v>
      </c>
      <c r="H121">
        <v>701</v>
      </c>
      <c r="I121" t="s">
        <v>4771</v>
      </c>
      <c r="J121">
        <v>1</v>
      </c>
      <c r="K121" t="s">
        <v>1451</v>
      </c>
      <c r="L121" t="s">
        <v>4279</v>
      </c>
      <c r="M121" t="s">
        <v>4772</v>
      </c>
      <c r="N121" t="s">
        <v>4282</v>
      </c>
      <c r="O121" t="s">
        <v>4773</v>
      </c>
      <c r="P121" t="s">
        <v>4774</v>
      </c>
      <c r="Q121" t="s">
        <v>1928</v>
      </c>
      <c r="R121" t="s">
        <v>4775</v>
      </c>
      <c r="S121" t="s">
        <v>4208</v>
      </c>
      <c r="T121" t="s">
        <v>4209</v>
      </c>
      <c r="U121" t="s">
        <v>4210</v>
      </c>
      <c r="V121" t="s">
        <v>4776</v>
      </c>
      <c r="W121" t="s">
        <v>4777</v>
      </c>
    </row>
    <row r="122" spans="1:23" x14ac:dyDescent="0.2">
      <c r="A122" t="s">
        <v>4268</v>
      </c>
      <c r="B122" t="s">
        <v>4459</v>
      </c>
      <c r="H122">
        <v>801</v>
      </c>
      <c r="I122" t="s">
        <v>4794</v>
      </c>
      <c r="J122">
        <v>1</v>
      </c>
      <c r="K122" t="s">
        <v>1451</v>
      </c>
      <c r="L122" t="s">
        <v>4279</v>
      </c>
      <c r="M122" t="s">
        <v>4795</v>
      </c>
      <c r="N122" t="s">
        <v>4281</v>
      </c>
      <c r="O122" t="s">
        <v>4282</v>
      </c>
      <c r="P122" t="s">
        <v>4796</v>
      </c>
      <c r="Q122" t="s">
        <v>4797</v>
      </c>
      <c r="R122" t="s">
        <v>4798</v>
      </c>
      <c r="S122" t="s">
        <v>4799</v>
      </c>
      <c r="T122" t="s">
        <v>4800</v>
      </c>
      <c r="U122" t="s">
        <v>4801</v>
      </c>
      <c r="V122" t="s">
        <v>4802</v>
      </c>
      <c r="W122" t="s">
        <v>4803</v>
      </c>
    </row>
    <row r="123" spans="1:23" x14ac:dyDescent="0.2">
      <c r="A123" t="s">
        <v>4268</v>
      </c>
      <c r="B123" t="s">
        <v>4466</v>
      </c>
      <c r="H123">
        <v>401</v>
      </c>
      <c r="I123" t="s">
        <v>4549</v>
      </c>
      <c r="J123">
        <v>1</v>
      </c>
      <c r="K123" t="s">
        <v>1451</v>
      </c>
      <c r="L123" t="s">
        <v>4279</v>
      </c>
      <c r="M123" t="s">
        <v>4550</v>
      </c>
      <c r="N123" t="s">
        <v>4322</v>
      </c>
      <c r="O123" t="s">
        <v>4281</v>
      </c>
      <c r="P123" t="s">
        <v>4282</v>
      </c>
      <c r="Q123" t="s">
        <v>1758</v>
      </c>
      <c r="R123" t="s">
        <v>1484</v>
      </c>
      <c r="S123" t="s">
        <v>1476</v>
      </c>
      <c r="T123" t="s">
        <v>1478</v>
      </c>
      <c r="U123" t="s">
        <v>1479</v>
      </c>
      <c r="V123" t="s">
        <v>1761</v>
      </c>
      <c r="W123" t="s">
        <v>1762</v>
      </c>
    </row>
    <row r="124" spans="1:23" x14ac:dyDescent="0.2">
      <c r="A124" t="s">
        <v>4269</v>
      </c>
      <c r="B124" t="s">
        <v>4471</v>
      </c>
      <c r="H124">
        <v>205</v>
      </c>
      <c r="I124" t="s">
        <v>4392</v>
      </c>
      <c r="J124">
        <v>1</v>
      </c>
      <c r="K124" t="s">
        <v>1451</v>
      </c>
      <c r="L124" t="s">
        <v>4279</v>
      </c>
      <c r="M124" t="s">
        <v>4393</v>
      </c>
      <c r="N124" t="s">
        <v>4281</v>
      </c>
      <c r="O124" t="s">
        <v>4282</v>
      </c>
      <c r="P124" t="s">
        <v>4394</v>
      </c>
      <c r="Q124" t="s">
        <v>3111</v>
      </c>
      <c r="R124" t="s">
        <v>4372</v>
      </c>
      <c r="S124" t="s">
        <v>4395</v>
      </c>
      <c r="T124" t="s">
        <v>4396</v>
      </c>
      <c r="U124" t="s">
        <v>4397</v>
      </c>
      <c r="V124" t="s">
        <v>4398</v>
      </c>
      <c r="W124" t="s">
        <v>4399</v>
      </c>
    </row>
    <row r="125" spans="1:23" x14ac:dyDescent="0.2">
      <c r="A125" t="s">
        <v>4269</v>
      </c>
      <c r="B125" t="s">
        <v>4480</v>
      </c>
      <c r="H125">
        <v>106</v>
      </c>
      <c r="I125" t="s">
        <v>4320</v>
      </c>
      <c r="J125">
        <v>1</v>
      </c>
      <c r="K125" t="s">
        <v>1451</v>
      </c>
      <c r="L125" t="s">
        <v>4279</v>
      </c>
      <c r="M125" t="s">
        <v>4321</v>
      </c>
      <c r="N125" t="s">
        <v>4322</v>
      </c>
      <c r="O125" t="s">
        <v>4281</v>
      </c>
      <c r="P125" t="s">
        <v>4303</v>
      </c>
      <c r="Q125" t="s">
        <v>4293</v>
      </c>
      <c r="R125" t="s">
        <v>4294</v>
      </c>
      <c r="S125" t="s">
        <v>4295</v>
      </c>
      <c r="T125" t="s">
        <v>4296</v>
      </c>
      <c r="U125" t="s">
        <v>4297</v>
      </c>
      <c r="V125" t="s">
        <v>4298</v>
      </c>
      <c r="W125" t="s">
        <v>4299</v>
      </c>
    </row>
    <row r="126" spans="1:23" x14ac:dyDescent="0.2">
      <c r="A126" t="s">
        <v>4269</v>
      </c>
      <c r="B126" t="s">
        <v>4491</v>
      </c>
      <c r="H126">
        <v>1201</v>
      </c>
      <c r="I126" t="s">
        <v>4956</v>
      </c>
      <c r="J126">
        <v>1</v>
      </c>
      <c r="K126" t="s">
        <v>1451</v>
      </c>
      <c r="L126" t="s">
        <v>244</v>
      </c>
      <c r="M126" t="s">
        <v>4957</v>
      </c>
      <c r="N126" t="s">
        <v>4281</v>
      </c>
      <c r="O126" t="s">
        <v>4282</v>
      </c>
      <c r="P126" t="s">
        <v>4958</v>
      </c>
      <c r="Q126" t="s">
        <v>4959</v>
      </c>
      <c r="R126" t="s">
        <v>4960</v>
      </c>
      <c r="S126" t="s">
        <v>4961</v>
      </c>
      <c r="T126" t="s">
        <v>4962</v>
      </c>
      <c r="U126" t="s">
        <v>4963</v>
      </c>
      <c r="V126" t="s">
        <v>4964</v>
      </c>
      <c r="W126" t="s">
        <v>4965</v>
      </c>
    </row>
    <row r="127" spans="1:23" x14ac:dyDescent="0.2">
      <c r="A127" t="s">
        <v>4269</v>
      </c>
      <c r="B127" t="s">
        <v>4501</v>
      </c>
      <c r="H127">
        <v>1206</v>
      </c>
      <c r="I127" t="s">
        <v>4985</v>
      </c>
      <c r="J127">
        <v>3</v>
      </c>
      <c r="K127" t="s">
        <v>1451</v>
      </c>
      <c r="L127" t="s">
        <v>244</v>
      </c>
      <c r="M127" t="s">
        <v>4957</v>
      </c>
      <c r="N127" t="s">
        <v>4453</v>
      </c>
      <c r="O127" t="s">
        <v>4454</v>
      </c>
      <c r="P127" t="s">
        <v>4354</v>
      </c>
      <c r="Q127" t="s">
        <v>4351</v>
      </c>
      <c r="R127" t="s">
        <v>4330</v>
      </c>
      <c r="S127" t="s">
        <v>4322</v>
      </c>
      <c r="T127" t="s">
        <v>4986</v>
      </c>
      <c r="U127" t="s">
        <v>4987</v>
      </c>
      <c r="V127" t="s">
        <v>4988</v>
      </c>
      <c r="W127" t="s">
        <v>4989</v>
      </c>
    </row>
    <row r="128" spans="1:23" x14ac:dyDescent="0.2">
      <c r="A128" t="s">
        <v>4269</v>
      </c>
      <c r="B128" t="s">
        <v>4510</v>
      </c>
      <c r="H128">
        <v>214</v>
      </c>
      <c r="I128" t="s">
        <v>4466</v>
      </c>
      <c r="J128">
        <v>3</v>
      </c>
      <c r="K128" t="s">
        <v>1451</v>
      </c>
      <c r="L128" t="s">
        <v>244</v>
      </c>
      <c r="M128" t="s">
        <v>4467</v>
      </c>
      <c r="N128" t="s">
        <v>4453</v>
      </c>
      <c r="O128" t="s">
        <v>4454</v>
      </c>
      <c r="P128" t="s">
        <v>4354</v>
      </c>
      <c r="Q128" t="s">
        <v>4351</v>
      </c>
      <c r="R128" t="s">
        <v>4330</v>
      </c>
      <c r="S128" t="s">
        <v>4325</v>
      </c>
      <c r="T128" t="s">
        <v>4322</v>
      </c>
      <c r="U128" t="s">
        <v>4468</v>
      </c>
      <c r="V128" t="s">
        <v>4469</v>
      </c>
      <c r="W128" t="s">
        <v>4470</v>
      </c>
    </row>
    <row r="129" spans="1:23" x14ac:dyDescent="0.2">
      <c r="A129" t="s">
        <v>4269</v>
      </c>
      <c r="B129" t="s">
        <v>4516</v>
      </c>
      <c r="H129">
        <v>510</v>
      </c>
      <c r="I129" t="s">
        <v>100</v>
      </c>
      <c r="J129">
        <v>2</v>
      </c>
      <c r="K129" t="s">
        <v>1451</v>
      </c>
      <c r="L129" t="s">
        <v>4279</v>
      </c>
      <c r="M129" t="s">
        <v>4696</v>
      </c>
      <c r="N129" t="s">
        <v>4330</v>
      </c>
      <c r="O129" t="s">
        <v>4325</v>
      </c>
      <c r="P129" t="s">
        <v>4322</v>
      </c>
      <c r="Q129" t="s">
        <v>4697</v>
      </c>
      <c r="R129" t="s">
        <v>4698</v>
      </c>
      <c r="S129" t="s">
        <v>4699</v>
      </c>
      <c r="T129" t="s">
        <v>4700</v>
      </c>
      <c r="U129" t="s">
        <v>4701</v>
      </c>
      <c r="V129" t="s">
        <v>4702</v>
      </c>
      <c r="W129" t="s">
        <v>4703</v>
      </c>
    </row>
    <row r="130" spans="1:23" x14ac:dyDescent="0.2">
      <c r="A130" t="s">
        <v>4269</v>
      </c>
      <c r="B130" t="s">
        <v>4518</v>
      </c>
      <c r="H130">
        <v>207</v>
      </c>
      <c r="I130" t="s">
        <v>4409</v>
      </c>
      <c r="J130">
        <v>2</v>
      </c>
      <c r="K130" t="s">
        <v>1451</v>
      </c>
      <c r="L130" t="s">
        <v>4279</v>
      </c>
      <c r="M130" t="s">
        <v>4410</v>
      </c>
      <c r="N130" t="s">
        <v>4330</v>
      </c>
      <c r="O130" t="s">
        <v>4325</v>
      </c>
      <c r="P130" t="s">
        <v>4322</v>
      </c>
      <c r="Q130" t="s">
        <v>4281</v>
      </c>
      <c r="R130" t="s">
        <v>4411</v>
      </c>
      <c r="S130" t="s">
        <v>4412</v>
      </c>
      <c r="T130" t="s">
        <v>4413</v>
      </c>
      <c r="U130" t="s">
        <v>4414</v>
      </c>
      <c r="V130" t="s">
        <v>4415</v>
      </c>
      <c r="W130" t="s">
        <v>4416</v>
      </c>
    </row>
    <row r="131" spans="1:23" x14ac:dyDescent="0.2">
      <c r="A131" t="s">
        <v>4269</v>
      </c>
      <c r="B131" t="s">
        <v>4525</v>
      </c>
      <c r="H131">
        <v>1403</v>
      </c>
      <c r="I131" t="s">
        <v>5042</v>
      </c>
      <c r="J131">
        <v>3</v>
      </c>
      <c r="K131" t="s">
        <v>1451</v>
      </c>
      <c r="L131" t="s">
        <v>4279</v>
      </c>
      <c r="M131" t="s">
        <v>5043</v>
      </c>
      <c r="N131" t="s">
        <v>4351</v>
      </c>
      <c r="O131" t="s">
        <v>4945</v>
      </c>
      <c r="P131" t="s">
        <v>4330</v>
      </c>
      <c r="Q131" t="s">
        <v>4325</v>
      </c>
      <c r="R131" t="s">
        <v>4322</v>
      </c>
      <c r="S131" t="s">
        <v>4276</v>
      </c>
      <c r="T131" t="s">
        <v>5044</v>
      </c>
      <c r="U131" t="s">
        <v>8</v>
      </c>
      <c r="V131" t="s">
        <v>7</v>
      </c>
      <c r="W131" t="s">
        <v>3902</v>
      </c>
    </row>
    <row r="132" spans="1:23" x14ac:dyDescent="0.2">
      <c r="A132" t="s">
        <v>4269</v>
      </c>
      <c r="B132" t="s">
        <v>4533</v>
      </c>
      <c r="H132">
        <v>901</v>
      </c>
      <c r="I132" t="s">
        <v>4845</v>
      </c>
      <c r="J132" t="s">
        <v>430</v>
      </c>
      <c r="K132" t="s">
        <v>1451</v>
      </c>
      <c r="L132" t="s">
        <v>4279</v>
      </c>
      <c r="M132" t="s">
        <v>4846</v>
      </c>
      <c r="N132" t="s">
        <v>4282</v>
      </c>
      <c r="O132" t="s">
        <v>4847</v>
      </c>
      <c r="P132" t="s">
        <v>4848</v>
      </c>
      <c r="Q132" t="s">
        <v>4849</v>
      </c>
      <c r="R132" t="s">
        <v>1476</v>
      </c>
      <c r="S132" t="s">
        <v>4850</v>
      </c>
      <c r="T132" t="s">
        <v>4851</v>
      </c>
      <c r="U132" t="s">
        <v>4852</v>
      </c>
      <c r="V132" t="s">
        <v>4853</v>
      </c>
      <c r="W132" t="s">
        <v>1762</v>
      </c>
    </row>
    <row r="133" spans="1:23" x14ac:dyDescent="0.2">
      <c r="A133" t="s">
        <v>4269</v>
      </c>
      <c r="B133" t="s">
        <v>4540</v>
      </c>
      <c r="H133">
        <v>212</v>
      </c>
      <c r="I133" t="s">
        <v>4451</v>
      </c>
      <c r="J133">
        <v>3</v>
      </c>
      <c r="K133" t="s">
        <v>1451</v>
      </c>
      <c r="L133" t="s">
        <v>4279</v>
      </c>
      <c r="M133" t="s">
        <v>4452</v>
      </c>
      <c r="N133" t="s">
        <v>4453</v>
      </c>
      <c r="O133" t="s">
        <v>4454</v>
      </c>
      <c r="P133" t="s">
        <v>4354</v>
      </c>
      <c r="Q133" t="s">
        <v>4351</v>
      </c>
      <c r="R133" t="s">
        <v>4330</v>
      </c>
      <c r="S133" t="s">
        <v>4322</v>
      </c>
      <c r="T133" t="s">
        <v>4455</v>
      </c>
      <c r="U133" t="s">
        <v>4456</v>
      </c>
      <c r="V133" t="s">
        <v>4457</v>
      </c>
      <c r="W133" t="s">
        <v>4458</v>
      </c>
    </row>
    <row r="134" spans="1:23" x14ac:dyDescent="0.2">
      <c r="A134" t="s">
        <v>4269</v>
      </c>
      <c r="B134" t="s">
        <v>4546</v>
      </c>
      <c r="H134">
        <v>201</v>
      </c>
      <c r="I134" t="s">
        <v>4359</v>
      </c>
      <c r="J134">
        <v>1</v>
      </c>
      <c r="K134" t="s">
        <v>1451</v>
      </c>
      <c r="L134" t="s">
        <v>4279</v>
      </c>
      <c r="M134" t="s">
        <v>4360</v>
      </c>
      <c r="N134" t="s">
        <v>4282</v>
      </c>
      <c r="O134" t="s">
        <v>4361</v>
      </c>
      <c r="P134" t="s">
        <v>4362</v>
      </c>
      <c r="Q134" t="s">
        <v>4363</v>
      </c>
      <c r="R134" t="s">
        <v>4364</v>
      </c>
      <c r="S134" t="s">
        <v>4365</v>
      </c>
      <c r="T134" t="s">
        <v>4366</v>
      </c>
      <c r="U134" t="s">
        <v>4367</v>
      </c>
      <c r="V134" t="s">
        <v>4368</v>
      </c>
      <c r="W134" t="s">
        <v>4369</v>
      </c>
    </row>
    <row r="135" spans="1:23" x14ac:dyDescent="0.2">
      <c r="A135" t="s">
        <v>4270</v>
      </c>
      <c r="B135" t="s">
        <v>4549</v>
      </c>
      <c r="H135">
        <v>211</v>
      </c>
      <c r="I135" t="s">
        <v>4442</v>
      </c>
      <c r="J135">
        <v>2</v>
      </c>
      <c r="K135" t="s">
        <v>1451</v>
      </c>
      <c r="L135" t="s">
        <v>4279</v>
      </c>
      <c r="M135" t="s">
        <v>4443</v>
      </c>
      <c r="N135" t="s">
        <v>4325</v>
      </c>
      <c r="O135" t="s">
        <v>4322</v>
      </c>
      <c r="P135" t="s">
        <v>4281</v>
      </c>
      <c r="Q135" t="s">
        <v>4444</v>
      </c>
      <c r="R135" t="s">
        <v>4445</v>
      </c>
      <c r="S135" t="s">
        <v>4446</v>
      </c>
      <c r="T135" t="s">
        <v>4447</v>
      </c>
      <c r="U135" t="s">
        <v>4448</v>
      </c>
      <c r="V135" t="s">
        <v>4449</v>
      </c>
      <c r="W135" t="s">
        <v>4450</v>
      </c>
    </row>
    <row r="136" spans="1:23" x14ac:dyDescent="0.2">
      <c r="A136" t="s">
        <v>4270</v>
      </c>
      <c r="B136" t="s">
        <v>2988</v>
      </c>
      <c r="H136">
        <v>1207</v>
      </c>
      <c r="I136" t="s">
        <v>3284</v>
      </c>
      <c r="J136">
        <v>3</v>
      </c>
      <c r="K136" t="s">
        <v>1451</v>
      </c>
      <c r="L136" t="s">
        <v>244</v>
      </c>
      <c r="M136" t="s">
        <v>4990</v>
      </c>
      <c r="N136" t="s">
        <v>4351</v>
      </c>
      <c r="O136" t="s">
        <v>4330</v>
      </c>
      <c r="P136" t="s">
        <v>4325</v>
      </c>
      <c r="Q136" t="s">
        <v>4322</v>
      </c>
      <c r="R136" t="s">
        <v>4281</v>
      </c>
      <c r="S136" t="s">
        <v>4991</v>
      </c>
      <c r="T136" t="s">
        <v>4992</v>
      </c>
      <c r="U136" t="s">
        <v>4993</v>
      </c>
      <c r="V136" t="s">
        <v>4994</v>
      </c>
      <c r="W136" t="s">
        <v>4995</v>
      </c>
    </row>
    <row r="137" spans="1:23" x14ac:dyDescent="0.2">
      <c r="A137" t="s">
        <v>4270</v>
      </c>
      <c r="B137" t="s">
        <v>4559</v>
      </c>
      <c r="H137">
        <v>1203</v>
      </c>
      <c r="I137" t="s">
        <v>4968</v>
      </c>
      <c r="J137">
        <v>1</v>
      </c>
      <c r="K137" t="s">
        <v>1557</v>
      </c>
      <c r="L137" t="s">
        <v>4279</v>
      </c>
      <c r="M137" t="s">
        <v>4969</v>
      </c>
      <c r="N137" t="s">
        <v>4325</v>
      </c>
      <c r="O137" t="s">
        <v>4322</v>
      </c>
      <c r="P137" t="s">
        <v>4281</v>
      </c>
      <c r="Q137" t="s">
        <v>4970</v>
      </c>
      <c r="R137" t="s">
        <v>4971</v>
      </c>
      <c r="S137" t="s">
        <v>4972</v>
      </c>
      <c r="T137" t="s">
        <v>4973</v>
      </c>
      <c r="U137" t="s">
        <v>4974</v>
      </c>
      <c r="V137" t="s">
        <v>4975</v>
      </c>
      <c r="W137" t="s">
        <v>4976</v>
      </c>
    </row>
    <row r="138" spans="1:23" x14ac:dyDescent="0.2">
      <c r="A138" t="s">
        <v>4270</v>
      </c>
      <c r="B138" t="s">
        <v>4561</v>
      </c>
      <c r="H138">
        <v>808</v>
      </c>
      <c r="I138" t="s">
        <v>4838</v>
      </c>
      <c r="J138">
        <v>2</v>
      </c>
      <c r="K138" t="s">
        <v>1451</v>
      </c>
      <c r="L138" t="s">
        <v>4279</v>
      </c>
      <c r="M138" t="s">
        <v>4839</v>
      </c>
      <c r="N138" t="s">
        <v>4330</v>
      </c>
      <c r="O138" t="s">
        <v>4325</v>
      </c>
      <c r="P138" t="s">
        <v>4322</v>
      </c>
      <c r="Q138" t="s">
        <v>4281</v>
      </c>
      <c r="R138" t="s">
        <v>1479</v>
      </c>
      <c r="S138" t="s">
        <v>1761</v>
      </c>
      <c r="T138" t="s">
        <v>1762</v>
      </c>
      <c r="U138" t="s">
        <v>4840</v>
      </c>
      <c r="V138" t="s">
        <v>1763</v>
      </c>
      <c r="W138" t="s">
        <v>4841</v>
      </c>
    </row>
    <row r="139" spans="1:23" x14ac:dyDescent="0.2">
      <c r="A139" t="s">
        <v>4270</v>
      </c>
      <c r="B139" t="s">
        <v>4563</v>
      </c>
      <c r="H139">
        <v>410</v>
      </c>
      <c r="I139" t="s">
        <v>4588</v>
      </c>
      <c r="J139">
        <v>3</v>
      </c>
      <c r="K139" t="s">
        <v>1451</v>
      </c>
      <c r="L139" t="s">
        <v>4279</v>
      </c>
      <c r="M139" t="s">
        <v>4589</v>
      </c>
      <c r="N139" t="s">
        <v>4354</v>
      </c>
      <c r="O139" t="s">
        <v>4351</v>
      </c>
      <c r="P139" t="s">
        <v>4330</v>
      </c>
      <c r="Q139" t="s">
        <v>4325</v>
      </c>
      <c r="R139" t="s">
        <v>4322</v>
      </c>
      <c r="S139" t="s">
        <v>4590</v>
      </c>
      <c r="T139" t="s">
        <v>4591</v>
      </c>
      <c r="U139" t="s">
        <v>4592</v>
      </c>
      <c r="V139" t="s">
        <v>4593</v>
      </c>
      <c r="W139" t="s">
        <v>4428</v>
      </c>
    </row>
    <row r="140" spans="1:23" x14ac:dyDescent="0.2">
      <c r="A140" t="s">
        <v>4270</v>
      </c>
      <c r="B140" t="s">
        <v>4564</v>
      </c>
      <c r="H140">
        <v>704</v>
      </c>
      <c r="I140" t="s">
        <v>4789</v>
      </c>
      <c r="J140">
        <v>3</v>
      </c>
      <c r="K140" t="s">
        <v>1451</v>
      </c>
      <c r="L140" t="s">
        <v>4279</v>
      </c>
      <c r="M140" t="s">
        <v>4790</v>
      </c>
      <c r="N140" t="s">
        <v>4354</v>
      </c>
      <c r="O140" t="s">
        <v>4351</v>
      </c>
      <c r="P140" t="s">
        <v>4330</v>
      </c>
      <c r="Q140" t="s">
        <v>4325</v>
      </c>
      <c r="R140" t="s">
        <v>4322</v>
      </c>
      <c r="S140" t="s">
        <v>4210</v>
      </c>
      <c r="T140" t="s">
        <v>4791</v>
      </c>
      <c r="U140" t="s">
        <v>4777</v>
      </c>
      <c r="V140" t="s">
        <v>4792</v>
      </c>
      <c r="W140" t="s">
        <v>4793</v>
      </c>
    </row>
    <row r="141" spans="1:23" x14ac:dyDescent="0.2">
      <c r="A141" t="s">
        <v>4270</v>
      </c>
      <c r="B141" t="s">
        <v>4569</v>
      </c>
      <c r="H141">
        <v>210</v>
      </c>
      <c r="I141" t="s">
        <v>4433</v>
      </c>
      <c r="J141">
        <v>2</v>
      </c>
      <c r="K141" t="s">
        <v>1451</v>
      </c>
      <c r="L141" t="s">
        <v>4279</v>
      </c>
      <c r="M141" t="s">
        <v>4434</v>
      </c>
      <c r="N141" t="s">
        <v>4322</v>
      </c>
      <c r="O141" t="s">
        <v>4281</v>
      </c>
      <c r="P141" t="s">
        <v>4282</v>
      </c>
      <c r="Q141" t="s">
        <v>4435</v>
      </c>
      <c r="R141" t="s">
        <v>4436</v>
      </c>
      <c r="S141" t="s">
        <v>4437</v>
      </c>
      <c r="T141" t="s">
        <v>4438</v>
      </c>
      <c r="U141" t="s">
        <v>4439</v>
      </c>
      <c r="V141" t="s">
        <v>4440</v>
      </c>
      <c r="W141" t="s">
        <v>4441</v>
      </c>
    </row>
    <row r="142" spans="1:23" x14ac:dyDescent="0.2">
      <c r="A142" t="s">
        <v>4270</v>
      </c>
      <c r="B142" t="s">
        <v>4577</v>
      </c>
    </row>
    <row r="143" spans="1:23" x14ac:dyDescent="0.2">
      <c r="A143" t="s">
        <v>4270</v>
      </c>
      <c r="B143" t="s">
        <v>4586</v>
      </c>
    </row>
    <row r="144" spans="1:23" x14ac:dyDescent="0.2">
      <c r="A144" t="s">
        <v>4270</v>
      </c>
      <c r="B144" t="s">
        <v>4588</v>
      </c>
    </row>
    <row r="145" spans="1:2" x14ac:dyDescent="0.2">
      <c r="A145" t="s">
        <v>4270</v>
      </c>
      <c r="B145" t="s">
        <v>4594</v>
      </c>
    </row>
    <row r="146" spans="1:2" x14ac:dyDescent="0.2">
      <c r="A146" t="s">
        <v>4270</v>
      </c>
      <c r="B146" t="s">
        <v>4596</v>
      </c>
    </row>
    <row r="147" spans="1:2" x14ac:dyDescent="0.2">
      <c r="A147" t="s">
        <v>4271</v>
      </c>
      <c r="B147" t="s">
        <v>4598</v>
      </c>
    </row>
    <row r="148" spans="1:2" x14ac:dyDescent="0.2">
      <c r="A148" t="s">
        <v>4271</v>
      </c>
      <c r="B148" t="s">
        <v>4611</v>
      </c>
    </row>
    <row r="149" spans="1:2" x14ac:dyDescent="0.2">
      <c r="A149" t="s">
        <v>4271</v>
      </c>
      <c r="B149" t="s">
        <v>4621</v>
      </c>
    </row>
    <row r="150" spans="1:2" x14ac:dyDescent="0.2">
      <c r="A150" t="s">
        <v>4271</v>
      </c>
      <c r="B150" t="s">
        <v>3252</v>
      </c>
    </row>
    <row r="151" spans="1:2" x14ac:dyDescent="0.2">
      <c r="A151" t="s">
        <v>4271</v>
      </c>
      <c r="B151" t="s">
        <v>4642</v>
      </c>
    </row>
    <row r="152" spans="1:2" x14ac:dyDescent="0.2">
      <c r="A152" t="s">
        <v>4271</v>
      </c>
      <c r="B152" t="s">
        <v>4654</v>
      </c>
    </row>
    <row r="153" spans="1:2" x14ac:dyDescent="0.2">
      <c r="A153" t="s">
        <v>4271</v>
      </c>
      <c r="B153" t="s">
        <v>4667</v>
      </c>
    </row>
    <row r="154" spans="1:2" x14ac:dyDescent="0.2">
      <c r="A154" t="s">
        <v>4271</v>
      </c>
      <c r="B154" t="s">
        <v>4677</v>
      </c>
    </row>
    <row r="155" spans="1:2" x14ac:dyDescent="0.2">
      <c r="A155" t="s">
        <v>4271</v>
      </c>
      <c r="B155" t="s">
        <v>4686</v>
      </c>
    </row>
    <row r="156" spans="1:2" x14ac:dyDescent="0.2">
      <c r="A156" t="s">
        <v>4271</v>
      </c>
      <c r="B156" t="s">
        <v>100</v>
      </c>
    </row>
    <row r="157" spans="1:2" x14ac:dyDescent="0.2">
      <c r="A157" t="s">
        <v>4271</v>
      </c>
      <c r="B157" t="s">
        <v>4705</v>
      </c>
    </row>
    <row r="158" spans="1:2" x14ac:dyDescent="0.2">
      <c r="A158" t="s">
        <v>4271</v>
      </c>
      <c r="B158" t="s">
        <v>4712</v>
      </c>
    </row>
    <row r="159" spans="1:2" x14ac:dyDescent="0.2">
      <c r="A159" t="s">
        <v>4271</v>
      </c>
      <c r="B159" t="s">
        <v>4718</v>
      </c>
    </row>
    <row r="160" spans="1:2" x14ac:dyDescent="0.2">
      <c r="A160" t="s">
        <v>4272</v>
      </c>
      <c r="B160" t="s">
        <v>4725</v>
      </c>
    </row>
    <row r="161" spans="1:2" x14ac:dyDescent="0.2">
      <c r="A161" t="s">
        <v>4272</v>
      </c>
      <c r="B161" t="s">
        <v>4728</v>
      </c>
    </row>
    <row r="162" spans="1:2" x14ac:dyDescent="0.2">
      <c r="A162" t="s">
        <v>4272</v>
      </c>
      <c r="B162" t="s">
        <v>4730</v>
      </c>
    </row>
    <row r="163" spans="1:2" x14ac:dyDescent="0.2">
      <c r="A163" t="s">
        <v>4272</v>
      </c>
      <c r="B163" t="s">
        <v>4736</v>
      </c>
    </row>
    <row r="164" spans="1:2" x14ac:dyDescent="0.2">
      <c r="A164" t="s">
        <v>4272</v>
      </c>
      <c r="B164" t="s">
        <v>4741</v>
      </c>
    </row>
    <row r="165" spans="1:2" x14ac:dyDescent="0.2">
      <c r="A165" t="s">
        <v>4272</v>
      </c>
      <c r="B165" t="s">
        <v>4746</v>
      </c>
    </row>
    <row r="166" spans="1:2" x14ac:dyDescent="0.2">
      <c r="A166" t="s">
        <v>4272</v>
      </c>
      <c r="B166" t="s">
        <v>3303</v>
      </c>
    </row>
    <row r="167" spans="1:2" x14ac:dyDescent="0.2">
      <c r="A167" t="s">
        <v>4272</v>
      </c>
      <c r="B167" t="s">
        <v>4755</v>
      </c>
    </row>
    <row r="168" spans="1:2" x14ac:dyDescent="0.2">
      <c r="A168" t="s">
        <v>4272</v>
      </c>
      <c r="B168" t="s">
        <v>4757</v>
      </c>
    </row>
    <row r="169" spans="1:2" x14ac:dyDescent="0.2">
      <c r="A169" t="s">
        <v>4272</v>
      </c>
      <c r="B169" t="s">
        <v>4759</v>
      </c>
    </row>
    <row r="170" spans="1:2" x14ac:dyDescent="0.2">
      <c r="A170" t="s">
        <v>4272</v>
      </c>
      <c r="B170" t="s">
        <v>4766</v>
      </c>
    </row>
    <row r="171" spans="1:2" x14ac:dyDescent="0.2">
      <c r="A171" t="s">
        <v>3321</v>
      </c>
      <c r="B171" t="s">
        <v>4771</v>
      </c>
    </row>
    <row r="172" spans="1:2" x14ac:dyDescent="0.2">
      <c r="A172" t="s">
        <v>3321</v>
      </c>
      <c r="B172" t="s">
        <v>4778</v>
      </c>
    </row>
    <row r="173" spans="1:2" x14ac:dyDescent="0.2">
      <c r="A173" t="s">
        <v>3321</v>
      </c>
      <c r="B173" t="s">
        <v>4780</v>
      </c>
    </row>
    <row r="174" spans="1:2" x14ac:dyDescent="0.2">
      <c r="A174" t="s">
        <v>3321</v>
      </c>
      <c r="B174" t="s">
        <v>4789</v>
      </c>
    </row>
    <row r="175" spans="1:2" x14ac:dyDescent="0.2">
      <c r="A175" t="s">
        <v>4273</v>
      </c>
      <c r="B175" t="s">
        <v>4794</v>
      </c>
    </row>
    <row r="176" spans="1:2" x14ac:dyDescent="0.2">
      <c r="A176" t="s">
        <v>4273</v>
      </c>
      <c r="B176" t="s">
        <v>4804</v>
      </c>
    </row>
    <row r="177" spans="1:2" x14ac:dyDescent="0.2">
      <c r="A177" t="s">
        <v>4273</v>
      </c>
      <c r="B177" t="s">
        <v>4814</v>
      </c>
    </row>
    <row r="178" spans="1:2" x14ac:dyDescent="0.2">
      <c r="A178" t="s">
        <v>4273</v>
      </c>
      <c r="B178" t="s">
        <v>4824</v>
      </c>
    </row>
    <row r="179" spans="1:2" x14ac:dyDescent="0.2">
      <c r="A179" t="s">
        <v>4273</v>
      </c>
      <c r="B179" t="s">
        <v>4826</v>
      </c>
    </row>
    <row r="180" spans="1:2" x14ac:dyDescent="0.2">
      <c r="A180" t="s">
        <v>4273</v>
      </c>
      <c r="B180" t="s">
        <v>4828</v>
      </c>
    </row>
    <row r="181" spans="1:2" x14ac:dyDescent="0.2">
      <c r="A181" t="s">
        <v>4273</v>
      </c>
      <c r="B181" t="s">
        <v>4830</v>
      </c>
    </row>
    <row r="182" spans="1:2" x14ac:dyDescent="0.2">
      <c r="A182" t="s">
        <v>4273</v>
      </c>
      <c r="B182" t="s">
        <v>4838</v>
      </c>
    </row>
    <row r="183" spans="1:2" x14ac:dyDescent="0.2">
      <c r="A183" t="s">
        <v>4273</v>
      </c>
      <c r="B183" t="s">
        <v>285</v>
      </c>
    </row>
    <row r="184" spans="1:2" x14ac:dyDescent="0.2">
      <c r="A184" t="s">
        <v>4273</v>
      </c>
      <c r="B184" t="s">
        <v>4843</v>
      </c>
    </row>
    <row r="185" spans="1:2" x14ac:dyDescent="0.2">
      <c r="A185" t="s">
        <v>4274</v>
      </c>
      <c r="B185" t="s">
        <v>4845</v>
      </c>
    </row>
    <row r="186" spans="1:2" x14ac:dyDescent="0.2">
      <c r="A186" t="s">
        <v>4274</v>
      </c>
      <c r="B186" t="s">
        <v>4854</v>
      </c>
    </row>
    <row r="187" spans="1:2" x14ac:dyDescent="0.2">
      <c r="A187" t="s">
        <v>4274</v>
      </c>
      <c r="B187" t="s">
        <v>4863</v>
      </c>
    </row>
    <row r="188" spans="1:2" x14ac:dyDescent="0.2">
      <c r="A188" t="s">
        <v>4274</v>
      </c>
      <c r="B188" t="s">
        <v>4873</v>
      </c>
    </row>
    <row r="189" spans="1:2" x14ac:dyDescent="0.2">
      <c r="A189" t="s">
        <v>4275</v>
      </c>
      <c r="B189" t="s">
        <v>4882</v>
      </c>
    </row>
    <row r="190" spans="1:2" x14ac:dyDescent="0.2">
      <c r="A190" t="s">
        <v>4275</v>
      </c>
      <c r="B190" t="s">
        <v>4884</v>
      </c>
    </row>
    <row r="191" spans="1:2" x14ac:dyDescent="0.2">
      <c r="A191" t="s">
        <v>4275</v>
      </c>
      <c r="B191" t="s">
        <v>4891</v>
      </c>
    </row>
    <row r="192" spans="1:2" x14ac:dyDescent="0.2">
      <c r="A192" t="s">
        <v>4275</v>
      </c>
      <c r="B192" t="s">
        <v>4899</v>
      </c>
    </row>
    <row r="193" spans="1:2" x14ac:dyDescent="0.2">
      <c r="A193" t="s">
        <v>4275</v>
      </c>
      <c r="B193" t="s">
        <v>4904</v>
      </c>
    </row>
    <row r="194" spans="1:2" x14ac:dyDescent="0.2">
      <c r="A194" t="s">
        <v>4276</v>
      </c>
      <c r="B194" t="s">
        <v>4910</v>
      </c>
    </row>
    <row r="195" spans="1:2" x14ac:dyDescent="0.2">
      <c r="A195" t="s">
        <v>4276</v>
      </c>
      <c r="B195" t="s">
        <v>4915</v>
      </c>
    </row>
    <row r="196" spans="1:2" x14ac:dyDescent="0.2">
      <c r="A196" t="s">
        <v>4276</v>
      </c>
      <c r="B196" t="s">
        <v>4917</v>
      </c>
    </row>
    <row r="197" spans="1:2" x14ac:dyDescent="0.2">
      <c r="A197" t="s">
        <v>4276</v>
      </c>
      <c r="B197" t="s">
        <v>4919</v>
      </c>
    </row>
    <row r="198" spans="1:2" x14ac:dyDescent="0.2">
      <c r="A198" t="s">
        <v>4276</v>
      </c>
      <c r="B198" t="s">
        <v>4925</v>
      </c>
    </row>
    <row r="199" spans="1:2" x14ac:dyDescent="0.2">
      <c r="A199" t="s">
        <v>4276</v>
      </c>
      <c r="B199" t="s">
        <v>4928</v>
      </c>
    </row>
    <row r="200" spans="1:2" x14ac:dyDescent="0.2">
      <c r="A200" t="s">
        <v>4276</v>
      </c>
      <c r="B200" t="s">
        <v>4937</v>
      </c>
    </row>
    <row r="201" spans="1:2" x14ac:dyDescent="0.2">
      <c r="A201" t="s">
        <v>4276</v>
      </c>
      <c r="B201" t="s">
        <v>4943</v>
      </c>
    </row>
    <row r="202" spans="1:2" x14ac:dyDescent="0.2">
      <c r="A202" t="s">
        <v>4276</v>
      </c>
      <c r="B202" t="s">
        <v>4950</v>
      </c>
    </row>
    <row r="203" spans="1:2" x14ac:dyDescent="0.2">
      <c r="A203" t="s">
        <v>3284</v>
      </c>
      <c r="B203" t="s">
        <v>4956</v>
      </c>
    </row>
    <row r="204" spans="1:2" x14ac:dyDescent="0.2">
      <c r="A204" t="s">
        <v>3284</v>
      </c>
      <c r="B204" t="s">
        <v>4966</v>
      </c>
    </row>
    <row r="205" spans="1:2" x14ac:dyDescent="0.2">
      <c r="A205" t="s">
        <v>3284</v>
      </c>
      <c r="B205" t="s">
        <v>4968</v>
      </c>
    </row>
    <row r="206" spans="1:2" x14ac:dyDescent="0.2">
      <c r="A206" t="s">
        <v>3284</v>
      </c>
      <c r="B206" t="s">
        <v>4977</v>
      </c>
    </row>
    <row r="207" spans="1:2" x14ac:dyDescent="0.2">
      <c r="A207" t="s">
        <v>3284</v>
      </c>
      <c r="B207" t="s">
        <v>4978</v>
      </c>
    </row>
    <row r="208" spans="1:2" x14ac:dyDescent="0.2">
      <c r="A208" t="s">
        <v>3284</v>
      </c>
      <c r="B208" t="s">
        <v>4985</v>
      </c>
    </row>
    <row r="209" spans="1:2" x14ac:dyDescent="0.2">
      <c r="A209" t="s">
        <v>3284</v>
      </c>
      <c r="B209" t="s">
        <v>3284</v>
      </c>
    </row>
    <row r="210" spans="1:2" x14ac:dyDescent="0.2">
      <c r="A210" t="s">
        <v>29</v>
      </c>
      <c r="B210" t="s">
        <v>4996</v>
      </c>
    </row>
    <row r="211" spans="1:2" x14ac:dyDescent="0.2">
      <c r="A211" t="s">
        <v>29</v>
      </c>
      <c r="B211" t="s">
        <v>5005</v>
      </c>
    </row>
    <row r="212" spans="1:2" x14ac:dyDescent="0.2">
      <c r="A212" t="s">
        <v>29</v>
      </c>
      <c r="B212" t="s">
        <v>5007</v>
      </c>
    </row>
    <row r="213" spans="1:2" x14ac:dyDescent="0.2">
      <c r="A213" t="s">
        <v>29</v>
      </c>
      <c r="B213" t="s">
        <v>5017</v>
      </c>
    </row>
    <row r="214" spans="1:2" x14ac:dyDescent="0.2">
      <c r="A214" t="s">
        <v>29</v>
      </c>
      <c r="B214" t="s">
        <v>2960</v>
      </c>
    </row>
    <row r="215" spans="1:2" x14ac:dyDescent="0.2">
      <c r="A215" t="s">
        <v>29</v>
      </c>
      <c r="B215" t="s">
        <v>5022</v>
      </c>
    </row>
    <row r="216" spans="1:2" x14ac:dyDescent="0.2">
      <c r="A216" t="s">
        <v>4277</v>
      </c>
      <c r="B216" t="s">
        <v>5029</v>
      </c>
    </row>
    <row r="217" spans="1:2" x14ac:dyDescent="0.2">
      <c r="A217" t="s">
        <v>4277</v>
      </c>
      <c r="B217" t="s">
        <v>5040</v>
      </c>
    </row>
    <row r="218" spans="1:2" x14ac:dyDescent="0.2">
      <c r="A218" t="s">
        <v>4277</v>
      </c>
      <c r="B218" t="s">
        <v>5042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8"/>
  <sheetViews>
    <sheetView zoomScaleNormal="100" workbookViewId="0">
      <selection sqref="A1:K1"/>
    </sheetView>
  </sheetViews>
  <sheetFormatPr baseColWidth="10" defaultColWidth="5.5703125" defaultRowHeight="12.75" x14ac:dyDescent="0.2"/>
  <cols>
    <col min="1" max="1" width="43" style="553" bestFit="1" customWidth="1"/>
    <col min="2" max="2" width="27.7109375" style="553" bestFit="1" customWidth="1"/>
    <col min="3" max="3" width="13.140625" style="553" bestFit="1" customWidth="1"/>
    <col min="4" max="4" width="12" style="553" bestFit="1" customWidth="1"/>
    <col min="5" max="5" width="12.28515625" style="553" bestFit="1" customWidth="1"/>
    <col min="6" max="6" width="11" style="553" bestFit="1" customWidth="1"/>
    <col min="7" max="7" width="12.85546875" style="553" bestFit="1" customWidth="1"/>
    <col min="8" max="8" width="7.7109375" style="553" bestFit="1" customWidth="1"/>
    <col min="9" max="9" width="11.85546875" style="553" bestFit="1" customWidth="1"/>
    <col min="10" max="10" width="20.28515625" style="553" bestFit="1" customWidth="1"/>
    <col min="11" max="11" width="29.140625" style="553" bestFit="1" customWidth="1"/>
    <col min="12" max="17" width="5.85546875" style="553" customWidth="1"/>
    <col min="18" max="18" width="13.7109375" style="553" bestFit="1" customWidth="1"/>
    <col min="19" max="21" width="5.5703125" style="553"/>
    <col min="22" max="22" width="43" style="553" bestFit="1" customWidth="1"/>
    <col min="23" max="23" width="27.7109375" style="553" bestFit="1" customWidth="1"/>
    <col min="24" max="24" width="13.140625" style="553" bestFit="1" customWidth="1"/>
    <col min="25" max="25" width="12" style="553" bestFit="1" customWidth="1"/>
    <col min="26" max="26" width="12.28515625" style="553" bestFit="1" customWidth="1"/>
    <col min="27" max="27" width="11" style="553" bestFit="1" customWidth="1"/>
    <col min="28" max="28" width="12.85546875" style="553" bestFit="1" customWidth="1"/>
    <col min="29" max="29" width="7.7109375" style="553" bestFit="1" customWidth="1"/>
    <col min="30" max="30" width="11.85546875" style="553" bestFit="1" customWidth="1"/>
    <col min="31" max="31" width="20.28515625" style="553" bestFit="1" customWidth="1"/>
    <col min="32" max="32" width="29.140625" style="553" bestFit="1" customWidth="1"/>
    <col min="33" max="38" width="5.85546875" style="553" customWidth="1"/>
    <col min="39" max="39" width="13.7109375" style="553" bestFit="1" customWidth="1"/>
    <col min="40" max="42" width="5.5703125" style="553"/>
    <col min="43" max="43" width="43" style="553" bestFit="1" customWidth="1"/>
    <col min="44" max="44" width="27.7109375" style="553" bestFit="1" customWidth="1"/>
    <col min="45" max="45" width="13.140625" style="553" bestFit="1" customWidth="1"/>
    <col min="46" max="46" width="12" style="553" bestFit="1" customWidth="1"/>
    <col min="47" max="47" width="12.28515625" style="553" bestFit="1" customWidth="1"/>
    <col min="48" max="48" width="11" style="553" bestFit="1" customWidth="1"/>
    <col min="49" max="49" width="12.85546875" style="553" bestFit="1" customWidth="1"/>
    <col min="50" max="50" width="7.7109375" style="553" bestFit="1" customWidth="1"/>
    <col min="51" max="51" width="11.85546875" style="553" bestFit="1" customWidth="1"/>
    <col min="52" max="52" width="20.28515625" style="553" bestFit="1" customWidth="1"/>
    <col min="53" max="53" width="29.140625" style="553" bestFit="1" customWidth="1"/>
    <col min="54" max="59" width="5.85546875" style="553" customWidth="1"/>
    <col min="60" max="60" width="13.7109375" style="553" bestFit="1" customWidth="1"/>
    <col min="61" max="63" width="5.5703125" style="553"/>
    <col min="64" max="64" width="43" style="553" bestFit="1" customWidth="1"/>
    <col min="65" max="65" width="27.7109375" style="553" bestFit="1" customWidth="1"/>
    <col min="66" max="66" width="13.140625" style="553" bestFit="1" customWidth="1"/>
    <col min="67" max="67" width="12" style="553" bestFit="1" customWidth="1"/>
    <col min="68" max="68" width="12.28515625" style="553" bestFit="1" customWidth="1"/>
    <col min="69" max="69" width="11" style="553" bestFit="1" customWidth="1"/>
    <col min="70" max="70" width="12.85546875" style="553" bestFit="1" customWidth="1"/>
    <col min="71" max="71" width="7.7109375" style="553" bestFit="1" customWidth="1"/>
    <col min="72" max="72" width="11.85546875" style="553" bestFit="1" customWidth="1"/>
    <col min="73" max="73" width="20.28515625" style="553" bestFit="1" customWidth="1"/>
    <col min="74" max="74" width="29.140625" style="553" bestFit="1" customWidth="1"/>
    <col min="75" max="80" width="5.85546875" style="553" customWidth="1"/>
    <col min="81" max="81" width="13.7109375" style="553" bestFit="1" customWidth="1"/>
    <col min="82" max="16384" width="5.5703125" style="553"/>
  </cols>
  <sheetData>
    <row r="1" spans="1:81" ht="15" x14ac:dyDescent="0.2">
      <c r="A1" s="566" t="s">
        <v>6784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V1" s="566" t="s">
        <v>7177</v>
      </c>
      <c r="W1" s="566"/>
      <c r="X1" s="566"/>
      <c r="Y1" s="566"/>
      <c r="Z1" s="566"/>
      <c r="AA1" s="566"/>
      <c r="AB1" s="566"/>
      <c r="AC1" s="566"/>
      <c r="AD1" s="566"/>
      <c r="AE1" s="566"/>
      <c r="AF1" s="566"/>
      <c r="AQ1" s="566" t="s">
        <v>7176</v>
      </c>
      <c r="AR1" s="566"/>
      <c r="AS1" s="566"/>
      <c r="AT1" s="566"/>
      <c r="AU1" s="566"/>
      <c r="AV1" s="566"/>
      <c r="AW1" s="566"/>
      <c r="AX1" s="566"/>
      <c r="AY1" s="566"/>
      <c r="AZ1" s="566"/>
      <c r="BA1" s="566"/>
      <c r="BL1" s="566" t="s">
        <v>7175</v>
      </c>
      <c r="BM1" s="566"/>
      <c r="BN1" s="566"/>
      <c r="BO1" s="566"/>
      <c r="BP1" s="566"/>
      <c r="BQ1" s="566"/>
      <c r="BR1" s="566"/>
      <c r="BS1" s="566"/>
      <c r="BT1" s="566"/>
      <c r="BU1" s="566"/>
      <c r="BV1" s="566"/>
    </row>
    <row r="2" spans="1:81" x14ac:dyDescent="0.2">
      <c r="A2" s="547" t="s">
        <v>7168</v>
      </c>
      <c r="B2" s="547" t="s">
        <v>7169</v>
      </c>
      <c r="C2" s="567" t="s">
        <v>7170</v>
      </c>
      <c r="D2" s="567"/>
      <c r="E2" s="567"/>
      <c r="F2" s="567" t="s">
        <v>4179</v>
      </c>
      <c r="G2" s="567"/>
      <c r="H2" s="547" t="s">
        <v>5</v>
      </c>
      <c r="I2" s="547" t="s">
        <v>6786</v>
      </c>
      <c r="J2" s="543" t="s">
        <v>7</v>
      </c>
      <c r="K2" s="543" t="s">
        <v>5</v>
      </c>
      <c r="V2" s="547" t="s">
        <v>7168</v>
      </c>
      <c r="W2" s="547" t="s">
        <v>7169</v>
      </c>
      <c r="X2" s="567" t="s">
        <v>7170</v>
      </c>
      <c r="Y2" s="567"/>
      <c r="Z2" s="567"/>
      <c r="AA2" s="567" t="s">
        <v>4179</v>
      </c>
      <c r="AB2" s="567"/>
      <c r="AC2" s="547" t="s">
        <v>5</v>
      </c>
      <c r="AD2" s="547" t="s">
        <v>6786</v>
      </c>
      <c r="AE2" s="543" t="s">
        <v>7</v>
      </c>
      <c r="AF2" s="543" t="s">
        <v>5</v>
      </c>
      <c r="AQ2" s="547" t="s">
        <v>7168</v>
      </c>
      <c r="AR2" s="547" t="s">
        <v>7169</v>
      </c>
      <c r="AS2" s="567" t="s">
        <v>7170</v>
      </c>
      <c r="AT2" s="567"/>
      <c r="AU2" s="567"/>
      <c r="AV2" s="567" t="s">
        <v>4179</v>
      </c>
      <c r="AW2" s="567"/>
      <c r="AX2" s="547" t="s">
        <v>5</v>
      </c>
      <c r="AY2" s="547" t="s">
        <v>6786</v>
      </c>
      <c r="AZ2" s="543" t="s">
        <v>7</v>
      </c>
      <c r="BA2" s="543" t="s">
        <v>5</v>
      </c>
      <c r="BL2" s="547" t="s">
        <v>7168</v>
      </c>
      <c r="BM2" s="547" t="s">
        <v>7169</v>
      </c>
      <c r="BN2" s="567" t="s">
        <v>7170</v>
      </c>
      <c r="BO2" s="567"/>
      <c r="BP2" s="567"/>
      <c r="BQ2" s="567" t="s">
        <v>4179</v>
      </c>
      <c r="BR2" s="567"/>
      <c r="BS2" s="547" t="s">
        <v>5</v>
      </c>
      <c r="BT2" s="547" t="s">
        <v>6786</v>
      </c>
      <c r="BU2" s="543" t="s">
        <v>7</v>
      </c>
      <c r="BV2" s="543" t="s">
        <v>5</v>
      </c>
    </row>
    <row r="3" spans="1:81" x14ac:dyDescent="0.2">
      <c r="A3" s="552">
        <f>LOOKUP(H11,TS!$A$2:$B$3)</f>
        <v>0</v>
      </c>
      <c r="B3" s="552">
        <f>LOOKUP(H11,TS!$A$2:$A$5,TS!$D$2:$D$5)</f>
        <v>0</v>
      </c>
      <c r="C3" s="563">
        <f>LOOKUP(H11,TS!$A$2:$A$5,TS!$E$2:$E$5)</f>
        <v>0</v>
      </c>
      <c r="D3" s="563"/>
      <c r="E3" s="563"/>
      <c r="F3" s="563"/>
      <c r="G3" s="563"/>
      <c r="H3" s="552">
        <f>IF(F3=0,0,LOOKUP(H11&amp;F3,TS!$W$8:$W$17,TS!$X$8:$X$17))</f>
        <v>0</v>
      </c>
      <c r="I3" s="552"/>
      <c r="J3" s="552">
        <f>IF(I3&lt;&gt;"Si",0,INDEX(TS!$U$21:$X$23,2,H11+1))</f>
        <v>0</v>
      </c>
      <c r="K3" s="552">
        <f>IF(I3&lt;&gt;"Si",0,INDEX(TS!$U$25:$X$27,2,H11+1))</f>
        <v>0</v>
      </c>
      <c r="V3" s="552">
        <f>LOOKUP(AC11,TS!$A$2:$B$3)</f>
        <v>0</v>
      </c>
      <c r="W3" s="552">
        <f>LOOKUP(AC11,TS!$A$2:$A$5,TS!$D$2:$D$5)</f>
        <v>0</v>
      </c>
      <c r="X3" s="563">
        <f>LOOKUP(AC11,TS!$A$2:$A$5,TS!$E$2:$E$5)</f>
        <v>0</v>
      </c>
      <c r="Y3" s="563"/>
      <c r="Z3" s="563"/>
      <c r="AA3" s="563"/>
      <c r="AB3" s="563"/>
      <c r="AC3" s="552">
        <f>IF(AA3=0,0,LOOKUP(AC11&amp;AA3,TS!$W$8:$W$17,TS!$X$8:$X$17))</f>
        <v>0</v>
      </c>
      <c r="AD3" s="552"/>
      <c r="AE3" s="552">
        <f>IF(AD3&lt;&gt;"Si",0,INDEX(TS!$U$21:$X$23,2,AC11+1))</f>
        <v>0</v>
      </c>
      <c r="AF3" s="552">
        <f>IF(AD3&lt;&gt;"Si",0,INDEX(TS!$U$25:$X$27,2,AC11+1))</f>
        <v>0</v>
      </c>
      <c r="AQ3" s="552">
        <f>LOOKUP(AX11,TS!$A$2:$B$3)</f>
        <v>0</v>
      </c>
      <c r="AR3" s="552">
        <f>LOOKUP(AX11,TS!$A$2:$A$5,TS!$D$2:$D$5)</f>
        <v>0</v>
      </c>
      <c r="AS3" s="563">
        <f>LOOKUP(AX11,TS!$A$2:$A$5,TS!$E$2:$E$5)</f>
        <v>0</v>
      </c>
      <c r="AT3" s="563"/>
      <c r="AU3" s="563"/>
      <c r="AV3" s="563"/>
      <c r="AW3" s="563"/>
      <c r="AX3" s="552">
        <f>IF(AV3=0,0,LOOKUP(AX11&amp;AV3,TS!$W$8:$W$17,TS!$X$8:$X$17))</f>
        <v>0</v>
      </c>
      <c r="AY3" s="552"/>
      <c r="AZ3" s="552">
        <f>IF(AY3&lt;&gt;"Si",0,INDEX(TS!$U$21:$X$23,2,AX11+1))</f>
        <v>0</v>
      </c>
      <c r="BA3" s="552">
        <f>IF(AY3&lt;&gt;"Si",0,INDEX(TS!$U$25:$X$27,2,AX11+1))</f>
        <v>0</v>
      </c>
      <c r="BL3" s="552">
        <f>LOOKUP(BS11,TS!$A$2:$B$3)</f>
        <v>0</v>
      </c>
      <c r="BM3" s="552">
        <f>LOOKUP(BS11,TS!$A$2:$A$5,TS!$D$2:$D$5)</f>
        <v>0</v>
      </c>
      <c r="BN3" s="563">
        <f>LOOKUP(BS11,TS!$A$2:$A$5,TS!$E$2:$E$5)</f>
        <v>0</v>
      </c>
      <c r="BO3" s="563"/>
      <c r="BP3" s="563"/>
      <c r="BQ3" s="563"/>
      <c r="BR3" s="563"/>
      <c r="BS3" s="552">
        <f>IF(BQ3=0,0,LOOKUP(BS11&amp;BQ3,TS!$W$8:$W$17,TS!$X$8:$X$17))</f>
        <v>0</v>
      </c>
      <c r="BT3" s="552"/>
      <c r="BU3" s="552">
        <f>IF(BT3&lt;&gt;"Si",0,INDEX(TS!$U$21:$X$23,2,BS11+1))</f>
        <v>0</v>
      </c>
      <c r="BV3" s="552">
        <f>IF(BT3&lt;&gt;"Si",0,INDEX(TS!$U$25:$X$27,2,BS11+1))</f>
        <v>0</v>
      </c>
    </row>
    <row r="6" spans="1:81" ht="15" x14ac:dyDescent="0.2">
      <c r="A6" s="574" t="s">
        <v>4</v>
      </c>
      <c r="B6" s="575"/>
      <c r="C6" s="576"/>
      <c r="D6" s="576"/>
      <c r="E6" s="576"/>
      <c r="F6" s="576"/>
      <c r="G6" s="576"/>
      <c r="H6" s="577"/>
      <c r="I6" s="578" t="s">
        <v>5</v>
      </c>
      <c r="J6" s="578"/>
      <c r="V6" s="574" t="s">
        <v>4</v>
      </c>
      <c r="W6" s="575"/>
      <c r="X6" s="576"/>
      <c r="Y6" s="576"/>
      <c r="Z6" s="576"/>
      <c r="AA6" s="576"/>
      <c r="AB6" s="576"/>
      <c r="AC6" s="577"/>
      <c r="AD6" s="578" t="s">
        <v>5</v>
      </c>
      <c r="AE6" s="578"/>
      <c r="AQ6" s="574" t="s">
        <v>4</v>
      </c>
      <c r="AR6" s="575"/>
      <c r="AS6" s="576"/>
      <c r="AT6" s="576"/>
      <c r="AU6" s="576"/>
      <c r="AV6" s="576"/>
      <c r="AW6" s="576"/>
      <c r="AX6" s="577"/>
      <c r="AY6" s="578" t="s">
        <v>5</v>
      </c>
      <c r="AZ6" s="578"/>
      <c r="BL6" s="574" t="s">
        <v>4</v>
      </c>
      <c r="BM6" s="575"/>
      <c r="BN6" s="576"/>
      <c r="BO6" s="576"/>
      <c r="BP6" s="576"/>
      <c r="BQ6" s="576"/>
      <c r="BR6" s="576"/>
      <c r="BS6" s="577"/>
      <c r="BT6" s="578" t="s">
        <v>5</v>
      </c>
      <c r="BU6" s="578"/>
    </row>
    <row r="7" spans="1:81" x14ac:dyDescent="0.2">
      <c r="A7" s="579" t="str">
        <f>TS!AL220</f>
        <v/>
      </c>
      <c r="B7" s="580"/>
      <c r="C7" s="580"/>
      <c r="D7" s="580"/>
      <c r="E7" s="580"/>
      <c r="F7" s="580"/>
      <c r="G7" s="580"/>
      <c r="H7" s="581"/>
      <c r="I7" s="582">
        <f>MAX(SUM(D15:D122)+SUM(C125:C148)+H3+K3,B3)</f>
        <v>0</v>
      </c>
      <c r="J7" s="582"/>
      <c r="V7" s="579" t="str">
        <f>TS!BG220</f>
        <v/>
      </c>
      <c r="W7" s="580"/>
      <c r="X7" s="580"/>
      <c r="Y7" s="580"/>
      <c r="Z7" s="580"/>
      <c r="AA7" s="580"/>
      <c r="AB7" s="580"/>
      <c r="AC7" s="581"/>
      <c r="AD7" s="582">
        <f>MAX(SUM(Y15:Y122)+SUM(X125:X148)+AC3+AF3,W3)</f>
        <v>0</v>
      </c>
      <c r="AE7" s="582"/>
      <c r="AQ7" s="579" t="str">
        <f>TS!CB220</f>
        <v/>
      </c>
      <c r="AR7" s="580"/>
      <c r="AS7" s="580"/>
      <c r="AT7" s="580"/>
      <c r="AU7" s="580"/>
      <c r="AV7" s="580"/>
      <c r="AW7" s="580"/>
      <c r="AX7" s="581"/>
      <c r="AY7" s="582">
        <f>MAX(SUM(AT15:AT122)+SUM(AS125:AS148)+AX3+BA3,AR3)</f>
        <v>0</v>
      </c>
      <c r="AZ7" s="582"/>
      <c r="BL7" s="579" t="str">
        <f>TS!CW220</f>
        <v/>
      </c>
      <c r="BM7" s="580"/>
      <c r="BN7" s="580"/>
      <c r="BO7" s="580"/>
      <c r="BP7" s="580"/>
      <c r="BQ7" s="580"/>
      <c r="BR7" s="580"/>
      <c r="BS7" s="581"/>
      <c r="BT7" s="582">
        <f>MAX(SUM(BO15:BO122)+SUM(BN125:BN148)+BS3+BV3,BM3)</f>
        <v>0</v>
      </c>
      <c r="BU7" s="582"/>
    </row>
    <row r="8" spans="1:81" x14ac:dyDescent="0.2">
      <c r="A8" s="583"/>
      <c r="B8" s="584"/>
      <c r="C8" s="584"/>
      <c r="D8" s="584"/>
      <c r="E8" s="584"/>
      <c r="F8" s="584"/>
      <c r="G8" s="584"/>
      <c r="H8" s="585"/>
      <c r="I8" s="582"/>
      <c r="J8" s="582"/>
      <c r="K8" s="307"/>
      <c r="V8" s="583"/>
      <c r="W8" s="584"/>
      <c r="X8" s="584"/>
      <c r="Y8" s="584"/>
      <c r="Z8" s="584"/>
      <c r="AA8" s="584"/>
      <c r="AB8" s="584"/>
      <c r="AC8" s="585"/>
      <c r="AD8" s="582"/>
      <c r="AE8" s="582"/>
      <c r="AF8" s="307"/>
      <c r="AQ8" s="583"/>
      <c r="AR8" s="584"/>
      <c r="AS8" s="584"/>
      <c r="AT8" s="584"/>
      <c r="AU8" s="584"/>
      <c r="AV8" s="584"/>
      <c r="AW8" s="584"/>
      <c r="AX8" s="585"/>
      <c r="AY8" s="582"/>
      <c r="AZ8" s="582"/>
      <c r="BA8" s="307"/>
      <c r="BL8" s="583"/>
      <c r="BM8" s="584"/>
      <c r="BN8" s="584"/>
      <c r="BO8" s="584"/>
      <c r="BP8" s="584"/>
      <c r="BQ8" s="584"/>
      <c r="BR8" s="584"/>
      <c r="BS8" s="585"/>
      <c r="BT8" s="582"/>
      <c r="BU8" s="582"/>
      <c r="BV8" s="307"/>
    </row>
    <row r="9" spans="1:81" x14ac:dyDescent="0.2">
      <c r="A9" s="586"/>
      <c r="B9" s="587"/>
      <c r="C9" s="587"/>
      <c r="D9" s="587"/>
      <c r="E9" s="587"/>
      <c r="F9" s="587"/>
      <c r="G9" s="587"/>
      <c r="H9" s="588"/>
      <c r="I9" s="582"/>
      <c r="J9" s="582"/>
      <c r="L9" s="565" t="str">
        <f>IF(J3-SUM(L11:Q11)&lt;=0,"","Ki libre a colocar :) | "&amp;J3-SUM(L11:Q11))</f>
        <v/>
      </c>
      <c r="M9" s="565"/>
      <c r="N9" s="565"/>
      <c r="O9" s="565"/>
      <c r="P9" s="565"/>
      <c r="Q9" s="565"/>
      <c r="V9" s="586"/>
      <c r="W9" s="587"/>
      <c r="X9" s="587"/>
      <c r="Y9" s="587"/>
      <c r="Z9" s="587"/>
      <c r="AA9" s="587"/>
      <c r="AB9" s="587"/>
      <c r="AC9" s="588"/>
      <c r="AD9" s="582"/>
      <c r="AE9" s="582"/>
      <c r="AG9" s="565" t="str">
        <f>IF(AE3-SUM(AG11:AL11)&lt;=0,"","Ki libre a colocar :) | "&amp;AE3-SUM(AG11:AL11))</f>
        <v/>
      </c>
      <c r="AH9" s="565"/>
      <c r="AI9" s="565"/>
      <c r="AJ9" s="565"/>
      <c r="AK9" s="565"/>
      <c r="AL9" s="565"/>
      <c r="AQ9" s="586"/>
      <c r="AR9" s="587"/>
      <c r="AS9" s="587"/>
      <c r="AT9" s="587"/>
      <c r="AU9" s="587"/>
      <c r="AV9" s="587"/>
      <c r="AW9" s="587"/>
      <c r="AX9" s="588"/>
      <c r="AY9" s="582"/>
      <c r="AZ9" s="582"/>
      <c r="BB9" s="565" t="str">
        <f>IF(AZ3-SUM(BB11:BG11)&lt;=0,"","Ki libre a colocar :) | "&amp;AZ3-SUM(BB11:BG11))</f>
        <v/>
      </c>
      <c r="BC9" s="565"/>
      <c r="BD9" s="565"/>
      <c r="BE9" s="565"/>
      <c r="BF9" s="565"/>
      <c r="BG9" s="565"/>
      <c r="BL9" s="586"/>
      <c r="BM9" s="587"/>
      <c r="BN9" s="587"/>
      <c r="BO9" s="587"/>
      <c r="BP9" s="587"/>
      <c r="BQ9" s="587"/>
      <c r="BR9" s="587"/>
      <c r="BS9" s="588"/>
      <c r="BT9" s="582"/>
      <c r="BU9" s="582"/>
      <c r="BW9" s="565" t="str">
        <f>IF(BU3-SUM(BW11:CB11)&lt;=0,"","Ki libre a colocar :) | "&amp;BU3-SUM(BW11:CB11))</f>
        <v/>
      </c>
      <c r="BX9" s="565"/>
      <c r="BY9" s="565"/>
      <c r="BZ9" s="565"/>
      <c r="CA9" s="565"/>
      <c r="CB9" s="565"/>
    </row>
    <row r="10" spans="1:81" x14ac:dyDescent="0.2">
      <c r="A10" s="589" t="s">
        <v>5543</v>
      </c>
      <c r="B10" s="590" t="s">
        <v>36</v>
      </c>
      <c r="C10" s="590" t="s">
        <v>46</v>
      </c>
      <c r="D10" s="590" t="s">
        <v>57</v>
      </c>
      <c r="E10" s="590" t="s">
        <v>66</v>
      </c>
      <c r="F10" s="590" t="s">
        <v>58</v>
      </c>
      <c r="G10" s="590" t="s">
        <v>59</v>
      </c>
      <c r="H10" s="590" t="s">
        <v>14</v>
      </c>
      <c r="I10" s="578" t="s">
        <v>177</v>
      </c>
      <c r="J10" s="578"/>
      <c r="L10" s="547" t="s">
        <v>36</v>
      </c>
      <c r="M10" s="547" t="s">
        <v>46</v>
      </c>
      <c r="N10" s="547" t="s">
        <v>57</v>
      </c>
      <c r="O10" s="547" t="s">
        <v>66</v>
      </c>
      <c r="P10" s="547" t="s">
        <v>59</v>
      </c>
      <c r="Q10" s="547" t="s">
        <v>58</v>
      </c>
      <c r="V10" s="589" t="s">
        <v>5543</v>
      </c>
      <c r="W10" s="590" t="s">
        <v>36</v>
      </c>
      <c r="X10" s="590" t="s">
        <v>46</v>
      </c>
      <c r="Y10" s="590" t="s">
        <v>57</v>
      </c>
      <c r="Z10" s="590" t="s">
        <v>66</v>
      </c>
      <c r="AA10" s="590" t="s">
        <v>58</v>
      </c>
      <c r="AB10" s="590" t="s">
        <v>59</v>
      </c>
      <c r="AC10" s="590" t="s">
        <v>14</v>
      </c>
      <c r="AD10" s="578" t="s">
        <v>177</v>
      </c>
      <c r="AE10" s="578"/>
      <c r="AG10" s="547" t="s">
        <v>36</v>
      </c>
      <c r="AH10" s="547" t="s">
        <v>46</v>
      </c>
      <c r="AI10" s="547" t="s">
        <v>57</v>
      </c>
      <c r="AJ10" s="547" t="s">
        <v>66</v>
      </c>
      <c r="AK10" s="547" t="s">
        <v>59</v>
      </c>
      <c r="AL10" s="547" t="s">
        <v>58</v>
      </c>
      <c r="AQ10" s="589" t="s">
        <v>5543</v>
      </c>
      <c r="AR10" s="590" t="s">
        <v>36</v>
      </c>
      <c r="AS10" s="590" t="s">
        <v>46</v>
      </c>
      <c r="AT10" s="590" t="s">
        <v>57</v>
      </c>
      <c r="AU10" s="590" t="s">
        <v>66</v>
      </c>
      <c r="AV10" s="590" t="s">
        <v>58</v>
      </c>
      <c r="AW10" s="590" t="s">
        <v>59</v>
      </c>
      <c r="AX10" s="590" t="s">
        <v>14</v>
      </c>
      <c r="AY10" s="578" t="s">
        <v>177</v>
      </c>
      <c r="AZ10" s="578"/>
      <c r="BB10" s="547" t="s">
        <v>36</v>
      </c>
      <c r="BC10" s="547" t="s">
        <v>46</v>
      </c>
      <c r="BD10" s="547" t="s">
        <v>57</v>
      </c>
      <c r="BE10" s="547" t="s">
        <v>66</v>
      </c>
      <c r="BF10" s="547" t="s">
        <v>59</v>
      </c>
      <c r="BG10" s="547" t="s">
        <v>58</v>
      </c>
      <c r="BL10" s="589" t="s">
        <v>5543</v>
      </c>
      <c r="BM10" s="590" t="s">
        <v>36</v>
      </c>
      <c r="BN10" s="590" t="s">
        <v>46</v>
      </c>
      <c r="BO10" s="590" t="s">
        <v>57</v>
      </c>
      <c r="BP10" s="590" t="s">
        <v>66</v>
      </c>
      <c r="BQ10" s="590" t="s">
        <v>58</v>
      </c>
      <c r="BR10" s="590" t="s">
        <v>59</v>
      </c>
      <c r="BS10" s="590" t="s">
        <v>14</v>
      </c>
      <c r="BT10" s="578" t="s">
        <v>177</v>
      </c>
      <c r="BU10" s="578"/>
      <c r="BW10" s="547" t="s">
        <v>36</v>
      </c>
      <c r="BX10" s="547" t="s">
        <v>46</v>
      </c>
      <c r="BY10" s="547" t="s">
        <v>57</v>
      </c>
      <c r="BZ10" s="547" t="s">
        <v>66</v>
      </c>
      <c r="CA10" s="547" t="s">
        <v>59</v>
      </c>
      <c r="CB10" s="547" t="s">
        <v>58</v>
      </c>
    </row>
    <row r="11" spans="1:81" x14ac:dyDescent="0.2">
      <c r="A11" s="591"/>
      <c r="B11" s="592">
        <f>TS!V230+L11</f>
        <v>0</v>
      </c>
      <c r="C11" s="300">
        <f>TS!W230+M11</f>
        <v>0</v>
      </c>
      <c r="D11" s="300">
        <f>TS!X230+N11</f>
        <v>0</v>
      </c>
      <c r="E11" s="300">
        <f>TS!Y230+O11</f>
        <v>0</v>
      </c>
      <c r="F11" s="300">
        <f>TS!Z230+P11</f>
        <v>0</v>
      </c>
      <c r="G11" s="300">
        <f>TS!AA230+Q11</f>
        <v>0</v>
      </c>
      <c r="H11" s="593"/>
      <c r="I11" s="582" t="str">
        <f>IF(SUM(E15:E122)=0,"No",SUM(E15:E122))</f>
        <v>No</v>
      </c>
      <c r="J11" s="582"/>
      <c r="L11" s="552"/>
      <c r="M11" s="552"/>
      <c r="N11" s="552"/>
      <c r="O11" s="552"/>
      <c r="P11" s="552"/>
      <c r="Q11" s="552"/>
      <c r="V11" s="591"/>
      <c r="W11" s="592">
        <f>TS!AQ230+AG11</f>
        <v>0</v>
      </c>
      <c r="X11" s="300">
        <f>TS!AR230+AH11</f>
        <v>0</v>
      </c>
      <c r="Y11" s="300">
        <f>TS!AS230+AI11</f>
        <v>0</v>
      </c>
      <c r="Z11" s="300">
        <f>TS!AT230+AJ11</f>
        <v>0</v>
      </c>
      <c r="AA11" s="300">
        <f>TS!AU230+AK11</f>
        <v>0</v>
      </c>
      <c r="AB11" s="300">
        <f>TS!AV230+AL11</f>
        <v>0</v>
      </c>
      <c r="AC11" s="593"/>
      <c r="AD11" s="582" t="str">
        <f>IF(SUM(Z15:Z122)=0,"No",SUM(Z15:Z122))</f>
        <v>No</v>
      </c>
      <c r="AE11" s="582"/>
      <c r="AG11" s="552"/>
      <c r="AH11" s="552"/>
      <c r="AI11" s="552"/>
      <c r="AJ11" s="552"/>
      <c r="AK11" s="552"/>
      <c r="AL11" s="552"/>
      <c r="AQ11" s="591"/>
      <c r="AR11" s="592">
        <f>TS!BL230+BB11</f>
        <v>0</v>
      </c>
      <c r="AS11" s="300">
        <f>TS!BM230+BC11</f>
        <v>0</v>
      </c>
      <c r="AT11" s="300">
        <f>TS!BN230+BD11</f>
        <v>0</v>
      </c>
      <c r="AU11" s="300">
        <f>TS!BO230+BE11</f>
        <v>0</v>
      </c>
      <c r="AV11" s="300">
        <f>TS!BP230+BF11</f>
        <v>0</v>
      </c>
      <c r="AW11" s="300">
        <f>TS!BQ230+BG11</f>
        <v>0</v>
      </c>
      <c r="AX11" s="593"/>
      <c r="AY11" s="582" t="str">
        <f>IF(SUM(AU15:AU122)=0,"No",SUM(AU15:AU122))</f>
        <v>No</v>
      </c>
      <c r="AZ11" s="582"/>
      <c r="BB11" s="552"/>
      <c r="BC11" s="552"/>
      <c r="BD11" s="552"/>
      <c r="BE11" s="552"/>
      <c r="BF11" s="552"/>
      <c r="BG11" s="552"/>
      <c r="BL11" s="591"/>
      <c r="BM11" s="592">
        <f>TS!CG230+BW11</f>
        <v>0</v>
      </c>
      <c r="BN11" s="300">
        <f>TS!CH230+BX11</f>
        <v>0</v>
      </c>
      <c r="BO11" s="300">
        <f>TS!CI230+BY11</f>
        <v>0</v>
      </c>
      <c r="BP11" s="300">
        <f>TS!CJ230+BZ11</f>
        <v>0</v>
      </c>
      <c r="BQ11" s="300">
        <f>TS!CK230+CA11</f>
        <v>0</v>
      </c>
      <c r="BR11" s="300">
        <f>TS!CL230+CB11</f>
        <v>0</v>
      </c>
      <c r="BS11" s="593"/>
      <c r="BT11" s="582" t="str">
        <f>IF(SUM(BP15:BP122)=0,"No",SUM(BP15:BP122))</f>
        <v>No</v>
      </c>
      <c r="BU11" s="582"/>
      <c r="BW11" s="552"/>
      <c r="BX11" s="552"/>
      <c r="BY11" s="552"/>
      <c r="BZ11" s="552"/>
      <c r="CA11" s="552"/>
      <c r="CB11" s="552"/>
    </row>
    <row r="13" spans="1:81" ht="15.75" thickBot="1" x14ac:dyDescent="0.25">
      <c r="L13" s="559" t="s">
        <v>7161</v>
      </c>
      <c r="M13" s="559"/>
      <c r="N13" s="559"/>
      <c r="O13" s="559"/>
      <c r="P13" s="559"/>
      <c r="Q13" s="559"/>
      <c r="AG13" s="559" t="s">
        <v>7161</v>
      </c>
      <c r="AH13" s="559"/>
      <c r="AI13" s="559"/>
      <c r="AJ13" s="559"/>
      <c r="AK13" s="559"/>
      <c r="AL13" s="559"/>
      <c r="BB13" s="559" t="s">
        <v>7161</v>
      </c>
      <c r="BC13" s="559"/>
      <c r="BD13" s="559"/>
      <c r="BE13" s="559"/>
      <c r="BF13" s="559"/>
      <c r="BG13" s="559"/>
      <c r="BW13" s="559" t="s">
        <v>7161</v>
      </c>
      <c r="BX13" s="559"/>
      <c r="BY13" s="559"/>
      <c r="BZ13" s="559"/>
      <c r="CA13" s="559"/>
      <c r="CB13" s="559"/>
    </row>
    <row r="14" spans="1:81" x14ac:dyDescent="0.2">
      <c r="A14" s="557" t="s">
        <v>6785</v>
      </c>
      <c r="B14" s="558" t="s">
        <v>164</v>
      </c>
      <c r="C14" s="549" t="s">
        <v>7163</v>
      </c>
      <c r="D14" s="549" t="s">
        <v>5</v>
      </c>
      <c r="E14" s="549" t="s">
        <v>69</v>
      </c>
      <c r="F14" s="549" t="s">
        <v>14</v>
      </c>
      <c r="G14" s="549" t="s">
        <v>26</v>
      </c>
      <c r="H14" s="549" t="s">
        <v>277</v>
      </c>
      <c r="I14" s="549" t="s">
        <v>6791</v>
      </c>
      <c r="J14" s="549" t="s">
        <v>6792</v>
      </c>
      <c r="K14" s="550" t="s">
        <v>7162</v>
      </c>
      <c r="L14" s="548" t="s">
        <v>36</v>
      </c>
      <c r="M14" s="549" t="s">
        <v>46</v>
      </c>
      <c r="N14" s="549" t="s">
        <v>57</v>
      </c>
      <c r="O14" s="549" t="s">
        <v>66</v>
      </c>
      <c r="P14" s="549" t="s">
        <v>59</v>
      </c>
      <c r="Q14" s="551" t="s">
        <v>58</v>
      </c>
      <c r="R14" s="560" t="s">
        <v>6787</v>
      </c>
      <c r="V14" s="557" t="s">
        <v>6785</v>
      </c>
      <c r="W14" s="558" t="s">
        <v>164</v>
      </c>
      <c r="X14" s="549" t="s">
        <v>7163</v>
      </c>
      <c r="Y14" s="549" t="s">
        <v>5</v>
      </c>
      <c r="Z14" s="549" t="s">
        <v>69</v>
      </c>
      <c r="AA14" s="549" t="s">
        <v>14</v>
      </c>
      <c r="AB14" s="549" t="s">
        <v>26</v>
      </c>
      <c r="AC14" s="549" t="s">
        <v>277</v>
      </c>
      <c r="AD14" s="549" t="s">
        <v>6791</v>
      </c>
      <c r="AE14" s="549" t="s">
        <v>6792</v>
      </c>
      <c r="AF14" s="550" t="s">
        <v>7162</v>
      </c>
      <c r="AG14" s="548" t="s">
        <v>36</v>
      </c>
      <c r="AH14" s="549" t="s">
        <v>46</v>
      </c>
      <c r="AI14" s="549" t="s">
        <v>57</v>
      </c>
      <c r="AJ14" s="549" t="s">
        <v>66</v>
      </c>
      <c r="AK14" s="549" t="s">
        <v>59</v>
      </c>
      <c r="AL14" s="551" t="s">
        <v>58</v>
      </c>
      <c r="AM14" s="560" t="s">
        <v>6787</v>
      </c>
      <c r="AQ14" s="557" t="s">
        <v>6785</v>
      </c>
      <c r="AR14" s="558" t="s">
        <v>164</v>
      </c>
      <c r="AS14" s="549" t="s">
        <v>7163</v>
      </c>
      <c r="AT14" s="549" t="s">
        <v>5</v>
      </c>
      <c r="AU14" s="549" t="s">
        <v>69</v>
      </c>
      <c r="AV14" s="549" t="s">
        <v>14</v>
      </c>
      <c r="AW14" s="549" t="s">
        <v>26</v>
      </c>
      <c r="AX14" s="549" t="s">
        <v>277</v>
      </c>
      <c r="AY14" s="549" t="s">
        <v>6791</v>
      </c>
      <c r="AZ14" s="549" t="s">
        <v>6792</v>
      </c>
      <c r="BA14" s="550" t="s">
        <v>7162</v>
      </c>
      <c r="BB14" s="548" t="s">
        <v>36</v>
      </c>
      <c r="BC14" s="549" t="s">
        <v>46</v>
      </c>
      <c r="BD14" s="549" t="s">
        <v>57</v>
      </c>
      <c r="BE14" s="549" t="s">
        <v>66</v>
      </c>
      <c r="BF14" s="549" t="s">
        <v>59</v>
      </c>
      <c r="BG14" s="551" t="s">
        <v>58</v>
      </c>
      <c r="BH14" s="560" t="s">
        <v>6787</v>
      </c>
      <c r="BL14" s="557" t="s">
        <v>6785</v>
      </c>
      <c r="BM14" s="558" t="s">
        <v>164</v>
      </c>
      <c r="BN14" s="549" t="s">
        <v>7163</v>
      </c>
      <c r="BO14" s="549" t="s">
        <v>5</v>
      </c>
      <c r="BP14" s="549" t="s">
        <v>69</v>
      </c>
      <c r="BQ14" s="549" t="s">
        <v>14</v>
      </c>
      <c r="BR14" s="549" t="s">
        <v>26</v>
      </c>
      <c r="BS14" s="549" t="s">
        <v>277</v>
      </c>
      <c r="BT14" s="549" t="s">
        <v>6791</v>
      </c>
      <c r="BU14" s="549" t="s">
        <v>6792</v>
      </c>
      <c r="BV14" s="550" t="s">
        <v>7162</v>
      </c>
      <c r="BW14" s="548" t="s">
        <v>36</v>
      </c>
      <c r="BX14" s="549" t="s">
        <v>46</v>
      </c>
      <c r="BY14" s="549" t="s">
        <v>57</v>
      </c>
      <c r="BZ14" s="549" t="s">
        <v>66</v>
      </c>
      <c r="CA14" s="549" t="s">
        <v>59</v>
      </c>
      <c r="CB14" s="551" t="s">
        <v>58</v>
      </c>
      <c r="CC14" s="560" t="s">
        <v>6787</v>
      </c>
    </row>
    <row r="15" spans="1:81" x14ac:dyDescent="0.2">
      <c r="A15" s="606" t="s">
        <v>6789</v>
      </c>
      <c r="B15" s="607"/>
      <c r="C15" s="527" t="str">
        <f>IF(B15&lt;&gt;0,INDEX(Tabla16[],MATCH(A15&amp;B15,Tabla16[Concatenado],0),IF(R15="Si",4,5)),"")</f>
        <v/>
      </c>
      <c r="D15" s="527" t="str">
        <f>IF(B15&lt;&gt;0,INDEX(Tabla16[],MATCH(A15&amp;B15,Tabla16[Concatenado],0),6),"")</f>
        <v/>
      </c>
      <c r="E15" s="527" t="str">
        <f>IFERROR(IF(B15&lt;&gt;0,INDEX(Tabla16[],MATCH(A15&amp;B15,Tabla16[Concatenado],0),IF(F$3=TS!$O$2,7,IF(F$3=TS!$O$3,8,IF(F$3=TS!$O$4,9,"")))),""),"")</f>
        <v/>
      </c>
      <c r="F15" s="527" t="str">
        <f>IF(B15&lt;&gt;0,INDEX(Tabla16[],MATCH(A15&amp;B15,Tabla16[Concatenado],0),10),"")</f>
        <v/>
      </c>
      <c r="G15" s="527" t="str">
        <f>IF(B15&lt;&gt;0,INDEX(Tabla18[],MATCH(A15,Tabla18[Nombre],0),2),"")</f>
        <v/>
      </c>
      <c r="H15" s="527" t="str">
        <f>IF(B15&lt;&gt;0,INDEX(Tabla18[],MATCH(A15,Tabla18[Nombre],0),3),"")</f>
        <v/>
      </c>
      <c r="I15" s="527" t="str">
        <f>IF(B15&lt;&gt;0,INDEX(Tabla18[],MATCH(A15,Tabla18[Nombre],0),4),"")</f>
        <v/>
      </c>
      <c r="J15" s="527" t="str">
        <f>IF(B15&lt;&gt;0,INDEX(Tabla18[],MATCH(A15,Tabla18[Nombre],0),5),"")</f>
        <v/>
      </c>
      <c r="K15" s="596" t="str">
        <f>IF(B15&lt;&gt;0,INDEX(Tabla18[],MATCH(A15,Tabla18[Nombre],0),6),"")</f>
        <v/>
      </c>
      <c r="L15" s="598"/>
      <c r="M15" s="527"/>
      <c r="N15" s="599"/>
      <c r="O15" s="599"/>
      <c r="P15" s="527"/>
      <c r="Q15" s="600"/>
      <c r="R15" s="608"/>
      <c r="V15" s="606" t="s">
        <v>6789</v>
      </c>
      <c r="W15" s="607"/>
      <c r="X15" s="527" t="str">
        <f>IF(W15&lt;&gt;0,INDEX(Tabla16[],MATCH(V15&amp;W15,Tabla16[Concatenado],0),IF(AM15="Si",4,5)),"")</f>
        <v/>
      </c>
      <c r="Y15" s="527" t="str">
        <f>IF(W15&lt;&gt;0,INDEX(Tabla16[],MATCH(V15&amp;W15,Tabla16[Concatenado],0),6),"")</f>
        <v/>
      </c>
      <c r="Z15" s="527" t="str">
        <f>IFERROR(IF(W15&lt;&gt;0,INDEX(Tabla16[],MATCH(V15&amp;W15,Tabla16[Concatenado],0),IF(AA$3=TS!$O$2,7,IF(AA$3=TS!$O$3,8,IF(AA$3=TS!$O$4,9,"")))),""),"")</f>
        <v/>
      </c>
      <c r="AA15" s="527" t="str">
        <f>IF(W15&lt;&gt;0,INDEX(Tabla16[],MATCH(V15&amp;W15,Tabla16[Concatenado],0),10),"")</f>
        <v/>
      </c>
      <c r="AB15" s="527" t="str">
        <f>IF(W15&lt;&gt;0,INDEX(Tabla18[],MATCH(V15,Tabla18[Nombre],0),2),"")</f>
        <v/>
      </c>
      <c r="AC15" s="527" t="str">
        <f>IF(W15&lt;&gt;0,INDEX(Tabla18[],MATCH(V15,Tabla18[Nombre],0),3),"")</f>
        <v/>
      </c>
      <c r="AD15" s="527" t="str">
        <f>IF(W15&lt;&gt;0,INDEX(Tabla18[],MATCH(V15,Tabla18[Nombre],0),4),"")</f>
        <v/>
      </c>
      <c r="AE15" s="527" t="str">
        <f>IF(W15&lt;&gt;0,INDEX(Tabla18[],MATCH(V15,Tabla18[Nombre],0),5),"")</f>
        <v/>
      </c>
      <c r="AF15" s="596" t="str">
        <f>IF(W15&lt;&gt;0,INDEX(Tabla18[],MATCH(V15,Tabla18[Nombre],0),6),"")</f>
        <v/>
      </c>
      <c r="AG15" s="598"/>
      <c r="AH15" s="527"/>
      <c r="AI15" s="599"/>
      <c r="AJ15" s="599"/>
      <c r="AK15" s="527"/>
      <c r="AL15" s="600"/>
      <c r="AM15" s="608"/>
      <c r="AQ15" s="606" t="s">
        <v>6789</v>
      </c>
      <c r="AR15" s="607"/>
      <c r="AS15" s="527" t="str">
        <f>IF(AR15&lt;&gt;0,INDEX(Tabla16[],MATCH(AQ15&amp;AR15,Tabla16[Concatenado],0),IF(BH15="Si",4,5)),"")</f>
        <v/>
      </c>
      <c r="AT15" s="527" t="str">
        <f>IF(AR15&lt;&gt;0,INDEX(Tabla16[],MATCH(AQ15&amp;AR15,Tabla16[Concatenado],0),6),"")</f>
        <v/>
      </c>
      <c r="AU15" s="527" t="str">
        <f>IFERROR(IF(AR15&lt;&gt;0,INDEX(Tabla16[],MATCH(AQ15&amp;AR15,Tabla16[Concatenado],0),IF(AV$3=TS!$O$2,7,IF(AV$3=TS!$O$3,8,IF(AV$3=TS!$O$4,9,"")))),""),"")</f>
        <v/>
      </c>
      <c r="AV15" s="527" t="str">
        <f>IF(AR15&lt;&gt;0,INDEX(Tabla16[],MATCH(AQ15&amp;AR15,Tabla16[Concatenado],0),10),"")</f>
        <v/>
      </c>
      <c r="AW15" s="527" t="str">
        <f>IF(AR15&lt;&gt;0,INDEX(Tabla18[],MATCH(AQ15,Tabla18[Nombre],0),2),"")</f>
        <v/>
      </c>
      <c r="AX15" s="527" t="str">
        <f>IF(AR15&lt;&gt;0,INDEX(Tabla18[],MATCH(AQ15,Tabla18[Nombre],0),3),"")</f>
        <v/>
      </c>
      <c r="AY15" s="527" t="str">
        <f>IF(AR15&lt;&gt;0,INDEX(Tabla18[],MATCH(AQ15,Tabla18[Nombre],0),4),"")</f>
        <v/>
      </c>
      <c r="AZ15" s="527" t="str">
        <f>IF(AR15&lt;&gt;0,INDEX(Tabla18[],MATCH(AQ15,Tabla18[Nombre],0),5),"")</f>
        <v/>
      </c>
      <c r="BA15" s="596" t="str">
        <f>IF(AR15&lt;&gt;0,INDEX(Tabla18[],MATCH(AQ15,Tabla18[Nombre],0),6),"")</f>
        <v/>
      </c>
      <c r="BB15" s="598"/>
      <c r="BC15" s="527"/>
      <c r="BD15" s="599"/>
      <c r="BE15" s="599"/>
      <c r="BF15" s="527"/>
      <c r="BG15" s="600"/>
      <c r="BH15" s="608"/>
      <c r="BL15" s="606" t="s">
        <v>6789</v>
      </c>
      <c r="BM15" s="607"/>
      <c r="BN15" s="527" t="str">
        <f>IF(BM15&lt;&gt;0,INDEX(Tabla16[],MATCH(BL15&amp;BM15,Tabla16[Concatenado],0),IF(CC15="Si",4,5)),"")</f>
        <v/>
      </c>
      <c r="BO15" s="527" t="str">
        <f>IF(BM15&lt;&gt;0,INDEX(Tabla16[],MATCH(BL15&amp;BM15,Tabla16[Concatenado],0),6),"")</f>
        <v/>
      </c>
      <c r="BP15" s="527" t="str">
        <f>IFERROR(IF(BM15&lt;&gt;0,INDEX(Tabla16[],MATCH(BL15&amp;BM15,Tabla16[Concatenado],0),IF(BQ$3=TS!$O$2,7,IF(BQ$3=TS!$O$3,8,IF(BQ$3=TS!$O$4,9,"")))),""),"")</f>
        <v/>
      </c>
      <c r="BQ15" s="527" t="str">
        <f>IF(BM15&lt;&gt;0,INDEX(Tabla16[],MATCH(BL15&amp;BM15,Tabla16[Concatenado],0),10),"")</f>
        <v/>
      </c>
      <c r="BR15" s="527" t="str">
        <f>IF(BM15&lt;&gt;0,INDEX(Tabla18[],MATCH(BL15,Tabla18[Nombre],0),2),"")</f>
        <v/>
      </c>
      <c r="BS15" s="527" t="str">
        <f>IF(BM15&lt;&gt;0,INDEX(Tabla18[],MATCH(BL15,Tabla18[Nombre],0),3),"")</f>
        <v/>
      </c>
      <c r="BT15" s="527" t="str">
        <f>IF(BM15&lt;&gt;0,INDEX(Tabla18[],MATCH(BL15,Tabla18[Nombre],0),4),"")</f>
        <v/>
      </c>
      <c r="BU15" s="527" t="str">
        <f>IF(BM15&lt;&gt;0,INDEX(Tabla18[],MATCH(BL15,Tabla18[Nombre],0),5),"")</f>
        <v/>
      </c>
      <c r="BV15" s="596" t="str">
        <f>IF(BM15&lt;&gt;0,INDEX(Tabla18[],MATCH(BL15,Tabla18[Nombre],0),6),"")</f>
        <v/>
      </c>
      <c r="BW15" s="598"/>
      <c r="BX15" s="527"/>
      <c r="BY15" s="599"/>
      <c r="BZ15" s="599"/>
      <c r="CA15" s="527"/>
      <c r="CB15" s="600"/>
      <c r="CC15" s="608"/>
    </row>
    <row r="16" spans="1:81" x14ac:dyDescent="0.2">
      <c r="A16" s="606" t="s">
        <v>6788</v>
      </c>
      <c r="B16" s="556"/>
      <c r="C16" s="527" t="str">
        <f>IF(B16&lt;&gt;0,INDEX(Tabla16[],MATCH(A16&amp;B16,Tabla16[Concatenado],0),IF(R16="Si",4,5)),"")</f>
        <v/>
      </c>
      <c r="D16" s="527" t="str">
        <f>IF(B16&lt;&gt;0,INDEX(Tabla16[],MATCH(A16&amp;B16,Tabla16[Concatenado],0),6),"")</f>
        <v/>
      </c>
      <c r="E16" s="527" t="str">
        <f>IFERROR(IF(B16&lt;&gt;0,INDEX(Tabla16[],MATCH(A16&amp;B16,Tabla16[Concatenado],0),IF(F$3=TS!$O$2,7,IF(F$3=TS!$O$3,8,IF(F$3=TS!$O$4,9,"")))),""),"")</f>
        <v/>
      </c>
      <c r="F16" s="527" t="str">
        <f>IF(B16&lt;&gt;0,INDEX(Tabla16[],MATCH(A16&amp;B16,Tabla16[Concatenado],0),10),"")</f>
        <v/>
      </c>
      <c r="G16" s="527" t="str">
        <f>IF(B16&lt;&gt;0,INDEX(Tabla18[],MATCH(A16,Tabla18[Nombre],0),2),"")</f>
        <v/>
      </c>
      <c r="H16" s="527" t="str">
        <f>IF(B16&lt;&gt;0,INDEX(Tabla18[],MATCH(A16,Tabla18[Nombre],0),3),"")</f>
        <v/>
      </c>
      <c r="I16" s="527" t="str">
        <f>IF(B16&lt;&gt;0,INDEX(Tabla18[],MATCH(A16,Tabla18[Nombre],0),4),"")</f>
        <v/>
      </c>
      <c r="J16" s="527" t="str">
        <f>IF(B16&lt;&gt;0,INDEX(Tabla18[],MATCH(A16,Tabla18[Nombre],0),5),"")</f>
        <v/>
      </c>
      <c r="K16" s="596" t="str">
        <f>IF(B16&lt;&gt;0,INDEX(Tabla18[],MATCH(A16,Tabla18[Nombre],0),6),"")</f>
        <v/>
      </c>
      <c r="L16" s="598"/>
      <c r="M16" s="527"/>
      <c r="N16" s="527"/>
      <c r="O16" s="527"/>
      <c r="P16" s="527"/>
      <c r="Q16" s="600"/>
      <c r="R16" s="608"/>
      <c r="V16" s="606" t="s">
        <v>6788</v>
      </c>
      <c r="W16" s="556"/>
      <c r="X16" s="527" t="str">
        <f>IF(W16&lt;&gt;0,INDEX(Tabla16[],MATCH(V16&amp;W16,Tabla16[Concatenado],0),IF(AM16="Si",4,5)),"")</f>
        <v/>
      </c>
      <c r="Y16" s="527" t="str">
        <f>IF(W16&lt;&gt;0,INDEX(Tabla16[],MATCH(V16&amp;W16,Tabla16[Concatenado],0),6),"")</f>
        <v/>
      </c>
      <c r="Z16" s="527" t="str">
        <f>IFERROR(IF(W16&lt;&gt;0,INDEX(Tabla16[],MATCH(V16&amp;W16,Tabla16[Concatenado],0),IF(AA$3=TS!$O$2,7,IF(AA$3=TS!$O$3,8,IF(AA$3=TS!$O$4,9,"")))),""),"")</f>
        <v/>
      </c>
      <c r="AA16" s="527" t="str">
        <f>IF(W16&lt;&gt;0,INDEX(Tabla16[],MATCH(V16&amp;W16,Tabla16[Concatenado],0),10),"")</f>
        <v/>
      </c>
      <c r="AB16" s="527" t="str">
        <f>IF(W16&lt;&gt;0,INDEX(Tabla18[],MATCH(V16,Tabla18[Nombre],0),2),"")</f>
        <v/>
      </c>
      <c r="AC16" s="527" t="str">
        <f>IF(W16&lt;&gt;0,INDEX(Tabla18[],MATCH(V16,Tabla18[Nombre],0),3),"")</f>
        <v/>
      </c>
      <c r="AD16" s="527" t="str">
        <f>IF(W16&lt;&gt;0,INDEX(Tabla18[],MATCH(V16,Tabla18[Nombre],0),4),"")</f>
        <v/>
      </c>
      <c r="AE16" s="527" t="str">
        <f>IF(W16&lt;&gt;0,INDEX(Tabla18[],MATCH(V16,Tabla18[Nombre],0),5),"")</f>
        <v/>
      </c>
      <c r="AF16" s="596" t="str">
        <f>IF(W16&lt;&gt;0,INDEX(Tabla18[],MATCH(V16,Tabla18[Nombre],0),6),"")</f>
        <v/>
      </c>
      <c r="AG16" s="598"/>
      <c r="AH16" s="527"/>
      <c r="AI16" s="527"/>
      <c r="AJ16" s="527"/>
      <c r="AK16" s="527"/>
      <c r="AL16" s="600"/>
      <c r="AM16" s="608"/>
      <c r="AQ16" s="606" t="s">
        <v>6788</v>
      </c>
      <c r="AR16" s="556"/>
      <c r="AS16" s="527" t="str">
        <f>IF(AR16&lt;&gt;0,INDEX(Tabla16[],MATCH(AQ16&amp;AR16,Tabla16[Concatenado],0),IF(BH16="Si",4,5)),"")</f>
        <v/>
      </c>
      <c r="AT16" s="527" t="str">
        <f>IF(AR16&lt;&gt;0,INDEX(Tabla16[],MATCH(AQ16&amp;AR16,Tabla16[Concatenado],0),6),"")</f>
        <v/>
      </c>
      <c r="AU16" s="527" t="str">
        <f>IFERROR(IF(AR16&lt;&gt;0,INDEX(Tabla16[],MATCH(AQ16&amp;AR16,Tabla16[Concatenado],0),IF(AV$3=TS!$O$2,7,IF(AV$3=TS!$O$3,8,IF(AV$3=TS!$O$4,9,"")))),""),"")</f>
        <v/>
      </c>
      <c r="AV16" s="527" t="str">
        <f>IF(AR16&lt;&gt;0,INDEX(Tabla16[],MATCH(AQ16&amp;AR16,Tabla16[Concatenado],0),10),"")</f>
        <v/>
      </c>
      <c r="AW16" s="527" t="str">
        <f>IF(AR16&lt;&gt;0,INDEX(Tabla18[],MATCH(AQ16,Tabla18[Nombre],0),2),"")</f>
        <v/>
      </c>
      <c r="AX16" s="527" t="str">
        <f>IF(AR16&lt;&gt;0,INDEX(Tabla18[],MATCH(AQ16,Tabla18[Nombre],0),3),"")</f>
        <v/>
      </c>
      <c r="AY16" s="527" t="str">
        <f>IF(AR16&lt;&gt;0,INDEX(Tabla18[],MATCH(AQ16,Tabla18[Nombre],0),4),"")</f>
        <v/>
      </c>
      <c r="AZ16" s="527" t="str">
        <f>IF(AR16&lt;&gt;0,INDEX(Tabla18[],MATCH(AQ16,Tabla18[Nombre],0),5),"")</f>
        <v/>
      </c>
      <c r="BA16" s="596" t="str">
        <f>IF(AR16&lt;&gt;0,INDEX(Tabla18[],MATCH(AQ16,Tabla18[Nombre],0),6),"")</f>
        <v/>
      </c>
      <c r="BB16" s="598"/>
      <c r="BC16" s="527"/>
      <c r="BD16" s="527"/>
      <c r="BE16" s="527"/>
      <c r="BF16" s="527"/>
      <c r="BG16" s="600"/>
      <c r="BH16" s="608"/>
      <c r="BL16" s="606" t="s">
        <v>6788</v>
      </c>
      <c r="BM16" s="556"/>
      <c r="BN16" s="527" t="str">
        <f>IF(BM16&lt;&gt;0,INDEX(Tabla16[],MATCH(BL16&amp;BM16,Tabla16[Concatenado],0),IF(CC16="Si",4,5)),"")</f>
        <v/>
      </c>
      <c r="BO16" s="527" t="str">
        <f>IF(BM16&lt;&gt;0,INDEX(Tabla16[],MATCH(BL16&amp;BM16,Tabla16[Concatenado],0),6),"")</f>
        <v/>
      </c>
      <c r="BP16" s="527" t="str">
        <f>IFERROR(IF(BM16&lt;&gt;0,INDEX(Tabla16[],MATCH(BL16&amp;BM16,Tabla16[Concatenado],0),IF(BQ$3=TS!$O$2,7,IF(BQ$3=TS!$O$3,8,IF(BQ$3=TS!$O$4,9,"")))),""),"")</f>
        <v/>
      </c>
      <c r="BQ16" s="527" t="str">
        <f>IF(BM16&lt;&gt;0,INDEX(Tabla16[],MATCH(BL16&amp;BM16,Tabla16[Concatenado],0),10),"")</f>
        <v/>
      </c>
      <c r="BR16" s="527" t="str">
        <f>IF(BM16&lt;&gt;0,INDEX(Tabla18[],MATCH(BL16,Tabla18[Nombre],0),2),"")</f>
        <v/>
      </c>
      <c r="BS16" s="527" t="str">
        <f>IF(BM16&lt;&gt;0,INDEX(Tabla18[],MATCH(BL16,Tabla18[Nombre],0),3),"")</f>
        <v/>
      </c>
      <c r="BT16" s="527" t="str">
        <f>IF(BM16&lt;&gt;0,INDEX(Tabla18[],MATCH(BL16,Tabla18[Nombre],0),4),"")</f>
        <v/>
      </c>
      <c r="BU16" s="527" t="str">
        <f>IF(BM16&lt;&gt;0,INDEX(Tabla18[],MATCH(BL16,Tabla18[Nombre],0),5),"")</f>
        <v/>
      </c>
      <c r="BV16" s="596" t="str">
        <f>IF(BM16&lt;&gt;0,INDEX(Tabla18[],MATCH(BL16,Tabla18[Nombre],0),6),"")</f>
        <v/>
      </c>
      <c r="BW16" s="598"/>
      <c r="BX16" s="527"/>
      <c r="BY16" s="527"/>
      <c r="BZ16" s="527"/>
      <c r="CA16" s="527"/>
      <c r="CB16" s="600"/>
      <c r="CC16" s="608"/>
    </row>
    <row r="17" spans="1:81" x14ac:dyDescent="0.2">
      <c r="A17" s="609" t="s">
        <v>6790</v>
      </c>
      <c r="B17" s="556"/>
      <c r="C17" s="527" t="str">
        <f>IF(B17&lt;&gt;0,INDEX(Tabla16[],MATCH(A17&amp;B17,Tabla16[Concatenado],0),IF(R17="Si",4,5)),"")</f>
        <v/>
      </c>
      <c r="D17" s="527" t="str">
        <f>IF(B17&lt;&gt;0,INDEX(Tabla16[],MATCH(A17&amp;B17,Tabla16[Concatenado],0),6),"")</f>
        <v/>
      </c>
      <c r="E17" s="527" t="str">
        <f>IFERROR(IF(B17&lt;&gt;0,INDEX(Tabla16[],MATCH(A17&amp;B17,Tabla16[Concatenado],0),IF(F$3=TS!$O$2,7,IF(F$3=TS!$O$3,8,IF(F$3=TS!$O$4,9,"")))),""),"")</f>
        <v/>
      </c>
      <c r="F17" s="527" t="str">
        <f>IF(B17&lt;&gt;0,INDEX(Tabla16[],MATCH(A17&amp;B17,Tabla16[Concatenado],0),10),"")</f>
        <v/>
      </c>
      <c r="G17" s="527" t="str">
        <f>IF(B17&lt;&gt;0,INDEX(Tabla18[],MATCH(A17,Tabla18[Nombre],0),2),"")</f>
        <v/>
      </c>
      <c r="H17" s="527" t="str">
        <f>IF(B17&lt;&gt;0,INDEX(Tabla18[],MATCH(A17,Tabla18[Nombre],0),3),"")</f>
        <v/>
      </c>
      <c r="I17" s="527" t="str">
        <f>IF(B17&lt;&gt;0,INDEX(Tabla18[],MATCH(A17,Tabla18[Nombre],0),4),"")</f>
        <v/>
      </c>
      <c r="J17" s="527" t="str">
        <f>IF(B17&lt;&gt;0,INDEX(Tabla18[],MATCH(A17,Tabla18[Nombre],0),5),"")</f>
        <v/>
      </c>
      <c r="K17" s="596" t="str">
        <f>IF(B17&lt;&gt;0,INDEX(Tabla18[],MATCH(A17,Tabla18[Nombre],0),6),"")</f>
        <v/>
      </c>
      <c r="L17" s="598"/>
      <c r="M17" s="527"/>
      <c r="N17" s="527"/>
      <c r="O17" s="527"/>
      <c r="P17" s="527"/>
      <c r="Q17" s="600"/>
      <c r="R17" s="608"/>
      <c r="V17" s="609" t="s">
        <v>6790</v>
      </c>
      <c r="W17" s="556"/>
      <c r="X17" s="527" t="str">
        <f>IF(W17&lt;&gt;0,INDEX(Tabla16[],MATCH(V17&amp;W17,Tabla16[Concatenado],0),IF(AM17="Si",4,5)),"")</f>
        <v/>
      </c>
      <c r="Y17" s="527" t="str">
        <f>IF(W17&lt;&gt;0,INDEX(Tabla16[],MATCH(V17&amp;W17,Tabla16[Concatenado],0),6),"")</f>
        <v/>
      </c>
      <c r="Z17" s="527" t="str">
        <f>IFERROR(IF(W17&lt;&gt;0,INDEX(Tabla16[],MATCH(V17&amp;W17,Tabla16[Concatenado],0),IF(AA$3=TS!$O$2,7,IF(AA$3=TS!$O$3,8,IF(AA$3=TS!$O$4,9,"")))),""),"")</f>
        <v/>
      </c>
      <c r="AA17" s="527" t="str">
        <f>IF(W17&lt;&gt;0,INDEX(Tabla16[],MATCH(V17&amp;W17,Tabla16[Concatenado],0),10),"")</f>
        <v/>
      </c>
      <c r="AB17" s="527" t="str">
        <f>IF(W17&lt;&gt;0,INDEX(Tabla18[],MATCH(V17,Tabla18[Nombre],0),2),"")</f>
        <v/>
      </c>
      <c r="AC17" s="527" t="str">
        <f>IF(W17&lt;&gt;0,INDEX(Tabla18[],MATCH(V17,Tabla18[Nombre],0),3),"")</f>
        <v/>
      </c>
      <c r="AD17" s="527" t="str">
        <f>IF(W17&lt;&gt;0,INDEX(Tabla18[],MATCH(V17,Tabla18[Nombre],0),4),"")</f>
        <v/>
      </c>
      <c r="AE17" s="527" t="str">
        <f>IF(W17&lt;&gt;0,INDEX(Tabla18[],MATCH(V17,Tabla18[Nombre],0),5),"")</f>
        <v/>
      </c>
      <c r="AF17" s="596" t="str">
        <f>IF(W17&lt;&gt;0,INDEX(Tabla18[],MATCH(V17,Tabla18[Nombre],0),6),"")</f>
        <v/>
      </c>
      <c r="AG17" s="598"/>
      <c r="AH17" s="527"/>
      <c r="AI17" s="527"/>
      <c r="AJ17" s="527"/>
      <c r="AK17" s="527"/>
      <c r="AL17" s="600"/>
      <c r="AM17" s="608"/>
      <c r="AQ17" s="609" t="s">
        <v>6790</v>
      </c>
      <c r="AR17" s="556"/>
      <c r="AS17" s="527" t="str">
        <f>IF(AR17&lt;&gt;0,INDEX(Tabla16[],MATCH(AQ17&amp;AR17,Tabla16[Concatenado],0),IF(BH17="Si",4,5)),"")</f>
        <v/>
      </c>
      <c r="AT17" s="527" t="str">
        <f>IF(AR17&lt;&gt;0,INDEX(Tabla16[],MATCH(AQ17&amp;AR17,Tabla16[Concatenado],0),6),"")</f>
        <v/>
      </c>
      <c r="AU17" s="527" t="str">
        <f>IFERROR(IF(AR17&lt;&gt;0,INDEX(Tabla16[],MATCH(AQ17&amp;AR17,Tabla16[Concatenado],0),IF(AV$3=TS!$O$2,7,IF(AV$3=TS!$O$3,8,IF(AV$3=TS!$O$4,9,"")))),""),"")</f>
        <v/>
      </c>
      <c r="AV17" s="527" t="str">
        <f>IF(AR17&lt;&gt;0,INDEX(Tabla16[],MATCH(AQ17&amp;AR17,Tabla16[Concatenado],0),10),"")</f>
        <v/>
      </c>
      <c r="AW17" s="527" t="str">
        <f>IF(AR17&lt;&gt;0,INDEX(Tabla18[],MATCH(AQ17,Tabla18[Nombre],0),2),"")</f>
        <v/>
      </c>
      <c r="AX17" s="527" t="str">
        <f>IF(AR17&lt;&gt;0,INDEX(Tabla18[],MATCH(AQ17,Tabla18[Nombre],0),3),"")</f>
        <v/>
      </c>
      <c r="AY17" s="527" t="str">
        <f>IF(AR17&lt;&gt;0,INDEX(Tabla18[],MATCH(AQ17,Tabla18[Nombre],0),4),"")</f>
        <v/>
      </c>
      <c r="AZ17" s="527" t="str">
        <f>IF(AR17&lt;&gt;0,INDEX(Tabla18[],MATCH(AQ17,Tabla18[Nombre],0),5),"")</f>
        <v/>
      </c>
      <c r="BA17" s="596" t="str">
        <f>IF(AR17&lt;&gt;0,INDEX(Tabla18[],MATCH(AQ17,Tabla18[Nombre],0),6),"")</f>
        <v/>
      </c>
      <c r="BB17" s="598"/>
      <c r="BC17" s="527"/>
      <c r="BD17" s="527"/>
      <c r="BE17" s="527"/>
      <c r="BF17" s="527"/>
      <c r="BG17" s="600"/>
      <c r="BH17" s="608"/>
      <c r="BL17" s="609" t="s">
        <v>6790</v>
      </c>
      <c r="BM17" s="556"/>
      <c r="BN17" s="527" t="str">
        <f>IF(BM17&lt;&gt;0,INDEX(Tabla16[],MATCH(BL17&amp;BM17,Tabla16[Concatenado],0),IF(CC17="Si",4,5)),"")</f>
        <v/>
      </c>
      <c r="BO17" s="527" t="str">
        <f>IF(BM17&lt;&gt;0,INDEX(Tabla16[],MATCH(BL17&amp;BM17,Tabla16[Concatenado],0),6),"")</f>
        <v/>
      </c>
      <c r="BP17" s="527" t="str">
        <f>IFERROR(IF(BM17&lt;&gt;0,INDEX(Tabla16[],MATCH(BL17&amp;BM17,Tabla16[Concatenado],0),IF(BQ$3=TS!$O$2,7,IF(BQ$3=TS!$O$3,8,IF(BQ$3=TS!$O$4,9,"")))),""),"")</f>
        <v/>
      </c>
      <c r="BQ17" s="527" t="str">
        <f>IF(BM17&lt;&gt;0,INDEX(Tabla16[],MATCH(BL17&amp;BM17,Tabla16[Concatenado],0),10),"")</f>
        <v/>
      </c>
      <c r="BR17" s="527" t="str">
        <f>IF(BM17&lt;&gt;0,INDEX(Tabla18[],MATCH(BL17,Tabla18[Nombre],0),2),"")</f>
        <v/>
      </c>
      <c r="BS17" s="527" t="str">
        <f>IF(BM17&lt;&gt;0,INDEX(Tabla18[],MATCH(BL17,Tabla18[Nombre],0),3),"")</f>
        <v/>
      </c>
      <c r="BT17" s="527" t="str">
        <f>IF(BM17&lt;&gt;0,INDEX(Tabla18[],MATCH(BL17,Tabla18[Nombre],0),4),"")</f>
        <v/>
      </c>
      <c r="BU17" s="527" t="str">
        <f>IF(BM17&lt;&gt;0,INDEX(Tabla18[],MATCH(BL17,Tabla18[Nombre],0),5),"")</f>
        <v/>
      </c>
      <c r="BV17" s="596" t="str">
        <f>IF(BM17&lt;&gt;0,INDEX(Tabla18[],MATCH(BL17,Tabla18[Nombre],0),6),"")</f>
        <v/>
      </c>
      <c r="BW17" s="598"/>
      <c r="BX17" s="527"/>
      <c r="BY17" s="527"/>
      <c r="BZ17" s="527"/>
      <c r="CA17" s="527"/>
      <c r="CB17" s="600"/>
      <c r="CC17" s="608"/>
    </row>
    <row r="18" spans="1:81" x14ac:dyDescent="0.2">
      <c r="A18" s="609" t="s">
        <v>6793</v>
      </c>
      <c r="B18" s="556"/>
      <c r="C18" s="527" t="str">
        <f>IF(B18&lt;&gt;0,INDEX(Tabla16[],MATCH(A18&amp;B18,Tabla16[Concatenado],0),IF(R18="Si",4,5)),"")</f>
        <v/>
      </c>
      <c r="D18" s="527" t="str">
        <f>IF(B18&lt;&gt;0,INDEX(Tabla16[],MATCH(A18&amp;B18,Tabla16[Concatenado],0),6),"")</f>
        <v/>
      </c>
      <c r="E18" s="527" t="str">
        <f>IFERROR(IF(B18&lt;&gt;0,INDEX(Tabla16[],MATCH(A18&amp;B18,Tabla16[Concatenado],0),IF(F$3=TS!$O$2,7,IF(F$3=TS!$O$3,8,IF(F$3=TS!$O$4,9,"")))),""),"")</f>
        <v/>
      </c>
      <c r="F18" s="527" t="str">
        <f>IF(B18&lt;&gt;0,INDEX(Tabla16[],MATCH(A18&amp;B18,Tabla16[Concatenado],0),10),"")</f>
        <v/>
      </c>
      <c r="G18" s="527" t="str">
        <f>IF(B18&lt;&gt;0,INDEX(Tabla18[],MATCH(A18,Tabla18[Nombre],0),2),"")</f>
        <v/>
      </c>
      <c r="H18" s="527" t="str">
        <f>IF(B18&lt;&gt;0,INDEX(Tabla18[],MATCH(A18,Tabla18[Nombre],0),3),"")</f>
        <v/>
      </c>
      <c r="I18" s="527" t="str">
        <f>IF(B18&lt;&gt;0,INDEX(Tabla18[],MATCH(A18,Tabla18[Nombre],0),4),"")</f>
        <v/>
      </c>
      <c r="J18" s="527" t="str">
        <f>IF(B18&lt;&gt;0,INDEX(Tabla18[],MATCH(A18,Tabla18[Nombre],0),5),"")</f>
        <v/>
      </c>
      <c r="K18" s="596" t="str">
        <f>IF(B18&lt;&gt;0,INDEX(Tabla18[],MATCH(A18,Tabla18[Nombre],0),6),"")</f>
        <v/>
      </c>
      <c r="L18" s="598"/>
      <c r="M18" s="527"/>
      <c r="N18" s="527"/>
      <c r="O18" s="527"/>
      <c r="P18" s="527"/>
      <c r="Q18" s="600"/>
      <c r="R18" s="608"/>
      <c r="V18" s="609" t="s">
        <v>6793</v>
      </c>
      <c r="W18" s="556"/>
      <c r="X18" s="527" t="str">
        <f>IF(W18&lt;&gt;0,INDEX(Tabla16[],MATCH(V18&amp;W18,Tabla16[Concatenado],0),IF(AM18="Si",4,5)),"")</f>
        <v/>
      </c>
      <c r="Y18" s="527" t="str">
        <f>IF(W18&lt;&gt;0,INDEX(Tabla16[],MATCH(V18&amp;W18,Tabla16[Concatenado],0),6),"")</f>
        <v/>
      </c>
      <c r="Z18" s="527" t="str">
        <f>IFERROR(IF(W18&lt;&gt;0,INDEX(Tabla16[],MATCH(V18&amp;W18,Tabla16[Concatenado],0),IF(AA$3=TS!$O$2,7,IF(AA$3=TS!$O$3,8,IF(AA$3=TS!$O$4,9,"")))),""),"")</f>
        <v/>
      </c>
      <c r="AA18" s="527" t="str">
        <f>IF(W18&lt;&gt;0,INDEX(Tabla16[],MATCH(V18&amp;W18,Tabla16[Concatenado],0),10),"")</f>
        <v/>
      </c>
      <c r="AB18" s="527" t="str">
        <f>IF(W18&lt;&gt;0,INDEX(Tabla18[],MATCH(V18,Tabla18[Nombre],0),2),"")</f>
        <v/>
      </c>
      <c r="AC18" s="527" t="str">
        <f>IF(W18&lt;&gt;0,INDEX(Tabla18[],MATCH(V18,Tabla18[Nombre],0),3),"")</f>
        <v/>
      </c>
      <c r="AD18" s="527" t="str">
        <f>IF(W18&lt;&gt;0,INDEX(Tabla18[],MATCH(V18,Tabla18[Nombre],0),4),"")</f>
        <v/>
      </c>
      <c r="AE18" s="527" t="str">
        <f>IF(W18&lt;&gt;0,INDEX(Tabla18[],MATCH(V18,Tabla18[Nombre],0),5),"")</f>
        <v/>
      </c>
      <c r="AF18" s="596" t="str">
        <f>IF(W18&lt;&gt;0,INDEX(Tabla18[],MATCH(V18,Tabla18[Nombre],0),6),"")</f>
        <v/>
      </c>
      <c r="AG18" s="598"/>
      <c r="AH18" s="527"/>
      <c r="AI18" s="527"/>
      <c r="AJ18" s="527"/>
      <c r="AK18" s="527"/>
      <c r="AL18" s="600"/>
      <c r="AM18" s="608"/>
      <c r="AQ18" s="609" t="s">
        <v>6793</v>
      </c>
      <c r="AR18" s="556"/>
      <c r="AS18" s="527" t="str">
        <f>IF(AR18&lt;&gt;0,INDEX(Tabla16[],MATCH(AQ18&amp;AR18,Tabla16[Concatenado],0),IF(BH18="Si",4,5)),"")</f>
        <v/>
      </c>
      <c r="AT18" s="527" t="str">
        <f>IF(AR18&lt;&gt;0,INDEX(Tabla16[],MATCH(AQ18&amp;AR18,Tabla16[Concatenado],0),6),"")</f>
        <v/>
      </c>
      <c r="AU18" s="527" t="str">
        <f>IFERROR(IF(AR18&lt;&gt;0,INDEX(Tabla16[],MATCH(AQ18&amp;AR18,Tabla16[Concatenado],0),IF(AV$3=TS!$O$2,7,IF(AV$3=TS!$O$3,8,IF(AV$3=TS!$O$4,9,"")))),""),"")</f>
        <v/>
      </c>
      <c r="AV18" s="527" t="str">
        <f>IF(AR18&lt;&gt;0,INDEX(Tabla16[],MATCH(AQ18&amp;AR18,Tabla16[Concatenado],0),10),"")</f>
        <v/>
      </c>
      <c r="AW18" s="527" t="str">
        <f>IF(AR18&lt;&gt;0,INDEX(Tabla18[],MATCH(AQ18,Tabla18[Nombre],0),2),"")</f>
        <v/>
      </c>
      <c r="AX18" s="527" t="str">
        <f>IF(AR18&lt;&gt;0,INDEX(Tabla18[],MATCH(AQ18,Tabla18[Nombre],0),3),"")</f>
        <v/>
      </c>
      <c r="AY18" s="527" t="str">
        <f>IF(AR18&lt;&gt;0,INDEX(Tabla18[],MATCH(AQ18,Tabla18[Nombre],0),4),"")</f>
        <v/>
      </c>
      <c r="AZ18" s="527" t="str">
        <f>IF(AR18&lt;&gt;0,INDEX(Tabla18[],MATCH(AQ18,Tabla18[Nombre],0),5),"")</f>
        <v/>
      </c>
      <c r="BA18" s="596" t="str">
        <f>IF(AR18&lt;&gt;0,INDEX(Tabla18[],MATCH(AQ18,Tabla18[Nombre],0),6),"")</f>
        <v/>
      </c>
      <c r="BB18" s="598"/>
      <c r="BC18" s="527"/>
      <c r="BD18" s="527"/>
      <c r="BE18" s="527"/>
      <c r="BF18" s="527"/>
      <c r="BG18" s="600"/>
      <c r="BH18" s="608"/>
      <c r="BL18" s="609" t="s">
        <v>6793</v>
      </c>
      <c r="BM18" s="556"/>
      <c r="BN18" s="527" t="str">
        <f>IF(BM18&lt;&gt;0,INDEX(Tabla16[],MATCH(BL18&amp;BM18,Tabla16[Concatenado],0),IF(CC18="Si",4,5)),"")</f>
        <v/>
      </c>
      <c r="BO18" s="527" t="str">
        <f>IF(BM18&lt;&gt;0,INDEX(Tabla16[],MATCH(BL18&amp;BM18,Tabla16[Concatenado],0),6),"")</f>
        <v/>
      </c>
      <c r="BP18" s="527" t="str">
        <f>IFERROR(IF(BM18&lt;&gt;0,INDEX(Tabla16[],MATCH(BL18&amp;BM18,Tabla16[Concatenado],0),IF(BQ$3=TS!$O$2,7,IF(BQ$3=TS!$O$3,8,IF(BQ$3=TS!$O$4,9,"")))),""),"")</f>
        <v/>
      </c>
      <c r="BQ18" s="527" t="str">
        <f>IF(BM18&lt;&gt;0,INDEX(Tabla16[],MATCH(BL18&amp;BM18,Tabla16[Concatenado],0),10),"")</f>
        <v/>
      </c>
      <c r="BR18" s="527" t="str">
        <f>IF(BM18&lt;&gt;0,INDEX(Tabla18[],MATCH(BL18,Tabla18[Nombre],0),2),"")</f>
        <v/>
      </c>
      <c r="BS18" s="527" t="str">
        <f>IF(BM18&lt;&gt;0,INDEX(Tabla18[],MATCH(BL18,Tabla18[Nombre],0),3),"")</f>
        <v/>
      </c>
      <c r="BT18" s="527" t="str">
        <f>IF(BM18&lt;&gt;0,INDEX(Tabla18[],MATCH(BL18,Tabla18[Nombre],0),4),"")</f>
        <v/>
      </c>
      <c r="BU18" s="527" t="str">
        <f>IF(BM18&lt;&gt;0,INDEX(Tabla18[],MATCH(BL18,Tabla18[Nombre],0),5),"")</f>
        <v/>
      </c>
      <c r="BV18" s="596" t="str">
        <f>IF(BM18&lt;&gt;0,INDEX(Tabla18[],MATCH(BL18,Tabla18[Nombre],0),6),"")</f>
        <v/>
      </c>
      <c r="BW18" s="598"/>
      <c r="BX18" s="527"/>
      <c r="BY18" s="527"/>
      <c r="BZ18" s="527"/>
      <c r="CA18" s="527"/>
      <c r="CB18" s="600"/>
      <c r="CC18" s="608"/>
    </row>
    <row r="19" spans="1:81" x14ac:dyDescent="0.2">
      <c r="A19" s="609" t="s">
        <v>6794</v>
      </c>
      <c r="B19" s="607"/>
      <c r="C19" s="527" t="str">
        <f>IF(B19&lt;&gt;0,INDEX(Tabla16[],MATCH(A19&amp;B19,Tabla16[Concatenado],0),IF(R19="Si",4,5)),"")</f>
        <v/>
      </c>
      <c r="D19" s="527" t="str">
        <f>IF(B19&lt;&gt;0,INDEX(Tabla16[],MATCH(A19&amp;B19,Tabla16[Concatenado],0),6),"")</f>
        <v/>
      </c>
      <c r="E19" s="527" t="str">
        <f>IFERROR(IF(B19&lt;&gt;0,INDEX(Tabla16[],MATCH(A19&amp;B19,Tabla16[Concatenado],0),IF(F$3=TS!$O$2,7,IF(F$3=TS!$O$3,8,IF(F$3=TS!$O$4,9,"")))),""),"")</f>
        <v/>
      </c>
      <c r="F19" s="527" t="str">
        <f>IF(B19&lt;&gt;0,INDEX(Tabla16[],MATCH(A19&amp;B19,Tabla16[Concatenado],0),10),"")</f>
        <v/>
      </c>
      <c r="G19" s="527" t="str">
        <f>IF(B19&lt;&gt;0,INDEX(Tabla18[],MATCH(A19,Tabla18[Nombre],0),2),"")</f>
        <v/>
      </c>
      <c r="H19" s="527" t="str">
        <f>IF(B19&lt;&gt;0,INDEX(Tabla18[],MATCH(A19,Tabla18[Nombre],0),3),"")</f>
        <v/>
      </c>
      <c r="I19" s="527" t="str">
        <f>IF(B19&lt;&gt;0,INDEX(Tabla18[],MATCH(A19,Tabla18[Nombre],0),4),"")</f>
        <v/>
      </c>
      <c r="J19" s="527" t="str">
        <f>IF(B19&lt;&gt;0,INDEX(Tabla18[],MATCH(A19,Tabla18[Nombre],0),5),"")</f>
        <v/>
      </c>
      <c r="K19" s="596" t="str">
        <f>IF(B19&lt;&gt;0,INDEX(Tabla18[],MATCH(A19,Tabla18[Nombre],0),6),"")</f>
        <v/>
      </c>
      <c r="L19" s="598"/>
      <c r="M19" s="527"/>
      <c r="N19" s="527"/>
      <c r="O19" s="527"/>
      <c r="P19" s="527"/>
      <c r="Q19" s="600"/>
      <c r="R19" s="608"/>
      <c r="V19" s="609" t="s">
        <v>6794</v>
      </c>
      <c r="W19" s="607"/>
      <c r="X19" s="527" t="str">
        <f>IF(W19&lt;&gt;0,INDEX(Tabla16[],MATCH(V19&amp;W19,Tabla16[Concatenado],0),IF(AM19="Si",4,5)),"")</f>
        <v/>
      </c>
      <c r="Y19" s="527" t="str">
        <f>IF(W19&lt;&gt;0,INDEX(Tabla16[],MATCH(V19&amp;W19,Tabla16[Concatenado],0),6),"")</f>
        <v/>
      </c>
      <c r="Z19" s="527" t="str">
        <f>IFERROR(IF(W19&lt;&gt;0,INDEX(Tabla16[],MATCH(V19&amp;W19,Tabla16[Concatenado],0),IF(AA$3=TS!$O$2,7,IF(AA$3=TS!$O$3,8,IF(AA$3=TS!$O$4,9,"")))),""),"")</f>
        <v/>
      </c>
      <c r="AA19" s="527" t="str">
        <f>IF(W19&lt;&gt;0,INDEX(Tabla16[],MATCH(V19&amp;W19,Tabla16[Concatenado],0),10),"")</f>
        <v/>
      </c>
      <c r="AB19" s="527" t="str">
        <f>IF(W19&lt;&gt;0,INDEX(Tabla18[],MATCH(V19,Tabla18[Nombre],0),2),"")</f>
        <v/>
      </c>
      <c r="AC19" s="527" t="str">
        <f>IF(W19&lt;&gt;0,INDEX(Tabla18[],MATCH(V19,Tabla18[Nombre],0),3),"")</f>
        <v/>
      </c>
      <c r="AD19" s="527" t="str">
        <f>IF(W19&lt;&gt;0,INDEX(Tabla18[],MATCH(V19,Tabla18[Nombre],0),4),"")</f>
        <v/>
      </c>
      <c r="AE19" s="527" t="str">
        <f>IF(W19&lt;&gt;0,INDEX(Tabla18[],MATCH(V19,Tabla18[Nombre],0),5),"")</f>
        <v/>
      </c>
      <c r="AF19" s="596" t="str">
        <f>IF(W19&lt;&gt;0,INDEX(Tabla18[],MATCH(V19,Tabla18[Nombre],0),6),"")</f>
        <v/>
      </c>
      <c r="AG19" s="598"/>
      <c r="AH19" s="527"/>
      <c r="AI19" s="527"/>
      <c r="AJ19" s="527"/>
      <c r="AK19" s="527"/>
      <c r="AL19" s="600"/>
      <c r="AM19" s="608"/>
      <c r="AQ19" s="609" t="s">
        <v>6794</v>
      </c>
      <c r="AR19" s="607"/>
      <c r="AS19" s="527" t="str">
        <f>IF(AR19&lt;&gt;0,INDEX(Tabla16[],MATCH(AQ19&amp;AR19,Tabla16[Concatenado],0),IF(BH19="Si",4,5)),"")</f>
        <v/>
      </c>
      <c r="AT19" s="527" t="str">
        <f>IF(AR19&lt;&gt;0,INDEX(Tabla16[],MATCH(AQ19&amp;AR19,Tabla16[Concatenado],0),6),"")</f>
        <v/>
      </c>
      <c r="AU19" s="527" t="str">
        <f>IFERROR(IF(AR19&lt;&gt;0,INDEX(Tabla16[],MATCH(AQ19&amp;AR19,Tabla16[Concatenado],0),IF(AV$3=TS!$O$2,7,IF(AV$3=TS!$O$3,8,IF(AV$3=TS!$O$4,9,"")))),""),"")</f>
        <v/>
      </c>
      <c r="AV19" s="527" t="str">
        <f>IF(AR19&lt;&gt;0,INDEX(Tabla16[],MATCH(AQ19&amp;AR19,Tabla16[Concatenado],0),10),"")</f>
        <v/>
      </c>
      <c r="AW19" s="527" t="str">
        <f>IF(AR19&lt;&gt;0,INDEX(Tabla18[],MATCH(AQ19,Tabla18[Nombre],0),2),"")</f>
        <v/>
      </c>
      <c r="AX19" s="527" t="str">
        <f>IF(AR19&lt;&gt;0,INDEX(Tabla18[],MATCH(AQ19,Tabla18[Nombre],0),3),"")</f>
        <v/>
      </c>
      <c r="AY19" s="527" t="str">
        <f>IF(AR19&lt;&gt;0,INDEX(Tabla18[],MATCH(AQ19,Tabla18[Nombre],0),4),"")</f>
        <v/>
      </c>
      <c r="AZ19" s="527" t="str">
        <f>IF(AR19&lt;&gt;0,INDEX(Tabla18[],MATCH(AQ19,Tabla18[Nombre],0),5),"")</f>
        <v/>
      </c>
      <c r="BA19" s="596" t="str">
        <f>IF(AR19&lt;&gt;0,INDEX(Tabla18[],MATCH(AQ19,Tabla18[Nombre],0),6),"")</f>
        <v/>
      </c>
      <c r="BB19" s="598"/>
      <c r="BC19" s="527"/>
      <c r="BD19" s="527"/>
      <c r="BE19" s="527"/>
      <c r="BF19" s="527"/>
      <c r="BG19" s="600"/>
      <c r="BH19" s="608"/>
      <c r="BL19" s="609" t="s">
        <v>6794</v>
      </c>
      <c r="BM19" s="607"/>
      <c r="BN19" s="527" t="str">
        <f>IF(BM19&lt;&gt;0,INDEX(Tabla16[],MATCH(BL19&amp;BM19,Tabla16[Concatenado],0),IF(CC19="Si",4,5)),"")</f>
        <v/>
      </c>
      <c r="BO19" s="527" t="str">
        <f>IF(BM19&lt;&gt;0,INDEX(Tabla16[],MATCH(BL19&amp;BM19,Tabla16[Concatenado],0),6),"")</f>
        <v/>
      </c>
      <c r="BP19" s="527" t="str">
        <f>IFERROR(IF(BM19&lt;&gt;0,INDEX(Tabla16[],MATCH(BL19&amp;BM19,Tabla16[Concatenado],0),IF(BQ$3=TS!$O$2,7,IF(BQ$3=TS!$O$3,8,IF(BQ$3=TS!$O$4,9,"")))),""),"")</f>
        <v/>
      </c>
      <c r="BQ19" s="527" t="str">
        <f>IF(BM19&lt;&gt;0,INDEX(Tabla16[],MATCH(BL19&amp;BM19,Tabla16[Concatenado],0),10),"")</f>
        <v/>
      </c>
      <c r="BR19" s="527" t="str">
        <f>IF(BM19&lt;&gt;0,INDEX(Tabla18[],MATCH(BL19,Tabla18[Nombre],0),2),"")</f>
        <v/>
      </c>
      <c r="BS19" s="527" t="str">
        <f>IF(BM19&lt;&gt;0,INDEX(Tabla18[],MATCH(BL19,Tabla18[Nombre],0),3),"")</f>
        <v/>
      </c>
      <c r="BT19" s="527" t="str">
        <f>IF(BM19&lt;&gt;0,INDEX(Tabla18[],MATCH(BL19,Tabla18[Nombre],0),4),"")</f>
        <v/>
      </c>
      <c r="BU19" s="527" t="str">
        <f>IF(BM19&lt;&gt;0,INDEX(Tabla18[],MATCH(BL19,Tabla18[Nombre],0),5),"")</f>
        <v/>
      </c>
      <c r="BV19" s="596" t="str">
        <f>IF(BM19&lt;&gt;0,INDEX(Tabla18[],MATCH(BL19,Tabla18[Nombre],0),6),"")</f>
        <v/>
      </c>
      <c r="BW19" s="598"/>
      <c r="BX19" s="527"/>
      <c r="BY19" s="527"/>
      <c r="BZ19" s="527"/>
      <c r="CA19" s="527"/>
      <c r="CB19" s="600"/>
      <c r="CC19" s="608"/>
    </row>
    <row r="20" spans="1:81" x14ac:dyDescent="0.2">
      <c r="A20" s="609" t="s">
        <v>6795</v>
      </c>
      <c r="B20" s="556"/>
      <c r="C20" s="527" t="str">
        <f>IF(B20&lt;&gt;0,INDEX(Tabla16[],MATCH(A20&amp;B20,Tabla16[Concatenado],0),IF(R20="Si",4,5)),"")</f>
        <v/>
      </c>
      <c r="D20" s="527" t="str">
        <f>IF(B20&lt;&gt;0,INDEX(Tabla16[],MATCH(A20&amp;B20,Tabla16[Concatenado],0),6),"")</f>
        <v/>
      </c>
      <c r="E20" s="527" t="str">
        <f>IFERROR(IF(B20&lt;&gt;0,INDEX(Tabla16[],MATCH(A20&amp;B20,Tabla16[Concatenado],0),IF(F$3=TS!$O$2,7,IF(F$3=TS!$O$3,8,IF(F$3=TS!$O$4,9,"")))),""),"")</f>
        <v/>
      </c>
      <c r="F20" s="527" t="str">
        <f>IF(B20&lt;&gt;0,INDEX(Tabla16[],MATCH(A20&amp;B20,Tabla16[Concatenado],0),10),"")</f>
        <v/>
      </c>
      <c r="G20" s="527" t="str">
        <f>IF(B20&lt;&gt;0,INDEX(Tabla18[],MATCH(A20,Tabla18[Nombre],0),2),"")</f>
        <v/>
      </c>
      <c r="H20" s="527" t="str">
        <f>IF(B20&lt;&gt;0,INDEX(Tabla18[],MATCH(A20,Tabla18[Nombre],0),3),"")</f>
        <v/>
      </c>
      <c r="I20" s="527" t="str">
        <f>IF(B20&lt;&gt;0,INDEX(Tabla18[],MATCH(A20,Tabla18[Nombre],0),4),"")</f>
        <v/>
      </c>
      <c r="J20" s="527" t="str">
        <f>IF(B20&lt;&gt;0,INDEX(Tabla18[],MATCH(A20,Tabla18[Nombre],0),5),"")</f>
        <v/>
      </c>
      <c r="K20" s="596" t="str">
        <f>IF(B20&lt;&gt;0,INDEX(Tabla18[],MATCH(A20,Tabla18[Nombre],0),6),"")</f>
        <v/>
      </c>
      <c r="L20" s="598"/>
      <c r="M20" s="527"/>
      <c r="N20" s="527"/>
      <c r="O20" s="527"/>
      <c r="P20" s="527"/>
      <c r="Q20" s="600"/>
      <c r="R20" s="608"/>
      <c r="V20" s="609" t="s">
        <v>6795</v>
      </c>
      <c r="W20" s="556"/>
      <c r="X20" s="527" t="str">
        <f>IF(W20&lt;&gt;0,INDEX(Tabla16[],MATCH(V20&amp;W20,Tabla16[Concatenado],0),IF(AM20="Si",4,5)),"")</f>
        <v/>
      </c>
      <c r="Y20" s="527" t="str">
        <f>IF(W20&lt;&gt;0,INDEX(Tabla16[],MATCH(V20&amp;W20,Tabla16[Concatenado],0),6),"")</f>
        <v/>
      </c>
      <c r="Z20" s="527" t="str">
        <f>IFERROR(IF(W20&lt;&gt;0,INDEX(Tabla16[],MATCH(V20&amp;W20,Tabla16[Concatenado],0),IF(AA$3=TS!$O$2,7,IF(AA$3=TS!$O$3,8,IF(AA$3=TS!$O$4,9,"")))),""),"")</f>
        <v/>
      </c>
      <c r="AA20" s="527" t="str">
        <f>IF(W20&lt;&gt;0,INDEX(Tabla16[],MATCH(V20&amp;W20,Tabla16[Concatenado],0),10),"")</f>
        <v/>
      </c>
      <c r="AB20" s="527" t="str">
        <f>IF(W20&lt;&gt;0,INDEX(Tabla18[],MATCH(V20,Tabla18[Nombre],0),2),"")</f>
        <v/>
      </c>
      <c r="AC20" s="527" t="str">
        <f>IF(W20&lt;&gt;0,INDEX(Tabla18[],MATCH(V20,Tabla18[Nombre],0),3),"")</f>
        <v/>
      </c>
      <c r="AD20" s="527" t="str">
        <f>IF(W20&lt;&gt;0,INDEX(Tabla18[],MATCH(V20,Tabla18[Nombre],0),4),"")</f>
        <v/>
      </c>
      <c r="AE20" s="527" t="str">
        <f>IF(W20&lt;&gt;0,INDEX(Tabla18[],MATCH(V20,Tabla18[Nombre],0),5),"")</f>
        <v/>
      </c>
      <c r="AF20" s="596" t="str">
        <f>IF(W20&lt;&gt;0,INDEX(Tabla18[],MATCH(V20,Tabla18[Nombre],0),6),"")</f>
        <v/>
      </c>
      <c r="AG20" s="598"/>
      <c r="AH20" s="527"/>
      <c r="AI20" s="527"/>
      <c r="AJ20" s="527"/>
      <c r="AK20" s="527"/>
      <c r="AL20" s="600"/>
      <c r="AM20" s="608"/>
      <c r="AQ20" s="609" t="s">
        <v>6795</v>
      </c>
      <c r="AR20" s="556"/>
      <c r="AS20" s="527" t="str">
        <f>IF(AR20&lt;&gt;0,INDEX(Tabla16[],MATCH(AQ20&amp;AR20,Tabla16[Concatenado],0),IF(BH20="Si",4,5)),"")</f>
        <v/>
      </c>
      <c r="AT20" s="527" t="str">
        <f>IF(AR20&lt;&gt;0,INDEX(Tabla16[],MATCH(AQ20&amp;AR20,Tabla16[Concatenado],0),6),"")</f>
        <v/>
      </c>
      <c r="AU20" s="527" t="str">
        <f>IFERROR(IF(AR20&lt;&gt;0,INDEX(Tabla16[],MATCH(AQ20&amp;AR20,Tabla16[Concatenado],0),IF(AV$3=TS!$O$2,7,IF(AV$3=TS!$O$3,8,IF(AV$3=TS!$O$4,9,"")))),""),"")</f>
        <v/>
      </c>
      <c r="AV20" s="527" t="str">
        <f>IF(AR20&lt;&gt;0,INDEX(Tabla16[],MATCH(AQ20&amp;AR20,Tabla16[Concatenado],0),10),"")</f>
        <v/>
      </c>
      <c r="AW20" s="527" t="str">
        <f>IF(AR20&lt;&gt;0,INDEX(Tabla18[],MATCH(AQ20,Tabla18[Nombre],0),2),"")</f>
        <v/>
      </c>
      <c r="AX20" s="527" t="str">
        <f>IF(AR20&lt;&gt;0,INDEX(Tabla18[],MATCH(AQ20,Tabla18[Nombre],0),3),"")</f>
        <v/>
      </c>
      <c r="AY20" s="527" t="str">
        <f>IF(AR20&lt;&gt;0,INDEX(Tabla18[],MATCH(AQ20,Tabla18[Nombre],0),4),"")</f>
        <v/>
      </c>
      <c r="AZ20" s="527" t="str">
        <f>IF(AR20&lt;&gt;0,INDEX(Tabla18[],MATCH(AQ20,Tabla18[Nombre],0),5),"")</f>
        <v/>
      </c>
      <c r="BA20" s="596" t="str">
        <f>IF(AR20&lt;&gt;0,INDEX(Tabla18[],MATCH(AQ20,Tabla18[Nombre],0),6),"")</f>
        <v/>
      </c>
      <c r="BB20" s="598"/>
      <c r="BC20" s="527"/>
      <c r="BD20" s="527"/>
      <c r="BE20" s="527"/>
      <c r="BF20" s="527"/>
      <c r="BG20" s="600"/>
      <c r="BH20" s="608"/>
      <c r="BL20" s="609" t="s">
        <v>6795</v>
      </c>
      <c r="BM20" s="556"/>
      <c r="BN20" s="527" t="str">
        <f>IF(BM20&lt;&gt;0,INDEX(Tabla16[],MATCH(BL20&amp;BM20,Tabla16[Concatenado],0),IF(CC20="Si",4,5)),"")</f>
        <v/>
      </c>
      <c r="BO20" s="527" t="str">
        <f>IF(BM20&lt;&gt;0,INDEX(Tabla16[],MATCH(BL20&amp;BM20,Tabla16[Concatenado],0),6),"")</f>
        <v/>
      </c>
      <c r="BP20" s="527" t="str">
        <f>IFERROR(IF(BM20&lt;&gt;0,INDEX(Tabla16[],MATCH(BL20&amp;BM20,Tabla16[Concatenado],0),IF(BQ$3=TS!$O$2,7,IF(BQ$3=TS!$O$3,8,IF(BQ$3=TS!$O$4,9,"")))),""),"")</f>
        <v/>
      </c>
      <c r="BQ20" s="527" t="str">
        <f>IF(BM20&lt;&gt;0,INDEX(Tabla16[],MATCH(BL20&amp;BM20,Tabla16[Concatenado],0),10),"")</f>
        <v/>
      </c>
      <c r="BR20" s="527" t="str">
        <f>IF(BM20&lt;&gt;0,INDEX(Tabla18[],MATCH(BL20,Tabla18[Nombre],0),2),"")</f>
        <v/>
      </c>
      <c r="BS20" s="527" t="str">
        <f>IF(BM20&lt;&gt;0,INDEX(Tabla18[],MATCH(BL20,Tabla18[Nombre],0),3),"")</f>
        <v/>
      </c>
      <c r="BT20" s="527" t="str">
        <f>IF(BM20&lt;&gt;0,INDEX(Tabla18[],MATCH(BL20,Tabla18[Nombre],0),4),"")</f>
        <v/>
      </c>
      <c r="BU20" s="527" t="str">
        <f>IF(BM20&lt;&gt;0,INDEX(Tabla18[],MATCH(BL20,Tabla18[Nombre],0),5),"")</f>
        <v/>
      </c>
      <c r="BV20" s="596" t="str">
        <f>IF(BM20&lt;&gt;0,INDEX(Tabla18[],MATCH(BL20,Tabla18[Nombre],0),6),"")</f>
        <v/>
      </c>
      <c r="BW20" s="598"/>
      <c r="BX20" s="527"/>
      <c r="BY20" s="527"/>
      <c r="BZ20" s="527"/>
      <c r="CA20" s="527"/>
      <c r="CB20" s="600"/>
      <c r="CC20" s="608"/>
    </row>
    <row r="21" spans="1:81" x14ac:dyDescent="0.2">
      <c r="A21" s="609" t="s">
        <v>6796</v>
      </c>
      <c r="B21" s="556"/>
      <c r="C21" s="527" t="str">
        <f>IF(B21&lt;&gt;0,INDEX(Tabla16[],MATCH(A21&amp;B21,Tabla16[Concatenado],0),IF(R21="Si",4,5)),"")</f>
        <v/>
      </c>
      <c r="D21" s="527" t="str">
        <f>IF(B21&lt;&gt;0,INDEX(Tabla16[],MATCH(A21&amp;B21,Tabla16[Concatenado],0),6),"")</f>
        <v/>
      </c>
      <c r="E21" s="527" t="str">
        <f>IFERROR(IF(B21&lt;&gt;0,INDEX(Tabla16[],MATCH(A21&amp;B21,Tabla16[Concatenado],0),IF(F$3=TS!$O$2,7,IF(F$3=TS!$O$3,8,IF(F$3=TS!$O$4,9,"")))),""),"")</f>
        <v/>
      </c>
      <c r="F21" s="527" t="str">
        <f>IF(B21&lt;&gt;0,INDEX(Tabla16[],MATCH(A21&amp;B21,Tabla16[Concatenado],0),10),"")</f>
        <v/>
      </c>
      <c r="G21" s="527" t="str">
        <f>IF(B21&lt;&gt;0,INDEX(Tabla18[],MATCH(A21,Tabla18[Nombre],0),2),"")</f>
        <v/>
      </c>
      <c r="H21" s="527" t="str">
        <f>IF(B21&lt;&gt;0,INDEX(Tabla18[],MATCH(A21,Tabla18[Nombre],0),3),"")</f>
        <v/>
      </c>
      <c r="I21" s="527" t="str">
        <f>IF(B21&lt;&gt;0,INDEX(Tabla18[],MATCH(A21,Tabla18[Nombre],0),4),"")</f>
        <v/>
      </c>
      <c r="J21" s="527" t="str">
        <f>IF(B21&lt;&gt;0,INDEX(Tabla18[],MATCH(A21,Tabla18[Nombre],0),5),"")</f>
        <v/>
      </c>
      <c r="K21" s="596" t="str">
        <f>IF(B21&lt;&gt;0,INDEX(Tabla18[],MATCH(A21,Tabla18[Nombre],0),6),"")</f>
        <v/>
      </c>
      <c r="L21" s="598"/>
      <c r="M21" s="527"/>
      <c r="N21" s="527"/>
      <c r="O21" s="527"/>
      <c r="P21" s="527"/>
      <c r="Q21" s="600"/>
      <c r="R21" s="608"/>
      <c r="V21" s="609" t="s">
        <v>6796</v>
      </c>
      <c r="W21" s="556"/>
      <c r="X21" s="527" t="str">
        <f>IF(W21&lt;&gt;0,INDEX(Tabla16[],MATCH(V21&amp;W21,Tabla16[Concatenado],0),IF(AM21="Si",4,5)),"")</f>
        <v/>
      </c>
      <c r="Y21" s="527" t="str">
        <f>IF(W21&lt;&gt;0,INDEX(Tabla16[],MATCH(V21&amp;W21,Tabla16[Concatenado],0),6),"")</f>
        <v/>
      </c>
      <c r="Z21" s="527" t="str">
        <f>IFERROR(IF(W21&lt;&gt;0,INDEX(Tabla16[],MATCH(V21&amp;W21,Tabla16[Concatenado],0),IF(AA$3=TS!$O$2,7,IF(AA$3=TS!$O$3,8,IF(AA$3=TS!$O$4,9,"")))),""),"")</f>
        <v/>
      </c>
      <c r="AA21" s="527" t="str">
        <f>IF(W21&lt;&gt;0,INDEX(Tabla16[],MATCH(V21&amp;W21,Tabla16[Concatenado],0),10),"")</f>
        <v/>
      </c>
      <c r="AB21" s="527" t="str">
        <f>IF(W21&lt;&gt;0,INDEX(Tabla18[],MATCH(V21,Tabla18[Nombre],0),2),"")</f>
        <v/>
      </c>
      <c r="AC21" s="527" t="str">
        <f>IF(W21&lt;&gt;0,INDEX(Tabla18[],MATCH(V21,Tabla18[Nombre],0),3),"")</f>
        <v/>
      </c>
      <c r="AD21" s="527" t="str">
        <f>IF(W21&lt;&gt;0,INDEX(Tabla18[],MATCH(V21,Tabla18[Nombre],0),4),"")</f>
        <v/>
      </c>
      <c r="AE21" s="527" t="str">
        <f>IF(W21&lt;&gt;0,INDEX(Tabla18[],MATCH(V21,Tabla18[Nombre],0),5),"")</f>
        <v/>
      </c>
      <c r="AF21" s="596" t="str">
        <f>IF(W21&lt;&gt;0,INDEX(Tabla18[],MATCH(V21,Tabla18[Nombre],0),6),"")</f>
        <v/>
      </c>
      <c r="AG21" s="598"/>
      <c r="AH21" s="527"/>
      <c r="AI21" s="527"/>
      <c r="AJ21" s="527"/>
      <c r="AK21" s="527"/>
      <c r="AL21" s="600"/>
      <c r="AM21" s="608"/>
      <c r="AQ21" s="609" t="s">
        <v>6796</v>
      </c>
      <c r="AR21" s="556"/>
      <c r="AS21" s="527" t="str">
        <f>IF(AR21&lt;&gt;0,INDEX(Tabla16[],MATCH(AQ21&amp;AR21,Tabla16[Concatenado],0),IF(BH21="Si",4,5)),"")</f>
        <v/>
      </c>
      <c r="AT21" s="527" t="str">
        <f>IF(AR21&lt;&gt;0,INDEX(Tabla16[],MATCH(AQ21&amp;AR21,Tabla16[Concatenado],0),6),"")</f>
        <v/>
      </c>
      <c r="AU21" s="527" t="str">
        <f>IFERROR(IF(AR21&lt;&gt;0,INDEX(Tabla16[],MATCH(AQ21&amp;AR21,Tabla16[Concatenado],0),IF(AV$3=TS!$O$2,7,IF(AV$3=TS!$O$3,8,IF(AV$3=TS!$O$4,9,"")))),""),"")</f>
        <v/>
      </c>
      <c r="AV21" s="527" t="str">
        <f>IF(AR21&lt;&gt;0,INDEX(Tabla16[],MATCH(AQ21&amp;AR21,Tabla16[Concatenado],0),10),"")</f>
        <v/>
      </c>
      <c r="AW21" s="527" t="str">
        <f>IF(AR21&lt;&gt;0,INDEX(Tabla18[],MATCH(AQ21,Tabla18[Nombre],0),2),"")</f>
        <v/>
      </c>
      <c r="AX21" s="527" t="str">
        <f>IF(AR21&lt;&gt;0,INDEX(Tabla18[],MATCH(AQ21,Tabla18[Nombre],0),3),"")</f>
        <v/>
      </c>
      <c r="AY21" s="527" t="str">
        <f>IF(AR21&lt;&gt;0,INDEX(Tabla18[],MATCH(AQ21,Tabla18[Nombre],0),4),"")</f>
        <v/>
      </c>
      <c r="AZ21" s="527" t="str">
        <f>IF(AR21&lt;&gt;0,INDEX(Tabla18[],MATCH(AQ21,Tabla18[Nombre],0),5),"")</f>
        <v/>
      </c>
      <c r="BA21" s="596" t="str">
        <f>IF(AR21&lt;&gt;0,INDEX(Tabla18[],MATCH(AQ21,Tabla18[Nombre],0),6),"")</f>
        <v/>
      </c>
      <c r="BB21" s="598"/>
      <c r="BC21" s="527"/>
      <c r="BD21" s="527"/>
      <c r="BE21" s="527"/>
      <c r="BF21" s="527"/>
      <c r="BG21" s="600"/>
      <c r="BH21" s="608"/>
      <c r="BL21" s="609" t="s">
        <v>6796</v>
      </c>
      <c r="BM21" s="556"/>
      <c r="BN21" s="527" t="str">
        <f>IF(BM21&lt;&gt;0,INDEX(Tabla16[],MATCH(BL21&amp;BM21,Tabla16[Concatenado],0),IF(CC21="Si",4,5)),"")</f>
        <v/>
      </c>
      <c r="BO21" s="527" t="str">
        <f>IF(BM21&lt;&gt;0,INDEX(Tabla16[],MATCH(BL21&amp;BM21,Tabla16[Concatenado],0),6),"")</f>
        <v/>
      </c>
      <c r="BP21" s="527" t="str">
        <f>IFERROR(IF(BM21&lt;&gt;0,INDEX(Tabla16[],MATCH(BL21&amp;BM21,Tabla16[Concatenado],0),IF(BQ$3=TS!$O$2,7,IF(BQ$3=TS!$O$3,8,IF(BQ$3=TS!$O$4,9,"")))),""),"")</f>
        <v/>
      </c>
      <c r="BQ21" s="527" t="str">
        <f>IF(BM21&lt;&gt;0,INDEX(Tabla16[],MATCH(BL21&amp;BM21,Tabla16[Concatenado],0),10),"")</f>
        <v/>
      </c>
      <c r="BR21" s="527" t="str">
        <f>IF(BM21&lt;&gt;0,INDEX(Tabla18[],MATCH(BL21,Tabla18[Nombre],0),2),"")</f>
        <v/>
      </c>
      <c r="BS21" s="527" t="str">
        <f>IF(BM21&lt;&gt;0,INDEX(Tabla18[],MATCH(BL21,Tabla18[Nombre],0),3),"")</f>
        <v/>
      </c>
      <c r="BT21" s="527" t="str">
        <f>IF(BM21&lt;&gt;0,INDEX(Tabla18[],MATCH(BL21,Tabla18[Nombre],0),4),"")</f>
        <v/>
      </c>
      <c r="BU21" s="527" t="str">
        <f>IF(BM21&lt;&gt;0,INDEX(Tabla18[],MATCH(BL21,Tabla18[Nombre],0),5),"")</f>
        <v/>
      </c>
      <c r="BV21" s="596" t="str">
        <f>IF(BM21&lt;&gt;0,INDEX(Tabla18[],MATCH(BL21,Tabla18[Nombre],0),6),"")</f>
        <v/>
      </c>
      <c r="BW21" s="598"/>
      <c r="BX21" s="527"/>
      <c r="BY21" s="527"/>
      <c r="BZ21" s="527"/>
      <c r="CA21" s="527"/>
      <c r="CB21" s="600"/>
      <c r="CC21" s="608"/>
    </row>
    <row r="22" spans="1:81" x14ac:dyDescent="0.2">
      <c r="A22" s="609" t="s">
        <v>6797</v>
      </c>
      <c r="B22" s="556"/>
      <c r="C22" s="527" t="str">
        <f>IF(B22&lt;&gt;0,INDEX(Tabla16[],MATCH(A22&amp;B22,Tabla16[Concatenado],0),IF(R22="Si",4,5)),"")</f>
        <v/>
      </c>
      <c r="D22" s="527" t="str">
        <f>IF(B22&lt;&gt;0,INDEX(Tabla16[],MATCH(A22&amp;B22,Tabla16[Concatenado],0),6),"")</f>
        <v/>
      </c>
      <c r="E22" s="527" t="str">
        <f>IFERROR(IF(B22&lt;&gt;0,INDEX(Tabla16[],MATCH(A22&amp;B22,Tabla16[Concatenado],0),IF(F$3=TS!$O$2,7,IF(F$3=TS!$O$3,8,IF(F$3=TS!$O$4,9,"")))),""),"")</f>
        <v/>
      </c>
      <c r="F22" s="527" t="str">
        <f>IF(B22&lt;&gt;0,INDEX(Tabla16[],MATCH(A22&amp;B22,Tabla16[Concatenado],0),10),"")</f>
        <v/>
      </c>
      <c r="G22" s="564" t="str">
        <f>IF(B22&lt;&gt;0,INDEX(Tabla18[],MATCH(A22,Tabla18[Nombre],0),2),"")</f>
        <v/>
      </c>
      <c r="H22" s="564" t="str">
        <f>IF(B22&lt;&gt;0,INDEX(Tabla18[],MATCH(A22,Tabla18[Nombre],0),3),"")</f>
        <v/>
      </c>
      <c r="I22" s="564" t="str">
        <f>IF(B22&lt;&gt;0,INDEX(Tabla18[],MATCH(A22,Tabla18[Nombre],0),4),"")</f>
        <v/>
      </c>
      <c r="J22" s="564" t="str">
        <f>IF(B22&lt;&gt;0,INDEX(Tabla18[],MATCH(A22,Tabla18[Nombre],0),5),"")</f>
        <v/>
      </c>
      <c r="K22" s="595" t="str">
        <f>IF(B22&lt;&gt;0,INDEX(Tabla18[],MATCH(A22,Tabla18[Nombre],0),6),"")</f>
        <v/>
      </c>
      <c r="L22" s="598"/>
      <c r="M22" s="527"/>
      <c r="N22" s="527"/>
      <c r="O22" s="527"/>
      <c r="P22" s="527"/>
      <c r="Q22" s="600"/>
      <c r="R22" s="608"/>
      <c r="V22" s="609" t="s">
        <v>6797</v>
      </c>
      <c r="W22" s="556"/>
      <c r="X22" s="527" t="str">
        <f>IF(W22&lt;&gt;0,INDEX(Tabla16[],MATCH(V22&amp;W22,Tabla16[Concatenado],0),IF(AM22="Si",4,5)),"")</f>
        <v/>
      </c>
      <c r="Y22" s="527" t="str">
        <f>IF(W22&lt;&gt;0,INDEX(Tabla16[],MATCH(V22&amp;W22,Tabla16[Concatenado],0),6),"")</f>
        <v/>
      </c>
      <c r="Z22" s="527" t="str">
        <f>IFERROR(IF(W22&lt;&gt;0,INDEX(Tabla16[],MATCH(V22&amp;W22,Tabla16[Concatenado],0),IF(AA$3=TS!$O$2,7,IF(AA$3=TS!$O$3,8,IF(AA$3=TS!$O$4,9,"")))),""),"")</f>
        <v/>
      </c>
      <c r="AA22" s="527" t="str">
        <f>IF(W22&lt;&gt;0,INDEX(Tabla16[],MATCH(V22&amp;W22,Tabla16[Concatenado],0),10),"")</f>
        <v/>
      </c>
      <c r="AB22" s="564" t="str">
        <f>IF(W22&lt;&gt;0,INDEX(Tabla18[],MATCH(V22,Tabla18[Nombre],0),2),"")</f>
        <v/>
      </c>
      <c r="AC22" s="564" t="str">
        <f>IF(W22&lt;&gt;0,INDEX(Tabla18[],MATCH(V22,Tabla18[Nombre],0),3),"")</f>
        <v/>
      </c>
      <c r="AD22" s="564" t="str">
        <f>IF(W22&lt;&gt;0,INDEX(Tabla18[],MATCH(V22,Tabla18[Nombre],0),4),"")</f>
        <v/>
      </c>
      <c r="AE22" s="564" t="str">
        <f>IF(W22&lt;&gt;0,INDEX(Tabla18[],MATCH(V22,Tabla18[Nombre],0),5),"")</f>
        <v/>
      </c>
      <c r="AF22" s="595" t="str">
        <f>IF(W22&lt;&gt;0,INDEX(Tabla18[],MATCH(V22,Tabla18[Nombre],0),6),"")</f>
        <v/>
      </c>
      <c r="AG22" s="624"/>
      <c r="AH22" s="564"/>
      <c r="AI22" s="564"/>
      <c r="AJ22" s="564"/>
      <c r="AK22" s="564"/>
      <c r="AL22" s="625"/>
      <c r="AM22" s="608"/>
      <c r="AQ22" s="609" t="s">
        <v>6797</v>
      </c>
      <c r="AR22" s="556"/>
      <c r="AS22" s="527" t="str">
        <f>IF(AR22&lt;&gt;0,INDEX(Tabla16[],MATCH(AQ22&amp;AR22,Tabla16[Concatenado],0),IF(BH22="Si",4,5)),"")</f>
        <v/>
      </c>
      <c r="AT22" s="527" t="str">
        <f>IF(AR22&lt;&gt;0,INDEX(Tabla16[],MATCH(AQ22&amp;AR22,Tabla16[Concatenado],0),6),"")</f>
        <v/>
      </c>
      <c r="AU22" s="527" t="str">
        <f>IFERROR(IF(AR22&lt;&gt;0,INDEX(Tabla16[],MATCH(AQ22&amp;AR22,Tabla16[Concatenado],0),IF(AV$3=TS!$O$2,7,IF(AV$3=TS!$O$3,8,IF(AV$3=TS!$O$4,9,"")))),""),"")</f>
        <v/>
      </c>
      <c r="AV22" s="527" t="str">
        <f>IF(AR22&lt;&gt;0,INDEX(Tabla16[],MATCH(AQ22&amp;AR22,Tabla16[Concatenado],0),10),"")</f>
        <v/>
      </c>
      <c r="AW22" s="564" t="str">
        <f>IF(AR22&lt;&gt;0,INDEX(Tabla18[],MATCH(AQ22,Tabla18[Nombre],0),2),"")</f>
        <v/>
      </c>
      <c r="AX22" s="564" t="str">
        <f>IF(AR22&lt;&gt;0,INDEX(Tabla18[],MATCH(AQ22,Tabla18[Nombre],0),3),"")</f>
        <v/>
      </c>
      <c r="AY22" s="564" t="str">
        <f>IF(AR22&lt;&gt;0,INDEX(Tabla18[],MATCH(AQ22,Tabla18[Nombre],0),4),"")</f>
        <v/>
      </c>
      <c r="AZ22" s="564" t="str">
        <f>IF(AR22&lt;&gt;0,INDEX(Tabla18[],MATCH(AQ22,Tabla18[Nombre],0),5),"")</f>
        <v/>
      </c>
      <c r="BA22" s="595" t="str">
        <f>IF(AR22&lt;&gt;0,INDEX(Tabla18[],MATCH(AQ22,Tabla18[Nombre],0),6),"")</f>
        <v/>
      </c>
      <c r="BB22" s="624"/>
      <c r="BC22" s="564"/>
      <c r="BD22" s="564"/>
      <c r="BE22" s="564"/>
      <c r="BF22" s="564"/>
      <c r="BG22" s="625"/>
      <c r="BH22" s="608"/>
      <c r="BL22" s="609" t="s">
        <v>6797</v>
      </c>
      <c r="BM22" s="556"/>
      <c r="BN22" s="527" t="str">
        <f>IF(BM22&lt;&gt;0,INDEX(Tabla16[],MATCH(BL22&amp;BM22,Tabla16[Concatenado],0),IF(CC22="Si",4,5)),"")</f>
        <v/>
      </c>
      <c r="BO22" s="527" t="str">
        <f>IF(BM22&lt;&gt;0,INDEX(Tabla16[],MATCH(BL22&amp;BM22,Tabla16[Concatenado],0),6),"")</f>
        <v/>
      </c>
      <c r="BP22" s="527" t="str">
        <f>IFERROR(IF(BM22&lt;&gt;0,INDEX(Tabla16[],MATCH(BL22&amp;BM22,Tabla16[Concatenado],0),IF(BQ$3=TS!$O$2,7,IF(BQ$3=TS!$O$3,8,IF(BQ$3=TS!$O$4,9,"")))),""),"")</f>
        <v/>
      </c>
      <c r="BQ22" s="527" t="str">
        <f>IF(BM22&lt;&gt;0,INDEX(Tabla16[],MATCH(BL22&amp;BM22,Tabla16[Concatenado],0),10),"")</f>
        <v/>
      </c>
      <c r="BR22" s="564" t="str">
        <f>IF(BM22&lt;&gt;0,INDEX(Tabla18[],MATCH(BL22,Tabla18[Nombre],0),2),"")</f>
        <v/>
      </c>
      <c r="BS22" s="564" t="str">
        <f>IF(BM22&lt;&gt;0,INDEX(Tabla18[],MATCH(BL22,Tabla18[Nombre],0),3),"")</f>
        <v/>
      </c>
      <c r="BT22" s="564" t="str">
        <f>IF(BM22&lt;&gt;0,INDEX(Tabla18[],MATCH(BL22,Tabla18[Nombre],0),4),"")</f>
        <v/>
      </c>
      <c r="BU22" s="564" t="str">
        <f>IF(BM22&lt;&gt;0,INDEX(Tabla18[],MATCH(BL22,Tabla18[Nombre],0),5),"")</f>
        <v/>
      </c>
      <c r="BV22" s="595" t="str">
        <f>IF(BM22&lt;&gt;0,INDEX(Tabla18[],MATCH(BL22,Tabla18[Nombre],0),6),"")</f>
        <v/>
      </c>
      <c r="BW22" s="624"/>
      <c r="BX22" s="564"/>
      <c r="BY22" s="564"/>
      <c r="BZ22" s="564"/>
      <c r="CA22" s="564"/>
      <c r="CB22" s="625"/>
      <c r="CC22" s="608"/>
    </row>
    <row r="23" spans="1:81" x14ac:dyDescent="0.2">
      <c r="A23" s="610" t="s">
        <v>6798</v>
      </c>
      <c r="B23" s="555" t="s">
        <v>164</v>
      </c>
      <c r="C23" s="306" t="s">
        <v>7163</v>
      </c>
      <c r="D23" s="306" t="s">
        <v>5</v>
      </c>
      <c r="E23" s="306" t="s">
        <v>69</v>
      </c>
      <c r="F23" s="306" t="s">
        <v>14</v>
      </c>
      <c r="G23" s="306" t="s">
        <v>26</v>
      </c>
      <c r="H23" s="306" t="s">
        <v>277</v>
      </c>
      <c r="I23" s="306" t="s">
        <v>6791</v>
      </c>
      <c r="J23" s="306" t="s">
        <v>6792</v>
      </c>
      <c r="K23" s="597" t="s">
        <v>7162</v>
      </c>
      <c r="L23" s="601" t="s">
        <v>36</v>
      </c>
      <c r="M23" s="306" t="s">
        <v>46</v>
      </c>
      <c r="N23" s="306" t="s">
        <v>57</v>
      </c>
      <c r="O23" s="306" t="s">
        <v>66</v>
      </c>
      <c r="P23" s="306" t="s">
        <v>59</v>
      </c>
      <c r="Q23" s="602" t="s">
        <v>58</v>
      </c>
      <c r="R23" s="611" t="s">
        <v>6787</v>
      </c>
      <c r="V23" s="610" t="s">
        <v>6798</v>
      </c>
      <c r="W23" s="555" t="s">
        <v>164</v>
      </c>
      <c r="X23" s="306" t="s">
        <v>7163</v>
      </c>
      <c r="Y23" s="306" t="s">
        <v>5</v>
      </c>
      <c r="Z23" s="306" t="s">
        <v>69</v>
      </c>
      <c r="AA23" s="306" t="s">
        <v>14</v>
      </c>
      <c r="AB23" s="306" t="s">
        <v>26</v>
      </c>
      <c r="AC23" s="306" t="s">
        <v>277</v>
      </c>
      <c r="AD23" s="306" t="s">
        <v>6791</v>
      </c>
      <c r="AE23" s="306" t="s">
        <v>6792</v>
      </c>
      <c r="AF23" s="597" t="s">
        <v>7162</v>
      </c>
      <c r="AG23" s="601" t="s">
        <v>36</v>
      </c>
      <c r="AH23" s="306" t="s">
        <v>46</v>
      </c>
      <c r="AI23" s="306" t="s">
        <v>57</v>
      </c>
      <c r="AJ23" s="306" t="s">
        <v>66</v>
      </c>
      <c r="AK23" s="306" t="s">
        <v>59</v>
      </c>
      <c r="AL23" s="602" t="s">
        <v>58</v>
      </c>
      <c r="AM23" s="611" t="s">
        <v>6787</v>
      </c>
      <c r="AQ23" s="610" t="s">
        <v>6798</v>
      </c>
      <c r="AR23" s="555" t="s">
        <v>164</v>
      </c>
      <c r="AS23" s="306" t="s">
        <v>7163</v>
      </c>
      <c r="AT23" s="306" t="s">
        <v>5</v>
      </c>
      <c r="AU23" s="306" t="s">
        <v>69</v>
      </c>
      <c r="AV23" s="306" t="s">
        <v>14</v>
      </c>
      <c r="AW23" s="306" t="s">
        <v>26</v>
      </c>
      <c r="AX23" s="306" t="s">
        <v>277</v>
      </c>
      <c r="AY23" s="306" t="s">
        <v>6791</v>
      </c>
      <c r="AZ23" s="306" t="s">
        <v>6792</v>
      </c>
      <c r="BA23" s="597" t="s">
        <v>7162</v>
      </c>
      <c r="BB23" s="601" t="s">
        <v>36</v>
      </c>
      <c r="BC23" s="306" t="s">
        <v>46</v>
      </c>
      <c r="BD23" s="306" t="s">
        <v>57</v>
      </c>
      <c r="BE23" s="306" t="s">
        <v>66</v>
      </c>
      <c r="BF23" s="306" t="s">
        <v>59</v>
      </c>
      <c r="BG23" s="602" t="s">
        <v>58</v>
      </c>
      <c r="BH23" s="611" t="s">
        <v>6787</v>
      </c>
      <c r="BL23" s="610" t="s">
        <v>6798</v>
      </c>
      <c r="BM23" s="555" t="s">
        <v>164</v>
      </c>
      <c r="BN23" s="306" t="s">
        <v>7163</v>
      </c>
      <c r="BO23" s="306" t="s">
        <v>5</v>
      </c>
      <c r="BP23" s="306" t="s">
        <v>69</v>
      </c>
      <c r="BQ23" s="306" t="s">
        <v>14</v>
      </c>
      <c r="BR23" s="306" t="s">
        <v>26</v>
      </c>
      <c r="BS23" s="306" t="s">
        <v>277</v>
      </c>
      <c r="BT23" s="306" t="s">
        <v>6791</v>
      </c>
      <c r="BU23" s="306" t="s">
        <v>6792</v>
      </c>
      <c r="BV23" s="597" t="s">
        <v>7162</v>
      </c>
      <c r="BW23" s="601" t="s">
        <v>36</v>
      </c>
      <c r="BX23" s="306" t="s">
        <v>46</v>
      </c>
      <c r="BY23" s="306" t="s">
        <v>57</v>
      </c>
      <c r="BZ23" s="306" t="s">
        <v>66</v>
      </c>
      <c r="CA23" s="306" t="s">
        <v>59</v>
      </c>
      <c r="CB23" s="602" t="s">
        <v>58</v>
      </c>
      <c r="CC23" s="611" t="s">
        <v>6787</v>
      </c>
    </row>
    <row r="24" spans="1:81" x14ac:dyDescent="0.2">
      <c r="A24" s="606" t="s">
        <v>6836</v>
      </c>
      <c r="B24" s="556"/>
      <c r="C24" s="527" t="str">
        <f>IF(B24&lt;&gt;0,INDEX(Tabla16[],MATCH(A24&amp;B24,Tabla16[Concatenado],0),IF(R24="Si",4,5)),"")</f>
        <v/>
      </c>
      <c r="D24" s="527" t="str">
        <f>IF(B24&lt;&gt;0,INDEX(Tabla16[],MATCH(A24&amp;B24,Tabla16[Concatenado],0),6),"")</f>
        <v/>
      </c>
      <c r="E24" s="527" t="str">
        <f>IFERROR(IF(B24&lt;&gt;0,INDEX(Tabla16[],MATCH(A24&amp;B24,Tabla16[Concatenado],0),IF(F$3=TS!$O$2,7,IF(F$3=TS!$O$3,8,IF(F$3=TS!$O$4,9,"")))),""),"")</f>
        <v/>
      </c>
      <c r="F24" s="527" t="str">
        <f>IF(B24&lt;&gt;0,INDEX(Tabla16[],MATCH(A24&amp;B24,Tabla16[Concatenado],0),10),"")</f>
        <v/>
      </c>
      <c r="G24" s="527" t="str">
        <f>IF(B24&lt;&gt;0,INDEX(Tabla18[],MATCH(A24,Tabla18[Nombre],0),2),"")</f>
        <v/>
      </c>
      <c r="H24" s="527" t="str">
        <f>IF(B24&lt;&gt;0,INDEX(Tabla18[],MATCH(A24,Tabla18[Nombre],0),3),"")</f>
        <v/>
      </c>
      <c r="I24" s="527" t="str">
        <f>IF(B24&lt;&gt;0,INDEX(Tabla18[],MATCH(A24,Tabla18[Nombre],0),4),"")</f>
        <v/>
      </c>
      <c r="J24" s="527" t="str">
        <f>IF(B24&lt;&gt;0,INDEX(Tabla18[],MATCH(A24,Tabla18[Nombre],0),5),"")</f>
        <v/>
      </c>
      <c r="K24" s="596" t="str">
        <f>IF(B24&lt;&gt;0,INDEX(Tabla18[],MATCH(A24,Tabla18[Nombre],0),6),"")</f>
        <v/>
      </c>
      <c r="L24" s="598"/>
      <c r="M24" s="527"/>
      <c r="N24" s="527"/>
      <c r="O24" s="527"/>
      <c r="P24" s="527"/>
      <c r="Q24" s="600"/>
      <c r="R24" s="608"/>
      <c r="V24" s="606" t="s">
        <v>6836</v>
      </c>
      <c r="W24" s="556"/>
      <c r="X24" s="527" t="str">
        <f>IF(W24&lt;&gt;0,INDEX(Tabla16[],MATCH(V24&amp;W24,Tabla16[Concatenado],0),IF(AM24="Si",4,5)),"")</f>
        <v/>
      </c>
      <c r="Y24" s="527" t="str">
        <f>IF(W24&lt;&gt;0,INDEX(Tabla16[],MATCH(V24&amp;W24,Tabla16[Concatenado],0),6),"")</f>
        <v/>
      </c>
      <c r="Z24" s="527" t="str">
        <f>IFERROR(IF(W24&lt;&gt;0,INDEX(Tabla16[],MATCH(V24&amp;W24,Tabla16[Concatenado],0),IF(AA$3=TS!$O$2,7,IF(AA$3=TS!$O$3,8,IF(AA$3=TS!$O$4,9,"")))),""),"")</f>
        <v/>
      </c>
      <c r="AA24" s="527" t="str">
        <f>IF(W24&lt;&gt;0,INDEX(Tabla16[],MATCH(V24&amp;W24,Tabla16[Concatenado],0),10),"")</f>
        <v/>
      </c>
      <c r="AB24" s="527" t="str">
        <f>IF(W24&lt;&gt;0,INDEX(Tabla18[],MATCH(V24,Tabla18[Nombre],0),2),"")</f>
        <v/>
      </c>
      <c r="AC24" s="527" t="str">
        <f>IF(W24&lt;&gt;0,INDEX(Tabla18[],MATCH(V24,Tabla18[Nombre],0),3),"")</f>
        <v/>
      </c>
      <c r="AD24" s="527" t="str">
        <f>IF(W24&lt;&gt;0,INDEX(Tabla18[],MATCH(V24,Tabla18[Nombre],0),4),"")</f>
        <v/>
      </c>
      <c r="AE24" s="527" t="str">
        <f>IF(W24&lt;&gt;0,INDEX(Tabla18[],MATCH(V24,Tabla18[Nombre],0),5),"")</f>
        <v/>
      </c>
      <c r="AF24" s="596" t="str">
        <f>IF(W24&lt;&gt;0,INDEX(Tabla18[],MATCH(V24,Tabla18[Nombre],0),6),"")</f>
        <v/>
      </c>
      <c r="AG24" s="598"/>
      <c r="AH24" s="527"/>
      <c r="AI24" s="527"/>
      <c r="AJ24" s="527"/>
      <c r="AK24" s="527"/>
      <c r="AL24" s="600"/>
      <c r="AM24" s="608"/>
      <c r="AQ24" s="606" t="s">
        <v>6836</v>
      </c>
      <c r="AR24" s="556"/>
      <c r="AS24" s="527" t="str">
        <f>IF(AR24&lt;&gt;0,INDEX(Tabla16[],MATCH(AQ24&amp;AR24,Tabla16[Concatenado],0),IF(BH24="Si",4,5)),"")</f>
        <v/>
      </c>
      <c r="AT24" s="527" t="str">
        <f>IF(AR24&lt;&gt;0,INDEX(Tabla16[],MATCH(AQ24&amp;AR24,Tabla16[Concatenado],0),6),"")</f>
        <v/>
      </c>
      <c r="AU24" s="527" t="str">
        <f>IFERROR(IF(AR24&lt;&gt;0,INDEX(Tabla16[],MATCH(AQ24&amp;AR24,Tabla16[Concatenado],0),IF(AV$3=TS!$O$2,7,IF(AV$3=TS!$O$3,8,IF(AV$3=TS!$O$4,9,"")))),""),"")</f>
        <v/>
      </c>
      <c r="AV24" s="527" t="str">
        <f>IF(AR24&lt;&gt;0,INDEX(Tabla16[],MATCH(AQ24&amp;AR24,Tabla16[Concatenado],0),10),"")</f>
        <v/>
      </c>
      <c r="AW24" s="527" t="str">
        <f>IF(AR24&lt;&gt;0,INDEX(Tabla18[],MATCH(AQ24,Tabla18[Nombre],0),2),"")</f>
        <v/>
      </c>
      <c r="AX24" s="527" t="str">
        <f>IF(AR24&lt;&gt;0,INDEX(Tabla18[],MATCH(AQ24,Tabla18[Nombre],0),3),"")</f>
        <v/>
      </c>
      <c r="AY24" s="527" t="str">
        <f>IF(AR24&lt;&gt;0,INDEX(Tabla18[],MATCH(AQ24,Tabla18[Nombre],0),4),"")</f>
        <v/>
      </c>
      <c r="AZ24" s="527" t="str">
        <f>IF(AR24&lt;&gt;0,INDEX(Tabla18[],MATCH(AQ24,Tabla18[Nombre],0),5),"")</f>
        <v/>
      </c>
      <c r="BA24" s="596" t="str">
        <f>IF(AR24&lt;&gt;0,INDEX(Tabla18[],MATCH(AQ24,Tabla18[Nombre],0),6),"")</f>
        <v/>
      </c>
      <c r="BB24" s="598"/>
      <c r="BC24" s="527"/>
      <c r="BD24" s="527"/>
      <c r="BE24" s="527"/>
      <c r="BF24" s="527"/>
      <c r="BG24" s="600"/>
      <c r="BH24" s="608"/>
      <c r="BL24" s="606" t="s">
        <v>6836</v>
      </c>
      <c r="BM24" s="556"/>
      <c r="BN24" s="527" t="str">
        <f>IF(BM24&lt;&gt;0,INDEX(Tabla16[],MATCH(BL24&amp;BM24,Tabla16[Concatenado],0),IF(CC24="Si",4,5)),"")</f>
        <v/>
      </c>
      <c r="BO24" s="527" t="str">
        <f>IF(BM24&lt;&gt;0,INDEX(Tabla16[],MATCH(BL24&amp;BM24,Tabla16[Concatenado],0),6),"")</f>
        <v/>
      </c>
      <c r="BP24" s="527" t="str">
        <f>IFERROR(IF(BM24&lt;&gt;0,INDEX(Tabla16[],MATCH(BL24&amp;BM24,Tabla16[Concatenado],0),IF(BQ$3=TS!$O$2,7,IF(BQ$3=TS!$O$3,8,IF(BQ$3=TS!$O$4,9,"")))),""),"")</f>
        <v/>
      </c>
      <c r="BQ24" s="527" t="str">
        <f>IF(BM24&lt;&gt;0,INDEX(Tabla16[],MATCH(BL24&amp;BM24,Tabla16[Concatenado],0),10),"")</f>
        <v/>
      </c>
      <c r="BR24" s="527" t="str">
        <f>IF(BM24&lt;&gt;0,INDEX(Tabla18[],MATCH(BL24,Tabla18[Nombre],0),2),"")</f>
        <v/>
      </c>
      <c r="BS24" s="527" t="str">
        <f>IF(BM24&lt;&gt;0,INDEX(Tabla18[],MATCH(BL24,Tabla18[Nombre],0),3),"")</f>
        <v/>
      </c>
      <c r="BT24" s="527" t="str">
        <f>IF(BM24&lt;&gt;0,INDEX(Tabla18[],MATCH(BL24,Tabla18[Nombre],0),4),"")</f>
        <v/>
      </c>
      <c r="BU24" s="527" t="str">
        <f>IF(BM24&lt;&gt;0,INDEX(Tabla18[],MATCH(BL24,Tabla18[Nombre],0),5),"")</f>
        <v/>
      </c>
      <c r="BV24" s="596" t="str">
        <f>IF(BM24&lt;&gt;0,INDEX(Tabla18[],MATCH(BL24,Tabla18[Nombre],0),6),"")</f>
        <v/>
      </c>
      <c r="BW24" s="598"/>
      <c r="BX24" s="527"/>
      <c r="BY24" s="527"/>
      <c r="BZ24" s="527"/>
      <c r="CA24" s="527"/>
      <c r="CB24" s="600"/>
      <c r="CC24" s="608"/>
    </row>
    <row r="25" spans="1:81" x14ac:dyDescent="0.2">
      <c r="A25" s="606" t="s">
        <v>6837</v>
      </c>
      <c r="B25" s="556"/>
      <c r="C25" s="527" t="str">
        <f>IF(B25&lt;&gt;0,INDEX(Tabla16[],MATCH(A25&amp;B25,Tabla16[Concatenado],0),IF(R25="Si",4,5)),"")</f>
        <v/>
      </c>
      <c r="D25" s="527" t="str">
        <f>IF(B25&lt;&gt;0,INDEX(Tabla16[],MATCH(A25&amp;B25,Tabla16[Concatenado],0),6),"")</f>
        <v/>
      </c>
      <c r="E25" s="527" t="str">
        <f>IFERROR(IF(B25&lt;&gt;0,INDEX(Tabla16[],MATCH(A25&amp;B25,Tabla16[Concatenado],0),IF(F$3=TS!$O$2,7,IF(F$3=TS!$O$3,8,IF(F$3=TS!$O$4,9,"")))),""),"")</f>
        <v/>
      </c>
      <c r="F25" s="527" t="str">
        <f>IF(B25&lt;&gt;0,INDEX(Tabla16[],MATCH(A25&amp;B25,Tabla16[Concatenado],0),10),"")</f>
        <v/>
      </c>
      <c r="G25" s="527" t="str">
        <f>IF(B25&lt;&gt;0,INDEX(Tabla18[],MATCH(A25,Tabla18[Nombre],0),2),"")</f>
        <v/>
      </c>
      <c r="H25" s="527" t="str">
        <f>IF(B25&lt;&gt;0,INDEX(Tabla18[],MATCH(A25,Tabla18[Nombre],0),3),"")</f>
        <v/>
      </c>
      <c r="I25" s="527" t="str">
        <f>IF(B25&lt;&gt;0,INDEX(Tabla18[],MATCH(A25,Tabla18[Nombre],0),4),"")</f>
        <v/>
      </c>
      <c r="J25" s="527" t="str">
        <f>IF(B25&lt;&gt;0,INDEX(Tabla18[],MATCH(A25,Tabla18[Nombre],0),5),"")</f>
        <v/>
      </c>
      <c r="K25" s="596" t="str">
        <f>IF(B25&lt;&gt;0,INDEX(Tabla18[],MATCH(A25,Tabla18[Nombre],0),6),"")</f>
        <v/>
      </c>
      <c r="L25" s="598"/>
      <c r="M25" s="527"/>
      <c r="N25" s="527"/>
      <c r="O25" s="527"/>
      <c r="P25" s="527"/>
      <c r="Q25" s="600"/>
      <c r="R25" s="608"/>
      <c r="V25" s="606" t="s">
        <v>6837</v>
      </c>
      <c r="W25" s="556"/>
      <c r="X25" s="527" t="str">
        <f>IF(W25&lt;&gt;0,INDEX(Tabla16[],MATCH(V25&amp;W25,Tabla16[Concatenado],0),IF(AM25="Si",4,5)),"")</f>
        <v/>
      </c>
      <c r="Y25" s="527" t="str">
        <f>IF(W25&lt;&gt;0,INDEX(Tabla16[],MATCH(V25&amp;W25,Tabla16[Concatenado],0),6),"")</f>
        <v/>
      </c>
      <c r="Z25" s="527" t="str">
        <f>IFERROR(IF(W25&lt;&gt;0,INDEX(Tabla16[],MATCH(V25&amp;W25,Tabla16[Concatenado],0),IF(AA$3=TS!$O$2,7,IF(AA$3=TS!$O$3,8,IF(AA$3=TS!$O$4,9,"")))),""),"")</f>
        <v/>
      </c>
      <c r="AA25" s="527" t="str">
        <f>IF(W25&lt;&gt;0,INDEX(Tabla16[],MATCH(V25&amp;W25,Tabla16[Concatenado],0),10),"")</f>
        <v/>
      </c>
      <c r="AB25" s="527" t="str">
        <f>IF(W25&lt;&gt;0,INDEX(Tabla18[],MATCH(V25,Tabla18[Nombre],0),2),"")</f>
        <v/>
      </c>
      <c r="AC25" s="527" t="str">
        <f>IF(W25&lt;&gt;0,INDEX(Tabla18[],MATCH(V25,Tabla18[Nombre],0),3),"")</f>
        <v/>
      </c>
      <c r="AD25" s="527" t="str">
        <f>IF(W25&lt;&gt;0,INDEX(Tabla18[],MATCH(V25,Tabla18[Nombre],0),4),"")</f>
        <v/>
      </c>
      <c r="AE25" s="527" t="str">
        <f>IF(W25&lt;&gt;0,INDEX(Tabla18[],MATCH(V25,Tabla18[Nombre],0),5),"")</f>
        <v/>
      </c>
      <c r="AF25" s="596" t="str">
        <f>IF(W25&lt;&gt;0,INDEX(Tabla18[],MATCH(V25,Tabla18[Nombre],0),6),"")</f>
        <v/>
      </c>
      <c r="AG25" s="598"/>
      <c r="AH25" s="527"/>
      <c r="AI25" s="527"/>
      <c r="AJ25" s="527"/>
      <c r="AK25" s="527"/>
      <c r="AL25" s="600"/>
      <c r="AM25" s="608"/>
      <c r="AQ25" s="606" t="s">
        <v>6837</v>
      </c>
      <c r="AR25" s="556"/>
      <c r="AS25" s="527" t="str">
        <f>IF(AR25&lt;&gt;0,INDEX(Tabla16[],MATCH(AQ25&amp;AR25,Tabla16[Concatenado],0),IF(BH25="Si",4,5)),"")</f>
        <v/>
      </c>
      <c r="AT25" s="527" t="str">
        <f>IF(AR25&lt;&gt;0,INDEX(Tabla16[],MATCH(AQ25&amp;AR25,Tabla16[Concatenado],0),6),"")</f>
        <v/>
      </c>
      <c r="AU25" s="527" t="str">
        <f>IFERROR(IF(AR25&lt;&gt;0,INDEX(Tabla16[],MATCH(AQ25&amp;AR25,Tabla16[Concatenado],0),IF(AV$3=TS!$O$2,7,IF(AV$3=TS!$O$3,8,IF(AV$3=TS!$O$4,9,"")))),""),"")</f>
        <v/>
      </c>
      <c r="AV25" s="527" t="str">
        <f>IF(AR25&lt;&gt;0,INDEX(Tabla16[],MATCH(AQ25&amp;AR25,Tabla16[Concatenado],0),10),"")</f>
        <v/>
      </c>
      <c r="AW25" s="527" t="str">
        <f>IF(AR25&lt;&gt;0,INDEX(Tabla18[],MATCH(AQ25,Tabla18[Nombre],0),2),"")</f>
        <v/>
      </c>
      <c r="AX25" s="527" t="str">
        <f>IF(AR25&lt;&gt;0,INDEX(Tabla18[],MATCH(AQ25,Tabla18[Nombre],0),3),"")</f>
        <v/>
      </c>
      <c r="AY25" s="527" t="str">
        <f>IF(AR25&lt;&gt;0,INDEX(Tabla18[],MATCH(AQ25,Tabla18[Nombre],0),4),"")</f>
        <v/>
      </c>
      <c r="AZ25" s="527" t="str">
        <f>IF(AR25&lt;&gt;0,INDEX(Tabla18[],MATCH(AQ25,Tabla18[Nombre],0),5),"")</f>
        <v/>
      </c>
      <c r="BA25" s="596" t="str">
        <f>IF(AR25&lt;&gt;0,INDEX(Tabla18[],MATCH(AQ25,Tabla18[Nombre],0),6),"")</f>
        <v/>
      </c>
      <c r="BB25" s="598"/>
      <c r="BC25" s="527"/>
      <c r="BD25" s="527"/>
      <c r="BE25" s="527"/>
      <c r="BF25" s="527"/>
      <c r="BG25" s="600"/>
      <c r="BH25" s="608"/>
      <c r="BL25" s="606" t="s">
        <v>6837</v>
      </c>
      <c r="BM25" s="556"/>
      <c r="BN25" s="527" t="str">
        <f>IF(BM25&lt;&gt;0,INDEX(Tabla16[],MATCH(BL25&amp;BM25,Tabla16[Concatenado],0),IF(CC25="Si",4,5)),"")</f>
        <v/>
      </c>
      <c r="BO25" s="527" t="str">
        <f>IF(BM25&lt;&gt;0,INDEX(Tabla16[],MATCH(BL25&amp;BM25,Tabla16[Concatenado],0),6),"")</f>
        <v/>
      </c>
      <c r="BP25" s="527" t="str">
        <f>IFERROR(IF(BM25&lt;&gt;0,INDEX(Tabla16[],MATCH(BL25&amp;BM25,Tabla16[Concatenado],0),IF(BQ$3=TS!$O$2,7,IF(BQ$3=TS!$O$3,8,IF(BQ$3=TS!$O$4,9,"")))),""),"")</f>
        <v/>
      </c>
      <c r="BQ25" s="527" t="str">
        <f>IF(BM25&lt;&gt;0,INDEX(Tabla16[],MATCH(BL25&amp;BM25,Tabla16[Concatenado],0),10),"")</f>
        <v/>
      </c>
      <c r="BR25" s="527" t="str">
        <f>IF(BM25&lt;&gt;0,INDEX(Tabla18[],MATCH(BL25,Tabla18[Nombre],0),2),"")</f>
        <v/>
      </c>
      <c r="BS25" s="527" t="str">
        <f>IF(BM25&lt;&gt;0,INDEX(Tabla18[],MATCH(BL25,Tabla18[Nombre],0),3),"")</f>
        <v/>
      </c>
      <c r="BT25" s="527" t="str">
        <f>IF(BM25&lt;&gt;0,INDEX(Tabla18[],MATCH(BL25,Tabla18[Nombre],0),4),"")</f>
        <v/>
      </c>
      <c r="BU25" s="527" t="str">
        <f>IF(BM25&lt;&gt;0,INDEX(Tabla18[],MATCH(BL25,Tabla18[Nombre],0),5),"")</f>
        <v/>
      </c>
      <c r="BV25" s="596" t="str">
        <f>IF(BM25&lt;&gt;0,INDEX(Tabla18[],MATCH(BL25,Tabla18[Nombre],0),6),"")</f>
        <v/>
      </c>
      <c r="BW25" s="598"/>
      <c r="BX25" s="527"/>
      <c r="BY25" s="527"/>
      <c r="BZ25" s="527"/>
      <c r="CA25" s="527"/>
      <c r="CB25" s="600"/>
      <c r="CC25" s="608"/>
    </row>
    <row r="26" spans="1:81" x14ac:dyDescent="0.2">
      <c r="A26" s="606" t="s">
        <v>6838</v>
      </c>
      <c r="B26" s="556"/>
      <c r="C26" s="527" t="str">
        <f>IF(B26&lt;&gt;0,INDEX(Tabla16[],MATCH(A26&amp;B26,Tabla16[Concatenado],0),IF(R26="Si",4,5)),"")</f>
        <v/>
      </c>
      <c r="D26" s="527" t="str">
        <f>IF(B26&lt;&gt;0,INDEX(Tabla16[],MATCH(A26&amp;B26,Tabla16[Concatenado],0),6),"")</f>
        <v/>
      </c>
      <c r="E26" s="527" t="str">
        <f>IFERROR(IF(B26&lt;&gt;0,INDEX(Tabla16[],MATCH(A26&amp;B26,Tabla16[Concatenado],0),IF(F$3=TS!$O$2,7,IF(F$3=TS!$O$3,8,IF(F$3=TS!$O$4,9,"")))),""),"")</f>
        <v/>
      </c>
      <c r="F26" s="527" t="str">
        <f>IF(B26&lt;&gt;0,INDEX(Tabla16[],MATCH(A26&amp;B26,Tabla16[Concatenado],0),10),"")</f>
        <v/>
      </c>
      <c r="G26" s="527" t="str">
        <f>IF(B26&lt;&gt;0,INDEX(Tabla18[],MATCH(A26,Tabla18[Nombre],0),2),"")</f>
        <v/>
      </c>
      <c r="H26" s="527" t="str">
        <f>IF(B26&lt;&gt;0,INDEX(Tabla18[],MATCH(A26,Tabla18[Nombre],0),3),"")</f>
        <v/>
      </c>
      <c r="I26" s="527" t="str">
        <f>IF(B26&lt;&gt;0,INDEX(Tabla18[],MATCH(A26,Tabla18[Nombre],0),4),"")</f>
        <v/>
      </c>
      <c r="J26" s="527" t="str">
        <f>IF(B26&lt;&gt;0,INDEX(Tabla18[],MATCH(A26,Tabla18[Nombre],0),5),"")</f>
        <v/>
      </c>
      <c r="K26" s="596" t="str">
        <f>IF(B26&lt;&gt;0,INDEX(Tabla18[],MATCH(A26,Tabla18[Nombre],0),6),"")</f>
        <v/>
      </c>
      <c r="L26" s="598"/>
      <c r="M26" s="527"/>
      <c r="N26" s="527"/>
      <c r="O26" s="527"/>
      <c r="P26" s="527"/>
      <c r="Q26" s="600"/>
      <c r="R26" s="608"/>
      <c r="V26" s="606" t="s">
        <v>6838</v>
      </c>
      <c r="W26" s="556"/>
      <c r="X26" s="527" t="str">
        <f>IF(W26&lt;&gt;0,INDEX(Tabla16[],MATCH(V26&amp;W26,Tabla16[Concatenado],0),IF(AM26="Si",4,5)),"")</f>
        <v/>
      </c>
      <c r="Y26" s="527" t="str">
        <f>IF(W26&lt;&gt;0,INDEX(Tabla16[],MATCH(V26&amp;W26,Tabla16[Concatenado],0),6),"")</f>
        <v/>
      </c>
      <c r="Z26" s="527" t="str">
        <f>IFERROR(IF(W26&lt;&gt;0,INDEX(Tabla16[],MATCH(V26&amp;W26,Tabla16[Concatenado],0),IF(AA$3=TS!$O$2,7,IF(AA$3=TS!$O$3,8,IF(AA$3=TS!$O$4,9,"")))),""),"")</f>
        <v/>
      </c>
      <c r="AA26" s="527" t="str">
        <f>IF(W26&lt;&gt;0,INDEX(Tabla16[],MATCH(V26&amp;W26,Tabla16[Concatenado],0),10),"")</f>
        <v/>
      </c>
      <c r="AB26" s="527" t="str">
        <f>IF(W26&lt;&gt;0,INDEX(Tabla18[],MATCH(V26,Tabla18[Nombre],0),2),"")</f>
        <v/>
      </c>
      <c r="AC26" s="527" t="str">
        <f>IF(W26&lt;&gt;0,INDEX(Tabla18[],MATCH(V26,Tabla18[Nombre],0),3),"")</f>
        <v/>
      </c>
      <c r="AD26" s="527" t="str">
        <f>IF(W26&lt;&gt;0,INDEX(Tabla18[],MATCH(V26,Tabla18[Nombre],0),4),"")</f>
        <v/>
      </c>
      <c r="AE26" s="527" t="str">
        <f>IF(W26&lt;&gt;0,INDEX(Tabla18[],MATCH(V26,Tabla18[Nombre],0),5),"")</f>
        <v/>
      </c>
      <c r="AF26" s="596" t="str">
        <f>IF(W26&lt;&gt;0,INDEX(Tabla18[],MATCH(V26,Tabla18[Nombre],0),6),"")</f>
        <v/>
      </c>
      <c r="AG26" s="598"/>
      <c r="AH26" s="527"/>
      <c r="AI26" s="527"/>
      <c r="AJ26" s="527"/>
      <c r="AK26" s="527"/>
      <c r="AL26" s="600"/>
      <c r="AM26" s="608"/>
      <c r="AQ26" s="606" t="s">
        <v>6838</v>
      </c>
      <c r="AR26" s="556"/>
      <c r="AS26" s="527" t="str">
        <f>IF(AR26&lt;&gt;0,INDEX(Tabla16[],MATCH(AQ26&amp;AR26,Tabla16[Concatenado],0),IF(BH26="Si",4,5)),"")</f>
        <v/>
      </c>
      <c r="AT26" s="527" t="str">
        <f>IF(AR26&lt;&gt;0,INDEX(Tabla16[],MATCH(AQ26&amp;AR26,Tabla16[Concatenado],0),6),"")</f>
        <v/>
      </c>
      <c r="AU26" s="527" t="str">
        <f>IFERROR(IF(AR26&lt;&gt;0,INDEX(Tabla16[],MATCH(AQ26&amp;AR26,Tabla16[Concatenado],0),IF(AV$3=TS!$O$2,7,IF(AV$3=TS!$O$3,8,IF(AV$3=TS!$O$4,9,"")))),""),"")</f>
        <v/>
      </c>
      <c r="AV26" s="527" t="str">
        <f>IF(AR26&lt;&gt;0,INDEX(Tabla16[],MATCH(AQ26&amp;AR26,Tabla16[Concatenado],0),10),"")</f>
        <v/>
      </c>
      <c r="AW26" s="527" t="str">
        <f>IF(AR26&lt;&gt;0,INDEX(Tabla18[],MATCH(AQ26,Tabla18[Nombre],0),2),"")</f>
        <v/>
      </c>
      <c r="AX26" s="527" t="str">
        <f>IF(AR26&lt;&gt;0,INDEX(Tabla18[],MATCH(AQ26,Tabla18[Nombre],0),3),"")</f>
        <v/>
      </c>
      <c r="AY26" s="527" t="str">
        <f>IF(AR26&lt;&gt;0,INDEX(Tabla18[],MATCH(AQ26,Tabla18[Nombre],0),4),"")</f>
        <v/>
      </c>
      <c r="AZ26" s="527" t="str">
        <f>IF(AR26&lt;&gt;0,INDEX(Tabla18[],MATCH(AQ26,Tabla18[Nombre],0),5),"")</f>
        <v/>
      </c>
      <c r="BA26" s="596" t="str">
        <f>IF(AR26&lt;&gt;0,INDEX(Tabla18[],MATCH(AQ26,Tabla18[Nombre],0),6),"")</f>
        <v/>
      </c>
      <c r="BB26" s="598"/>
      <c r="BC26" s="527"/>
      <c r="BD26" s="527"/>
      <c r="BE26" s="527"/>
      <c r="BF26" s="527"/>
      <c r="BG26" s="600"/>
      <c r="BH26" s="608"/>
      <c r="BL26" s="606" t="s">
        <v>6838</v>
      </c>
      <c r="BM26" s="556"/>
      <c r="BN26" s="527" t="str">
        <f>IF(BM26&lt;&gt;0,INDEX(Tabla16[],MATCH(BL26&amp;BM26,Tabla16[Concatenado],0),IF(CC26="Si",4,5)),"")</f>
        <v/>
      </c>
      <c r="BO26" s="527" t="str">
        <f>IF(BM26&lt;&gt;0,INDEX(Tabla16[],MATCH(BL26&amp;BM26,Tabla16[Concatenado],0),6),"")</f>
        <v/>
      </c>
      <c r="BP26" s="527" t="str">
        <f>IFERROR(IF(BM26&lt;&gt;0,INDEX(Tabla16[],MATCH(BL26&amp;BM26,Tabla16[Concatenado],0),IF(BQ$3=TS!$O$2,7,IF(BQ$3=TS!$O$3,8,IF(BQ$3=TS!$O$4,9,"")))),""),"")</f>
        <v/>
      </c>
      <c r="BQ26" s="527" t="str">
        <f>IF(BM26&lt;&gt;0,INDEX(Tabla16[],MATCH(BL26&amp;BM26,Tabla16[Concatenado],0),10),"")</f>
        <v/>
      </c>
      <c r="BR26" s="527" t="str">
        <f>IF(BM26&lt;&gt;0,INDEX(Tabla18[],MATCH(BL26,Tabla18[Nombre],0),2),"")</f>
        <v/>
      </c>
      <c r="BS26" s="527" t="str">
        <f>IF(BM26&lt;&gt;0,INDEX(Tabla18[],MATCH(BL26,Tabla18[Nombre],0),3),"")</f>
        <v/>
      </c>
      <c r="BT26" s="527" t="str">
        <f>IF(BM26&lt;&gt;0,INDEX(Tabla18[],MATCH(BL26,Tabla18[Nombre],0),4),"")</f>
        <v/>
      </c>
      <c r="BU26" s="527" t="str">
        <f>IF(BM26&lt;&gt;0,INDEX(Tabla18[],MATCH(BL26,Tabla18[Nombre],0),5),"")</f>
        <v/>
      </c>
      <c r="BV26" s="596" t="str">
        <f>IF(BM26&lt;&gt;0,INDEX(Tabla18[],MATCH(BL26,Tabla18[Nombre],0),6),"")</f>
        <v/>
      </c>
      <c r="BW26" s="598"/>
      <c r="BX26" s="527"/>
      <c r="BY26" s="527"/>
      <c r="BZ26" s="527"/>
      <c r="CA26" s="527"/>
      <c r="CB26" s="600"/>
      <c r="CC26" s="608"/>
    </row>
    <row r="27" spans="1:81" x14ac:dyDescent="0.2">
      <c r="A27" s="606" t="s">
        <v>6839</v>
      </c>
      <c r="B27" s="556"/>
      <c r="C27" s="527" t="str">
        <f>IF(B27&lt;&gt;0,INDEX(Tabla16[],MATCH(A27&amp;B27,Tabla16[Concatenado],0),IF(R27="Si",4,5)),"")</f>
        <v/>
      </c>
      <c r="D27" s="527" t="str">
        <f>IF(B27&lt;&gt;0,INDEX(Tabla16[],MATCH(A27&amp;B27,Tabla16[Concatenado],0),6),"")</f>
        <v/>
      </c>
      <c r="E27" s="527" t="str">
        <f>IFERROR(IF(B27&lt;&gt;0,INDEX(Tabla16[],MATCH(A27&amp;B27,Tabla16[Concatenado],0),IF(F$3=TS!$O$2,7,IF(F$3=TS!$O$3,8,IF(F$3=TS!$O$4,9,"")))),""),"")</f>
        <v/>
      </c>
      <c r="F27" s="527" t="str">
        <f>IF(B27&lt;&gt;0,INDEX(Tabla16[],MATCH(A27&amp;B27,Tabla16[Concatenado],0),10),"")</f>
        <v/>
      </c>
      <c r="G27" s="527" t="str">
        <f>IF(B27&lt;&gt;0,INDEX(Tabla18[],MATCH(A27,Tabla18[Nombre],0),2),"")</f>
        <v/>
      </c>
      <c r="H27" s="527" t="str">
        <f>IF(B27&lt;&gt;0,INDEX(Tabla18[],MATCH(A27,Tabla18[Nombre],0),3),"")</f>
        <v/>
      </c>
      <c r="I27" s="527" t="str">
        <f>IF(B27&lt;&gt;0,INDEX(Tabla18[],MATCH(A27,Tabla18[Nombre],0),4),"")</f>
        <v/>
      </c>
      <c r="J27" s="527" t="str">
        <f>IF(B27&lt;&gt;0,INDEX(Tabla18[],MATCH(A27,Tabla18[Nombre],0),5),"")</f>
        <v/>
      </c>
      <c r="K27" s="596" t="str">
        <f>IF(B27&lt;&gt;0,INDEX(Tabla18[],MATCH(A27,Tabla18[Nombre],0),6),"")</f>
        <v/>
      </c>
      <c r="L27" s="598"/>
      <c r="M27" s="527"/>
      <c r="N27" s="527"/>
      <c r="O27" s="527"/>
      <c r="P27" s="527"/>
      <c r="Q27" s="600"/>
      <c r="R27" s="608"/>
      <c r="V27" s="606" t="s">
        <v>6839</v>
      </c>
      <c r="W27" s="556"/>
      <c r="X27" s="527" t="str">
        <f>IF(W27&lt;&gt;0,INDEX(Tabla16[],MATCH(V27&amp;W27,Tabla16[Concatenado],0),IF(AM27="Si",4,5)),"")</f>
        <v/>
      </c>
      <c r="Y27" s="527" t="str">
        <f>IF(W27&lt;&gt;0,INDEX(Tabla16[],MATCH(V27&amp;W27,Tabla16[Concatenado],0),6),"")</f>
        <v/>
      </c>
      <c r="Z27" s="527" t="str">
        <f>IFERROR(IF(W27&lt;&gt;0,INDEX(Tabla16[],MATCH(V27&amp;W27,Tabla16[Concatenado],0),IF(AA$3=TS!$O$2,7,IF(AA$3=TS!$O$3,8,IF(AA$3=TS!$O$4,9,"")))),""),"")</f>
        <v/>
      </c>
      <c r="AA27" s="527" t="str">
        <f>IF(W27&lt;&gt;0,INDEX(Tabla16[],MATCH(V27&amp;W27,Tabla16[Concatenado],0),10),"")</f>
        <v/>
      </c>
      <c r="AB27" s="527" t="str">
        <f>IF(W27&lt;&gt;0,INDEX(Tabla18[],MATCH(V27,Tabla18[Nombre],0),2),"")</f>
        <v/>
      </c>
      <c r="AC27" s="527" t="str">
        <f>IF(W27&lt;&gt;0,INDEX(Tabla18[],MATCH(V27,Tabla18[Nombre],0),3),"")</f>
        <v/>
      </c>
      <c r="AD27" s="527" t="str">
        <f>IF(W27&lt;&gt;0,INDEX(Tabla18[],MATCH(V27,Tabla18[Nombre],0),4),"")</f>
        <v/>
      </c>
      <c r="AE27" s="527" t="str">
        <f>IF(W27&lt;&gt;0,INDEX(Tabla18[],MATCH(V27,Tabla18[Nombre],0),5),"")</f>
        <v/>
      </c>
      <c r="AF27" s="596" t="str">
        <f>IF(W27&lt;&gt;0,INDEX(Tabla18[],MATCH(V27,Tabla18[Nombre],0),6),"")</f>
        <v/>
      </c>
      <c r="AG27" s="598"/>
      <c r="AH27" s="527"/>
      <c r="AI27" s="527"/>
      <c r="AJ27" s="527"/>
      <c r="AK27" s="527"/>
      <c r="AL27" s="600"/>
      <c r="AM27" s="608"/>
      <c r="AQ27" s="606" t="s">
        <v>6839</v>
      </c>
      <c r="AR27" s="556"/>
      <c r="AS27" s="527" t="str">
        <f>IF(AR27&lt;&gt;0,INDEX(Tabla16[],MATCH(AQ27&amp;AR27,Tabla16[Concatenado],0),IF(BH27="Si",4,5)),"")</f>
        <v/>
      </c>
      <c r="AT27" s="527" t="str">
        <f>IF(AR27&lt;&gt;0,INDEX(Tabla16[],MATCH(AQ27&amp;AR27,Tabla16[Concatenado],0),6),"")</f>
        <v/>
      </c>
      <c r="AU27" s="527" t="str">
        <f>IFERROR(IF(AR27&lt;&gt;0,INDEX(Tabla16[],MATCH(AQ27&amp;AR27,Tabla16[Concatenado],0),IF(AV$3=TS!$O$2,7,IF(AV$3=TS!$O$3,8,IF(AV$3=TS!$O$4,9,"")))),""),"")</f>
        <v/>
      </c>
      <c r="AV27" s="527" t="str">
        <f>IF(AR27&lt;&gt;0,INDEX(Tabla16[],MATCH(AQ27&amp;AR27,Tabla16[Concatenado],0),10),"")</f>
        <v/>
      </c>
      <c r="AW27" s="527" t="str">
        <f>IF(AR27&lt;&gt;0,INDEX(Tabla18[],MATCH(AQ27,Tabla18[Nombre],0),2),"")</f>
        <v/>
      </c>
      <c r="AX27" s="527" t="str">
        <f>IF(AR27&lt;&gt;0,INDEX(Tabla18[],MATCH(AQ27,Tabla18[Nombre],0),3),"")</f>
        <v/>
      </c>
      <c r="AY27" s="527" t="str">
        <f>IF(AR27&lt;&gt;0,INDEX(Tabla18[],MATCH(AQ27,Tabla18[Nombre],0),4),"")</f>
        <v/>
      </c>
      <c r="AZ27" s="527" t="str">
        <f>IF(AR27&lt;&gt;0,INDEX(Tabla18[],MATCH(AQ27,Tabla18[Nombre],0),5),"")</f>
        <v/>
      </c>
      <c r="BA27" s="596" t="str">
        <f>IF(AR27&lt;&gt;0,INDEX(Tabla18[],MATCH(AQ27,Tabla18[Nombre],0),6),"")</f>
        <v/>
      </c>
      <c r="BB27" s="598"/>
      <c r="BC27" s="527"/>
      <c r="BD27" s="527"/>
      <c r="BE27" s="527"/>
      <c r="BF27" s="527"/>
      <c r="BG27" s="600"/>
      <c r="BH27" s="608"/>
      <c r="BL27" s="606" t="s">
        <v>6839</v>
      </c>
      <c r="BM27" s="556"/>
      <c r="BN27" s="527" t="str">
        <f>IF(BM27&lt;&gt;0,INDEX(Tabla16[],MATCH(BL27&amp;BM27,Tabla16[Concatenado],0),IF(CC27="Si",4,5)),"")</f>
        <v/>
      </c>
      <c r="BO27" s="527" t="str">
        <f>IF(BM27&lt;&gt;0,INDEX(Tabla16[],MATCH(BL27&amp;BM27,Tabla16[Concatenado],0),6),"")</f>
        <v/>
      </c>
      <c r="BP27" s="527" t="str">
        <f>IFERROR(IF(BM27&lt;&gt;0,INDEX(Tabla16[],MATCH(BL27&amp;BM27,Tabla16[Concatenado],0),IF(BQ$3=TS!$O$2,7,IF(BQ$3=TS!$O$3,8,IF(BQ$3=TS!$O$4,9,"")))),""),"")</f>
        <v/>
      </c>
      <c r="BQ27" s="527" t="str">
        <f>IF(BM27&lt;&gt;0,INDEX(Tabla16[],MATCH(BL27&amp;BM27,Tabla16[Concatenado],0),10),"")</f>
        <v/>
      </c>
      <c r="BR27" s="527" t="str">
        <f>IF(BM27&lt;&gt;0,INDEX(Tabla18[],MATCH(BL27,Tabla18[Nombre],0),2),"")</f>
        <v/>
      </c>
      <c r="BS27" s="527" t="str">
        <f>IF(BM27&lt;&gt;0,INDEX(Tabla18[],MATCH(BL27,Tabla18[Nombre],0),3),"")</f>
        <v/>
      </c>
      <c r="BT27" s="527" t="str">
        <f>IF(BM27&lt;&gt;0,INDEX(Tabla18[],MATCH(BL27,Tabla18[Nombre],0),4),"")</f>
        <v/>
      </c>
      <c r="BU27" s="527" t="str">
        <f>IF(BM27&lt;&gt;0,INDEX(Tabla18[],MATCH(BL27,Tabla18[Nombre],0),5),"")</f>
        <v/>
      </c>
      <c r="BV27" s="596" t="str">
        <f>IF(BM27&lt;&gt;0,INDEX(Tabla18[],MATCH(BL27,Tabla18[Nombre],0),6),"")</f>
        <v/>
      </c>
      <c r="BW27" s="598"/>
      <c r="BX27" s="527"/>
      <c r="BY27" s="527"/>
      <c r="BZ27" s="527"/>
      <c r="CA27" s="527"/>
      <c r="CB27" s="600"/>
      <c r="CC27" s="608"/>
    </row>
    <row r="28" spans="1:81" x14ac:dyDescent="0.2">
      <c r="A28" s="606" t="s">
        <v>6840</v>
      </c>
      <c r="B28" s="556"/>
      <c r="C28" s="527" t="str">
        <f>IF(B28&lt;&gt;0,INDEX(Tabla16[],MATCH(A28&amp;B28,Tabla16[Concatenado],0),IF(R28="Si",4,5)),"")</f>
        <v/>
      </c>
      <c r="D28" s="527" t="str">
        <f>IF(B28&lt;&gt;0,INDEX(Tabla16[],MATCH(A28&amp;B28,Tabla16[Concatenado],0),6),"")</f>
        <v/>
      </c>
      <c r="E28" s="527" t="str">
        <f>IFERROR(IF(B28&lt;&gt;0,INDEX(Tabla16[],MATCH(A28&amp;B28,Tabla16[Concatenado],0),IF(F$3=TS!$O$2,7,IF(F$3=TS!$O$3,8,IF(F$3=TS!$O$4,9,"")))),""),"")</f>
        <v/>
      </c>
      <c r="F28" s="527" t="str">
        <f>IF(B28&lt;&gt;0,INDEX(Tabla16[],MATCH(A28&amp;B28,Tabla16[Concatenado],0),10),"")</f>
        <v/>
      </c>
      <c r="G28" s="527" t="str">
        <f>IF(B28&lt;&gt;0,INDEX(Tabla18[],MATCH(A28,Tabla18[Nombre],0),2),"")</f>
        <v/>
      </c>
      <c r="H28" s="527" t="str">
        <f>IF(B28&lt;&gt;0,INDEX(Tabla18[],MATCH(A28,Tabla18[Nombre],0),3),"")</f>
        <v/>
      </c>
      <c r="I28" s="527" t="str">
        <f>IF(B28&lt;&gt;0,INDEX(Tabla18[],MATCH(A28,Tabla18[Nombre],0),4),"")</f>
        <v/>
      </c>
      <c r="J28" s="527" t="str">
        <f>IF(B28&lt;&gt;0,INDEX(Tabla18[],MATCH(A28,Tabla18[Nombre],0),5),"")</f>
        <v/>
      </c>
      <c r="K28" s="596" t="str">
        <f>IF(B28&lt;&gt;0,INDEX(Tabla18[],MATCH(A28,Tabla18[Nombre],0),6),"")</f>
        <v/>
      </c>
      <c r="L28" s="598"/>
      <c r="M28" s="527"/>
      <c r="N28" s="527"/>
      <c r="O28" s="527"/>
      <c r="P28" s="527"/>
      <c r="Q28" s="600"/>
      <c r="R28" s="608"/>
      <c r="V28" s="606" t="s">
        <v>6840</v>
      </c>
      <c r="W28" s="556"/>
      <c r="X28" s="527" t="str">
        <f>IF(W28&lt;&gt;0,INDEX(Tabla16[],MATCH(V28&amp;W28,Tabla16[Concatenado],0),IF(AM28="Si",4,5)),"")</f>
        <v/>
      </c>
      <c r="Y28" s="527" t="str">
        <f>IF(W28&lt;&gt;0,INDEX(Tabla16[],MATCH(V28&amp;W28,Tabla16[Concatenado],0),6),"")</f>
        <v/>
      </c>
      <c r="Z28" s="527" t="str">
        <f>IFERROR(IF(W28&lt;&gt;0,INDEX(Tabla16[],MATCH(V28&amp;W28,Tabla16[Concatenado],0),IF(AA$3=TS!$O$2,7,IF(AA$3=TS!$O$3,8,IF(AA$3=TS!$O$4,9,"")))),""),"")</f>
        <v/>
      </c>
      <c r="AA28" s="527" t="str">
        <f>IF(W28&lt;&gt;0,INDEX(Tabla16[],MATCH(V28&amp;W28,Tabla16[Concatenado],0),10),"")</f>
        <v/>
      </c>
      <c r="AB28" s="527" t="str">
        <f>IF(W28&lt;&gt;0,INDEX(Tabla18[],MATCH(V28,Tabla18[Nombre],0),2),"")</f>
        <v/>
      </c>
      <c r="AC28" s="527" t="str">
        <f>IF(W28&lt;&gt;0,INDEX(Tabla18[],MATCH(V28,Tabla18[Nombre],0),3),"")</f>
        <v/>
      </c>
      <c r="AD28" s="527" t="str">
        <f>IF(W28&lt;&gt;0,INDEX(Tabla18[],MATCH(V28,Tabla18[Nombre],0),4),"")</f>
        <v/>
      </c>
      <c r="AE28" s="527" t="str">
        <f>IF(W28&lt;&gt;0,INDEX(Tabla18[],MATCH(V28,Tabla18[Nombre],0),5),"")</f>
        <v/>
      </c>
      <c r="AF28" s="596" t="str">
        <f>IF(W28&lt;&gt;0,INDEX(Tabla18[],MATCH(V28,Tabla18[Nombre],0),6),"")</f>
        <v/>
      </c>
      <c r="AG28" s="598"/>
      <c r="AH28" s="527"/>
      <c r="AI28" s="527"/>
      <c r="AJ28" s="527"/>
      <c r="AK28" s="527"/>
      <c r="AL28" s="600"/>
      <c r="AM28" s="608"/>
      <c r="AQ28" s="606" t="s">
        <v>6840</v>
      </c>
      <c r="AR28" s="556"/>
      <c r="AS28" s="527" t="str">
        <f>IF(AR28&lt;&gt;0,INDEX(Tabla16[],MATCH(AQ28&amp;AR28,Tabla16[Concatenado],0),IF(BH28="Si",4,5)),"")</f>
        <v/>
      </c>
      <c r="AT28" s="527" t="str">
        <f>IF(AR28&lt;&gt;0,INDEX(Tabla16[],MATCH(AQ28&amp;AR28,Tabla16[Concatenado],0),6),"")</f>
        <v/>
      </c>
      <c r="AU28" s="527" t="str">
        <f>IFERROR(IF(AR28&lt;&gt;0,INDEX(Tabla16[],MATCH(AQ28&amp;AR28,Tabla16[Concatenado],0),IF(AV$3=TS!$O$2,7,IF(AV$3=TS!$O$3,8,IF(AV$3=TS!$O$4,9,"")))),""),"")</f>
        <v/>
      </c>
      <c r="AV28" s="527" t="str">
        <f>IF(AR28&lt;&gt;0,INDEX(Tabla16[],MATCH(AQ28&amp;AR28,Tabla16[Concatenado],0),10),"")</f>
        <v/>
      </c>
      <c r="AW28" s="527" t="str">
        <f>IF(AR28&lt;&gt;0,INDEX(Tabla18[],MATCH(AQ28,Tabla18[Nombre],0),2),"")</f>
        <v/>
      </c>
      <c r="AX28" s="527" t="str">
        <f>IF(AR28&lt;&gt;0,INDEX(Tabla18[],MATCH(AQ28,Tabla18[Nombre],0),3),"")</f>
        <v/>
      </c>
      <c r="AY28" s="527" t="str">
        <f>IF(AR28&lt;&gt;0,INDEX(Tabla18[],MATCH(AQ28,Tabla18[Nombre],0),4),"")</f>
        <v/>
      </c>
      <c r="AZ28" s="527" t="str">
        <f>IF(AR28&lt;&gt;0,INDEX(Tabla18[],MATCH(AQ28,Tabla18[Nombre],0),5),"")</f>
        <v/>
      </c>
      <c r="BA28" s="596" t="str">
        <f>IF(AR28&lt;&gt;0,INDEX(Tabla18[],MATCH(AQ28,Tabla18[Nombre],0),6),"")</f>
        <v/>
      </c>
      <c r="BB28" s="598"/>
      <c r="BC28" s="527"/>
      <c r="BD28" s="527"/>
      <c r="BE28" s="527"/>
      <c r="BF28" s="527"/>
      <c r="BG28" s="600"/>
      <c r="BH28" s="608"/>
      <c r="BL28" s="606" t="s">
        <v>6840</v>
      </c>
      <c r="BM28" s="556"/>
      <c r="BN28" s="527" t="str">
        <f>IF(BM28&lt;&gt;0,INDEX(Tabla16[],MATCH(BL28&amp;BM28,Tabla16[Concatenado],0),IF(CC28="Si",4,5)),"")</f>
        <v/>
      </c>
      <c r="BO28" s="527" t="str">
        <f>IF(BM28&lt;&gt;0,INDEX(Tabla16[],MATCH(BL28&amp;BM28,Tabla16[Concatenado],0),6),"")</f>
        <v/>
      </c>
      <c r="BP28" s="527" t="str">
        <f>IFERROR(IF(BM28&lt;&gt;0,INDEX(Tabla16[],MATCH(BL28&amp;BM28,Tabla16[Concatenado],0),IF(BQ$3=TS!$O$2,7,IF(BQ$3=TS!$O$3,8,IF(BQ$3=TS!$O$4,9,"")))),""),"")</f>
        <v/>
      </c>
      <c r="BQ28" s="527" t="str">
        <f>IF(BM28&lt;&gt;0,INDEX(Tabla16[],MATCH(BL28&amp;BM28,Tabla16[Concatenado],0),10),"")</f>
        <v/>
      </c>
      <c r="BR28" s="527" t="str">
        <f>IF(BM28&lt;&gt;0,INDEX(Tabla18[],MATCH(BL28,Tabla18[Nombre],0),2),"")</f>
        <v/>
      </c>
      <c r="BS28" s="527" t="str">
        <f>IF(BM28&lt;&gt;0,INDEX(Tabla18[],MATCH(BL28,Tabla18[Nombre],0),3),"")</f>
        <v/>
      </c>
      <c r="BT28" s="527" t="str">
        <f>IF(BM28&lt;&gt;0,INDEX(Tabla18[],MATCH(BL28,Tabla18[Nombre],0),4),"")</f>
        <v/>
      </c>
      <c r="BU28" s="527" t="str">
        <f>IF(BM28&lt;&gt;0,INDEX(Tabla18[],MATCH(BL28,Tabla18[Nombre],0),5),"")</f>
        <v/>
      </c>
      <c r="BV28" s="596" t="str">
        <f>IF(BM28&lt;&gt;0,INDEX(Tabla18[],MATCH(BL28,Tabla18[Nombre],0),6),"")</f>
        <v/>
      </c>
      <c r="BW28" s="598"/>
      <c r="BX28" s="527"/>
      <c r="BY28" s="527"/>
      <c r="BZ28" s="527"/>
      <c r="CA28" s="527"/>
      <c r="CB28" s="600"/>
      <c r="CC28" s="608"/>
    </row>
    <row r="29" spans="1:81" x14ac:dyDescent="0.2">
      <c r="A29" s="606" t="s">
        <v>6841</v>
      </c>
      <c r="B29" s="556"/>
      <c r="C29" s="527" t="str">
        <f>IF(B29&lt;&gt;0,INDEX(Tabla16[],MATCH(A29&amp;B29,Tabla16[Concatenado],0),IF(R29="Si",4,5)),"")</f>
        <v/>
      </c>
      <c r="D29" s="527" t="str">
        <f>IF(B29&lt;&gt;0,INDEX(Tabla16[],MATCH(A29&amp;B29,Tabla16[Concatenado],0),6),"")</f>
        <v/>
      </c>
      <c r="E29" s="527" t="str">
        <f>IFERROR(IF(B29&lt;&gt;0,INDEX(Tabla16[],MATCH(A29&amp;B29,Tabla16[Concatenado],0),IF(F$3=TS!$O$2,7,IF(F$3=TS!$O$3,8,IF(F$3=TS!$O$4,9,"")))),""),"")</f>
        <v/>
      </c>
      <c r="F29" s="527" t="str">
        <f>IF(B29&lt;&gt;0,INDEX(Tabla16[],MATCH(A29&amp;B29,Tabla16[Concatenado],0),10),"")</f>
        <v/>
      </c>
      <c r="G29" s="527" t="str">
        <f>IF(B29&lt;&gt;0,INDEX(Tabla18[],MATCH(A29,Tabla18[Nombre],0),2),"")</f>
        <v/>
      </c>
      <c r="H29" s="527" t="str">
        <f>IF(B29&lt;&gt;0,INDEX(Tabla18[],MATCH(A29,Tabla18[Nombre],0),3),"")</f>
        <v/>
      </c>
      <c r="I29" s="527" t="str">
        <f>IF(B29&lt;&gt;0,INDEX(Tabla18[],MATCH(A29,Tabla18[Nombre],0),4),"")</f>
        <v/>
      </c>
      <c r="J29" s="527" t="str">
        <f>IF(B29&lt;&gt;0,INDEX(Tabla18[],MATCH(A29,Tabla18[Nombre],0),5),"")</f>
        <v/>
      </c>
      <c r="K29" s="596" t="str">
        <f>IF(B29&lt;&gt;0,INDEX(Tabla18[],MATCH(A29,Tabla18[Nombre],0),6),"")</f>
        <v/>
      </c>
      <c r="L29" s="598"/>
      <c r="M29" s="527"/>
      <c r="N29" s="527"/>
      <c r="O29" s="527"/>
      <c r="P29" s="527"/>
      <c r="Q29" s="600"/>
      <c r="R29" s="608"/>
      <c r="V29" s="606" t="s">
        <v>6841</v>
      </c>
      <c r="W29" s="556"/>
      <c r="X29" s="527" t="str">
        <f>IF(W29&lt;&gt;0,INDEX(Tabla16[],MATCH(V29&amp;W29,Tabla16[Concatenado],0),IF(AM29="Si",4,5)),"")</f>
        <v/>
      </c>
      <c r="Y29" s="527" t="str">
        <f>IF(W29&lt;&gt;0,INDEX(Tabla16[],MATCH(V29&amp;W29,Tabla16[Concatenado],0),6),"")</f>
        <v/>
      </c>
      <c r="Z29" s="527" t="str">
        <f>IFERROR(IF(W29&lt;&gt;0,INDEX(Tabla16[],MATCH(V29&amp;W29,Tabla16[Concatenado],0),IF(AA$3=TS!$O$2,7,IF(AA$3=TS!$O$3,8,IF(AA$3=TS!$O$4,9,"")))),""),"")</f>
        <v/>
      </c>
      <c r="AA29" s="527" t="str">
        <f>IF(W29&lt;&gt;0,INDEX(Tabla16[],MATCH(V29&amp;W29,Tabla16[Concatenado],0),10),"")</f>
        <v/>
      </c>
      <c r="AB29" s="527" t="str">
        <f>IF(W29&lt;&gt;0,INDEX(Tabla18[],MATCH(V29,Tabla18[Nombre],0),2),"")</f>
        <v/>
      </c>
      <c r="AC29" s="527" t="str">
        <f>IF(W29&lt;&gt;0,INDEX(Tabla18[],MATCH(V29,Tabla18[Nombre],0),3),"")</f>
        <v/>
      </c>
      <c r="AD29" s="527" t="str">
        <f>IF(W29&lt;&gt;0,INDEX(Tabla18[],MATCH(V29,Tabla18[Nombre],0),4),"")</f>
        <v/>
      </c>
      <c r="AE29" s="527" t="str">
        <f>IF(W29&lt;&gt;0,INDEX(Tabla18[],MATCH(V29,Tabla18[Nombre],0),5),"")</f>
        <v/>
      </c>
      <c r="AF29" s="596" t="str">
        <f>IF(W29&lt;&gt;0,INDEX(Tabla18[],MATCH(V29,Tabla18[Nombre],0),6),"")</f>
        <v/>
      </c>
      <c r="AG29" s="598"/>
      <c r="AH29" s="527"/>
      <c r="AI29" s="527"/>
      <c r="AJ29" s="527"/>
      <c r="AK29" s="527"/>
      <c r="AL29" s="600"/>
      <c r="AM29" s="608"/>
      <c r="AQ29" s="606" t="s">
        <v>6841</v>
      </c>
      <c r="AR29" s="556"/>
      <c r="AS29" s="527" t="str">
        <f>IF(AR29&lt;&gt;0,INDEX(Tabla16[],MATCH(AQ29&amp;AR29,Tabla16[Concatenado],0),IF(BH29="Si",4,5)),"")</f>
        <v/>
      </c>
      <c r="AT29" s="527" t="str">
        <f>IF(AR29&lt;&gt;0,INDEX(Tabla16[],MATCH(AQ29&amp;AR29,Tabla16[Concatenado],0),6),"")</f>
        <v/>
      </c>
      <c r="AU29" s="527" t="str">
        <f>IFERROR(IF(AR29&lt;&gt;0,INDEX(Tabla16[],MATCH(AQ29&amp;AR29,Tabla16[Concatenado],0),IF(AV$3=TS!$O$2,7,IF(AV$3=TS!$O$3,8,IF(AV$3=TS!$O$4,9,"")))),""),"")</f>
        <v/>
      </c>
      <c r="AV29" s="527" t="str">
        <f>IF(AR29&lt;&gt;0,INDEX(Tabla16[],MATCH(AQ29&amp;AR29,Tabla16[Concatenado],0),10),"")</f>
        <v/>
      </c>
      <c r="AW29" s="527" t="str">
        <f>IF(AR29&lt;&gt;0,INDEX(Tabla18[],MATCH(AQ29,Tabla18[Nombre],0),2),"")</f>
        <v/>
      </c>
      <c r="AX29" s="527" t="str">
        <f>IF(AR29&lt;&gt;0,INDEX(Tabla18[],MATCH(AQ29,Tabla18[Nombre],0),3),"")</f>
        <v/>
      </c>
      <c r="AY29" s="527" t="str">
        <f>IF(AR29&lt;&gt;0,INDEX(Tabla18[],MATCH(AQ29,Tabla18[Nombre],0),4),"")</f>
        <v/>
      </c>
      <c r="AZ29" s="527" t="str">
        <f>IF(AR29&lt;&gt;0,INDEX(Tabla18[],MATCH(AQ29,Tabla18[Nombre],0),5),"")</f>
        <v/>
      </c>
      <c r="BA29" s="596" t="str">
        <f>IF(AR29&lt;&gt;0,INDEX(Tabla18[],MATCH(AQ29,Tabla18[Nombre],0),6),"")</f>
        <v/>
      </c>
      <c r="BB29" s="598"/>
      <c r="BC29" s="527"/>
      <c r="BD29" s="527"/>
      <c r="BE29" s="527"/>
      <c r="BF29" s="527"/>
      <c r="BG29" s="600"/>
      <c r="BH29" s="608"/>
      <c r="BL29" s="606" t="s">
        <v>6841</v>
      </c>
      <c r="BM29" s="556"/>
      <c r="BN29" s="527" t="str">
        <f>IF(BM29&lt;&gt;0,INDEX(Tabla16[],MATCH(BL29&amp;BM29,Tabla16[Concatenado],0),IF(CC29="Si",4,5)),"")</f>
        <v/>
      </c>
      <c r="BO29" s="527" t="str">
        <f>IF(BM29&lt;&gt;0,INDEX(Tabla16[],MATCH(BL29&amp;BM29,Tabla16[Concatenado],0),6),"")</f>
        <v/>
      </c>
      <c r="BP29" s="527" t="str">
        <f>IFERROR(IF(BM29&lt;&gt;0,INDEX(Tabla16[],MATCH(BL29&amp;BM29,Tabla16[Concatenado],0),IF(BQ$3=TS!$O$2,7,IF(BQ$3=TS!$O$3,8,IF(BQ$3=TS!$O$4,9,"")))),""),"")</f>
        <v/>
      </c>
      <c r="BQ29" s="527" t="str">
        <f>IF(BM29&lt;&gt;0,INDEX(Tabla16[],MATCH(BL29&amp;BM29,Tabla16[Concatenado],0),10),"")</f>
        <v/>
      </c>
      <c r="BR29" s="527" t="str">
        <f>IF(BM29&lt;&gt;0,INDEX(Tabla18[],MATCH(BL29,Tabla18[Nombre],0),2),"")</f>
        <v/>
      </c>
      <c r="BS29" s="527" t="str">
        <f>IF(BM29&lt;&gt;0,INDEX(Tabla18[],MATCH(BL29,Tabla18[Nombre],0),3),"")</f>
        <v/>
      </c>
      <c r="BT29" s="527" t="str">
        <f>IF(BM29&lt;&gt;0,INDEX(Tabla18[],MATCH(BL29,Tabla18[Nombre],0),4),"")</f>
        <v/>
      </c>
      <c r="BU29" s="527" t="str">
        <f>IF(BM29&lt;&gt;0,INDEX(Tabla18[],MATCH(BL29,Tabla18[Nombre],0),5),"")</f>
        <v/>
      </c>
      <c r="BV29" s="596" t="str">
        <f>IF(BM29&lt;&gt;0,INDEX(Tabla18[],MATCH(BL29,Tabla18[Nombre],0),6),"")</f>
        <v/>
      </c>
      <c r="BW29" s="598"/>
      <c r="BX29" s="527"/>
      <c r="BY29" s="527"/>
      <c r="BZ29" s="527"/>
      <c r="CA29" s="527"/>
      <c r="CB29" s="600"/>
      <c r="CC29" s="608"/>
    </row>
    <row r="30" spans="1:81" x14ac:dyDescent="0.2">
      <c r="A30" s="606" t="s">
        <v>6842</v>
      </c>
      <c r="B30" s="556"/>
      <c r="C30" s="527" t="str">
        <f>IF(B30&lt;&gt;0,INDEX(Tabla16[],MATCH(A30&amp;B30,Tabla16[Concatenado],0),IF(R30="Si",4,5)),"")</f>
        <v/>
      </c>
      <c r="D30" s="527" t="str">
        <f>IF(B30&lt;&gt;0,INDEX(Tabla16[],MATCH(A30&amp;B30,Tabla16[Concatenado],0),6),"")</f>
        <v/>
      </c>
      <c r="E30" s="527" t="str">
        <f>IFERROR(IF(B30&lt;&gt;0,INDEX(Tabla16[],MATCH(A30&amp;B30,Tabla16[Concatenado],0),IF(F$3=TS!$O$2,7,IF(F$3=TS!$O$3,8,IF(F$3=TS!$O$4,9,"")))),""),"")</f>
        <v/>
      </c>
      <c r="F30" s="527" t="str">
        <f>IF(B30&lt;&gt;0,INDEX(Tabla16[],MATCH(A30&amp;B30,Tabla16[Concatenado],0),10),"")</f>
        <v/>
      </c>
      <c r="G30" s="527" t="str">
        <f>IF(B30&lt;&gt;0,INDEX(Tabla18[],MATCH(A30,Tabla18[Nombre],0),2),"")</f>
        <v/>
      </c>
      <c r="H30" s="527" t="str">
        <f>IF(B30&lt;&gt;0,INDEX(Tabla18[],MATCH(A30,Tabla18[Nombre],0),3),"")</f>
        <v/>
      </c>
      <c r="I30" s="527" t="str">
        <f>IF(B30&lt;&gt;0,INDEX(Tabla18[],MATCH(A30,Tabla18[Nombre],0),4),"")</f>
        <v/>
      </c>
      <c r="J30" s="527" t="str">
        <f>IF(B30&lt;&gt;0,INDEX(Tabla18[],MATCH(A30,Tabla18[Nombre],0),5),"")</f>
        <v/>
      </c>
      <c r="K30" s="596" t="str">
        <f>IF(B30&lt;&gt;0,INDEX(Tabla18[],MATCH(A30,Tabla18[Nombre],0),6),"")</f>
        <v/>
      </c>
      <c r="L30" s="598"/>
      <c r="M30" s="527"/>
      <c r="N30" s="527"/>
      <c r="O30" s="527"/>
      <c r="P30" s="527"/>
      <c r="Q30" s="600"/>
      <c r="R30" s="608"/>
      <c r="V30" s="606" t="s">
        <v>6842</v>
      </c>
      <c r="W30" s="556"/>
      <c r="X30" s="527" t="str">
        <f>IF(W30&lt;&gt;0,INDEX(Tabla16[],MATCH(V30&amp;W30,Tabla16[Concatenado],0),IF(AM30="Si",4,5)),"")</f>
        <v/>
      </c>
      <c r="Y30" s="527" t="str">
        <f>IF(W30&lt;&gt;0,INDEX(Tabla16[],MATCH(V30&amp;W30,Tabla16[Concatenado],0),6),"")</f>
        <v/>
      </c>
      <c r="Z30" s="527" t="str">
        <f>IFERROR(IF(W30&lt;&gt;0,INDEX(Tabla16[],MATCH(V30&amp;W30,Tabla16[Concatenado],0),IF(AA$3=TS!$O$2,7,IF(AA$3=TS!$O$3,8,IF(AA$3=TS!$O$4,9,"")))),""),"")</f>
        <v/>
      </c>
      <c r="AA30" s="527" t="str">
        <f>IF(W30&lt;&gt;0,INDEX(Tabla16[],MATCH(V30&amp;W30,Tabla16[Concatenado],0),10),"")</f>
        <v/>
      </c>
      <c r="AB30" s="527" t="str">
        <f>IF(W30&lt;&gt;0,INDEX(Tabla18[],MATCH(V30,Tabla18[Nombre],0),2),"")</f>
        <v/>
      </c>
      <c r="AC30" s="527" t="str">
        <f>IF(W30&lt;&gt;0,INDEX(Tabla18[],MATCH(V30,Tabla18[Nombre],0),3),"")</f>
        <v/>
      </c>
      <c r="AD30" s="527" t="str">
        <f>IF(W30&lt;&gt;0,INDEX(Tabla18[],MATCH(V30,Tabla18[Nombre],0),4),"")</f>
        <v/>
      </c>
      <c r="AE30" s="527" t="str">
        <f>IF(W30&lt;&gt;0,INDEX(Tabla18[],MATCH(V30,Tabla18[Nombre],0),5),"")</f>
        <v/>
      </c>
      <c r="AF30" s="596" t="str">
        <f>IF(W30&lt;&gt;0,INDEX(Tabla18[],MATCH(V30,Tabla18[Nombre],0),6),"")</f>
        <v/>
      </c>
      <c r="AG30" s="598"/>
      <c r="AH30" s="527"/>
      <c r="AI30" s="527"/>
      <c r="AJ30" s="527"/>
      <c r="AK30" s="527"/>
      <c r="AL30" s="600"/>
      <c r="AM30" s="608"/>
      <c r="AQ30" s="606" t="s">
        <v>6842</v>
      </c>
      <c r="AR30" s="556"/>
      <c r="AS30" s="527" t="str">
        <f>IF(AR30&lt;&gt;0,INDEX(Tabla16[],MATCH(AQ30&amp;AR30,Tabla16[Concatenado],0),IF(BH30="Si",4,5)),"")</f>
        <v/>
      </c>
      <c r="AT30" s="527" t="str">
        <f>IF(AR30&lt;&gt;0,INDEX(Tabla16[],MATCH(AQ30&amp;AR30,Tabla16[Concatenado],0),6),"")</f>
        <v/>
      </c>
      <c r="AU30" s="527" t="str">
        <f>IFERROR(IF(AR30&lt;&gt;0,INDEX(Tabla16[],MATCH(AQ30&amp;AR30,Tabla16[Concatenado],0),IF(AV$3=TS!$O$2,7,IF(AV$3=TS!$O$3,8,IF(AV$3=TS!$O$4,9,"")))),""),"")</f>
        <v/>
      </c>
      <c r="AV30" s="527" t="str">
        <f>IF(AR30&lt;&gt;0,INDEX(Tabla16[],MATCH(AQ30&amp;AR30,Tabla16[Concatenado],0),10),"")</f>
        <v/>
      </c>
      <c r="AW30" s="527" t="str">
        <f>IF(AR30&lt;&gt;0,INDEX(Tabla18[],MATCH(AQ30,Tabla18[Nombre],0),2),"")</f>
        <v/>
      </c>
      <c r="AX30" s="527" t="str">
        <f>IF(AR30&lt;&gt;0,INDEX(Tabla18[],MATCH(AQ30,Tabla18[Nombre],0),3),"")</f>
        <v/>
      </c>
      <c r="AY30" s="527" t="str">
        <f>IF(AR30&lt;&gt;0,INDEX(Tabla18[],MATCH(AQ30,Tabla18[Nombre],0),4),"")</f>
        <v/>
      </c>
      <c r="AZ30" s="527" t="str">
        <f>IF(AR30&lt;&gt;0,INDEX(Tabla18[],MATCH(AQ30,Tabla18[Nombre],0),5),"")</f>
        <v/>
      </c>
      <c r="BA30" s="596" t="str">
        <f>IF(AR30&lt;&gt;0,INDEX(Tabla18[],MATCH(AQ30,Tabla18[Nombre],0),6),"")</f>
        <v/>
      </c>
      <c r="BB30" s="598"/>
      <c r="BC30" s="527"/>
      <c r="BD30" s="527"/>
      <c r="BE30" s="527"/>
      <c r="BF30" s="527"/>
      <c r="BG30" s="600"/>
      <c r="BH30" s="608"/>
      <c r="BL30" s="606" t="s">
        <v>6842</v>
      </c>
      <c r="BM30" s="556"/>
      <c r="BN30" s="527" t="str">
        <f>IF(BM30&lt;&gt;0,INDEX(Tabla16[],MATCH(BL30&amp;BM30,Tabla16[Concatenado],0),IF(CC30="Si",4,5)),"")</f>
        <v/>
      </c>
      <c r="BO30" s="527" t="str">
        <f>IF(BM30&lt;&gt;0,INDEX(Tabla16[],MATCH(BL30&amp;BM30,Tabla16[Concatenado],0),6),"")</f>
        <v/>
      </c>
      <c r="BP30" s="527" t="str">
        <f>IFERROR(IF(BM30&lt;&gt;0,INDEX(Tabla16[],MATCH(BL30&amp;BM30,Tabla16[Concatenado],0),IF(BQ$3=TS!$O$2,7,IF(BQ$3=TS!$O$3,8,IF(BQ$3=TS!$O$4,9,"")))),""),"")</f>
        <v/>
      </c>
      <c r="BQ30" s="527" t="str">
        <f>IF(BM30&lt;&gt;0,INDEX(Tabla16[],MATCH(BL30&amp;BM30,Tabla16[Concatenado],0),10),"")</f>
        <v/>
      </c>
      <c r="BR30" s="527" t="str">
        <f>IF(BM30&lt;&gt;0,INDEX(Tabla18[],MATCH(BL30,Tabla18[Nombre],0),2),"")</f>
        <v/>
      </c>
      <c r="BS30" s="527" t="str">
        <f>IF(BM30&lt;&gt;0,INDEX(Tabla18[],MATCH(BL30,Tabla18[Nombre],0),3),"")</f>
        <v/>
      </c>
      <c r="BT30" s="527" t="str">
        <f>IF(BM30&lt;&gt;0,INDEX(Tabla18[],MATCH(BL30,Tabla18[Nombre],0),4),"")</f>
        <v/>
      </c>
      <c r="BU30" s="527" t="str">
        <f>IF(BM30&lt;&gt;0,INDEX(Tabla18[],MATCH(BL30,Tabla18[Nombre],0),5),"")</f>
        <v/>
      </c>
      <c r="BV30" s="596" t="str">
        <f>IF(BM30&lt;&gt;0,INDEX(Tabla18[],MATCH(BL30,Tabla18[Nombre],0),6),"")</f>
        <v/>
      </c>
      <c r="BW30" s="598"/>
      <c r="BX30" s="527"/>
      <c r="BY30" s="527"/>
      <c r="BZ30" s="527"/>
      <c r="CA30" s="527"/>
      <c r="CB30" s="600"/>
      <c r="CC30" s="608"/>
    </row>
    <row r="31" spans="1:81" x14ac:dyDescent="0.2">
      <c r="A31" s="610" t="s">
        <v>6846</v>
      </c>
      <c r="B31" s="555" t="s">
        <v>164</v>
      </c>
      <c r="C31" s="306" t="s">
        <v>7163</v>
      </c>
      <c r="D31" s="306" t="s">
        <v>5</v>
      </c>
      <c r="E31" s="306" t="s">
        <v>69</v>
      </c>
      <c r="F31" s="306" t="s">
        <v>14</v>
      </c>
      <c r="G31" s="306" t="s">
        <v>26</v>
      </c>
      <c r="H31" s="306" t="s">
        <v>277</v>
      </c>
      <c r="I31" s="306" t="s">
        <v>6791</v>
      </c>
      <c r="J31" s="306" t="s">
        <v>6792</v>
      </c>
      <c r="K31" s="597" t="s">
        <v>7162</v>
      </c>
      <c r="L31" s="601" t="s">
        <v>36</v>
      </c>
      <c r="M31" s="306" t="s">
        <v>46</v>
      </c>
      <c r="N31" s="306" t="s">
        <v>57</v>
      </c>
      <c r="O31" s="306" t="s">
        <v>66</v>
      </c>
      <c r="P31" s="306" t="s">
        <v>59</v>
      </c>
      <c r="Q31" s="602" t="s">
        <v>58</v>
      </c>
      <c r="R31" s="611" t="s">
        <v>6787</v>
      </c>
      <c r="V31" s="610" t="s">
        <v>6846</v>
      </c>
      <c r="W31" s="555" t="s">
        <v>164</v>
      </c>
      <c r="X31" s="306" t="s">
        <v>7163</v>
      </c>
      <c r="Y31" s="306" t="s">
        <v>5</v>
      </c>
      <c r="Z31" s="306" t="s">
        <v>69</v>
      </c>
      <c r="AA31" s="306" t="s">
        <v>14</v>
      </c>
      <c r="AB31" s="306" t="s">
        <v>26</v>
      </c>
      <c r="AC31" s="306" t="s">
        <v>277</v>
      </c>
      <c r="AD31" s="306" t="s">
        <v>6791</v>
      </c>
      <c r="AE31" s="306" t="s">
        <v>6792</v>
      </c>
      <c r="AF31" s="597" t="s">
        <v>7162</v>
      </c>
      <c r="AG31" s="601" t="s">
        <v>36</v>
      </c>
      <c r="AH31" s="306" t="s">
        <v>46</v>
      </c>
      <c r="AI31" s="306" t="s">
        <v>57</v>
      </c>
      <c r="AJ31" s="306" t="s">
        <v>66</v>
      </c>
      <c r="AK31" s="306" t="s">
        <v>59</v>
      </c>
      <c r="AL31" s="602" t="s">
        <v>58</v>
      </c>
      <c r="AM31" s="611" t="s">
        <v>6787</v>
      </c>
      <c r="AQ31" s="610" t="s">
        <v>6846</v>
      </c>
      <c r="AR31" s="555" t="s">
        <v>164</v>
      </c>
      <c r="AS31" s="306" t="s">
        <v>7163</v>
      </c>
      <c r="AT31" s="306" t="s">
        <v>5</v>
      </c>
      <c r="AU31" s="306" t="s">
        <v>69</v>
      </c>
      <c r="AV31" s="306" t="s">
        <v>14</v>
      </c>
      <c r="AW31" s="306" t="s">
        <v>26</v>
      </c>
      <c r="AX31" s="306" t="s">
        <v>277</v>
      </c>
      <c r="AY31" s="306" t="s">
        <v>6791</v>
      </c>
      <c r="AZ31" s="306" t="s">
        <v>6792</v>
      </c>
      <c r="BA31" s="597" t="s">
        <v>7162</v>
      </c>
      <c r="BB31" s="601" t="s">
        <v>36</v>
      </c>
      <c r="BC31" s="306" t="s">
        <v>46</v>
      </c>
      <c r="BD31" s="306" t="s">
        <v>57</v>
      </c>
      <c r="BE31" s="306" t="s">
        <v>66</v>
      </c>
      <c r="BF31" s="306" t="s">
        <v>59</v>
      </c>
      <c r="BG31" s="602" t="s">
        <v>58</v>
      </c>
      <c r="BH31" s="611" t="s">
        <v>6787</v>
      </c>
      <c r="BL31" s="610" t="s">
        <v>6846</v>
      </c>
      <c r="BM31" s="555" t="s">
        <v>164</v>
      </c>
      <c r="BN31" s="306" t="s">
        <v>7163</v>
      </c>
      <c r="BO31" s="306" t="s">
        <v>5</v>
      </c>
      <c r="BP31" s="306" t="s">
        <v>69</v>
      </c>
      <c r="BQ31" s="306" t="s">
        <v>14</v>
      </c>
      <c r="BR31" s="306" t="s">
        <v>26</v>
      </c>
      <c r="BS31" s="306" t="s">
        <v>277</v>
      </c>
      <c r="BT31" s="306" t="s">
        <v>6791</v>
      </c>
      <c r="BU31" s="306" t="s">
        <v>6792</v>
      </c>
      <c r="BV31" s="597" t="s">
        <v>7162</v>
      </c>
      <c r="BW31" s="601" t="s">
        <v>36</v>
      </c>
      <c r="BX31" s="306" t="s">
        <v>46</v>
      </c>
      <c r="BY31" s="306" t="s">
        <v>57</v>
      </c>
      <c r="BZ31" s="306" t="s">
        <v>66</v>
      </c>
      <c r="CA31" s="306" t="s">
        <v>59</v>
      </c>
      <c r="CB31" s="602" t="s">
        <v>58</v>
      </c>
      <c r="CC31" s="611" t="s">
        <v>6787</v>
      </c>
    </row>
    <row r="32" spans="1:81" x14ac:dyDescent="0.2">
      <c r="A32" s="606" t="s">
        <v>6847</v>
      </c>
      <c r="B32" s="556"/>
      <c r="C32" s="527" t="str">
        <f>IF(B32&lt;&gt;0,INDEX(Tabla16[],MATCH(A32&amp;B32,Tabla16[Concatenado],0),IF(R32="Si",4,5)),"")</f>
        <v/>
      </c>
      <c r="D32" s="527" t="str">
        <f>IF(B32&lt;&gt;0,INDEX(Tabla16[],MATCH(A32&amp;B32,Tabla16[Concatenado],0),6),"")</f>
        <v/>
      </c>
      <c r="E32" s="527" t="str">
        <f>IFERROR(IF(B32&lt;&gt;0,INDEX(Tabla16[],MATCH(A32&amp;B32,Tabla16[Concatenado],0),IF(F$3=TS!$O$2,7,IF(F$3=TS!$O$3,8,IF(F$3=TS!$O$4,9,"")))),""),"")</f>
        <v/>
      </c>
      <c r="F32" s="527" t="str">
        <f>IF(B32&lt;&gt;0,INDEX(Tabla16[],MATCH(A32&amp;B32,Tabla16[Concatenado],0),10),"")</f>
        <v/>
      </c>
      <c r="G32" s="527" t="str">
        <f>IF(B32&lt;&gt;0,INDEX(Tabla18[],MATCH(A32,Tabla18[Nombre],0),2),"")</f>
        <v/>
      </c>
      <c r="H32" s="527" t="str">
        <f>IF(B32&lt;&gt;0,INDEX(Tabla18[],MATCH(A32,Tabla18[Nombre],0),3),"")</f>
        <v/>
      </c>
      <c r="I32" s="527" t="str">
        <f>IF(B32&lt;&gt;0,INDEX(Tabla18[],MATCH(A32,Tabla18[Nombre],0),4),"")</f>
        <v/>
      </c>
      <c r="J32" s="527" t="str">
        <f>IF(B32&lt;&gt;0,INDEX(Tabla18[],MATCH(A32,Tabla18[Nombre],0),5),"")</f>
        <v/>
      </c>
      <c r="K32" s="596" t="str">
        <f>IF(B32&lt;&gt;0,INDEX(Tabla18[],MATCH(A32,Tabla18[Nombre],0),6),"")</f>
        <v/>
      </c>
      <c r="L32" s="598"/>
      <c r="M32" s="527"/>
      <c r="N32" s="527"/>
      <c r="O32" s="527"/>
      <c r="P32" s="527"/>
      <c r="Q32" s="600"/>
      <c r="R32" s="608"/>
      <c r="V32" s="606" t="s">
        <v>6847</v>
      </c>
      <c r="W32" s="556"/>
      <c r="X32" s="527" t="str">
        <f>IF(W32&lt;&gt;0,INDEX(Tabla16[],MATCH(V32&amp;W32,Tabla16[Concatenado],0),IF(AM32="Si",4,5)),"")</f>
        <v/>
      </c>
      <c r="Y32" s="527" t="str">
        <f>IF(W32&lt;&gt;0,INDEX(Tabla16[],MATCH(V32&amp;W32,Tabla16[Concatenado],0),6),"")</f>
        <v/>
      </c>
      <c r="Z32" s="527" t="str">
        <f>IFERROR(IF(W32&lt;&gt;0,INDEX(Tabla16[],MATCH(V32&amp;W32,Tabla16[Concatenado],0),IF(AA$3=TS!$O$2,7,IF(AA$3=TS!$O$3,8,IF(AA$3=TS!$O$4,9,"")))),""),"")</f>
        <v/>
      </c>
      <c r="AA32" s="527" t="str">
        <f>IF(W32&lt;&gt;0,INDEX(Tabla16[],MATCH(V32&amp;W32,Tabla16[Concatenado],0),10),"")</f>
        <v/>
      </c>
      <c r="AB32" s="527" t="str">
        <f>IF(W32&lt;&gt;0,INDEX(Tabla18[],MATCH(V32,Tabla18[Nombre],0),2),"")</f>
        <v/>
      </c>
      <c r="AC32" s="527" t="str">
        <f>IF(W32&lt;&gt;0,INDEX(Tabla18[],MATCH(V32,Tabla18[Nombre],0),3),"")</f>
        <v/>
      </c>
      <c r="AD32" s="527" t="str">
        <f>IF(W32&lt;&gt;0,INDEX(Tabla18[],MATCH(V32,Tabla18[Nombre],0),4),"")</f>
        <v/>
      </c>
      <c r="AE32" s="527" t="str">
        <f>IF(W32&lt;&gt;0,INDEX(Tabla18[],MATCH(V32,Tabla18[Nombre],0),5),"")</f>
        <v/>
      </c>
      <c r="AF32" s="596" t="str">
        <f>IF(W32&lt;&gt;0,INDEX(Tabla18[],MATCH(V32,Tabla18[Nombre],0),6),"")</f>
        <v/>
      </c>
      <c r="AG32" s="598"/>
      <c r="AH32" s="527"/>
      <c r="AI32" s="527"/>
      <c r="AJ32" s="527"/>
      <c r="AK32" s="527"/>
      <c r="AL32" s="600"/>
      <c r="AM32" s="608"/>
      <c r="AQ32" s="606" t="s">
        <v>6847</v>
      </c>
      <c r="AR32" s="556"/>
      <c r="AS32" s="527" t="str">
        <f>IF(AR32&lt;&gt;0,INDEX(Tabla16[],MATCH(AQ32&amp;AR32,Tabla16[Concatenado],0),IF(BH32="Si",4,5)),"")</f>
        <v/>
      </c>
      <c r="AT32" s="527" t="str">
        <f>IF(AR32&lt;&gt;0,INDEX(Tabla16[],MATCH(AQ32&amp;AR32,Tabla16[Concatenado],0),6),"")</f>
        <v/>
      </c>
      <c r="AU32" s="527" t="str">
        <f>IFERROR(IF(AR32&lt;&gt;0,INDEX(Tabla16[],MATCH(AQ32&amp;AR32,Tabla16[Concatenado],0),IF(AV$3=TS!$O$2,7,IF(AV$3=TS!$O$3,8,IF(AV$3=TS!$O$4,9,"")))),""),"")</f>
        <v/>
      </c>
      <c r="AV32" s="527" t="str">
        <f>IF(AR32&lt;&gt;0,INDEX(Tabla16[],MATCH(AQ32&amp;AR32,Tabla16[Concatenado],0),10),"")</f>
        <v/>
      </c>
      <c r="AW32" s="527" t="str">
        <f>IF(AR32&lt;&gt;0,INDEX(Tabla18[],MATCH(AQ32,Tabla18[Nombre],0),2),"")</f>
        <v/>
      </c>
      <c r="AX32" s="527" t="str">
        <f>IF(AR32&lt;&gt;0,INDEX(Tabla18[],MATCH(AQ32,Tabla18[Nombre],0),3),"")</f>
        <v/>
      </c>
      <c r="AY32" s="527" t="str">
        <f>IF(AR32&lt;&gt;0,INDEX(Tabla18[],MATCH(AQ32,Tabla18[Nombre],0),4),"")</f>
        <v/>
      </c>
      <c r="AZ32" s="527" t="str">
        <f>IF(AR32&lt;&gt;0,INDEX(Tabla18[],MATCH(AQ32,Tabla18[Nombre],0),5),"")</f>
        <v/>
      </c>
      <c r="BA32" s="596" t="str">
        <f>IF(AR32&lt;&gt;0,INDEX(Tabla18[],MATCH(AQ32,Tabla18[Nombre],0),6),"")</f>
        <v/>
      </c>
      <c r="BB32" s="598"/>
      <c r="BC32" s="527"/>
      <c r="BD32" s="527"/>
      <c r="BE32" s="527"/>
      <c r="BF32" s="527"/>
      <c r="BG32" s="600"/>
      <c r="BH32" s="608"/>
      <c r="BL32" s="606" t="s">
        <v>6847</v>
      </c>
      <c r="BM32" s="556"/>
      <c r="BN32" s="527" t="str">
        <f>IF(BM32&lt;&gt;0,INDEX(Tabla16[],MATCH(BL32&amp;BM32,Tabla16[Concatenado],0),IF(CC32="Si",4,5)),"")</f>
        <v/>
      </c>
      <c r="BO32" s="527" t="str">
        <f>IF(BM32&lt;&gt;0,INDEX(Tabla16[],MATCH(BL32&amp;BM32,Tabla16[Concatenado],0),6),"")</f>
        <v/>
      </c>
      <c r="BP32" s="527" t="str">
        <f>IFERROR(IF(BM32&lt;&gt;0,INDEX(Tabla16[],MATCH(BL32&amp;BM32,Tabla16[Concatenado],0),IF(BQ$3=TS!$O$2,7,IF(BQ$3=TS!$O$3,8,IF(BQ$3=TS!$O$4,9,"")))),""),"")</f>
        <v/>
      </c>
      <c r="BQ32" s="527" t="str">
        <f>IF(BM32&lt;&gt;0,INDEX(Tabla16[],MATCH(BL32&amp;BM32,Tabla16[Concatenado],0),10),"")</f>
        <v/>
      </c>
      <c r="BR32" s="527" t="str">
        <f>IF(BM32&lt;&gt;0,INDEX(Tabla18[],MATCH(BL32,Tabla18[Nombre],0),2),"")</f>
        <v/>
      </c>
      <c r="BS32" s="527" t="str">
        <f>IF(BM32&lt;&gt;0,INDEX(Tabla18[],MATCH(BL32,Tabla18[Nombre],0),3),"")</f>
        <v/>
      </c>
      <c r="BT32" s="527" t="str">
        <f>IF(BM32&lt;&gt;0,INDEX(Tabla18[],MATCH(BL32,Tabla18[Nombre],0),4),"")</f>
        <v/>
      </c>
      <c r="BU32" s="527" t="str">
        <f>IF(BM32&lt;&gt;0,INDEX(Tabla18[],MATCH(BL32,Tabla18[Nombre],0),5),"")</f>
        <v/>
      </c>
      <c r="BV32" s="596" t="str">
        <f>IF(BM32&lt;&gt;0,INDEX(Tabla18[],MATCH(BL32,Tabla18[Nombre],0),6),"")</f>
        <v/>
      </c>
      <c r="BW32" s="598"/>
      <c r="BX32" s="527"/>
      <c r="BY32" s="527"/>
      <c r="BZ32" s="527"/>
      <c r="CA32" s="527"/>
      <c r="CB32" s="600"/>
      <c r="CC32" s="608"/>
    </row>
    <row r="33" spans="1:81" x14ac:dyDescent="0.2">
      <c r="A33" s="606" t="s">
        <v>6848</v>
      </c>
      <c r="B33" s="556"/>
      <c r="C33" s="527" t="str">
        <f>IF(B33&lt;&gt;0,INDEX(Tabla16[],MATCH(A32&amp;A33&amp;B33,Tabla16[Concatenado],0),IF(R33="Si",4,5)),"")</f>
        <v/>
      </c>
      <c r="D33" s="527" t="str">
        <f>IF(B33&lt;&gt;0,INDEX(Tabla16[],MATCH(A32&amp;A33&amp;B33,Tabla16[Concatenado],0),6),"")</f>
        <v/>
      </c>
      <c r="E33" s="527" t="str">
        <f>IFERROR(IF(B33&lt;&gt;0,INDEX(Tabla16[],MATCH(A32&amp;A33&amp;B33,Tabla16[Concatenado],0),IF(F$3=TS!$O$2,7,IF(F$3=TS!$O$3,8,IF(F$3=TS!$O$4,9,"")))),""),"")</f>
        <v/>
      </c>
      <c r="F33" s="527" t="str">
        <f>IF(B33&lt;&gt;0,INDEX(Tabla16[],MATCH(A32&amp;A33&amp;B33,Tabla16[Concatenado],0),10),"")</f>
        <v/>
      </c>
      <c r="G33" s="527" t="str">
        <f>IF(B33&lt;&gt;0,INDEX(Tabla18[],MATCH(A33,Tabla18[Nombre],0),2),"")</f>
        <v/>
      </c>
      <c r="H33" s="527" t="str">
        <f>IF(B33&lt;&gt;0,INDEX(Tabla18[],MATCH(A33,Tabla18[Nombre],0),3),"")</f>
        <v/>
      </c>
      <c r="I33" s="527" t="str">
        <f>IF(B33&lt;&gt;0,INDEX(Tabla18[],MATCH(A33,Tabla18[Nombre],0),4),"")</f>
        <v/>
      </c>
      <c r="J33" s="527" t="str">
        <f>IF(B33&lt;&gt;0,INDEX(Tabla18[],MATCH(A33,Tabla18[Nombre],0),5),"")</f>
        <v/>
      </c>
      <c r="K33" s="596" t="str">
        <f>IF(B33&lt;&gt;0,INDEX(Tabla18[],MATCH(A33,Tabla18[Nombre],0),6),"")</f>
        <v/>
      </c>
      <c r="L33" s="598"/>
      <c r="M33" s="527"/>
      <c r="N33" s="527"/>
      <c r="O33" s="527"/>
      <c r="P33" s="527"/>
      <c r="Q33" s="600"/>
      <c r="R33" s="608"/>
      <c r="V33" s="606" t="s">
        <v>6848</v>
      </c>
      <c r="W33" s="556"/>
      <c r="X33" s="527" t="str">
        <f>IF(W33&lt;&gt;0,INDEX(Tabla16[],MATCH(V32&amp;V33&amp;W33,Tabla16[Concatenado],0),IF(AM33="Si",4,5)),"")</f>
        <v/>
      </c>
      <c r="Y33" s="527" t="str">
        <f>IF(W33&lt;&gt;0,INDEX(Tabla16[],MATCH(V32&amp;V33&amp;W33,Tabla16[Concatenado],0),6),"")</f>
        <v/>
      </c>
      <c r="Z33" s="527" t="str">
        <f>IFERROR(IF(W33&lt;&gt;0,INDEX(Tabla16[],MATCH(V32&amp;V33&amp;W33,Tabla16[Concatenado],0),IF(AA$3=TS!$O$2,7,IF(AA$3=TS!$O$3,8,IF(AA$3=TS!$O$4,9,"")))),""),"")</f>
        <v/>
      </c>
      <c r="AA33" s="527" t="str">
        <f>IF(W33&lt;&gt;0,INDEX(Tabla16[],MATCH(V32&amp;V33&amp;W33,Tabla16[Concatenado],0),10),"")</f>
        <v/>
      </c>
      <c r="AB33" s="527" t="str">
        <f>IF(W33&lt;&gt;0,INDEX(Tabla18[],MATCH(V33,Tabla18[Nombre],0),2),"")</f>
        <v/>
      </c>
      <c r="AC33" s="527" t="str">
        <f>IF(W33&lt;&gt;0,INDEX(Tabla18[],MATCH(V33,Tabla18[Nombre],0),3),"")</f>
        <v/>
      </c>
      <c r="AD33" s="527" t="str">
        <f>IF(W33&lt;&gt;0,INDEX(Tabla18[],MATCH(V33,Tabla18[Nombre],0),4),"")</f>
        <v/>
      </c>
      <c r="AE33" s="527" t="str">
        <f>IF(W33&lt;&gt;0,INDEX(Tabla18[],MATCH(V33,Tabla18[Nombre],0),5),"")</f>
        <v/>
      </c>
      <c r="AF33" s="596" t="str">
        <f>IF(W33&lt;&gt;0,INDEX(Tabla18[],MATCH(V33,Tabla18[Nombre],0),6),"")</f>
        <v/>
      </c>
      <c r="AG33" s="598"/>
      <c r="AH33" s="527"/>
      <c r="AI33" s="527"/>
      <c r="AJ33" s="527"/>
      <c r="AK33" s="527"/>
      <c r="AL33" s="600"/>
      <c r="AM33" s="608"/>
      <c r="AQ33" s="606" t="s">
        <v>6848</v>
      </c>
      <c r="AR33" s="556"/>
      <c r="AS33" s="527" t="str">
        <f>IF(AR33&lt;&gt;0,INDEX(Tabla16[],MATCH(AQ32&amp;AQ33&amp;AR33,Tabla16[Concatenado],0),IF(BH33="Si",4,5)),"")</f>
        <v/>
      </c>
      <c r="AT33" s="527" t="str">
        <f>IF(AR33&lt;&gt;0,INDEX(Tabla16[],MATCH(AQ32&amp;AQ33&amp;AR33,Tabla16[Concatenado],0),6),"")</f>
        <v/>
      </c>
      <c r="AU33" s="527" t="str">
        <f>IFERROR(IF(AR33&lt;&gt;0,INDEX(Tabla16[],MATCH(AQ32&amp;AQ33&amp;AR33,Tabla16[Concatenado],0),IF(AV$3=TS!$O$2,7,IF(AV$3=TS!$O$3,8,IF(AV$3=TS!$O$4,9,"")))),""),"")</f>
        <v/>
      </c>
      <c r="AV33" s="527" t="str">
        <f>IF(AR33&lt;&gt;0,INDEX(Tabla16[],MATCH(AQ32&amp;AQ33&amp;AR33,Tabla16[Concatenado],0),10),"")</f>
        <v/>
      </c>
      <c r="AW33" s="527" t="str">
        <f>IF(AR33&lt;&gt;0,INDEX(Tabla18[],MATCH(AQ33,Tabla18[Nombre],0),2),"")</f>
        <v/>
      </c>
      <c r="AX33" s="527" t="str">
        <f>IF(AR33&lt;&gt;0,INDEX(Tabla18[],MATCH(AQ33,Tabla18[Nombre],0),3),"")</f>
        <v/>
      </c>
      <c r="AY33" s="527" t="str">
        <f>IF(AR33&lt;&gt;0,INDEX(Tabla18[],MATCH(AQ33,Tabla18[Nombre],0),4),"")</f>
        <v/>
      </c>
      <c r="AZ33" s="527" t="str">
        <f>IF(AR33&lt;&gt;0,INDEX(Tabla18[],MATCH(AQ33,Tabla18[Nombre],0),5),"")</f>
        <v/>
      </c>
      <c r="BA33" s="596" t="str">
        <f>IF(AR33&lt;&gt;0,INDEX(Tabla18[],MATCH(AQ33,Tabla18[Nombre],0),6),"")</f>
        <v/>
      </c>
      <c r="BB33" s="598"/>
      <c r="BC33" s="527"/>
      <c r="BD33" s="527"/>
      <c r="BE33" s="527"/>
      <c r="BF33" s="527"/>
      <c r="BG33" s="600"/>
      <c r="BH33" s="608"/>
      <c r="BL33" s="606" t="s">
        <v>6848</v>
      </c>
      <c r="BM33" s="556"/>
      <c r="BN33" s="527" t="str">
        <f>IF(BM33&lt;&gt;0,INDEX(Tabla16[],MATCH(BL32&amp;BL33&amp;BM33,Tabla16[Concatenado],0),IF(CC33="Si",4,5)),"")</f>
        <v/>
      </c>
      <c r="BO33" s="527" t="str">
        <f>IF(BM33&lt;&gt;0,INDEX(Tabla16[],MATCH(BL32&amp;BL33&amp;BM33,Tabla16[Concatenado],0),6),"")</f>
        <v/>
      </c>
      <c r="BP33" s="527" t="str">
        <f>IFERROR(IF(BM33&lt;&gt;0,INDEX(Tabla16[],MATCH(BL32&amp;BL33&amp;BM33,Tabla16[Concatenado],0),IF(BQ$3=TS!$O$2,7,IF(BQ$3=TS!$O$3,8,IF(BQ$3=TS!$O$4,9,"")))),""),"")</f>
        <v/>
      </c>
      <c r="BQ33" s="527" t="str">
        <f>IF(BM33&lt;&gt;0,INDEX(Tabla16[],MATCH(BL32&amp;BL33&amp;BM33,Tabla16[Concatenado],0),10),"")</f>
        <v/>
      </c>
      <c r="BR33" s="527" t="str">
        <f>IF(BM33&lt;&gt;0,INDEX(Tabla18[],MATCH(BL33,Tabla18[Nombre],0),2),"")</f>
        <v/>
      </c>
      <c r="BS33" s="527" t="str">
        <f>IF(BM33&lt;&gt;0,INDEX(Tabla18[],MATCH(BL33,Tabla18[Nombre],0),3),"")</f>
        <v/>
      </c>
      <c r="BT33" s="527" t="str">
        <f>IF(BM33&lt;&gt;0,INDEX(Tabla18[],MATCH(BL33,Tabla18[Nombre],0),4),"")</f>
        <v/>
      </c>
      <c r="BU33" s="527" t="str">
        <f>IF(BM33&lt;&gt;0,INDEX(Tabla18[],MATCH(BL33,Tabla18[Nombre],0),5),"")</f>
        <v/>
      </c>
      <c r="BV33" s="596" t="str">
        <f>IF(BM33&lt;&gt;0,INDEX(Tabla18[],MATCH(BL33,Tabla18[Nombre],0),6),"")</f>
        <v/>
      </c>
      <c r="BW33" s="598"/>
      <c r="BX33" s="527"/>
      <c r="BY33" s="527"/>
      <c r="BZ33" s="527"/>
      <c r="CA33" s="527"/>
      <c r="CB33" s="600"/>
      <c r="CC33" s="608"/>
    </row>
    <row r="34" spans="1:81" x14ac:dyDescent="0.2">
      <c r="A34" s="606" t="s">
        <v>6849</v>
      </c>
      <c r="B34" s="556"/>
      <c r="C34" s="527" t="str">
        <f>IF(B34&lt;&gt;0,INDEX(Tabla16[],MATCH(A32&amp;A34&amp;B34,Tabla16[Concatenado],0),IF(R34="Si",4,5)),"")</f>
        <v/>
      </c>
      <c r="D34" s="527" t="str">
        <f>IF(B34&lt;&gt;0,INDEX(Tabla16[],MATCH(A32&amp;A34&amp;B34,Tabla16[Concatenado],0),6),"")</f>
        <v/>
      </c>
      <c r="E34" s="527" t="str">
        <f>IFERROR(IF(B34&lt;&gt;0,INDEX(Tabla16[],MATCH(A32&amp;A34&amp;B34,Tabla16[Concatenado],0),IF(F$3=TS!$O$2,7,IF(F$3=TS!$O$3,8,IF(F$3=TS!$O$4,9,"")))),""),"")</f>
        <v/>
      </c>
      <c r="F34" s="527" t="str">
        <f>IF(B34&lt;&gt;0,INDEX(Tabla16[],MATCH(A32&amp;A34&amp;B34,Tabla16[Concatenado],0),10),"")</f>
        <v/>
      </c>
      <c r="G34" s="527" t="str">
        <f>IF(B34&lt;&gt;0,INDEX(Tabla18[],MATCH(A34,Tabla18[Nombre],0),2),"")</f>
        <v/>
      </c>
      <c r="H34" s="527" t="str">
        <f>IF(B34&lt;&gt;0,INDEX(Tabla18[],MATCH(A34,Tabla18[Nombre],0),3),"")</f>
        <v/>
      </c>
      <c r="I34" s="527" t="str">
        <f>IF(B34&lt;&gt;0,INDEX(Tabla18[],MATCH(A34,Tabla18[Nombre],0),4),"")</f>
        <v/>
      </c>
      <c r="J34" s="527" t="str">
        <f>IF(B34&lt;&gt;0,INDEX(Tabla18[],MATCH(A34,Tabla18[Nombre],0),5),"")</f>
        <v/>
      </c>
      <c r="K34" s="596" t="str">
        <f>IF(B34&lt;&gt;0,INDEX(Tabla18[],MATCH(A34,Tabla18[Nombre],0),6),"")</f>
        <v/>
      </c>
      <c r="L34" s="598"/>
      <c r="M34" s="527"/>
      <c r="N34" s="527"/>
      <c r="O34" s="527"/>
      <c r="P34" s="527"/>
      <c r="Q34" s="600"/>
      <c r="R34" s="608"/>
      <c r="V34" s="606" t="s">
        <v>6849</v>
      </c>
      <c r="W34" s="556"/>
      <c r="X34" s="527" t="str">
        <f>IF(W34&lt;&gt;0,INDEX(Tabla16[],MATCH(V32&amp;V34&amp;W34,Tabla16[Concatenado],0),IF(AM34="Si",4,5)),"")</f>
        <v/>
      </c>
      <c r="Y34" s="527" t="str">
        <f>IF(W34&lt;&gt;0,INDEX(Tabla16[],MATCH(V32&amp;V34&amp;W34,Tabla16[Concatenado],0),6),"")</f>
        <v/>
      </c>
      <c r="Z34" s="527" t="str">
        <f>IFERROR(IF(W34&lt;&gt;0,INDEX(Tabla16[],MATCH(V32&amp;V34&amp;W34,Tabla16[Concatenado],0),IF(AA$3=TS!$O$2,7,IF(AA$3=TS!$O$3,8,IF(AA$3=TS!$O$4,9,"")))),""),"")</f>
        <v/>
      </c>
      <c r="AA34" s="527" t="str">
        <f>IF(W34&lt;&gt;0,INDEX(Tabla16[],MATCH(V32&amp;V34&amp;W34,Tabla16[Concatenado],0),10),"")</f>
        <v/>
      </c>
      <c r="AB34" s="527" t="str">
        <f>IF(W34&lt;&gt;0,INDEX(Tabla18[],MATCH(V34,Tabla18[Nombre],0),2),"")</f>
        <v/>
      </c>
      <c r="AC34" s="527" t="str">
        <f>IF(W34&lt;&gt;0,INDEX(Tabla18[],MATCH(V34,Tabla18[Nombre],0),3),"")</f>
        <v/>
      </c>
      <c r="AD34" s="527" t="str">
        <f>IF(W34&lt;&gt;0,INDEX(Tabla18[],MATCH(V34,Tabla18[Nombre],0),4),"")</f>
        <v/>
      </c>
      <c r="AE34" s="527" t="str">
        <f>IF(W34&lt;&gt;0,INDEX(Tabla18[],MATCH(V34,Tabla18[Nombre],0),5),"")</f>
        <v/>
      </c>
      <c r="AF34" s="596" t="str">
        <f>IF(W34&lt;&gt;0,INDEX(Tabla18[],MATCH(V34,Tabla18[Nombre],0),6),"")</f>
        <v/>
      </c>
      <c r="AG34" s="598"/>
      <c r="AH34" s="527"/>
      <c r="AI34" s="527"/>
      <c r="AJ34" s="527"/>
      <c r="AK34" s="527"/>
      <c r="AL34" s="600"/>
      <c r="AM34" s="608"/>
      <c r="AQ34" s="606" t="s">
        <v>6849</v>
      </c>
      <c r="AR34" s="556"/>
      <c r="AS34" s="527" t="str">
        <f>IF(AR34&lt;&gt;0,INDEX(Tabla16[],MATCH(AQ32&amp;AQ34&amp;AR34,Tabla16[Concatenado],0),IF(BH34="Si",4,5)),"")</f>
        <v/>
      </c>
      <c r="AT34" s="527" t="str">
        <f>IF(AR34&lt;&gt;0,INDEX(Tabla16[],MATCH(AQ32&amp;AQ34&amp;AR34,Tabla16[Concatenado],0),6),"")</f>
        <v/>
      </c>
      <c r="AU34" s="527" t="str">
        <f>IFERROR(IF(AR34&lt;&gt;0,INDEX(Tabla16[],MATCH(AQ32&amp;AQ34&amp;AR34,Tabla16[Concatenado],0),IF(AV$3=TS!$O$2,7,IF(AV$3=TS!$O$3,8,IF(AV$3=TS!$O$4,9,"")))),""),"")</f>
        <v/>
      </c>
      <c r="AV34" s="527" t="str">
        <f>IF(AR34&lt;&gt;0,INDEX(Tabla16[],MATCH(AQ32&amp;AQ34&amp;AR34,Tabla16[Concatenado],0),10),"")</f>
        <v/>
      </c>
      <c r="AW34" s="527" t="str">
        <f>IF(AR34&lt;&gt;0,INDEX(Tabla18[],MATCH(AQ34,Tabla18[Nombre],0),2),"")</f>
        <v/>
      </c>
      <c r="AX34" s="527" t="str">
        <f>IF(AR34&lt;&gt;0,INDEX(Tabla18[],MATCH(AQ34,Tabla18[Nombre],0),3),"")</f>
        <v/>
      </c>
      <c r="AY34" s="527" t="str">
        <f>IF(AR34&lt;&gt;0,INDEX(Tabla18[],MATCH(AQ34,Tabla18[Nombre],0),4),"")</f>
        <v/>
      </c>
      <c r="AZ34" s="527" t="str">
        <f>IF(AR34&lt;&gt;0,INDEX(Tabla18[],MATCH(AQ34,Tabla18[Nombre],0),5),"")</f>
        <v/>
      </c>
      <c r="BA34" s="596" t="str">
        <f>IF(AR34&lt;&gt;0,INDEX(Tabla18[],MATCH(AQ34,Tabla18[Nombre],0),6),"")</f>
        <v/>
      </c>
      <c r="BB34" s="598"/>
      <c r="BC34" s="527"/>
      <c r="BD34" s="527"/>
      <c r="BE34" s="527"/>
      <c r="BF34" s="527"/>
      <c r="BG34" s="600"/>
      <c r="BH34" s="608"/>
      <c r="BL34" s="606" t="s">
        <v>6849</v>
      </c>
      <c r="BM34" s="556"/>
      <c r="BN34" s="527" t="str">
        <f>IF(BM34&lt;&gt;0,INDEX(Tabla16[],MATCH(BL32&amp;BL34&amp;BM34,Tabla16[Concatenado],0),IF(CC34="Si",4,5)),"")</f>
        <v/>
      </c>
      <c r="BO34" s="527" t="str">
        <f>IF(BM34&lt;&gt;0,INDEX(Tabla16[],MATCH(BL32&amp;BL34&amp;BM34,Tabla16[Concatenado],0),6),"")</f>
        <v/>
      </c>
      <c r="BP34" s="527" t="str">
        <f>IFERROR(IF(BM34&lt;&gt;0,INDEX(Tabla16[],MATCH(BL32&amp;BL34&amp;BM34,Tabla16[Concatenado],0),IF(BQ$3=TS!$O$2,7,IF(BQ$3=TS!$O$3,8,IF(BQ$3=TS!$O$4,9,"")))),""),"")</f>
        <v/>
      </c>
      <c r="BQ34" s="527" t="str">
        <f>IF(BM34&lt;&gt;0,INDEX(Tabla16[],MATCH(BL32&amp;BL34&amp;BM34,Tabla16[Concatenado],0),10),"")</f>
        <v/>
      </c>
      <c r="BR34" s="527" t="str">
        <f>IF(BM34&lt;&gt;0,INDEX(Tabla18[],MATCH(BL34,Tabla18[Nombre],0),2),"")</f>
        <v/>
      </c>
      <c r="BS34" s="527" t="str">
        <f>IF(BM34&lt;&gt;0,INDEX(Tabla18[],MATCH(BL34,Tabla18[Nombre],0),3),"")</f>
        <v/>
      </c>
      <c r="BT34" s="527" t="str">
        <f>IF(BM34&lt;&gt;0,INDEX(Tabla18[],MATCH(BL34,Tabla18[Nombre],0),4),"")</f>
        <v/>
      </c>
      <c r="BU34" s="527" t="str">
        <f>IF(BM34&lt;&gt;0,INDEX(Tabla18[],MATCH(BL34,Tabla18[Nombre],0),5),"")</f>
        <v/>
      </c>
      <c r="BV34" s="596" t="str">
        <f>IF(BM34&lt;&gt;0,INDEX(Tabla18[],MATCH(BL34,Tabla18[Nombre],0),6),"")</f>
        <v/>
      </c>
      <c r="BW34" s="598"/>
      <c r="BX34" s="527"/>
      <c r="BY34" s="527"/>
      <c r="BZ34" s="527"/>
      <c r="CA34" s="527"/>
      <c r="CB34" s="600"/>
      <c r="CC34" s="608"/>
    </row>
    <row r="35" spans="1:81" x14ac:dyDescent="0.2">
      <c r="A35" s="606" t="s">
        <v>6850</v>
      </c>
      <c r="B35" s="556"/>
      <c r="C35" s="527" t="str">
        <f>IF(B35&lt;&gt;0,INDEX(Tabla16[],MATCH(A35&amp;B35,Tabla16[Concatenado],0),IF(R35="Si",4,5)),"")</f>
        <v/>
      </c>
      <c r="D35" s="527" t="str">
        <f>IF(B35&lt;&gt;0,INDEX(Tabla16[],MATCH(A35&amp;B35,Tabla16[Concatenado],0),6),"")</f>
        <v/>
      </c>
      <c r="E35" s="527" t="str">
        <f>IFERROR(IF(B35&lt;&gt;0,INDEX(Tabla16[],MATCH(A35&amp;B35,Tabla16[Concatenado],0),IF(F$3=TS!$O$2,7,IF(F$3=TS!$O$3,8,IF(F$3=TS!$O$4,9,"")))),""),"")</f>
        <v/>
      </c>
      <c r="F35" s="527" t="str">
        <f>IF(B35&lt;&gt;0,INDEX(Tabla16[],MATCH(A35&amp;B35,Tabla16[Concatenado],0),10),"")</f>
        <v/>
      </c>
      <c r="G35" s="527" t="str">
        <f>IF(B35&lt;&gt;0,INDEX(Tabla18[],MATCH(A35,Tabla18[Nombre],0),2),"")</f>
        <v/>
      </c>
      <c r="H35" s="527" t="str">
        <f>IF(B35&lt;&gt;0,INDEX(Tabla18[],MATCH(A35,Tabla18[Nombre],0),3),"")</f>
        <v/>
      </c>
      <c r="I35" s="527" t="str">
        <f>IF(B35&lt;&gt;0,INDEX(Tabla18[],MATCH(A35,Tabla18[Nombre],0),4),"")</f>
        <v/>
      </c>
      <c r="J35" s="527" t="str">
        <f>IF(B35&lt;&gt;0,INDEX(Tabla18[],MATCH(A35,Tabla18[Nombre],0),5),"")</f>
        <v/>
      </c>
      <c r="K35" s="596" t="str">
        <f>IF(B35&lt;&gt;0,INDEX(Tabla18[],MATCH(A35,Tabla18[Nombre],0),6),"")</f>
        <v/>
      </c>
      <c r="L35" s="598"/>
      <c r="M35" s="527"/>
      <c r="N35" s="527"/>
      <c r="O35" s="527"/>
      <c r="P35" s="527"/>
      <c r="Q35" s="600"/>
      <c r="R35" s="608"/>
      <c r="V35" s="606" t="s">
        <v>6850</v>
      </c>
      <c r="W35" s="556"/>
      <c r="X35" s="527" t="str">
        <f>IF(W35&lt;&gt;0,INDEX(Tabla16[],MATCH(V35&amp;W35,Tabla16[Concatenado],0),IF(AM35="Si",4,5)),"")</f>
        <v/>
      </c>
      <c r="Y35" s="527" t="str">
        <f>IF(W35&lt;&gt;0,INDEX(Tabla16[],MATCH(V35&amp;W35,Tabla16[Concatenado],0),6),"")</f>
        <v/>
      </c>
      <c r="Z35" s="527" t="str">
        <f>IFERROR(IF(W35&lt;&gt;0,INDEX(Tabla16[],MATCH(V35&amp;W35,Tabla16[Concatenado],0),IF(AA$3=TS!$O$2,7,IF(AA$3=TS!$O$3,8,IF(AA$3=TS!$O$4,9,"")))),""),"")</f>
        <v/>
      </c>
      <c r="AA35" s="527" t="str">
        <f>IF(W35&lt;&gt;0,INDEX(Tabla16[],MATCH(V35&amp;W35,Tabla16[Concatenado],0),10),"")</f>
        <v/>
      </c>
      <c r="AB35" s="527" t="str">
        <f>IF(W35&lt;&gt;0,INDEX(Tabla18[],MATCH(V35,Tabla18[Nombre],0),2),"")</f>
        <v/>
      </c>
      <c r="AC35" s="527" t="str">
        <f>IF(W35&lt;&gt;0,INDEX(Tabla18[],MATCH(V35,Tabla18[Nombre],0),3),"")</f>
        <v/>
      </c>
      <c r="AD35" s="527" t="str">
        <f>IF(W35&lt;&gt;0,INDEX(Tabla18[],MATCH(V35,Tabla18[Nombre],0),4),"")</f>
        <v/>
      </c>
      <c r="AE35" s="527" t="str">
        <f>IF(W35&lt;&gt;0,INDEX(Tabla18[],MATCH(V35,Tabla18[Nombre],0),5),"")</f>
        <v/>
      </c>
      <c r="AF35" s="596" t="str">
        <f>IF(W35&lt;&gt;0,INDEX(Tabla18[],MATCH(V35,Tabla18[Nombre],0),6),"")</f>
        <v/>
      </c>
      <c r="AG35" s="598"/>
      <c r="AH35" s="527"/>
      <c r="AI35" s="527"/>
      <c r="AJ35" s="527"/>
      <c r="AK35" s="527"/>
      <c r="AL35" s="600"/>
      <c r="AM35" s="608"/>
      <c r="AQ35" s="606" t="s">
        <v>6850</v>
      </c>
      <c r="AR35" s="556"/>
      <c r="AS35" s="527" t="str">
        <f>IF(AR35&lt;&gt;0,INDEX(Tabla16[],MATCH(AQ35&amp;AR35,Tabla16[Concatenado],0),IF(BH35="Si",4,5)),"")</f>
        <v/>
      </c>
      <c r="AT35" s="527" t="str">
        <f>IF(AR35&lt;&gt;0,INDEX(Tabla16[],MATCH(AQ35&amp;AR35,Tabla16[Concatenado],0),6),"")</f>
        <v/>
      </c>
      <c r="AU35" s="527" t="str">
        <f>IFERROR(IF(AR35&lt;&gt;0,INDEX(Tabla16[],MATCH(AQ35&amp;AR35,Tabla16[Concatenado],0),IF(AV$3=TS!$O$2,7,IF(AV$3=TS!$O$3,8,IF(AV$3=TS!$O$4,9,"")))),""),"")</f>
        <v/>
      </c>
      <c r="AV35" s="527" t="str">
        <f>IF(AR35&lt;&gt;0,INDEX(Tabla16[],MATCH(AQ35&amp;AR35,Tabla16[Concatenado],0),10),"")</f>
        <v/>
      </c>
      <c r="AW35" s="527" t="str">
        <f>IF(AR35&lt;&gt;0,INDEX(Tabla18[],MATCH(AQ35,Tabla18[Nombre],0),2),"")</f>
        <v/>
      </c>
      <c r="AX35" s="527" t="str">
        <f>IF(AR35&lt;&gt;0,INDEX(Tabla18[],MATCH(AQ35,Tabla18[Nombre],0),3),"")</f>
        <v/>
      </c>
      <c r="AY35" s="527" t="str">
        <f>IF(AR35&lt;&gt;0,INDEX(Tabla18[],MATCH(AQ35,Tabla18[Nombre],0),4),"")</f>
        <v/>
      </c>
      <c r="AZ35" s="527" t="str">
        <f>IF(AR35&lt;&gt;0,INDEX(Tabla18[],MATCH(AQ35,Tabla18[Nombre],0),5),"")</f>
        <v/>
      </c>
      <c r="BA35" s="596" t="str">
        <f>IF(AR35&lt;&gt;0,INDEX(Tabla18[],MATCH(AQ35,Tabla18[Nombre],0),6),"")</f>
        <v/>
      </c>
      <c r="BB35" s="598"/>
      <c r="BC35" s="527"/>
      <c r="BD35" s="527"/>
      <c r="BE35" s="527"/>
      <c r="BF35" s="527"/>
      <c r="BG35" s="600"/>
      <c r="BH35" s="608"/>
      <c r="BL35" s="606" t="s">
        <v>6850</v>
      </c>
      <c r="BM35" s="556"/>
      <c r="BN35" s="527" t="str">
        <f>IF(BM35&lt;&gt;0,INDEX(Tabla16[],MATCH(BL35&amp;BM35,Tabla16[Concatenado],0),IF(CC35="Si",4,5)),"")</f>
        <v/>
      </c>
      <c r="BO35" s="527" t="str">
        <f>IF(BM35&lt;&gt;0,INDEX(Tabla16[],MATCH(BL35&amp;BM35,Tabla16[Concatenado],0),6),"")</f>
        <v/>
      </c>
      <c r="BP35" s="527" t="str">
        <f>IFERROR(IF(BM35&lt;&gt;0,INDEX(Tabla16[],MATCH(BL35&amp;BM35,Tabla16[Concatenado],0),IF(BQ$3=TS!$O$2,7,IF(BQ$3=TS!$O$3,8,IF(BQ$3=TS!$O$4,9,"")))),""),"")</f>
        <v/>
      </c>
      <c r="BQ35" s="527" t="str">
        <f>IF(BM35&lt;&gt;0,INDEX(Tabla16[],MATCH(BL35&amp;BM35,Tabla16[Concatenado],0),10),"")</f>
        <v/>
      </c>
      <c r="BR35" s="527" t="str">
        <f>IF(BM35&lt;&gt;0,INDEX(Tabla18[],MATCH(BL35,Tabla18[Nombre],0),2),"")</f>
        <v/>
      </c>
      <c r="BS35" s="527" t="str">
        <f>IF(BM35&lt;&gt;0,INDEX(Tabla18[],MATCH(BL35,Tabla18[Nombre],0),3),"")</f>
        <v/>
      </c>
      <c r="BT35" s="527" t="str">
        <f>IF(BM35&lt;&gt;0,INDEX(Tabla18[],MATCH(BL35,Tabla18[Nombre],0),4),"")</f>
        <v/>
      </c>
      <c r="BU35" s="527" t="str">
        <f>IF(BM35&lt;&gt;0,INDEX(Tabla18[],MATCH(BL35,Tabla18[Nombre],0),5),"")</f>
        <v/>
      </c>
      <c r="BV35" s="596" t="str">
        <f>IF(BM35&lt;&gt;0,INDEX(Tabla18[],MATCH(BL35,Tabla18[Nombre],0),6),"")</f>
        <v/>
      </c>
      <c r="BW35" s="598"/>
      <c r="BX35" s="527"/>
      <c r="BY35" s="527"/>
      <c r="BZ35" s="527"/>
      <c r="CA35" s="527"/>
      <c r="CB35" s="600"/>
      <c r="CC35" s="608"/>
    </row>
    <row r="36" spans="1:81" x14ac:dyDescent="0.2">
      <c r="A36" s="606" t="s">
        <v>6851</v>
      </c>
      <c r="B36" s="556"/>
      <c r="C36" s="527" t="str">
        <f>IF(B36&lt;&gt;0,INDEX(Tabla16[],MATCH(A36&amp;B36,Tabla16[Concatenado],0),IF(R36="Si",4,5)),"")</f>
        <v/>
      </c>
      <c r="D36" s="527" t="str">
        <f>IF(B36&lt;&gt;0,INDEX(Tabla16[],MATCH(A36&amp;B36,Tabla16[Concatenado],0),6),"")</f>
        <v/>
      </c>
      <c r="E36" s="527" t="str">
        <f>IFERROR(IF(B36&lt;&gt;0,INDEX(Tabla16[],MATCH(A36&amp;B36,Tabla16[Concatenado],0),IF(F$3=TS!$O$2,7,IF(F$3=TS!$O$3,8,IF(F$3=TS!$O$4,9,"")))),""),"")</f>
        <v/>
      </c>
      <c r="F36" s="527" t="str">
        <f>IF(B36&lt;&gt;0,INDEX(Tabla16[],MATCH(A36&amp;B36,Tabla16[Concatenado],0),10),"")</f>
        <v/>
      </c>
      <c r="G36" s="527" t="str">
        <f>IF(B36&lt;&gt;0,INDEX(Tabla18[],MATCH(A36,Tabla18[Nombre],0),2),"")</f>
        <v/>
      </c>
      <c r="H36" s="527" t="str">
        <f>IF(B36&lt;&gt;0,INDEX(Tabla18[],MATCH(A36,Tabla18[Nombre],0),3),"")</f>
        <v/>
      </c>
      <c r="I36" s="527" t="str">
        <f>IF(B36&lt;&gt;0,INDEX(Tabla18[],MATCH(A36,Tabla18[Nombre],0),4),"")</f>
        <v/>
      </c>
      <c r="J36" s="527" t="str">
        <f>IF(B36&lt;&gt;0,INDEX(Tabla18[],MATCH(A36,Tabla18[Nombre],0),5),"")</f>
        <v/>
      </c>
      <c r="K36" s="596" t="str">
        <f>IF(B36&lt;&gt;0,INDEX(Tabla18[],MATCH(A36,Tabla18[Nombre],0),6),"")</f>
        <v/>
      </c>
      <c r="L36" s="598"/>
      <c r="M36" s="527"/>
      <c r="N36" s="527"/>
      <c r="O36" s="527"/>
      <c r="P36" s="527"/>
      <c r="Q36" s="600"/>
      <c r="R36" s="608"/>
      <c r="V36" s="606" t="s">
        <v>6851</v>
      </c>
      <c r="W36" s="556"/>
      <c r="X36" s="527" t="str">
        <f>IF(W36&lt;&gt;0,INDEX(Tabla16[],MATCH(V36&amp;W36,Tabla16[Concatenado],0),IF(AM36="Si",4,5)),"")</f>
        <v/>
      </c>
      <c r="Y36" s="527" t="str">
        <f>IF(W36&lt;&gt;0,INDEX(Tabla16[],MATCH(V36&amp;W36,Tabla16[Concatenado],0),6),"")</f>
        <v/>
      </c>
      <c r="Z36" s="527" t="str">
        <f>IFERROR(IF(W36&lt;&gt;0,INDEX(Tabla16[],MATCH(V36&amp;W36,Tabla16[Concatenado],0),IF(AA$3=TS!$O$2,7,IF(AA$3=TS!$O$3,8,IF(AA$3=TS!$O$4,9,"")))),""),"")</f>
        <v/>
      </c>
      <c r="AA36" s="527" t="str">
        <f>IF(W36&lt;&gt;0,INDEX(Tabla16[],MATCH(V36&amp;W36,Tabla16[Concatenado],0),10),"")</f>
        <v/>
      </c>
      <c r="AB36" s="527" t="str">
        <f>IF(W36&lt;&gt;0,INDEX(Tabla18[],MATCH(V36,Tabla18[Nombre],0),2),"")</f>
        <v/>
      </c>
      <c r="AC36" s="527" t="str">
        <f>IF(W36&lt;&gt;0,INDEX(Tabla18[],MATCH(V36,Tabla18[Nombre],0),3),"")</f>
        <v/>
      </c>
      <c r="AD36" s="527" t="str">
        <f>IF(W36&lt;&gt;0,INDEX(Tabla18[],MATCH(V36,Tabla18[Nombre],0),4),"")</f>
        <v/>
      </c>
      <c r="AE36" s="527" t="str">
        <f>IF(W36&lt;&gt;0,INDEX(Tabla18[],MATCH(V36,Tabla18[Nombre],0),5),"")</f>
        <v/>
      </c>
      <c r="AF36" s="596" t="str">
        <f>IF(W36&lt;&gt;0,INDEX(Tabla18[],MATCH(V36,Tabla18[Nombre],0),6),"")</f>
        <v/>
      </c>
      <c r="AG36" s="598"/>
      <c r="AH36" s="527"/>
      <c r="AI36" s="527"/>
      <c r="AJ36" s="527"/>
      <c r="AK36" s="527"/>
      <c r="AL36" s="600"/>
      <c r="AM36" s="608"/>
      <c r="AQ36" s="606" t="s">
        <v>6851</v>
      </c>
      <c r="AR36" s="556"/>
      <c r="AS36" s="527" t="str">
        <f>IF(AR36&lt;&gt;0,INDEX(Tabla16[],MATCH(AQ36&amp;AR36,Tabla16[Concatenado],0),IF(BH36="Si",4,5)),"")</f>
        <v/>
      </c>
      <c r="AT36" s="527" t="str">
        <f>IF(AR36&lt;&gt;0,INDEX(Tabla16[],MATCH(AQ36&amp;AR36,Tabla16[Concatenado],0),6),"")</f>
        <v/>
      </c>
      <c r="AU36" s="527" t="str">
        <f>IFERROR(IF(AR36&lt;&gt;0,INDEX(Tabla16[],MATCH(AQ36&amp;AR36,Tabla16[Concatenado],0),IF(AV$3=TS!$O$2,7,IF(AV$3=TS!$O$3,8,IF(AV$3=TS!$O$4,9,"")))),""),"")</f>
        <v/>
      </c>
      <c r="AV36" s="527" t="str">
        <f>IF(AR36&lt;&gt;0,INDEX(Tabla16[],MATCH(AQ36&amp;AR36,Tabla16[Concatenado],0),10),"")</f>
        <v/>
      </c>
      <c r="AW36" s="527" t="str">
        <f>IF(AR36&lt;&gt;0,INDEX(Tabla18[],MATCH(AQ36,Tabla18[Nombre],0),2),"")</f>
        <v/>
      </c>
      <c r="AX36" s="527" t="str">
        <f>IF(AR36&lt;&gt;0,INDEX(Tabla18[],MATCH(AQ36,Tabla18[Nombre],0),3),"")</f>
        <v/>
      </c>
      <c r="AY36" s="527" t="str">
        <f>IF(AR36&lt;&gt;0,INDEX(Tabla18[],MATCH(AQ36,Tabla18[Nombre],0),4),"")</f>
        <v/>
      </c>
      <c r="AZ36" s="527" t="str">
        <f>IF(AR36&lt;&gt;0,INDEX(Tabla18[],MATCH(AQ36,Tabla18[Nombre],0),5),"")</f>
        <v/>
      </c>
      <c r="BA36" s="596" t="str">
        <f>IF(AR36&lt;&gt;0,INDEX(Tabla18[],MATCH(AQ36,Tabla18[Nombre],0),6),"")</f>
        <v/>
      </c>
      <c r="BB36" s="598"/>
      <c r="BC36" s="527"/>
      <c r="BD36" s="527"/>
      <c r="BE36" s="527"/>
      <c r="BF36" s="527"/>
      <c r="BG36" s="600"/>
      <c r="BH36" s="608"/>
      <c r="BL36" s="606" t="s">
        <v>6851</v>
      </c>
      <c r="BM36" s="556"/>
      <c r="BN36" s="527" t="str">
        <f>IF(BM36&lt;&gt;0,INDEX(Tabla16[],MATCH(BL36&amp;BM36,Tabla16[Concatenado],0),IF(CC36="Si",4,5)),"")</f>
        <v/>
      </c>
      <c r="BO36" s="527" t="str">
        <f>IF(BM36&lt;&gt;0,INDEX(Tabla16[],MATCH(BL36&amp;BM36,Tabla16[Concatenado],0),6),"")</f>
        <v/>
      </c>
      <c r="BP36" s="527" t="str">
        <f>IFERROR(IF(BM36&lt;&gt;0,INDEX(Tabla16[],MATCH(BL36&amp;BM36,Tabla16[Concatenado],0),IF(BQ$3=TS!$O$2,7,IF(BQ$3=TS!$O$3,8,IF(BQ$3=TS!$O$4,9,"")))),""),"")</f>
        <v/>
      </c>
      <c r="BQ36" s="527" t="str">
        <f>IF(BM36&lt;&gt;0,INDEX(Tabla16[],MATCH(BL36&amp;BM36,Tabla16[Concatenado],0),10),"")</f>
        <v/>
      </c>
      <c r="BR36" s="527" t="str">
        <f>IF(BM36&lt;&gt;0,INDEX(Tabla18[],MATCH(BL36,Tabla18[Nombre],0),2),"")</f>
        <v/>
      </c>
      <c r="BS36" s="527" t="str">
        <f>IF(BM36&lt;&gt;0,INDEX(Tabla18[],MATCH(BL36,Tabla18[Nombre],0),3),"")</f>
        <v/>
      </c>
      <c r="BT36" s="527" t="str">
        <f>IF(BM36&lt;&gt;0,INDEX(Tabla18[],MATCH(BL36,Tabla18[Nombre],0),4),"")</f>
        <v/>
      </c>
      <c r="BU36" s="527" t="str">
        <f>IF(BM36&lt;&gt;0,INDEX(Tabla18[],MATCH(BL36,Tabla18[Nombre],0),5),"")</f>
        <v/>
      </c>
      <c r="BV36" s="596" t="str">
        <f>IF(BM36&lt;&gt;0,INDEX(Tabla18[],MATCH(BL36,Tabla18[Nombre],0),6),"")</f>
        <v/>
      </c>
      <c r="BW36" s="598"/>
      <c r="BX36" s="527"/>
      <c r="BY36" s="527"/>
      <c r="BZ36" s="527"/>
      <c r="CA36" s="527"/>
      <c r="CB36" s="600"/>
      <c r="CC36" s="608"/>
    </row>
    <row r="37" spans="1:81" x14ac:dyDescent="0.2">
      <c r="A37" s="606" t="s">
        <v>6852</v>
      </c>
      <c r="B37" s="556"/>
      <c r="C37" s="527" t="str">
        <f>IF(B37&lt;&gt;0,INDEX(Tabla16[],MATCH(A37&amp;B37,Tabla16[Concatenado],0),IF(R37="Si",4,5)),"")</f>
        <v/>
      </c>
      <c r="D37" s="527" t="str">
        <f>IF(B37&lt;&gt;0,INDEX(Tabla16[],MATCH(A37&amp;B37,Tabla16[Concatenado],0),6),"")</f>
        <v/>
      </c>
      <c r="E37" s="527" t="str">
        <f>IFERROR(IF(B37&lt;&gt;0,INDEX(Tabla16[],MATCH(A37&amp;B37,Tabla16[Concatenado],0),IF(F$3=TS!$O$2,7,IF(F$3=TS!$O$3,8,IF(F$3=TS!$O$4,9,"")))),""),"")</f>
        <v/>
      </c>
      <c r="F37" s="527" t="str">
        <f>IF(B37&lt;&gt;0,INDEX(Tabla16[],MATCH(A37&amp;B37,Tabla16[Concatenado],0),10),"")</f>
        <v/>
      </c>
      <c r="G37" s="527" t="str">
        <f>IF(B37&lt;&gt;0,INDEX(Tabla18[],MATCH(A37,Tabla18[Nombre],0),2),"")</f>
        <v/>
      </c>
      <c r="H37" s="527" t="str">
        <f>IF(B37&lt;&gt;0,INDEX(Tabla18[],MATCH(A37,Tabla18[Nombre],0),3),"")</f>
        <v/>
      </c>
      <c r="I37" s="527" t="str">
        <f>IF(B37&lt;&gt;0,INDEX(Tabla18[],MATCH(A37,Tabla18[Nombre],0),4),"")</f>
        <v/>
      </c>
      <c r="J37" s="527" t="str">
        <f>IF(B37&lt;&gt;0,INDEX(Tabla18[],MATCH(A37,Tabla18[Nombre],0),5),"")</f>
        <v/>
      </c>
      <c r="K37" s="596" t="str">
        <f>IF(B37&lt;&gt;0,INDEX(Tabla18[],MATCH(A37,Tabla18[Nombre],0),6),"")</f>
        <v/>
      </c>
      <c r="L37" s="598"/>
      <c r="M37" s="527"/>
      <c r="N37" s="527"/>
      <c r="O37" s="527"/>
      <c r="P37" s="527"/>
      <c r="Q37" s="600"/>
      <c r="R37" s="608"/>
      <c r="V37" s="606" t="s">
        <v>6852</v>
      </c>
      <c r="W37" s="556"/>
      <c r="X37" s="527" t="str">
        <f>IF(W37&lt;&gt;0,INDEX(Tabla16[],MATCH(V37&amp;W37,Tabla16[Concatenado],0),IF(AM37="Si",4,5)),"")</f>
        <v/>
      </c>
      <c r="Y37" s="527" t="str">
        <f>IF(W37&lt;&gt;0,INDEX(Tabla16[],MATCH(V37&amp;W37,Tabla16[Concatenado],0),6),"")</f>
        <v/>
      </c>
      <c r="Z37" s="527" t="str">
        <f>IFERROR(IF(W37&lt;&gt;0,INDEX(Tabla16[],MATCH(V37&amp;W37,Tabla16[Concatenado],0),IF(AA$3=TS!$O$2,7,IF(AA$3=TS!$O$3,8,IF(AA$3=TS!$O$4,9,"")))),""),"")</f>
        <v/>
      </c>
      <c r="AA37" s="527" t="str">
        <f>IF(W37&lt;&gt;0,INDEX(Tabla16[],MATCH(V37&amp;W37,Tabla16[Concatenado],0),10),"")</f>
        <v/>
      </c>
      <c r="AB37" s="527" t="str">
        <f>IF(W37&lt;&gt;0,INDEX(Tabla18[],MATCH(V37,Tabla18[Nombre],0),2),"")</f>
        <v/>
      </c>
      <c r="AC37" s="527" t="str">
        <f>IF(W37&lt;&gt;0,INDEX(Tabla18[],MATCH(V37,Tabla18[Nombre],0),3),"")</f>
        <v/>
      </c>
      <c r="AD37" s="527" t="str">
        <f>IF(W37&lt;&gt;0,INDEX(Tabla18[],MATCH(V37,Tabla18[Nombre],0),4),"")</f>
        <v/>
      </c>
      <c r="AE37" s="527" t="str">
        <f>IF(W37&lt;&gt;0,INDEX(Tabla18[],MATCH(V37,Tabla18[Nombre],0),5),"")</f>
        <v/>
      </c>
      <c r="AF37" s="596" t="str">
        <f>IF(W37&lt;&gt;0,INDEX(Tabla18[],MATCH(V37,Tabla18[Nombre],0),6),"")</f>
        <v/>
      </c>
      <c r="AG37" s="598"/>
      <c r="AH37" s="527"/>
      <c r="AI37" s="527"/>
      <c r="AJ37" s="527"/>
      <c r="AK37" s="527"/>
      <c r="AL37" s="600"/>
      <c r="AM37" s="608"/>
      <c r="AQ37" s="606" t="s">
        <v>6852</v>
      </c>
      <c r="AR37" s="556"/>
      <c r="AS37" s="527" t="str">
        <f>IF(AR37&lt;&gt;0,INDEX(Tabla16[],MATCH(AQ37&amp;AR37,Tabla16[Concatenado],0),IF(BH37="Si",4,5)),"")</f>
        <v/>
      </c>
      <c r="AT37" s="527" t="str">
        <f>IF(AR37&lt;&gt;0,INDEX(Tabla16[],MATCH(AQ37&amp;AR37,Tabla16[Concatenado],0),6),"")</f>
        <v/>
      </c>
      <c r="AU37" s="527" t="str">
        <f>IFERROR(IF(AR37&lt;&gt;0,INDEX(Tabla16[],MATCH(AQ37&amp;AR37,Tabla16[Concatenado],0),IF(AV$3=TS!$O$2,7,IF(AV$3=TS!$O$3,8,IF(AV$3=TS!$O$4,9,"")))),""),"")</f>
        <v/>
      </c>
      <c r="AV37" s="527" t="str">
        <f>IF(AR37&lt;&gt;0,INDEX(Tabla16[],MATCH(AQ37&amp;AR37,Tabla16[Concatenado],0),10),"")</f>
        <v/>
      </c>
      <c r="AW37" s="527" t="str">
        <f>IF(AR37&lt;&gt;0,INDEX(Tabla18[],MATCH(AQ37,Tabla18[Nombre],0),2),"")</f>
        <v/>
      </c>
      <c r="AX37" s="527" t="str">
        <f>IF(AR37&lt;&gt;0,INDEX(Tabla18[],MATCH(AQ37,Tabla18[Nombre],0),3),"")</f>
        <v/>
      </c>
      <c r="AY37" s="527" t="str">
        <f>IF(AR37&lt;&gt;0,INDEX(Tabla18[],MATCH(AQ37,Tabla18[Nombre],0),4),"")</f>
        <v/>
      </c>
      <c r="AZ37" s="527" t="str">
        <f>IF(AR37&lt;&gt;0,INDEX(Tabla18[],MATCH(AQ37,Tabla18[Nombre],0),5),"")</f>
        <v/>
      </c>
      <c r="BA37" s="596" t="str">
        <f>IF(AR37&lt;&gt;0,INDEX(Tabla18[],MATCH(AQ37,Tabla18[Nombre],0),6),"")</f>
        <v/>
      </c>
      <c r="BB37" s="598"/>
      <c r="BC37" s="527"/>
      <c r="BD37" s="527"/>
      <c r="BE37" s="527"/>
      <c r="BF37" s="527"/>
      <c r="BG37" s="600"/>
      <c r="BH37" s="608"/>
      <c r="BL37" s="606" t="s">
        <v>6852</v>
      </c>
      <c r="BM37" s="556"/>
      <c r="BN37" s="527" t="str">
        <f>IF(BM37&lt;&gt;0,INDEX(Tabla16[],MATCH(BL37&amp;BM37,Tabla16[Concatenado],0),IF(CC37="Si",4,5)),"")</f>
        <v/>
      </c>
      <c r="BO37" s="527" t="str">
        <f>IF(BM37&lt;&gt;0,INDEX(Tabla16[],MATCH(BL37&amp;BM37,Tabla16[Concatenado],0),6),"")</f>
        <v/>
      </c>
      <c r="BP37" s="527" t="str">
        <f>IFERROR(IF(BM37&lt;&gt;0,INDEX(Tabla16[],MATCH(BL37&amp;BM37,Tabla16[Concatenado],0),IF(BQ$3=TS!$O$2,7,IF(BQ$3=TS!$O$3,8,IF(BQ$3=TS!$O$4,9,"")))),""),"")</f>
        <v/>
      </c>
      <c r="BQ37" s="527" t="str">
        <f>IF(BM37&lt;&gt;0,INDEX(Tabla16[],MATCH(BL37&amp;BM37,Tabla16[Concatenado],0),10),"")</f>
        <v/>
      </c>
      <c r="BR37" s="527" t="str">
        <f>IF(BM37&lt;&gt;0,INDEX(Tabla18[],MATCH(BL37,Tabla18[Nombre],0),2),"")</f>
        <v/>
      </c>
      <c r="BS37" s="527" t="str">
        <f>IF(BM37&lt;&gt;0,INDEX(Tabla18[],MATCH(BL37,Tabla18[Nombre],0),3),"")</f>
        <v/>
      </c>
      <c r="BT37" s="527" t="str">
        <f>IF(BM37&lt;&gt;0,INDEX(Tabla18[],MATCH(BL37,Tabla18[Nombre],0),4),"")</f>
        <v/>
      </c>
      <c r="BU37" s="527" t="str">
        <f>IF(BM37&lt;&gt;0,INDEX(Tabla18[],MATCH(BL37,Tabla18[Nombre],0),5),"")</f>
        <v/>
      </c>
      <c r="BV37" s="596" t="str">
        <f>IF(BM37&lt;&gt;0,INDEX(Tabla18[],MATCH(BL37,Tabla18[Nombre],0),6),"")</f>
        <v/>
      </c>
      <c r="BW37" s="598"/>
      <c r="BX37" s="527"/>
      <c r="BY37" s="527"/>
      <c r="BZ37" s="527"/>
      <c r="CA37" s="527"/>
      <c r="CB37" s="600"/>
      <c r="CC37" s="608"/>
    </row>
    <row r="38" spans="1:81" x14ac:dyDescent="0.2">
      <c r="A38" s="606" t="s">
        <v>6853</v>
      </c>
      <c r="B38" s="556"/>
      <c r="C38" s="527" t="str">
        <f>IF(B38&lt;&gt;0,INDEX(Tabla16[],MATCH(A38&amp;B38,Tabla16[Concatenado],0),IF(R38="Si",4,5)),"")</f>
        <v/>
      </c>
      <c r="D38" s="527" t="str">
        <f>IF(B38&lt;&gt;0,INDEX(Tabla16[],MATCH(A38&amp;B38,Tabla16[Concatenado],0),6),"")</f>
        <v/>
      </c>
      <c r="E38" s="527" t="str">
        <f>IFERROR(IF(B38&lt;&gt;0,INDEX(Tabla16[],MATCH(A38&amp;B38,Tabla16[Concatenado],0),IF(F$3=TS!$O$2,7,IF(F$3=TS!$O$3,8,IF(F$3=TS!$O$4,9,"")))),""),"")</f>
        <v/>
      </c>
      <c r="F38" s="527" t="str">
        <f>IF(B38&lt;&gt;0,INDEX(Tabla16[],MATCH(A38&amp;B38,Tabla16[Concatenado],0),10),"")</f>
        <v/>
      </c>
      <c r="G38" s="527" t="str">
        <f>IF(B38&lt;&gt;0,INDEX(Tabla18[],MATCH(A38,Tabla18[Nombre],0),2),"")</f>
        <v/>
      </c>
      <c r="H38" s="527" t="str">
        <f>IF(B38&lt;&gt;0,INDEX(Tabla18[],MATCH(A38,Tabla18[Nombre],0),3),"")</f>
        <v/>
      </c>
      <c r="I38" s="527" t="str">
        <f>IF(B38&lt;&gt;0,INDEX(Tabla18[],MATCH(A38,Tabla18[Nombre],0),4),"")</f>
        <v/>
      </c>
      <c r="J38" s="527" t="str">
        <f>IF(B38&lt;&gt;0,INDEX(Tabla18[],MATCH(A38,Tabla18[Nombre],0),5),"")</f>
        <v/>
      </c>
      <c r="K38" s="596" t="str">
        <f>IF(B38&lt;&gt;0,INDEX(Tabla18[],MATCH(A38,Tabla18[Nombre],0),6),"")</f>
        <v/>
      </c>
      <c r="L38" s="598"/>
      <c r="M38" s="527"/>
      <c r="N38" s="527"/>
      <c r="O38" s="527"/>
      <c r="P38" s="527"/>
      <c r="Q38" s="600"/>
      <c r="R38" s="608"/>
      <c r="V38" s="606" t="s">
        <v>6853</v>
      </c>
      <c r="W38" s="556"/>
      <c r="X38" s="527" t="str">
        <f>IF(W38&lt;&gt;0,INDEX(Tabla16[],MATCH(V38&amp;W38,Tabla16[Concatenado],0),IF(AM38="Si",4,5)),"")</f>
        <v/>
      </c>
      <c r="Y38" s="527" t="str">
        <f>IF(W38&lt;&gt;0,INDEX(Tabla16[],MATCH(V38&amp;W38,Tabla16[Concatenado],0),6),"")</f>
        <v/>
      </c>
      <c r="Z38" s="527" t="str">
        <f>IFERROR(IF(W38&lt;&gt;0,INDEX(Tabla16[],MATCH(V38&amp;W38,Tabla16[Concatenado],0),IF(AA$3=TS!$O$2,7,IF(AA$3=TS!$O$3,8,IF(AA$3=TS!$O$4,9,"")))),""),"")</f>
        <v/>
      </c>
      <c r="AA38" s="527" t="str">
        <f>IF(W38&lt;&gt;0,INDEX(Tabla16[],MATCH(V38&amp;W38,Tabla16[Concatenado],0),10),"")</f>
        <v/>
      </c>
      <c r="AB38" s="527" t="str">
        <f>IF(W38&lt;&gt;0,INDEX(Tabla18[],MATCH(V38,Tabla18[Nombre],0),2),"")</f>
        <v/>
      </c>
      <c r="AC38" s="527" t="str">
        <f>IF(W38&lt;&gt;0,INDEX(Tabla18[],MATCH(V38,Tabla18[Nombre],0),3),"")</f>
        <v/>
      </c>
      <c r="AD38" s="527" t="str">
        <f>IF(W38&lt;&gt;0,INDEX(Tabla18[],MATCH(V38,Tabla18[Nombre],0),4),"")</f>
        <v/>
      </c>
      <c r="AE38" s="527" t="str">
        <f>IF(W38&lt;&gt;0,INDEX(Tabla18[],MATCH(V38,Tabla18[Nombre],0),5),"")</f>
        <v/>
      </c>
      <c r="AF38" s="596" t="str">
        <f>IF(W38&lt;&gt;0,INDEX(Tabla18[],MATCH(V38,Tabla18[Nombre],0),6),"")</f>
        <v/>
      </c>
      <c r="AG38" s="598"/>
      <c r="AH38" s="527"/>
      <c r="AI38" s="527"/>
      <c r="AJ38" s="527"/>
      <c r="AK38" s="527"/>
      <c r="AL38" s="600"/>
      <c r="AM38" s="608"/>
      <c r="AQ38" s="606" t="s">
        <v>6853</v>
      </c>
      <c r="AR38" s="556"/>
      <c r="AS38" s="527" t="str">
        <f>IF(AR38&lt;&gt;0,INDEX(Tabla16[],MATCH(AQ38&amp;AR38,Tabla16[Concatenado],0),IF(BH38="Si",4,5)),"")</f>
        <v/>
      </c>
      <c r="AT38" s="527" t="str">
        <f>IF(AR38&lt;&gt;0,INDEX(Tabla16[],MATCH(AQ38&amp;AR38,Tabla16[Concatenado],0),6),"")</f>
        <v/>
      </c>
      <c r="AU38" s="527" t="str">
        <f>IFERROR(IF(AR38&lt;&gt;0,INDEX(Tabla16[],MATCH(AQ38&amp;AR38,Tabla16[Concatenado],0),IF(AV$3=TS!$O$2,7,IF(AV$3=TS!$O$3,8,IF(AV$3=TS!$O$4,9,"")))),""),"")</f>
        <v/>
      </c>
      <c r="AV38" s="527" t="str">
        <f>IF(AR38&lt;&gt;0,INDEX(Tabla16[],MATCH(AQ38&amp;AR38,Tabla16[Concatenado],0),10),"")</f>
        <v/>
      </c>
      <c r="AW38" s="527" t="str">
        <f>IF(AR38&lt;&gt;0,INDEX(Tabla18[],MATCH(AQ38,Tabla18[Nombre],0),2),"")</f>
        <v/>
      </c>
      <c r="AX38" s="527" t="str">
        <f>IF(AR38&lt;&gt;0,INDEX(Tabla18[],MATCH(AQ38,Tabla18[Nombre],0),3),"")</f>
        <v/>
      </c>
      <c r="AY38" s="527" t="str">
        <f>IF(AR38&lt;&gt;0,INDEX(Tabla18[],MATCH(AQ38,Tabla18[Nombre],0),4),"")</f>
        <v/>
      </c>
      <c r="AZ38" s="527" t="str">
        <f>IF(AR38&lt;&gt;0,INDEX(Tabla18[],MATCH(AQ38,Tabla18[Nombre],0),5),"")</f>
        <v/>
      </c>
      <c r="BA38" s="596" t="str">
        <f>IF(AR38&lt;&gt;0,INDEX(Tabla18[],MATCH(AQ38,Tabla18[Nombre],0),6),"")</f>
        <v/>
      </c>
      <c r="BB38" s="598"/>
      <c r="BC38" s="527"/>
      <c r="BD38" s="527"/>
      <c r="BE38" s="527"/>
      <c r="BF38" s="527"/>
      <c r="BG38" s="600"/>
      <c r="BH38" s="608"/>
      <c r="BL38" s="606" t="s">
        <v>6853</v>
      </c>
      <c r="BM38" s="556"/>
      <c r="BN38" s="527" t="str">
        <f>IF(BM38&lt;&gt;0,INDEX(Tabla16[],MATCH(BL38&amp;BM38,Tabla16[Concatenado],0),IF(CC38="Si",4,5)),"")</f>
        <v/>
      </c>
      <c r="BO38" s="527" t="str">
        <f>IF(BM38&lt;&gt;0,INDEX(Tabla16[],MATCH(BL38&amp;BM38,Tabla16[Concatenado],0),6),"")</f>
        <v/>
      </c>
      <c r="BP38" s="527" t="str">
        <f>IFERROR(IF(BM38&lt;&gt;0,INDEX(Tabla16[],MATCH(BL38&amp;BM38,Tabla16[Concatenado],0),IF(BQ$3=TS!$O$2,7,IF(BQ$3=TS!$O$3,8,IF(BQ$3=TS!$O$4,9,"")))),""),"")</f>
        <v/>
      </c>
      <c r="BQ38" s="527" t="str">
        <f>IF(BM38&lt;&gt;0,INDEX(Tabla16[],MATCH(BL38&amp;BM38,Tabla16[Concatenado],0),10),"")</f>
        <v/>
      </c>
      <c r="BR38" s="527" t="str">
        <f>IF(BM38&lt;&gt;0,INDEX(Tabla18[],MATCH(BL38,Tabla18[Nombre],0),2),"")</f>
        <v/>
      </c>
      <c r="BS38" s="527" t="str">
        <f>IF(BM38&lt;&gt;0,INDEX(Tabla18[],MATCH(BL38,Tabla18[Nombre],0),3),"")</f>
        <v/>
      </c>
      <c r="BT38" s="527" t="str">
        <f>IF(BM38&lt;&gt;0,INDEX(Tabla18[],MATCH(BL38,Tabla18[Nombre],0),4),"")</f>
        <v/>
      </c>
      <c r="BU38" s="527" t="str">
        <f>IF(BM38&lt;&gt;0,INDEX(Tabla18[],MATCH(BL38,Tabla18[Nombre],0),5),"")</f>
        <v/>
      </c>
      <c r="BV38" s="596" t="str">
        <f>IF(BM38&lt;&gt;0,INDEX(Tabla18[],MATCH(BL38,Tabla18[Nombre],0),6),"")</f>
        <v/>
      </c>
      <c r="BW38" s="598"/>
      <c r="BX38" s="527"/>
      <c r="BY38" s="527"/>
      <c r="BZ38" s="527"/>
      <c r="CA38" s="527"/>
      <c r="CB38" s="600"/>
      <c r="CC38" s="608"/>
    </row>
    <row r="39" spans="1:81" x14ac:dyDescent="0.2">
      <c r="A39" s="606" t="s">
        <v>6854</v>
      </c>
      <c r="B39" s="556"/>
      <c r="C39" s="527" t="str">
        <f>IF(B39&lt;&gt;0,INDEX(Tabla16[],MATCH(A39&amp;B39,Tabla16[Concatenado],0),IF(R39="Si",4,5)),"")</f>
        <v/>
      </c>
      <c r="D39" s="527" t="str">
        <f>IF(B39&lt;&gt;0,INDEX(Tabla16[],MATCH(A39&amp;B39,Tabla16[Concatenado],0),6),"")</f>
        <v/>
      </c>
      <c r="E39" s="527" t="str">
        <f>IFERROR(IF(B39&lt;&gt;0,INDEX(Tabla16[],MATCH(A39&amp;B39,Tabla16[Concatenado],0),IF(F$3=TS!$O$2,7,IF(F$3=TS!$O$3,8,IF(F$3=TS!$O$4,9,"")))),""),"")</f>
        <v/>
      </c>
      <c r="F39" s="527" t="str">
        <f>IF(B39&lt;&gt;0,INDEX(Tabla16[],MATCH(A39&amp;B39,Tabla16[Concatenado],0),10),"")</f>
        <v/>
      </c>
      <c r="G39" s="527" t="str">
        <f>IF(B39&lt;&gt;0,INDEX(Tabla18[],MATCH(A39,Tabla18[Nombre],0),2),"")</f>
        <v/>
      </c>
      <c r="H39" s="527" t="str">
        <f>IF(B39&lt;&gt;0,INDEX(Tabla18[],MATCH(A39,Tabla18[Nombre],0),3),"")</f>
        <v/>
      </c>
      <c r="I39" s="527" t="str">
        <f>IF(B39&lt;&gt;0,INDEX(Tabla18[],MATCH(A39,Tabla18[Nombre],0),4),"")</f>
        <v/>
      </c>
      <c r="J39" s="527" t="str">
        <f>IF(B39&lt;&gt;0,INDEX(Tabla18[],MATCH(A39,Tabla18[Nombre],0),5),"")</f>
        <v/>
      </c>
      <c r="K39" s="596" t="str">
        <f>IF(B39&lt;&gt;0,INDEX(Tabla18[],MATCH(A39,Tabla18[Nombre],0),6),"")</f>
        <v/>
      </c>
      <c r="L39" s="598"/>
      <c r="M39" s="527"/>
      <c r="N39" s="527"/>
      <c r="O39" s="527"/>
      <c r="P39" s="527"/>
      <c r="Q39" s="600"/>
      <c r="R39" s="608"/>
      <c r="V39" s="606" t="s">
        <v>6854</v>
      </c>
      <c r="W39" s="556"/>
      <c r="X39" s="527" t="str">
        <f>IF(W39&lt;&gt;0,INDEX(Tabla16[],MATCH(V39&amp;W39,Tabla16[Concatenado],0),IF(AM39="Si",4,5)),"")</f>
        <v/>
      </c>
      <c r="Y39" s="527" t="str">
        <f>IF(W39&lt;&gt;0,INDEX(Tabla16[],MATCH(V39&amp;W39,Tabla16[Concatenado],0),6),"")</f>
        <v/>
      </c>
      <c r="Z39" s="527" t="str">
        <f>IFERROR(IF(W39&lt;&gt;0,INDEX(Tabla16[],MATCH(V39&amp;W39,Tabla16[Concatenado],0),IF(AA$3=TS!$O$2,7,IF(AA$3=TS!$O$3,8,IF(AA$3=TS!$O$4,9,"")))),""),"")</f>
        <v/>
      </c>
      <c r="AA39" s="527" t="str">
        <f>IF(W39&lt;&gt;0,INDEX(Tabla16[],MATCH(V39&amp;W39,Tabla16[Concatenado],0),10),"")</f>
        <v/>
      </c>
      <c r="AB39" s="527" t="str">
        <f>IF(W39&lt;&gt;0,INDEX(Tabla18[],MATCH(V39,Tabla18[Nombre],0),2),"")</f>
        <v/>
      </c>
      <c r="AC39" s="527" t="str">
        <f>IF(W39&lt;&gt;0,INDEX(Tabla18[],MATCH(V39,Tabla18[Nombre],0),3),"")</f>
        <v/>
      </c>
      <c r="AD39" s="527" t="str">
        <f>IF(W39&lt;&gt;0,INDEX(Tabla18[],MATCH(V39,Tabla18[Nombre],0),4),"")</f>
        <v/>
      </c>
      <c r="AE39" s="527" t="str">
        <f>IF(W39&lt;&gt;0,INDEX(Tabla18[],MATCH(V39,Tabla18[Nombre],0),5),"")</f>
        <v/>
      </c>
      <c r="AF39" s="596" t="str">
        <f>IF(W39&lt;&gt;0,INDEX(Tabla18[],MATCH(V39,Tabla18[Nombre],0),6),"")</f>
        <v/>
      </c>
      <c r="AG39" s="598"/>
      <c r="AH39" s="527"/>
      <c r="AI39" s="527"/>
      <c r="AJ39" s="527"/>
      <c r="AK39" s="527"/>
      <c r="AL39" s="600"/>
      <c r="AM39" s="608"/>
      <c r="AQ39" s="606" t="s">
        <v>6854</v>
      </c>
      <c r="AR39" s="556"/>
      <c r="AS39" s="527" t="str">
        <f>IF(AR39&lt;&gt;0,INDEX(Tabla16[],MATCH(AQ39&amp;AR39,Tabla16[Concatenado],0),IF(BH39="Si",4,5)),"")</f>
        <v/>
      </c>
      <c r="AT39" s="527" t="str">
        <f>IF(AR39&lt;&gt;0,INDEX(Tabla16[],MATCH(AQ39&amp;AR39,Tabla16[Concatenado],0),6),"")</f>
        <v/>
      </c>
      <c r="AU39" s="527" t="str">
        <f>IFERROR(IF(AR39&lt;&gt;0,INDEX(Tabla16[],MATCH(AQ39&amp;AR39,Tabla16[Concatenado],0),IF(AV$3=TS!$O$2,7,IF(AV$3=TS!$O$3,8,IF(AV$3=TS!$O$4,9,"")))),""),"")</f>
        <v/>
      </c>
      <c r="AV39" s="527" t="str">
        <f>IF(AR39&lt;&gt;0,INDEX(Tabla16[],MATCH(AQ39&amp;AR39,Tabla16[Concatenado],0),10),"")</f>
        <v/>
      </c>
      <c r="AW39" s="527" t="str">
        <f>IF(AR39&lt;&gt;0,INDEX(Tabla18[],MATCH(AQ39,Tabla18[Nombre],0),2),"")</f>
        <v/>
      </c>
      <c r="AX39" s="527" t="str">
        <f>IF(AR39&lt;&gt;0,INDEX(Tabla18[],MATCH(AQ39,Tabla18[Nombre],0),3),"")</f>
        <v/>
      </c>
      <c r="AY39" s="527" t="str">
        <f>IF(AR39&lt;&gt;0,INDEX(Tabla18[],MATCH(AQ39,Tabla18[Nombre],0),4),"")</f>
        <v/>
      </c>
      <c r="AZ39" s="527" t="str">
        <f>IF(AR39&lt;&gt;0,INDEX(Tabla18[],MATCH(AQ39,Tabla18[Nombre],0),5),"")</f>
        <v/>
      </c>
      <c r="BA39" s="596" t="str">
        <f>IF(AR39&lt;&gt;0,INDEX(Tabla18[],MATCH(AQ39,Tabla18[Nombre],0),6),"")</f>
        <v/>
      </c>
      <c r="BB39" s="598"/>
      <c r="BC39" s="527"/>
      <c r="BD39" s="527"/>
      <c r="BE39" s="527"/>
      <c r="BF39" s="527"/>
      <c r="BG39" s="600"/>
      <c r="BH39" s="608"/>
      <c r="BL39" s="606" t="s">
        <v>6854</v>
      </c>
      <c r="BM39" s="556"/>
      <c r="BN39" s="527" t="str">
        <f>IF(BM39&lt;&gt;0,INDEX(Tabla16[],MATCH(BL39&amp;BM39,Tabla16[Concatenado],0),IF(CC39="Si",4,5)),"")</f>
        <v/>
      </c>
      <c r="BO39" s="527" t="str">
        <f>IF(BM39&lt;&gt;0,INDEX(Tabla16[],MATCH(BL39&amp;BM39,Tabla16[Concatenado],0),6),"")</f>
        <v/>
      </c>
      <c r="BP39" s="527" t="str">
        <f>IFERROR(IF(BM39&lt;&gt;0,INDEX(Tabla16[],MATCH(BL39&amp;BM39,Tabla16[Concatenado],0),IF(BQ$3=TS!$O$2,7,IF(BQ$3=TS!$O$3,8,IF(BQ$3=TS!$O$4,9,"")))),""),"")</f>
        <v/>
      </c>
      <c r="BQ39" s="527" t="str">
        <f>IF(BM39&lt;&gt;0,INDEX(Tabla16[],MATCH(BL39&amp;BM39,Tabla16[Concatenado],0),10),"")</f>
        <v/>
      </c>
      <c r="BR39" s="527" t="str">
        <f>IF(BM39&lt;&gt;0,INDEX(Tabla18[],MATCH(BL39,Tabla18[Nombre],0),2),"")</f>
        <v/>
      </c>
      <c r="BS39" s="527" t="str">
        <f>IF(BM39&lt;&gt;0,INDEX(Tabla18[],MATCH(BL39,Tabla18[Nombre],0),3),"")</f>
        <v/>
      </c>
      <c r="BT39" s="527" t="str">
        <f>IF(BM39&lt;&gt;0,INDEX(Tabla18[],MATCH(BL39,Tabla18[Nombre],0),4),"")</f>
        <v/>
      </c>
      <c r="BU39" s="527" t="str">
        <f>IF(BM39&lt;&gt;0,INDEX(Tabla18[],MATCH(BL39,Tabla18[Nombre],0),5),"")</f>
        <v/>
      </c>
      <c r="BV39" s="596" t="str">
        <f>IF(BM39&lt;&gt;0,INDEX(Tabla18[],MATCH(BL39,Tabla18[Nombre],0),6),"")</f>
        <v/>
      </c>
      <c r="BW39" s="598"/>
      <c r="BX39" s="527"/>
      <c r="BY39" s="527"/>
      <c r="BZ39" s="527"/>
      <c r="CA39" s="527"/>
      <c r="CB39" s="600"/>
      <c r="CC39" s="608"/>
    </row>
    <row r="40" spans="1:81" x14ac:dyDescent="0.2">
      <c r="A40" s="610" t="s">
        <v>6861</v>
      </c>
      <c r="B40" s="555" t="s">
        <v>164</v>
      </c>
      <c r="C40" s="306" t="s">
        <v>7163</v>
      </c>
      <c r="D40" s="306" t="s">
        <v>5</v>
      </c>
      <c r="E40" s="306" t="s">
        <v>69</v>
      </c>
      <c r="F40" s="306" t="s">
        <v>14</v>
      </c>
      <c r="G40" s="306" t="s">
        <v>26</v>
      </c>
      <c r="H40" s="306" t="s">
        <v>277</v>
      </c>
      <c r="I40" s="306" t="s">
        <v>6791</v>
      </c>
      <c r="J40" s="306" t="s">
        <v>6792</v>
      </c>
      <c r="K40" s="597" t="s">
        <v>7162</v>
      </c>
      <c r="L40" s="601" t="s">
        <v>36</v>
      </c>
      <c r="M40" s="306" t="s">
        <v>46</v>
      </c>
      <c r="N40" s="306" t="s">
        <v>57</v>
      </c>
      <c r="O40" s="306" t="s">
        <v>66</v>
      </c>
      <c r="P40" s="306" t="s">
        <v>59</v>
      </c>
      <c r="Q40" s="602" t="s">
        <v>58</v>
      </c>
      <c r="R40" s="611" t="s">
        <v>6787</v>
      </c>
      <c r="V40" s="610" t="s">
        <v>6861</v>
      </c>
      <c r="W40" s="555" t="s">
        <v>164</v>
      </c>
      <c r="X40" s="306" t="s">
        <v>7163</v>
      </c>
      <c r="Y40" s="306" t="s">
        <v>5</v>
      </c>
      <c r="Z40" s="306" t="s">
        <v>69</v>
      </c>
      <c r="AA40" s="306" t="s">
        <v>14</v>
      </c>
      <c r="AB40" s="306" t="s">
        <v>26</v>
      </c>
      <c r="AC40" s="306" t="s">
        <v>277</v>
      </c>
      <c r="AD40" s="306" t="s">
        <v>6791</v>
      </c>
      <c r="AE40" s="306" t="s">
        <v>6792</v>
      </c>
      <c r="AF40" s="597" t="s">
        <v>7162</v>
      </c>
      <c r="AG40" s="601" t="s">
        <v>36</v>
      </c>
      <c r="AH40" s="306" t="s">
        <v>46</v>
      </c>
      <c r="AI40" s="306" t="s">
        <v>57</v>
      </c>
      <c r="AJ40" s="306" t="s">
        <v>66</v>
      </c>
      <c r="AK40" s="306" t="s">
        <v>59</v>
      </c>
      <c r="AL40" s="602" t="s">
        <v>58</v>
      </c>
      <c r="AM40" s="611" t="s">
        <v>6787</v>
      </c>
      <c r="AQ40" s="610" t="s">
        <v>6861</v>
      </c>
      <c r="AR40" s="555" t="s">
        <v>164</v>
      </c>
      <c r="AS40" s="306" t="s">
        <v>7163</v>
      </c>
      <c r="AT40" s="306" t="s">
        <v>5</v>
      </c>
      <c r="AU40" s="306" t="s">
        <v>69</v>
      </c>
      <c r="AV40" s="306" t="s">
        <v>14</v>
      </c>
      <c r="AW40" s="306" t="s">
        <v>26</v>
      </c>
      <c r="AX40" s="306" t="s">
        <v>277</v>
      </c>
      <c r="AY40" s="306" t="s">
        <v>6791</v>
      </c>
      <c r="AZ40" s="306" t="s">
        <v>6792</v>
      </c>
      <c r="BA40" s="597" t="s">
        <v>7162</v>
      </c>
      <c r="BB40" s="601" t="s">
        <v>36</v>
      </c>
      <c r="BC40" s="306" t="s">
        <v>46</v>
      </c>
      <c r="BD40" s="306" t="s">
        <v>57</v>
      </c>
      <c r="BE40" s="306" t="s">
        <v>66</v>
      </c>
      <c r="BF40" s="306" t="s">
        <v>59</v>
      </c>
      <c r="BG40" s="602" t="s">
        <v>58</v>
      </c>
      <c r="BH40" s="611" t="s">
        <v>6787</v>
      </c>
      <c r="BL40" s="610" t="s">
        <v>6861</v>
      </c>
      <c r="BM40" s="555" t="s">
        <v>164</v>
      </c>
      <c r="BN40" s="306" t="s">
        <v>7163</v>
      </c>
      <c r="BO40" s="306" t="s">
        <v>5</v>
      </c>
      <c r="BP40" s="306" t="s">
        <v>69</v>
      </c>
      <c r="BQ40" s="306" t="s">
        <v>14</v>
      </c>
      <c r="BR40" s="306" t="s">
        <v>26</v>
      </c>
      <c r="BS40" s="306" t="s">
        <v>277</v>
      </c>
      <c r="BT40" s="306" t="s">
        <v>6791</v>
      </c>
      <c r="BU40" s="306" t="s">
        <v>6792</v>
      </c>
      <c r="BV40" s="597" t="s">
        <v>7162</v>
      </c>
      <c r="BW40" s="601" t="s">
        <v>36</v>
      </c>
      <c r="BX40" s="306" t="s">
        <v>46</v>
      </c>
      <c r="BY40" s="306" t="s">
        <v>57</v>
      </c>
      <c r="BZ40" s="306" t="s">
        <v>66</v>
      </c>
      <c r="CA40" s="306" t="s">
        <v>59</v>
      </c>
      <c r="CB40" s="602" t="s">
        <v>58</v>
      </c>
      <c r="CC40" s="611" t="s">
        <v>6787</v>
      </c>
    </row>
    <row r="41" spans="1:81" x14ac:dyDescent="0.2">
      <c r="A41" s="606" t="s">
        <v>6862</v>
      </c>
      <c r="B41" s="556"/>
      <c r="C41" s="527" t="str">
        <f>IF(B41&lt;&gt;0,INDEX(Tabla16[],MATCH(A41&amp;B41,Tabla16[Concatenado],0),IF(R41="Si",4,5)),"")</f>
        <v/>
      </c>
      <c r="D41" s="527" t="str">
        <f>IF(B41&lt;&gt;0,INDEX(Tabla16[],MATCH(A41&amp;B41,Tabla16[Concatenado],0),6),"")</f>
        <v/>
      </c>
      <c r="E41" s="527" t="str">
        <f>IFERROR(IF(B41&lt;&gt;0,INDEX(Tabla16[],MATCH(A41&amp;B41,Tabla16[Concatenado],0),IF(F$3=TS!$O$2,7,IF(F$3=TS!$O$3,8,IF(F$3=TS!$O$4,9,"")))),""),"")</f>
        <v/>
      </c>
      <c r="F41" s="527" t="str">
        <f>IF(B41&lt;&gt;0,INDEX(Tabla16[],MATCH(A41&amp;B41,Tabla16[Concatenado],0),10),"")</f>
        <v/>
      </c>
      <c r="G41" s="527" t="str">
        <f>IF(B41&lt;&gt;0,INDEX(Tabla18[],MATCH(A41,Tabla18[Nombre],0),2),"")</f>
        <v/>
      </c>
      <c r="H41" s="527" t="str">
        <f>IF(B41&lt;&gt;0,INDEX(Tabla18[],MATCH(A41,Tabla18[Nombre],0),3),"")</f>
        <v/>
      </c>
      <c r="I41" s="527" t="str">
        <f>IF(B41&lt;&gt;0,INDEX(Tabla18[],MATCH(A41,Tabla18[Nombre],0),4),"")</f>
        <v/>
      </c>
      <c r="J41" s="527" t="str">
        <f>IF(B41&lt;&gt;0,INDEX(Tabla18[],MATCH(A41,Tabla18[Nombre],0),5),"")</f>
        <v/>
      </c>
      <c r="K41" s="596" t="str">
        <f>IF(B41&lt;&gt;0,INDEX(Tabla18[],MATCH(A41,Tabla18[Nombre],0),6),"")</f>
        <v/>
      </c>
      <c r="L41" s="598"/>
      <c r="M41" s="527"/>
      <c r="N41" s="527"/>
      <c r="O41" s="527"/>
      <c r="P41" s="527"/>
      <c r="Q41" s="600"/>
      <c r="R41" s="608"/>
      <c r="V41" s="606" t="s">
        <v>6862</v>
      </c>
      <c r="W41" s="556"/>
      <c r="X41" s="527" t="str">
        <f>IF(W41&lt;&gt;0,INDEX(Tabla16[],MATCH(V41&amp;W41,Tabla16[Concatenado],0),IF(AM41="Si",4,5)),"")</f>
        <v/>
      </c>
      <c r="Y41" s="527" t="str">
        <f>IF(W41&lt;&gt;0,INDEX(Tabla16[],MATCH(V41&amp;W41,Tabla16[Concatenado],0),6),"")</f>
        <v/>
      </c>
      <c r="Z41" s="527" t="str">
        <f>IFERROR(IF(W41&lt;&gt;0,INDEX(Tabla16[],MATCH(V41&amp;W41,Tabla16[Concatenado],0),IF(AA$3=TS!$O$2,7,IF(AA$3=TS!$O$3,8,IF(AA$3=TS!$O$4,9,"")))),""),"")</f>
        <v/>
      </c>
      <c r="AA41" s="527" t="str">
        <f>IF(W41&lt;&gt;0,INDEX(Tabla16[],MATCH(V41&amp;W41,Tabla16[Concatenado],0),10),"")</f>
        <v/>
      </c>
      <c r="AB41" s="527" t="str">
        <f>IF(W41&lt;&gt;0,INDEX(Tabla18[],MATCH(V41,Tabla18[Nombre],0),2),"")</f>
        <v/>
      </c>
      <c r="AC41" s="527" t="str">
        <f>IF(W41&lt;&gt;0,INDEX(Tabla18[],MATCH(V41,Tabla18[Nombre],0),3),"")</f>
        <v/>
      </c>
      <c r="AD41" s="527" t="str">
        <f>IF(W41&lt;&gt;0,INDEX(Tabla18[],MATCH(V41,Tabla18[Nombre],0),4),"")</f>
        <v/>
      </c>
      <c r="AE41" s="527" t="str">
        <f>IF(W41&lt;&gt;0,INDEX(Tabla18[],MATCH(V41,Tabla18[Nombre],0),5),"")</f>
        <v/>
      </c>
      <c r="AF41" s="596" t="str">
        <f>IF(W41&lt;&gt;0,INDEX(Tabla18[],MATCH(V41,Tabla18[Nombre],0),6),"")</f>
        <v/>
      </c>
      <c r="AG41" s="598"/>
      <c r="AH41" s="527"/>
      <c r="AI41" s="527"/>
      <c r="AJ41" s="527"/>
      <c r="AK41" s="527"/>
      <c r="AL41" s="600"/>
      <c r="AM41" s="608"/>
      <c r="AQ41" s="606" t="s">
        <v>6862</v>
      </c>
      <c r="AR41" s="556"/>
      <c r="AS41" s="527" t="str">
        <f>IF(AR41&lt;&gt;0,INDEX(Tabla16[],MATCH(AQ41&amp;AR41,Tabla16[Concatenado],0),IF(BH41="Si",4,5)),"")</f>
        <v/>
      </c>
      <c r="AT41" s="527" t="str">
        <f>IF(AR41&lt;&gt;0,INDEX(Tabla16[],MATCH(AQ41&amp;AR41,Tabla16[Concatenado],0),6),"")</f>
        <v/>
      </c>
      <c r="AU41" s="527" t="str">
        <f>IFERROR(IF(AR41&lt;&gt;0,INDEX(Tabla16[],MATCH(AQ41&amp;AR41,Tabla16[Concatenado],0),IF(AV$3=TS!$O$2,7,IF(AV$3=TS!$O$3,8,IF(AV$3=TS!$O$4,9,"")))),""),"")</f>
        <v/>
      </c>
      <c r="AV41" s="527" t="str">
        <f>IF(AR41&lt;&gt;0,INDEX(Tabla16[],MATCH(AQ41&amp;AR41,Tabla16[Concatenado],0),10),"")</f>
        <v/>
      </c>
      <c r="AW41" s="527" t="str">
        <f>IF(AR41&lt;&gt;0,INDEX(Tabla18[],MATCH(AQ41,Tabla18[Nombre],0),2),"")</f>
        <v/>
      </c>
      <c r="AX41" s="527" t="str">
        <f>IF(AR41&lt;&gt;0,INDEX(Tabla18[],MATCH(AQ41,Tabla18[Nombre],0),3),"")</f>
        <v/>
      </c>
      <c r="AY41" s="527" t="str">
        <f>IF(AR41&lt;&gt;0,INDEX(Tabla18[],MATCH(AQ41,Tabla18[Nombre],0),4),"")</f>
        <v/>
      </c>
      <c r="AZ41" s="527" t="str">
        <f>IF(AR41&lt;&gt;0,INDEX(Tabla18[],MATCH(AQ41,Tabla18[Nombre],0),5),"")</f>
        <v/>
      </c>
      <c r="BA41" s="596" t="str">
        <f>IF(AR41&lt;&gt;0,INDEX(Tabla18[],MATCH(AQ41,Tabla18[Nombre],0),6),"")</f>
        <v/>
      </c>
      <c r="BB41" s="598"/>
      <c r="BC41" s="527"/>
      <c r="BD41" s="527"/>
      <c r="BE41" s="527"/>
      <c r="BF41" s="527"/>
      <c r="BG41" s="600"/>
      <c r="BH41" s="608"/>
      <c r="BL41" s="606" t="s">
        <v>6862</v>
      </c>
      <c r="BM41" s="556"/>
      <c r="BN41" s="527" t="str">
        <f>IF(BM41&lt;&gt;0,INDEX(Tabla16[],MATCH(BL41&amp;BM41,Tabla16[Concatenado],0),IF(CC41="Si",4,5)),"")</f>
        <v/>
      </c>
      <c r="BO41" s="527" t="str">
        <f>IF(BM41&lt;&gt;0,INDEX(Tabla16[],MATCH(BL41&amp;BM41,Tabla16[Concatenado],0),6),"")</f>
        <v/>
      </c>
      <c r="BP41" s="527" t="str">
        <f>IFERROR(IF(BM41&lt;&gt;0,INDEX(Tabla16[],MATCH(BL41&amp;BM41,Tabla16[Concatenado],0),IF(BQ$3=TS!$O$2,7,IF(BQ$3=TS!$O$3,8,IF(BQ$3=TS!$O$4,9,"")))),""),"")</f>
        <v/>
      </c>
      <c r="BQ41" s="527" t="str">
        <f>IF(BM41&lt;&gt;0,INDEX(Tabla16[],MATCH(BL41&amp;BM41,Tabla16[Concatenado],0),10),"")</f>
        <v/>
      </c>
      <c r="BR41" s="527" t="str">
        <f>IF(BM41&lt;&gt;0,INDEX(Tabla18[],MATCH(BL41,Tabla18[Nombre],0),2),"")</f>
        <v/>
      </c>
      <c r="BS41" s="527" t="str">
        <f>IF(BM41&lt;&gt;0,INDEX(Tabla18[],MATCH(BL41,Tabla18[Nombre],0),3),"")</f>
        <v/>
      </c>
      <c r="BT41" s="527" t="str">
        <f>IF(BM41&lt;&gt;0,INDEX(Tabla18[],MATCH(BL41,Tabla18[Nombre],0),4),"")</f>
        <v/>
      </c>
      <c r="BU41" s="527" t="str">
        <f>IF(BM41&lt;&gt;0,INDEX(Tabla18[],MATCH(BL41,Tabla18[Nombre],0),5),"")</f>
        <v/>
      </c>
      <c r="BV41" s="596" t="str">
        <f>IF(BM41&lt;&gt;0,INDEX(Tabla18[],MATCH(BL41,Tabla18[Nombre],0),6),"")</f>
        <v/>
      </c>
      <c r="BW41" s="598"/>
      <c r="BX41" s="527"/>
      <c r="BY41" s="527"/>
      <c r="BZ41" s="527"/>
      <c r="CA41" s="527"/>
      <c r="CB41" s="600"/>
      <c r="CC41" s="608"/>
    </row>
    <row r="42" spans="1:81" x14ac:dyDescent="0.2">
      <c r="A42" s="606" t="s">
        <v>6864</v>
      </c>
      <c r="B42" s="556"/>
      <c r="C42" s="527" t="str">
        <f>IF(B42&lt;&gt;0,INDEX(Tabla16[],MATCH(A41&amp;A42&amp;B42,Tabla16[Concatenado],0),IF(R42="Si",4,5)),"")</f>
        <v/>
      </c>
      <c r="D42" s="527" t="str">
        <f>IF(B42&lt;&gt;0,INDEX(Tabla16[],MATCH(A41&amp;A42&amp;B42,Tabla16[Concatenado],0),6),"")</f>
        <v/>
      </c>
      <c r="E42" s="527" t="str">
        <f>IFERROR(IF(B42&lt;&gt;0,INDEX(Tabla16[],MATCH(A41&amp;A42&amp;B42,Tabla16[Concatenado],0),IF(F$3=TS!$O$2,7,IF(F$3=TS!$O$3,8,IF(F$3=TS!$O$4,9,"")))),""),"")</f>
        <v/>
      </c>
      <c r="F42" s="527" t="str">
        <f>IF(B42&lt;&gt;0,INDEX(Tabla16[],MATCH(A41&amp;A42&amp;B42,Tabla16[Concatenado],0),10),"")</f>
        <v/>
      </c>
      <c r="G42" s="527" t="str">
        <f>IF(B42&lt;&gt;0,INDEX(Tabla18[],MATCH(A42,Tabla18[Nombre],0),2),"")</f>
        <v/>
      </c>
      <c r="H42" s="527" t="str">
        <f>IF(B42&lt;&gt;0,INDEX(Tabla18[],MATCH(A42,Tabla18[Nombre],0),3),"")</f>
        <v/>
      </c>
      <c r="I42" s="527" t="str">
        <f>IF(B42&lt;&gt;0,INDEX(Tabla18[],MATCH(A42,Tabla18[Nombre],0),4),"")</f>
        <v/>
      </c>
      <c r="J42" s="527" t="str">
        <f>IF(B42&lt;&gt;0,INDEX(Tabla18[],MATCH(A42,Tabla18[Nombre],0),5),"")</f>
        <v/>
      </c>
      <c r="K42" s="596" t="str">
        <f>IF(B42&lt;&gt;0,INDEX(Tabla18[],MATCH(A42,Tabla18[Nombre],0),6),"")</f>
        <v/>
      </c>
      <c r="L42" s="598"/>
      <c r="M42" s="527"/>
      <c r="N42" s="527"/>
      <c r="O42" s="527"/>
      <c r="P42" s="527"/>
      <c r="Q42" s="600"/>
      <c r="R42" s="608"/>
      <c r="V42" s="606" t="s">
        <v>6864</v>
      </c>
      <c r="W42" s="556"/>
      <c r="X42" s="527" t="str">
        <f>IF(W42&lt;&gt;0,INDEX(Tabla16[],MATCH(V41&amp;V42&amp;W42,Tabla16[Concatenado],0),IF(AM42="Si",4,5)),"")</f>
        <v/>
      </c>
      <c r="Y42" s="527" t="str">
        <f>IF(W42&lt;&gt;0,INDEX(Tabla16[],MATCH(V41&amp;V42&amp;W42,Tabla16[Concatenado],0),6),"")</f>
        <v/>
      </c>
      <c r="Z42" s="527" t="str">
        <f>IFERROR(IF(W42&lt;&gt;0,INDEX(Tabla16[],MATCH(V41&amp;V42&amp;W42,Tabla16[Concatenado],0),IF(AA$3=TS!$O$2,7,IF(AA$3=TS!$O$3,8,IF(AA$3=TS!$O$4,9,"")))),""),"")</f>
        <v/>
      </c>
      <c r="AA42" s="527" t="str">
        <f>IF(W42&lt;&gt;0,INDEX(Tabla16[],MATCH(V41&amp;V42&amp;W42,Tabla16[Concatenado],0),10),"")</f>
        <v/>
      </c>
      <c r="AB42" s="527" t="str">
        <f>IF(W42&lt;&gt;0,INDEX(Tabla18[],MATCH(V42,Tabla18[Nombre],0),2),"")</f>
        <v/>
      </c>
      <c r="AC42" s="527" t="str">
        <f>IF(W42&lt;&gt;0,INDEX(Tabla18[],MATCH(V42,Tabla18[Nombre],0),3),"")</f>
        <v/>
      </c>
      <c r="AD42" s="527" t="str">
        <f>IF(W42&lt;&gt;0,INDEX(Tabla18[],MATCH(V42,Tabla18[Nombre],0),4),"")</f>
        <v/>
      </c>
      <c r="AE42" s="527" t="str">
        <f>IF(W42&lt;&gt;0,INDEX(Tabla18[],MATCH(V42,Tabla18[Nombre],0),5),"")</f>
        <v/>
      </c>
      <c r="AF42" s="596" t="str">
        <f>IF(W42&lt;&gt;0,INDEX(Tabla18[],MATCH(V42,Tabla18[Nombre],0),6),"")</f>
        <v/>
      </c>
      <c r="AG42" s="598"/>
      <c r="AH42" s="527"/>
      <c r="AI42" s="527"/>
      <c r="AJ42" s="527"/>
      <c r="AK42" s="527"/>
      <c r="AL42" s="600"/>
      <c r="AM42" s="608"/>
      <c r="AQ42" s="606" t="s">
        <v>6864</v>
      </c>
      <c r="AR42" s="556"/>
      <c r="AS42" s="527" t="str">
        <f>IF(AR42&lt;&gt;0,INDEX(Tabla16[],MATCH(AQ41&amp;AQ42&amp;AR42,Tabla16[Concatenado],0),IF(BH42="Si",4,5)),"")</f>
        <v/>
      </c>
      <c r="AT42" s="527" t="str">
        <f>IF(AR42&lt;&gt;0,INDEX(Tabla16[],MATCH(AQ41&amp;AQ42&amp;AR42,Tabla16[Concatenado],0),6),"")</f>
        <v/>
      </c>
      <c r="AU42" s="527" t="str">
        <f>IFERROR(IF(AR42&lt;&gt;0,INDEX(Tabla16[],MATCH(AQ41&amp;AQ42&amp;AR42,Tabla16[Concatenado],0),IF(AV$3=TS!$O$2,7,IF(AV$3=TS!$O$3,8,IF(AV$3=TS!$O$4,9,"")))),""),"")</f>
        <v/>
      </c>
      <c r="AV42" s="527" t="str">
        <f>IF(AR42&lt;&gt;0,INDEX(Tabla16[],MATCH(AQ41&amp;AQ42&amp;AR42,Tabla16[Concatenado],0),10),"")</f>
        <v/>
      </c>
      <c r="AW42" s="527" t="str">
        <f>IF(AR42&lt;&gt;0,INDEX(Tabla18[],MATCH(AQ42,Tabla18[Nombre],0),2),"")</f>
        <v/>
      </c>
      <c r="AX42" s="527" t="str">
        <f>IF(AR42&lt;&gt;0,INDEX(Tabla18[],MATCH(AQ42,Tabla18[Nombre],0),3),"")</f>
        <v/>
      </c>
      <c r="AY42" s="527" t="str">
        <f>IF(AR42&lt;&gt;0,INDEX(Tabla18[],MATCH(AQ42,Tabla18[Nombre],0),4),"")</f>
        <v/>
      </c>
      <c r="AZ42" s="527" t="str">
        <f>IF(AR42&lt;&gt;0,INDEX(Tabla18[],MATCH(AQ42,Tabla18[Nombre],0),5),"")</f>
        <v/>
      </c>
      <c r="BA42" s="596" t="str">
        <f>IF(AR42&lt;&gt;0,INDEX(Tabla18[],MATCH(AQ42,Tabla18[Nombre],0),6),"")</f>
        <v/>
      </c>
      <c r="BB42" s="598"/>
      <c r="BC42" s="527"/>
      <c r="BD42" s="527"/>
      <c r="BE42" s="527"/>
      <c r="BF42" s="527"/>
      <c r="BG42" s="600"/>
      <c r="BH42" s="608"/>
      <c r="BL42" s="606" t="s">
        <v>6864</v>
      </c>
      <c r="BM42" s="556"/>
      <c r="BN42" s="527" t="str">
        <f>IF(BM42&lt;&gt;0,INDEX(Tabla16[],MATCH(BL41&amp;BL42&amp;BM42,Tabla16[Concatenado],0),IF(CC42="Si",4,5)),"")</f>
        <v/>
      </c>
      <c r="BO42" s="527" t="str">
        <f>IF(BM42&lt;&gt;0,INDEX(Tabla16[],MATCH(BL41&amp;BL42&amp;BM42,Tabla16[Concatenado],0),6),"")</f>
        <v/>
      </c>
      <c r="BP42" s="527" t="str">
        <f>IFERROR(IF(BM42&lt;&gt;0,INDEX(Tabla16[],MATCH(BL41&amp;BL42&amp;BM42,Tabla16[Concatenado],0),IF(BQ$3=TS!$O$2,7,IF(BQ$3=TS!$O$3,8,IF(BQ$3=TS!$O$4,9,"")))),""),"")</f>
        <v/>
      </c>
      <c r="BQ42" s="527" t="str">
        <f>IF(BM42&lt;&gt;0,INDEX(Tabla16[],MATCH(BL41&amp;BL42&amp;BM42,Tabla16[Concatenado],0),10),"")</f>
        <v/>
      </c>
      <c r="BR42" s="527" t="str">
        <f>IF(BM42&lt;&gt;0,INDEX(Tabla18[],MATCH(BL42,Tabla18[Nombre],0),2),"")</f>
        <v/>
      </c>
      <c r="BS42" s="527" t="str">
        <f>IF(BM42&lt;&gt;0,INDEX(Tabla18[],MATCH(BL42,Tabla18[Nombre],0),3),"")</f>
        <v/>
      </c>
      <c r="BT42" s="527" t="str">
        <f>IF(BM42&lt;&gt;0,INDEX(Tabla18[],MATCH(BL42,Tabla18[Nombre],0),4),"")</f>
        <v/>
      </c>
      <c r="BU42" s="527" t="str">
        <f>IF(BM42&lt;&gt;0,INDEX(Tabla18[],MATCH(BL42,Tabla18[Nombre],0),5),"")</f>
        <v/>
      </c>
      <c r="BV42" s="596" t="str">
        <f>IF(BM42&lt;&gt;0,INDEX(Tabla18[],MATCH(BL42,Tabla18[Nombre],0),6),"")</f>
        <v/>
      </c>
      <c r="BW42" s="598"/>
      <c r="BX42" s="527"/>
      <c r="BY42" s="527"/>
      <c r="BZ42" s="527"/>
      <c r="CA42" s="527"/>
      <c r="CB42" s="600"/>
      <c r="CC42" s="608"/>
    </row>
    <row r="43" spans="1:81" x14ac:dyDescent="0.2">
      <c r="A43" s="606" t="s">
        <v>6865</v>
      </c>
      <c r="B43" s="556"/>
      <c r="C43" s="527" t="str">
        <f>IF(B43&lt;&gt;0,INDEX(Tabla16[],MATCH(A41&amp;A43&amp;B43,Tabla16[Concatenado],0),IF(R43="Si",4,5)),"")</f>
        <v/>
      </c>
      <c r="D43" s="527" t="str">
        <f>IF(B43&lt;&gt;0,INDEX(Tabla16[],MATCH(A41&amp;A43&amp;B43,Tabla16[Concatenado],0),6),"")</f>
        <v/>
      </c>
      <c r="E43" s="527" t="str">
        <f>IFERROR(IF(B43&lt;&gt;0,INDEX(Tabla16[],MATCH(A41&amp;A43&amp;B43,Tabla16[Concatenado],0),IF(F$3=TS!$O$2,7,IF(F$3=TS!$O$3,8,IF(F$3=TS!$O$4,9,"")))),""),"")</f>
        <v/>
      </c>
      <c r="F43" s="527" t="str">
        <f>IF(B43&lt;&gt;0,INDEX(Tabla16[],MATCH(A41&amp;A43&amp;B43,Tabla16[Concatenado],0),10),"")</f>
        <v/>
      </c>
      <c r="G43" s="527" t="str">
        <f>IF(B43&lt;&gt;0,INDEX(Tabla18[],MATCH(A43,Tabla18[Nombre],0),2),"")</f>
        <v/>
      </c>
      <c r="H43" s="527" t="str">
        <f>IF(B43&lt;&gt;0,INDEX(Tabla18[],MATCH(A43,Tabla18[Nombre],0),3),"")</f>
        <v/>
      </c>
      <c r="I43" s="527" t="str">
        <f>IF(B43&lt;&gt;0,INDEX(Tabla18[],MATCH(A43,Tabla18[Nombre],0),4),"")</f>
        <v/>
      </c>
      <c r="J43" s="527" t="str">
        <f>IF(B43&lt;&gt;0,INDEX(Tabla18[],MATCH(A43,Tabla18[Nombre],0),5),"")</f>
        <v/>
      </c>
      <c r="K43" s="596" t="str">
        <f>IF(B43&lt;&gt;0,INDEX(Tabla18[],MATCH(A43,Tabla18[Nombre],0),6),"")</f>
        <v/>
      </c>
      <c r="L43" s="598"/>
      <c r="M43" s="527"/>
      <c r="N43" s="527"/>
      <c r="O43" s="527"/>
      <c r="P43" s="527"/>
      <c r="Q43" s="600"/>
      <c r="R43" s="608"/>
      <c r="V43" s="606" t="s">
        <v>6865</v>
      </c>
      <c r="W43" s="556"/>
      <c r="X43" s="527" t="str">
        <f>IF(W43&lt;&gt;0,INDEX(Tabla16[],MATCH(V41&amp;V43&amp;W43,Tabla16[Concatenado],0),IF(AM43="Si",4,5)),"")</f>
        <v/>
      </c>
      <c r="Y43" s="527" t="str">
        <f>IF(W43&lt;&gt;0,INDEX(Tabla16[],MATCH(V41&amp;V43&amp;W43,Tabla16[Concatenado],0),6),"")</f>
        <v/>
      </c>
      <c r="Z43" s="527" t="str">
        <f>IFERROR(IF(W43&lt;&gt;0,INDEX(Tabla16[],MATCH(V41&amp;V43&amp;W43,Tabla16[Concatenado],0),IF(AA$3=TS!$O$2,7,IF(AA$3=TS!$O$3,8,IF(AA$3=TS!$O$4,9,"")))),""),"")</f>
        <v/>
      </c>
      <c r="AA43" s="527" t="str">
        <f>IF(W43&lt;&gt;0,INDEX(Tabla16[],MATCH(V41&amp;V43&amp;W43,Tabla16[Concatenado],0),10),"")</f>
        <v/>
      </c>
      <c r="AB43" s="527" t="str">
        <f>IF(W43&lt;&gt;0,INDEX(Tabla18[],MATCH(V43,Tabla18[Nombre],0),2),"")</f>
        <v/>
      </c>
      <c r="AC43" s="527" t="str">
        <f>IF(W43&lt;&gt;0,INDEX(Tabla18[],MATCH(V43,Tabla18[Nombre],0),3),"")</f>
        <v/>
      </c>
      <c r="AD43" s="527" t="str">
        <f>IF(W43&lt;&gt;0,INDEX(Tabla18[],MATCH(V43,Tabla18[Nombre],0),4),"")</f>
        <v/>
      </c>
      <c r="AE43" s="527" t="str">
        <f>IF(W43&lt;&gt;0,INDEX(Tabla18[],MATCH(V43,Tabla18[Nombre],0),5),"")</f>
        <v/>
      </c>
      <c r="AF43" s="596" t="str">
        <f>IF(W43&lt;&gt;0,INDEX(Tabla18[],MATCH(V43,Tabla18[Nombre],0),6),"")</f>
        <v/>
      </c>
      <c r="AG43" s="598"/>
      <c r="AH43" s="527"/>
      <c r="AI43" s="527"/>
      <c r="AJ43" s="527"/>
      <c r="AK43" s="527"/>
      <c r="AL43" s="600"/>
      <c r="AM43" s="608"/>
      <c r="AQ43" s="606" t="s">
        <v>6865</v>
      </c>
      <c r="AR43" s="556"/>
      <c r="AS43" s="527" t="str">
        <f>IF(AR43&lt;&gt;0,INDEX(Tabla16[],MATCH(AQ41&amp;AQ43&amp;AR43,Tabla16[Concatenado],0),IF(BH43="Si",4,5)),"")</f>
        <v/>
      </c>
      <c r="AT43" s="527" t="str">
        <f>IF(AR43&lt;&gt;0,INDEX(Tabla16[],MATCH(AQ41&amp;AQ43&amp;AR43,Tabla16[Concatenado],0),6),"")</f>
        <v/>
      </c>
      <c r="AU43" s="527" t="str">
        <f>IFERROR(IF(AR43&lt;&gt;0,INDEX(Tabla16[],MATCH(AQ41&amp;AQ43&amp;AR43,Tabla16[Concatenado],0),IF(AV$3=TS!$O$2,7,IF(AV$3=TS!$O$3,8,IF(AV$3=TS!$O$4,9,"")))),""),"")</f>
        <v/>
      </c>
      <c r="AV43" s="527" t="str">
        <f>IF(AR43&lt;&gt;0,INDEX(Tabla16[],MATCH(AQ41&amp;AQ43&amp;AR43,Tabla16[Concatenado],0),10),"")</f>
        <v/>
      </c>
      <c r="AW43" s="527" t="str">
        <f>IF(AR43&lt;&gt;0,INDEX(Tabla18[],MATCH(AQ43,Tabla18[Nombre],0),2),"")</f>
        <v/>
      </c>
      <c r="AX43" s="527" t="str">
        <f>IF(AR43&lt;&gt;0,INDEX(Tabla18[],MATCH(AQ43,Tabla18[Nombre],0),3),"")</f>
        <v/>
      </c>
      <c r="AY43" s="527" t="str">
        <f>IF(AR43&lt;&gt;0,INDEX(Tabla18[],MATCH(AQ43,Tabla18[Nombre],0),4),"")</f>
        <v/>
      </c>
      <c r="AZ43" s="527" t="str">
        <f>IF(AR43&lt;&gt;0,INDEX(Tabla18[],MATCH(AQ43,Tabla18[Nombre],0),5),"")</f>
        <v/>
      </c>
      <c r="BA43" s="596" t="str">
        <f>IF(AR43&lt;&gt;0,INDEX(Tabla18[],MATCH(AQ43,Tabla18[Nombre],0),6),"")</f>
        <v/>
      </c>
      <c r="BB43" s="598"/>
      <c r="BC43" s="527"/>
      <c r="BD43" s="527"/>
      <c r="BE43" s="527"/>
      <c r="BF43" s="527"/>
      <c r="BG43" s="600"/>
      <c r="BH43" s="608"/>
      <c r="BL43" s="606" t="s">
        <v>6865</v>
      </c>
      <c r="BM43" s="556"/>
      <c r="BN43" s="527" t="str">
        <f>IF(BM43&lt;&gt;0,INDEX(Tabla16[],MATCH(BL41&amp;BL43&amp;BM43,Tabla16[Concatenado],0),IF(CC43="Si",4,5)),"")</f>
        <v/>
      </c>
      <c r="BO43" s="527" t="str">
        <f>IF(BM43&lt;&gt;0,INDEX(Tabla16[],MATCH(BL41&amp;BL43&amp;BM43,Tabla16[Concatenado],0),6),"")</f>
        <v/>
      </c>
      <c r="BP43" s="527" t="str">
        <f>IFERROR(IF(BM43&lt;&gt;0,INDEX(Tabla16[],MATCH(BL41&amp;BL43&amp;BM43,Tabla16[Concatenado],0),IF(BQ$3=TS!$O$2,7,IF(BQ$3=TS!$O$3,8,IF(BQ$3=TS!$O$4,9,"")))),""),"")</f>
        <v/>
      </c>
      <c r="BQ43" s="527" t="str">
        <f>IF(BM43&lt;&gt;0,INDEX(Tabla16[],MATCH(BL41&amp;BL43&amp;BM43,Tabla16[Concatenado],0),10),"")</f>
        <v/>
      </c>
      <c r="BR43" s="527" t="str">
        <f>IF(BM43&lt;&gt;0,INDEX(Tabla18[],MATCH(BL43,Tabla18[Nombre],0),2),"")</f>
        <v/>
      </c>
      <c r="BS43" s="527" t="str">
        <f>IF(BM43&lt;&gt;0,INDEX(Tabla18[],MATCH(BL43,Tabla18[Nombre],0),3),"")</f>
        <v/>
      </c>
      <c r="BT43" s="527" t="str">
        <f>IF(BM43&lt;&gt;0,INDEX(Tabla18[],MATCH(BL43,Tabla18[Nombre],0),4),"")</f>
        <v/>
      </c>
      <c r="BU43" s="527" t="str">
        <f>IF(BM43&lt;&gt;0,INDEX(Tabla18[],MATCH(BL43,Tabla18[Nombre],0),5),"")</f>
        <v/>
      </c>
      <c r="BV43" s="596" t="str">
        <f>IF(BM43&lt;&gt;0,INDEX(Tabla18[],MATCH(BL43,Tabla18[Nombre],0),6),"")</f>
        <v/>
      </c>
      <c r="BW43" s="598"/>
      <c r="BX43" s="527"/>
      <c r="BY43" s="527"/>
      <c r="BZ43" s="527"/>
      <c r="CA43" s="527"/>
      <c r="CB43" s="600"/>
      <c r="CC43" s="608"/>
    </row>
    <row r="44" spans="1:81" x14ac:dyDescent="0.2">
      <c r="A44" s="606" t="s">
        <v>6866</v>
      </c>
      <c r="B44" s="556"/>
      <c r="C44" s="527" t="str">
        <f>IF(B44&lt;&gt;0,INDEX(Tabla16[],MATCH(A41&amp;A44&amp;B44,Tabla16[Concatenado],0),IF(R44="Si",4,5)),"")</f>
        <v/>
      </c>
      <c r="D44" s="527" t="str">
        <f>IF(B44&lt;&gt;0,INDEX(Tabla16[],MATCH(A41&amp;A44&amp;B44,Tabla16[Concatenado],0),6),"")</f>
        <v/>
      </c>
      <c r="E44" s="527" t="str">
        <f>IFERROR(IF(B44&lt;&gt;0,INDEX(Tabla16[],MATCH(A41&amp;A44&amp;B44,Tabla16[Concatenado],0),IF(F$3=TS!$O$2,7,IF(F$3=TS!$O$3,8,IF(F$3=TS!$O$4,9,"")))),""),"")</f>
        <v/>
      </c>
      <c r="F44" s="527" t="str">
        <f>IF(B44&lt;&gt;0,INDEX(Tabla16[],MATCH(A41&amp;A44&amp;B44,Tabla16[Concatenado],0),10),"")</f>
        <v/>
      </c>
      <c r="G44" s="527" t="str">
        <f>IF(B44&lt;&gt;0,INDEX(Tabla18[],MATCH(A44,Tabla18[Nombre],0),2),"")</f>
        <v/>
      </c>
      <c r="H44" s="527" t="str">
        <f>IF(B44&lt;&gt;0,INDEX(Tabla18[],MATCH(A44,Tabla18[Nombre],0),3),"")</f>
        <v/>
      </c>
      <c r="I44" s="527" t="str">
        <f>IF(B44&lt;&gt;0,INDEX(Tabla18[],MATCH(A44,Tabla18[Nombre],0),4),"")</f>
        <v/>
      </c>
      <c r="J44" s="527" t="str">
        <f>IF(B44&lt;&gt;0,INDEX(Tabla18[],MATCH(A44,Tabla18[Nombre],0),5),"")</f>
        <v/>
      </c>
      <c r="K44" s="596" t="str">
        <f>IF(B44&lt;&gt;0,INDEX(Tabla18[],MATCH(A44,Tabla18[Nombre],0),6),"")</f>
        <v/>
      </c>
      <c r="L44" s="598"/>
      <c r="M44" s="527"/>
      <c r="N44" s="527"/>
      <c r="O44" s="527"/>
      <c r="P44" s="527"/>
      <c r="Q44" s="600"/>
      <c r="R44" s="608"/>
      <c r="V44" s="606" t="s">
        <v>6866</v>
      </c>
      <c r="W44" s="556"/>
      <c r="X44" s="527" t="str">
        <f>IF(W44&lt;&gt;0,INDEX(Tabla16[],MATCH(V41&amp;V44&amp;W44,Tabla16[Concatenado],0),IF(AM44="Si",4,5)),"")</f>
        <v/>
      </c>
      <c r="Y44" s="527" t="str">
        <f>IF(W44&lt;&gt;0,INDEX(Tabla16[],MATCH(V41&amp;V44&amp;W44,Tabla16[Concatenado],0),6),"")</f>
        <v/>
      </c>
      <c r="Z44" s="527" t="str">
        <f>IFERROR(IF(W44&lt;&gt;0,INDEX(Tabla16[],MATCH(V41&amp;V44&amp;W44,Tabla16[Concatenado],0),IF(AA$3=TS!$O$2,7,IF(AA$3=TS!$O$3,8,IF(AA$3=TS!$O$4,9,"")))),""),"")</f>
        <v/>
      </c>
      <c r="AA44" s="527" t="str">
        <f>IF(W44&lt;&gt;0,INDEX(Tabla16[],MATCH(V41&amp;V44&amp;W44,Tabla16[Concatenado],0),10),"")</f>
        <v/>
      </c>
      <c r="AB44" s="527" t="str">
        <f>IF(W44&lt;&gt;0,INDEX(Tabla18[],MATCH(V44,Tabla18[Nombre],0),2),"")</f>
        <v/>
      </c>
      <c r="AC44" s="527" t="str">
        <f>IF(W44&lt;&gt;0,INDEX(Tabla18[],MATCH(V44,Tabla18[Nombre],0),3),"")</f>
        <v/>
      </c>
      <c r="AD44" s="527" t="str">
        <f>IF(W44&lt;&gt;0,INDEX(Tabla18[],MATCH(V44,Tabla18[Nombre],0),4),"")</f>
        <v/>
      </c>
      <c r="AE44" s="527" t="str">
        <f>IF(W44&lt;&gt;0,INDEX(Tabla18[],MATCH(V44,Tabla18[Nombre],0),5),"")</f>
        <v/>
      </c>
      <c r="AF44" s="596" t="str">
        <f>IF(W44&lt;&gt;0,INDEX(Tabla18[],MATCH(V44,Tabla18[Nombre],0),6),"")</f>
        <v/>
      </c>
      <c r="AG44" s="598"/>
      <c r="AH44" s="527"/>
      <c r="AI44" s="527"/>
      <c r="AJ44" s="527"/>
      <c r="AK44" s="527"/>
      <c r="AL44" s="600"/>
      <c r="AM44" s="608"/>
      <c r="AQ44" s="606" t="s">
        <v>6866</v>
      </c>
      <c r="AR44" s="556"/>
      <c r="AS44" s="527" t="str">
        <f>IF(AR44&lt;&gt;0,INDEX(Tabla16[],MATCH(AQ41&amp;AQ44&amp;AR44,Tabla16[Concatenado],0),IF(BH44="Si",4,5)),"")</f>
        <v/>
      </c>
      <c r="AT44" s="527" t="str">
        <f>IF(AR44&lt;&gt;0,INDEX(Tabla16[],MATCH(AQ41&amp;AQ44&amp;AR44,Tabla16[Concatenado],0),6),"")</f>
        <v/>
      </c>
      <c r="AU44" s="527" t="str">
        <f>IFERROR(IF(AR44&lt;&gt;0,INDEX(Tabla16[],MATCH(AQ41&amp;AQ44&amp;AR44,Tabla16[Concatenado],0),IF(AV$3=TS!$O$2,7,IF(AV$3=TS!$O$3,8,IF(AV$3=TS!$O$4,9,"")))),""),"")</f>
        <v/>
      </c>
      <c r="AV44" s="527" t="str">
        <f>IF(AR44&lt;&gt;0,INDEX(Tabla16[],MATCH(AQ41&amp;AQ44&amp;AR44,Tabla16[Concatenado],0),10),"")</f>
        <v/>
      </c>
      <c r="AW44" s="527" t="str">
        <f>IF(AR44&lt;&gt;0,INDEX(Tabla18[],MATCH(AQ44,Tabla18[Nombre],0),2),"")</f>
        <v/>
      </c>
      <c r="AX44" s="527" t="str">
        <f>IF(AR44&lt;&gt;0,INDEX(Tabla18[],MATCH(AQ44,Tabla18[Nombre],0),3),"")</f>
        <v/>
      </c>
      <c r="AY44" s="527" t="str">
        <f>IF(AR44&lt;&gt;0,INDEX(Tabla18[],MATCH(AQ44,Tabla18[Nombre],0),4),"")</f>
        <v/>
      </c>
      <c r="AZ44" s="527" t="str">
        <f>IF(AR44&lt;&gt;0,INDEX(Tabla18[],MATCH(AQ44,Tabla18[Nombre],0),5),"")</f>
        <v/>
      </c>
      <c r="BA44" s="596" t="str">
        <f>IF(AR44&lt;&gt;0,INDEX(Tabla18[],MATCH(AQ44,Tabla18[Nombre],0),6),"")</f>
        <v/>
      </c>
      <c r="BB44" s="598"/>
      <c r="BC44" s="527"/>
      <c r="BD44" s="527"/>
      <c r="BE44" s="527"/>
      <c r="BF44" s="527"/>
      <c r="BG44" s="600"/>
      <c r="BH44" s="608"/>
      <c r="BL44" s="606" t="s">
        <v>6866</v>
      </c>
      <c r="BM44" s="556"/>
      <c r="BN44" s="527" t="str">
        <f>IF(BM44&lt;&gt;0,INDEX(Tabla16[],MATCH(BL41&amp;BL44&amp;BM44,Tabla16[Concatenado],0),IF(CC44="Si",4,5)),"")</f>
        <v/>
      </c>
      <c r="BO44" s="527" t="str">
        <f>IF(BM44&lt;&gt;0,INDEX(Tabla16[],MATCH(BL41&amp;BL44&amp;BM44,Tabla16[Concatenado],0),6),"")</f>
        <v/>
      </c>
      <c r="BP44" s="527" t="str">
        <f>IFERROR(IF(BM44&lt;&gt;0,INDEX(Tabla16[],MATCH(BL41&amp;BL44&amp;BM44,Tabla16[Concatenado],0),IF(BQ$3=TS!$O$2,7,IF(BQ$3=TS!$O$3,8,IF(BQ$3=TS!$O$4,9,"")))),""),"")</f>
        <v/>
      </c>
      <c r="BQ44" s="527" t="str">
        <f>IF(BM44&lt;&gt;0,INDEX(Tabla16[],MATCH(BL41&amp;BL44&amp;BM44,Tabla16[Concatenado],0),10),"")</f>
        <v/>
      </c>
      <c r="BR44" s="527" t="str">
        <f>IF(BM44&lt;&gt;0,INDEX(Tabla18[],MATCH(BL44,Tabla18[Nombre],0),2),"")</f>
        <v/>
      </c>
      <c r="BS44" s="527" t="str">
        <f>IF(BM44&lt;&gt;0,INDEX(Tabla18[],MATCH(BL44,Tabla18[Nombre],0),3),"")</f>
        <v/>
      </c>
      <c r="BT44" s="527" t="str">
        <f>IF(BM44&lt;&gt;0,INDEX(Tabla18[],MATCH(BL44,Tabla18[Nombre],0),4),"")</f>
        <v/>
      </c>
      <c r="BU44" s="527" t="str">
        <f>IF(BM44&lt;&gt;0,INDEX(Tabla18[],MATCH(BL44,Tabla18[Nombre],0),5),"")</f>
        <v/>
      </c>
      <c r="BV44" s="596" t="str">
        <f>IF(BM44&lt;&gt;0,INDEX(Tabla18[],MATCH(BL44,Tabla18[Nombre],0),6),"")</f>
        <v/>
      </c>
      <c r="BW44" s="598"/>
      <c r="BX44" s="527"/>
      <c r="BY44" s="527"/>
      <c r="BZ44" s="527"/>
      <c r="CA44" s="527"/>
      <c r="CB44" s="600"/>
      <c r="CC44" s="608"/>
    </row>
    <row r="45" spans="1:81" x14ac:dyDescent="0.2">
      <c r="A45" s="606" t="s">
        <v>6867</v>
      </c>
      <c r="B45" s="556"/>
      <c r="C45" s="527" t="str">
        <f>IF(B45&lt;&gt;0,INDEX(Tabla16[],MATCH(A45&amp;B45,Tabla16[Concatenado],0),IF(R45="Si",4,5)),"")</f>
        <v/>
      </c>
      <c r="D45" s="527" t="str">
        <f>IF(B45&lt;&gt;0,INDEX(Tabla16[],MATCH(A45&amp;B45,Tabla16[Concatenado],0),6),"")</f>
        <v/>
      </c>
      <c r="E45" s="527" t="str">
        <f>IFERROR(IF(B45&lt;&gt;0,INDEX(Tabla16[],MATCH(A45&amp;B45,Tabla16[Concatenado],0),IF(F$3=TS!$O$2,7,IF(F$3=TS!$O$3,8,IF(F$3=TS!$O$4,9,"")))),""),"")</f>
        <v/>
      </c>
      <c r="F45" s="527" t="str">
        <f>IF(B45&lt;&gt;0,INDEX(Tabla16[],MATCH(A45&amp;B45,Tabla16[Concatenado],0),10),"")</f>
        <v/>
      </c>
      <c r="G45" s="527" t="str">
        <f>IF(B45&lt;&gt;0,INDEX(Tabla18[],MATCH(A45,Tabla18[Nombre],0),2),"")</f>
        <v/>
      </c>
      <c r="H45" s="527" t="str">
        <f>IF(B45&lt;&gt;0,INDEX(Tabla18[],MATCH(A45,Tabla18[Nombre],0),3),"")</f>
        <v/>
      </c>
      <c r="I45" s="527" t="str">
        <f>IF(B45&lt;&gt;0,INDEX(Tabla18[],MATCH(A45,Tabla18[Nombre],0),4),"")</f>
        <v/>
      </c>
      <c r="J45" s="527" t="str">
        <f>IF(B45&lt;&gt;0,INDEX(Tabla18[],MATCH(A45,Tabla18[Nombre],0),5),"")</f>
        <v/>
      </c>
      <c r="K45" s="596" t="str">
        <f>IF(B45&lt;&gt;0,INDEX(Tabla18[],MATCH(A45,Tabla18[Nombre],0),6),"")</f>
        <v/>
      </c>
      <c r="L45" s="598"/>
      <c r="M45" s="527"/>
      <c r="N45" s="527"/>
      <c r="O45" s="527"/>
      <c r="P45" s="527"/>
      <c r="Q45" s="600"/>
      <c r="R45" s="608"/>
      <c r="V45" s="606" t="s">
        <v>6867</v>
      </c>
      <c r="W45" s="556"/>
      <c r="X45" s="527" t="str">
        <f>IF(W45&lt;&gt;0,INDEX(Tabla16[],MATCH(V45&amp;W45,Tabla16[Concatenado],0),IF(AM45="Si",4,5)),"")</f>
        <v/>
      </c>
      <c r="Y45" s="527" t="str">
        <f>IF(W45&lt;&gt;0,INDEX(Tabla16[],MATCH(V45&amp;W45,Tabla16[Concatenado],0),6),"")</f>
        <v/>
      </c>
      <c r="Z45" s="527" t="str">
        <f>IFERROR(IF(W45&lt;&gt;0,INDEX(Tabla16[],MATCH(V45&amp;W45,Tabla16[Concatenado],0),IF(AA$3=TS!$O$2,7,IF(AA$3=TS!$O$3,8,IF(AA$3=TS!$O$4,9,"")))),""),"")</f>
        <v/>
      </c>
      <c r="AA45" s="527" t="str">
        <f>IF(W45&lt;&gt;0,INDEX(Tabla16[],MATCH(V45&amp;W45,Tabla16[Concatenado],0),10),"")</f>
        <v/>
      </c>
      <c r="AB45" s="527" t="str">
        <f>IF(W45&lt;&gt;0,INDEX(Tabla18[],MATCH(V45,Tabla18[Nombre],0),2),"")</f>
        <v/>
      </c>
      <c r="AC45" s="527" t="str">
        <f>IF(W45&lt;&gt;0,INDEX(Tabla18[],MATCH(V45,Tabla18[Nombre],0),3),"")</f>
        <v/>
      </c>
      <c r="AD45" s="527" t="str">
        <f>IF(W45&lt;&gt;0,INDEX(Tabla18[],MATCH(V45,Tabla18[Nombre],0),4),"")</f>
        <v/>
      </c>
      <c r="AE45" s="527" t="str">
        <f>IF(W45&lt;&gt;0,INDEX(Tabla18[],MATCH(V45,Tabla18[Nombre],0),5),"")</f>
        <v/>
      </c>
      <c r="AF45" s="596" t="str">
        <f>IF(W45&lt;&gt;0,INDEX(Tabla18[],MATCH(V45,Tabla18[Nombre],0),6),"")</f>
        <v/>
      </c>
      <c r="AG45" s="598"/>
      <c r="AH45" s="527"/>
      <c r="AI45" s="527"/>
      <c r="AJ45" s="527"/>
      <c r="AK45" s="527"/>
      <c r="AL45" s="600"/>
      <c r="AM45" s="608"/>
      <c r="AQ45" s="606" t="s">
        <v>6867</v>
      </c>
      <c r="AR45" s="556"/>
      <c r="AS45" s="527" t="str">
        <f>IF(AR45&lt;&gt;0,INDEX(Tabla16[],MATCH(AQ45&amp;AR45,Tabla16[Concatenado],0),IF(BH45="Si",4,5)),"")</f>
        <v/>
      </c>
      <c r="AT45" s="527" t="str">
        <f>IF(AR45&lt;&gt;0,INDEX(Tabla16[],MATCH(AQ45&amp;AR45,Tabla16[Concatenado],0),6),"")</f>
        <v/>
      </c>
      <c r="AU45" s="527" t="str">
        <f>IFERROR(IF(AR45&lt;&gt;0,INDEX(Tabla16[],MATCH(AQ45&amp;AR45,Tabla16[Concatenado],0),IF(AV$3=TS!$O$2,7,IF(AV$3=TS!$O$3,8,IF(AV$3=TS!$O$4,9,"")))),""),"")</f>
        <v/>
      </c>
      <c r="AV45" s="527" t="str">
        <f>IF(AR45&lt;&gt;0,INDEX(Tabla16[],MATCH(AQ45&amp;AR45,Tabla16[Concatenado],0),10),"")</f>
        <v/>
      </c>
      <c r="AW45" s="527" t="str">
        <f>IF(AR45&lt;&gt;0,INDEX(Tabla18[],MATCH(AQ45,Tabla18[Nombre],0),2),"")</f>
        <v/>
      </c>
      <c r="AX45" s="527" t="str">
        <f>IF(AR45&lt;&gt;0,INDEX(Tabla18[],MATCH(AQ45,Tabla18[Nombre],0),3),"")</f>
        <v/>
      </c>
      <c r="AY45" s="527" t="str">
        <f>IF(AR45&lt;&gt;0,INDEX(Tabla18[],MATCH(AQ45,Tabla18[Nombre],0),4),"")</f>
        <v/>
      </c>
      <c r="AZ45" s="527" t="str">
        <f>IF(AR45&lt;&gt;0,INDEX(Tabla18[],MATCH(AQ45,Tabla18[Nombre],0),5),"")</f>
        <v/>
      </c>
      <c r="BA45" s="596" t="str">
        <f>IF(AR45&lt;&gt;0,INDEX(Tabla18[],MATCH(AQ45,Tabla18[Nombre],0),6),"")</f>
        <v/>
      </c>
      <c r="BB45" s="598"/>
      <c r="BC45" s="527"/>
      <c r="BD45" s="527"/>
      <c r="BE45" s="527"/>
      <c r="BF45" s="527"/>
      <c r="BG45" s="600"/>
      <c r="BH45" s="608"/>
      <c r="BL45" s="606" t="s">
        <v>6867</v>
      </c>
      <c r="BM45" s="556"/>
      <c r="BN45" s="527" t="str">
        <f>IF(BM45&lt;&gt;0,INDEX(Tabla16[],MATCH(BL45&amp;BM45,Tabla16[Concatenado],0),IF(CC45="Si",4,5)),"")</f>
        <v/>
      </c>
      <c r="BO45" s="527" t="str">
        <f>IF(BM45&lt;&gt;0,INDEX(Tabla16[],MATCH(BL45&amp;BM45,Tabla16[Concatenado],0),6),"")</f>
        <v/>
      </c>
      <c r="BP45" s="527" t="str">
        <f>IFERROR(IF(BM45&lt;&gt;0,INDEX(Tabla16[],MATCH(BL45&amp;BM45,Tabla16[Concatenado],0),IF(BQ$3=TS!$O$2,7,IF(BQ$3=TS!$O$3,8,IF(BQ$3=TS!$O$4,9,"")))),""),"")</f>
        <v/>
      </c>
      <c r="BQ45" s="527" t="str">
        <f>IF(BM45&lt;&gt;0,INDEX(Tabla16[],MATCH(BL45&amp;BM45,Tabla16[Concatenado],0),10),"")</f>
        <v/>
      </c>
      <c r="BR45" s="527" t="str">
        <f>IF(BM45&lt;&gt;0,INDEX(Tabla18[],MATCH(BL45,Tabla18[Nombre],0),2),"")</f>
        <v/>
      </c>
      <c r="BS45" s="527" t="str">
        <f>IF(BM45&lt;&gt;0,INDEX(Tabla18[],MATCH(BL45,Tabla18[Nombre],0),3),"")</f>
        <v/>
      </c>
      <c r="BT45" s="527" t="str">
        <f>IF(BM45&lt;&gt;0,INDEX(Tabla18[],MATCH(BL45,Tabla18[Nombre],0),4),"")</f>
        <v/>
      </c>
      <c r="BU45" s="527" t="str">
        <f>IF(BM45&lt;&gt;0,INDEX(Tabla18[],MATCH(BL45,Tabla18[Nombre],0),5),"")</f>
        <v/>
      </c>
      <c r="BV45" s="596" t="str">
        <f>IF(BM45&lt;&gt;0,INDEX(Tabla18[],MATCH(BL45,Tabla18[Nombre],0),6),"")</f>
        <v/>
      </c>
      <c r="BW45" s="598"/>
      <c r="BX45" s="527"/>
      <c r="BY45" s="527"/>
      <c r="BZ45" s="527"/>
      <c r="CA45" s="527"/>
      <c r="CB45" s="600"/>
      <c r="CC45" s="608"/>
    </row>
    <row r="46" spans="1:81" x14ac:dyDescent="0.2">
      <c r="A46" s="606" t="s">
        <v>6864</v>
      </c>
      <c r="B46" s="556"/>
      <c r="C46" s="527" t="str">
        <f>IF(B46&lt;&gt;0,INDEX(Tabla16[],MATCH(A45&amp;A46&amp;B46,Tabla16[Concatenado],0),IF(R46="Si",4,5)),"")</f>
        <v/>
      </c>
      <c r="D46" s="527" t="str">
        <f>IF(B46&lt;&gt;0,INDEX(Tabla16[],MATCH(A45&amp;A46&amp;B46,Tabla16[Concatenado],0),6),"")</f>
        <v/>
      </c>
      <c r="E46" s="527" t="str">
        <f>IFERROR(IF(B46&lt;&gt;0,INDEX(Tabla16[],MATCH(A45&amp;A46&amp;B46,Tabla16[Concatenado],0),IF(F$3=TS!$O$2,7,IF(F$3=TS!$O$3,8,IF(F$3=TS!$O$4,9,"")))),""),"")</f>
        <v/>
      </c>
      <c r="F46" s="527" t="str">
        <f>IF(B46&lt;&gt;0,INDEX(Tabla16[],MATCH(A45&amp;A46&amp;B46,Tabla16[Concatenado],0),10),"")</f>
        <v/>
      </c>
      <c r="G46" s="527" t="str">
        <f>IF(B46&lt;&gt;0,INDEX(Tabla18[],MATCH(A46,Tabla18[Nombre],0),2),"")</f>
        <v/>
      </c>
      <c r="H46" s="527" t="str">
        <f>IF(B46&lt;&gt;0,INDEX(Tabla18[],MATCH(A46,Tabla18[Nombre],0),3),"")</f>
        <v/>
      </c>
      <c r="I46" s="527" t="str">
        <f>IF(B46&lt;&gt;0,INDEX(Tabla18[],MATCH(A46,Tabla18[Nombre],0),4),"")</f>
        <v/>
      </c>
      <c r="J46" s="527" t="str">
        <f>IF(B46&lt;&gt;0,INDEX(Tabla18[],MATCH(A46,Tabla18[Nombre],0),5),"")</f>
        <v/>
      </c>
      <c r="K46" s="596" t="str">
        <f>IF(B46&lt;&gt;0,INDEX(Tabla18[],MATCH(A46,Tabla18[Nombre],0),6),"")</f>
        <v/>
      </c>
      <c r="L46" s="598"/>
      <c r="M46" s="527"/>
      <c r="N46" s="527"/>
      <c r="O46" s="527"/>
      <c r="P46" s="527"/>
      <c r="Q46" s="600"/>
      <c r="R46" s="608"/>
      <c r="V46" s="606" t="s">
        <v>6864</v>
      </c>
      <c r="W46" s="556"/>
      <c r="X46" s="527" t="str">
        <f>IF(W46&lt;&gt;0,INDEX(Tabla16[],MATCH(V45&amp;V46&amp;W46,Tabla16[Concatenado],0),IF(AM46="Si",4,5)),"")</f>
        <v/>
      </c>
      <c r="Y46" s="527" t="str">
        <f>IF(W46&lt;&gt;0,INDEX(Tabla16[],MATCH(V45&amp;V46&amp;W46,Tabla16[Concatenado],0),6),"")</f>
        <v/>
      </c>
      <c r="Z46" s="527" t="str">
        <f>IFERROR(IF(W46&lt;&gt;0,INDEX(Tabla16[],MATCH(V45&amp;V46&amp;W46,Tabla16[Concatenado],0),IF(AA$3=TS!$O$2,7,IF(AA$3=TS!$O$3,8,IF(AA$3=TS!$O$4,9,"")))),""),"")</f>
        <v/>
      </c>
      <c r="AA46" s="527" t="str">
        <f>IF(W46&lt;&gt;0,INDEX(Tabla16[],MATCH(V45&amp;V46&amp;W46,Tabla16[Concatenado],0),10),"")</f>
        <v/>
      </c>
      <c r="AB46" s="527" t="str">
        <f>IF(W46&lt;&gt;0,INDEX(Tabla18[],MATCH(V46,Tabla18[Nombre],0),2),"")</f>
        <v/>
      </c>
      <c r="AC46" s="527" t="str">
        <f>IF(W46&lt;&gt;0,INDEX(Tabla18[],MATCH(V46,Tabla18[Nombre],0),3),"")</f>
        <v/>
      </c>
      <c r="AD46" s="527" t="str">
        <f>IF(W46&lt;&gt;0,INDEX(Tabla18[],MATCH(V46,Tabla18[Nombre],0),4),"")</f>
        <v/>
      </c>
      <c r="AE46" s="527" t="str">
        <f>IF(W46&lt;&gt;0,INDEX(Tabla18[],MATCH(V46,Tabla18[Nombre],0),5),"")</f>
        <v/>
      </c>
      <c r="AF46" s="596" t="str">
        <f>IF(W46&lt;&gt;0,INDEX(Tabla18[],MATCH(V46,Tabla18[Nombre],0),6),"")</f>
        <v/>
      </c>
      <c r="AG46" s="598"/>
      <c r="AH46" s="527"/>
      <c r="AI46" s="527"/>
      <c r="AJ46" s="527"/>
      <c r="AK46" s="527"/>
      <c r="AL46" s="600"/>
      <c r="AM46" s="608"/>
      <c r="AQ46" s="606" t="s">
        <v>6864</v>
      </c>
      <c r="AR46" s="556"/>
      <c r="AS46" s="527" t="str">
        <f>IF(AR46&lt;&gt;0,INDEX(Tabla16[],MATCH(AQ45&amp;AQ46&amp;AR46,Tabla16[Concatenado],0),IF(BH46="Si",4,5)),"")</f>
        <v/>
      </c>
      <c r="AT46" s="527" t="str">
        <f>IF(AR46&lt;&gt;0,INDEX(Tabla16[],MATCH(AQ45&amp;AQ46&amp;AR46,Tabla16[Concatenado],0),6),"")</f>
        <v/>
      </c>
      <c r="AU46" s="527" t="str">
        <f>IFERROR(IF(AR46&lt;&gt;0,INDEX(Tabla16[],MATCH(AQ45&amp;AQ46&amp;AR46,Tabla16[Concatenado],0),IF(AV$3=TS!$O$2,7,IF(AV$3=TS!$O$3,8,IF(AV$3=TS!$O$4,9,"")))),""),"")</f>
        <v/>
      </c>
      <c r="AV46" s="527" t="str">
        <f>IF(AR46&lt;&gt;0,INDEX(Tabla16[],MATCH(AQ45&amp;AQ46&amp;AR46,Tabla16[Concatenado],0),10),"")</f>
        <v/>
      </c>
      <c r="AW46" s="527" t="str">
        <f>IF(AR46&lt;&gt;0,INDEX(Tabla18[],MATCH(AQ46,Tabla18[Nombre],0),2),"")</f>
        <v/>
      </c>
      <c r="AX46" s="527" t="str">
        <f>IF(AR46&lt;&gt;0,INDEX(Tabla18[],MATCH(AQ46,Tabla18[Nombre],0),3),"")</f>
        <v/>
      </c>
      <c r="AY46" s="527" t="str">
        <f>IF(AR46&lt;&gt;0,INDEX(Tabla18[],MATCH(AQ46,Tabla18[Nombre],0),4),"")</f>
        <v/>
      </c>
      <c r="AZ46" s="527" t="str">
        <f>IF(AR46&lt;&gt;0,INDEX(Tabla18[],MATCH(AQ46,Tabla18[Nombre],0),5),"")</f>
        <v/>
      </c>
      <c r="BA46" s="596" t="str">
        <f>IF(AR46&lt;&gt;0,INDEX(Tabla18[],MATCH(AQ46,Tabla18[Nombre],0),6),"")</f>
        <v/>
      </c>
      <c r="BB46" s="598"/>
      <c r="BC46" s="527"/>
      <c r="BD46" s="527"/>
      <c r="BE46" s="527"/>
      <c r="BF46" s="527"/>
      <c r="BG46" s="600"/>
      <c r="BH46" s="608"/>
      <c r="BL46" s="606" t="s">
        <v>6864</v>
      </c>
      <c r="BM46" s="556"/>
      <c r="BN46" s="527" t="str">
        <f>IF(BM46&lt;&gt;0,INDEX(Tabla16[],MATCH(BL45&amp;BL46&amp;BM46,Tabla16[Concatenado],0),IF(CC46="Si",4,5)),"")</f>
        <v/>
      </c>
      <c r="BO46" s="527" t="str">
        <f>IF(BM46&lt;&gt;0,INDEX(Tabla16[],MATCH(BL45&amp;BL46&amp;BM46,Tabla16[Concatenado],0),6),"")</f>
        <v/>
      </c>
      <c r="BP46" s="527" t="str">
        <f>IFERROR(IF(BM46&lt;&gt;0,INDEX(Tabla16[],MATCH(BL45&amp;BL46&amp;BM46,Tabla16[Concatenado],0),IF(BQ$3=TS!$O$2,7,IF(BQ$3=TS!$O$3,8,IF(BQ$3=TS!$O$4,9,"")))),""),"")</f>
        <v/>
      </c>
      <c r="BQ46" s="527" t="str">
        <f>IF(BM46&lt;&gt;0,INDEX(Tabla16[],MATCH(BL45&amp;BL46&amp;BM46,Tabla16[Concatenado],0),10),"")</f>
        <v/>
      </c>
      <c r="BR46" s="527" t="str">
        <f>IF(BM46&lt;&gt;0,INDEX(Tabla18[],MATCH(BL46,Tabla18[Nombre],0),2),"")</f>
        <v/>
      </c>
      <c r="BS46" s="527" t="str">
        <f>IF(BM46&lt;&gt;0,INDEX(Tabla18[],MATCH(BL46,Tabla18[Nombre],0),3),"")</f>
        <v/>
      </c>
      <c r="BT46" s="527" t="str">
        <f>IF(BM46&lt;&gt;0,INDEX(Tabla18[],MATCH(BL46,Tabla18[Nombre],0),4),"")</f>
        <v/>
      </c>
      <c r="BU46" s="527" t="str">
        <f>IF(BM46&lt;&gt;0,INDEX(Tabla18[],MATCH(BL46,Tabla18[Nombre],0),5),"")</f>
        <v/>
      </c>
      <c r="BV46" s="596" t="str">
        <f>IF(BM46&lt;&gt;0,INDEX(Tabla18[],MATCH(BL46,Tabla18[Nombre],0),6),"")</f>
        <v/>
      </c>
      <c r="BW46" s="598"/>
      <c r="BX46" s="527"/>
      <c r="BY46" s="527"/>
      <c r="BZ46" s="527"/>
      <c r="CA46" s="527"/>
      <c r="CB46" s="600"/>
      <c r="CC46" s="608"/>
    </row>
    <row r="47" spans="1:81" x14ac:dyDescent="0.2">
      <c r="A47" s="606" t="s">
        <v>6868</v>
      </c>
      <c r="B47" s="556"/>
      <c r="C47" s="527" t="str">
        <f>IF(B47&lt;&gt;0,INDEX(Tabla16[],MATCH(A47&amp;B47,Tabla16[Concatenado],0),IF(R47="Si",4,5)),"")</f>
        <v/>
      </c>
      <c r="D47" s="527" t="str">
        <f>IF(B47&lt;&gt;0,INDEX(Tabla16[],MATCH(A47&amp;B47,Tabla16[Concatenado],0),6),"")</f>
        <v/>
      </c>
      <c r="E47" s="527" t="str">
        <f>IFERROR(IF(B47&lt;&gt;0,INDEX(Tabla16[],MATCH(A47&amp;B47,Tabla16[Concatenado],0),IF(F$3=TS!$O$2,7,IF(F$3=TS!$O$3,8,IF(F$3=TS!$O$4,9,"")))),""),"")</f>
        <v/>
      </c>
      <c r="F47" s="527" t="str">
        <f>IF(B47&lt;&gt;0,INDEX(Tabla16[],MATCH(A47&amp;B47,Tabla16[Concatenado],0),10),"")</f>
        <v/>
      </c>
      <c r="G47" s="527" t="str">
        <f>IF(B47&lt;&gt;0,INDEX(Tabla18[],MATCH(A47,Tabla18[Nombre],0),2),"")</f>
        <v/>
      </c>
      <c r="H47" s="527" t="str">
        <f>IF(B47&lt;&gt;0,INDEX(Tabla18[],MATCH(A47,Tabla18[Nombre],0),3),"")</f>
        <v/>
      </c>
      <c r="I47" s="527" t="str">
        <f>IF(B47&lt;&gt;0,INDEX(Tabla18[],MATCH(A47,Tabla18[Nombre],0),4),"")</f>
        <v/>
      </c>
      <c r="J47" s="527" t="str">
        <f>IF(B47&lt;&gt;0,INDEX(Tabla18[],MATCH(A47,Tabla18[Nombre],0),5),"")</f>
        <v/>
      </c>
      <c r="K47" s="596" t="str">
        <f>IF(B47&lt;&gt;0,INDEX(Tabla18[],MATCH(A47,Tabla18[Nombre],0),6),"")</f>
        <v/>
      </c>
      <c r="L47" s="598"/>
      <c r="M47" s="527"/>
      <c r="N47" s="527"/>
      <c r="O47" s="527"/>
      <c r="P47" s="527"/>
      <c r="Q47" s="600"/>
      <c r="R47" s="608"/>
      <c r="V47" s="606" t="s">
        <v>6868</v>
      </c>
      <c r="W47" s="556"/>
      <c r="X47" s="527" t="str">
        <f>IF(W47&lt;&gt;0,INDEX(Tabla16[],MATCH(V47&amp;W47,Tabla16[Concatenado],0),IF(AM47="Si",4,5)),"")</f>
        <v/>
      </c>
      <c r="Y47" s="527" t="str">
        <f>IF(W47&lt;&gt;0,INDEX(Tabla16[],MATCH(V47&amp;W47,Tabla16[Concatenado],0),6),"")</f>
        <v/>
      </c>
      <c r="Z47" s="527" t="str">
        <f>IFERROR(IF(W47&lt;&gt;0,INDEX(Tabla16[],MATCH(V47&amp;W47,Tabla16[Concatenado],0),IF(AA$3=TS!$O$2,7,IF(AA$3=TS!$O$3,8,IF(AA$3=TS!$O$4,9,"")))),""),"")</f>
        <v/>
      </c>
      <c r="AA47" s="527" t="str">
        <f>IF(W47&lt;&gt;0,INDEX(Tabla16[],MATCH(V47&amp;W47,Tabla16[Concatenado],0),10),"")</f>
        <v/>
      </c>
      <c r="AB47" s="527" t="str">
        <f>IF(W47&lt;&gt;0,INDEX(Tabla18[],MATCH(V47,Tabla18[Nombre],0),2),"")</f>
        <v/>
      </c>
      <c r="AC47" s="527" t="str">
        <f>IF(W47&lt;&gt;0,INDEX(Tabla18[],MATCH(V47,Tabla18[Nombre],0),3),"")</f>
        <v/>
      </c>
      <c r="AD47" s="527" t="str">
        <f>IF(W47&lt;&gt;0,INDEX(Tabla18[],MATCH(V47,Tabla18[Nombre],0),4),"")</f>
        <v/>
      </c>
      <c r="AE47" s="527" t="str">
        <f>IF(W47&lt;&gt;0,INDEX(Tabla18[],MATCH(V47,Tabla18[Nombre],0),5),"")</f>
        <v/>
      </c>
      <c r="AF47" s="596" t="str">
        <f>IF(W47&lt;&gt;0,INDEX(Tabla18[],MATCH(V47,Tabla18[Nombre],0),6),"")</f>
        <v/>
      </c>
      <c r="AG47" s="598"/>
      <c r="AH47" s="527"/>
      <c r="AI47" s="527"/>
      <c r="AJ47" s="527"/>
      <c r="AK47" s="527"/>
      <c r="AL47" s="600"/>
      <c r="AM47" s="608"/>
      <c r="AQ47" s="606" t="s">
        <v>6868</v>
      </c>
      <c r="AR47" s="556"/>
      <c r="AS47" s="527" t="str">
        <f>IF(AR47&lt;&gt;0,INDEX(Tabla16[],MATCH(AQ47&amp;AR47,Tabla16[Concatenado],0),IF(BH47="Si",4,5)),"")</f>
        <v/>
      </c>
      <c r="AT47" s="527" t="str">
        <f>IF(AR47&lt;&gt;0,INDEX(Tabla16[],MATCH(AQ47&amp;AR47,Tabla16[Concatenado],0),6),"")</f>
        <v/>
      </c>
      <c r="AU47" s="527" t="str">
        <f>IFERROR(IF(AR47&lt;&gt;0,INDEX(Tabla16[],MATCH(AQ47&amp;AR47,Tabla16[Concatenado],0),IF(AV$3=TS!$O$2,7,IF(AV$3=TS!$O$3,8,IF(AV$3=TS!$O$4,9,"")))),""),"")</f>
        <v/>
      </c>
      <c r="AV47" s="527" t="str">
        <f>IF(AR47&lt;&gt;0,INDEX(Tabla16[],MATCH(AQ47&amp;AR47,Tabla16[Concatenado],0),10),"")</f>
        <v/>
      </c>
      <c r="AW47" s="527" t="str">
        <f>IF(AR47&lt;&gt;0,INDEX(Tabla18[],MATCH(AQ47,Tabla18[Nombre],0),2),"")</f>
        <v/>
      </c>
      <c r="AX47" s="527" t="str">
        <f>IF(AR47&lt;&gt;0,INDEX(Tabla18[],MATCH(AQ47,Tabla18[Nombre],0),3),"")</f>
        <v/>
      </c>
      <c r="AY47" s="527" t="str">
        <f>IF(AR47&lt;&gt;0,INDEX(Tabla18[],MATCH(AQ47,Tabla18[Nombre],0),4),"")</f>
        <v/>
      </c>
      <c r="AZ47" s="527" t="str">
        <f>IF(AR47&lt;&gt;0,INDEX(Tabla18[],MATCH(AQ47,Tabla18[Nombre],0),5),"")</f>
        <v/>
      </c>
      <c r="BA47" s="596" t="str">
        <f>IF(AR47&lt;&gt;0,INDEX(Tabla18[],MATCH(AQ47,Tabla18[Nombre],0),6),"")</f>
        <v/>
      </c>
      <c r="BB47" s="598"/>
      <c r="BC47" s="527"/>
      <c r="BD47" s="527"/>
      <c r="BE47" s="527"/>
      <c r="BF47" s="527"/>
      <c r="BG47" s="600"/>
      <c r="BH47" s="608"/>
      <c r="BL47" s="606" t="s">
        <v>6868</v>
      </c>
      <c r="BM47" s="556"/>
      <c r="BN47" s="527" t="str">
        <f>IF(BM47&lt;&gt;0,INDEX(Tabla16[],MATCH(BL47&amp;BM47,Tabla16[Concatenado],0),IF(CC47="Si",4,5)),"")</f>
        <v/>
      </c>
      <c r="BO47" s="527" t="str">
        <f>IF(BM47&lt;&gt;0,INDEX(Tabla16[],MATCH(BL47&amp;BM47,Tabla16[Concatenado],0),6),"")</f>
        <v/>
      </c>
      <c r="BP47" s="527" t="str">
        <f>IFERROR(IF(BM47&lt;&gt;0,INDEX(Tabla16[],MATCH(BL47&amp;BM47,Tabla16[Concatenado],0),IF(BQ$3=TS!$O$2,7,IF(BQ$3=TS!$O$3,8,IF(BQ$3=TS!$O$4,9,"")))),""),"")</f>
        <v/>
      </c>
      <c r="BQ47" s="527" t="str">
        <f>IF(BM47&lt;&gt;0,INDEX(Tabla16[],MATCH(BL47&amp;BM47,Tabla16[Concatenado],0),10),"")</f>
        <v/>
      </c>
      <c r="BR47" s="527" t="str">
        <f>IF(BM47&lt;&gt;0,INDEX(Tabla18[],MATCH(BL47,Tabla18[Nombre],0),2),"")</f>
        <v/>
      </c>
      <c r="BS47" s="527" t="str">
        <f>IF(BM47&lt;&gt;0,INDEX(Tabla18[],MATCH(BL47,Tabla18[Nombre],0),3),"")</f>
        <v/>
      </c>
      <c r="BT47" s="527" t="str">
        <f>IF(BM47&lt;&gt;0,INDEX(Tabla18[],MATCH(BL47,Tabla18[Nombre],0),4),"")</f>
        <v/>
      </c>
      <c r="BU47" s="527" t="str">
        <f>IF(BM47&lt;&gt;0,INDEX(Tabla18[],MATCH(BL47,Tabla18[Nombre],0),5),"")</f>
        <v/>
      </c>
      <c r="BV47" s="596" t="str">
        <f>IF(BM47&lt;&gt;0,INDEX(Tabla18[],MATCH(BL47,Tabla18[Nombre],0),6),"")</f>
        <v/>
      </c>
      <c r="BW47" s="598"/>
      <c r="BX47" s="527"/>
      <c r="BY47" s="527"/>
      <c r="BZ47" s="527"/>
      <c r="CA47" s="527"/>
      <c r="CB47" s="600"/>
      <c r="CC47" s="608"/>
    </row>
    <row r="48" spans="1:81" x14ac:dyDescent="0.2">
      <c r="A48" s="606" t="s">
        <v>6865</v>
      </c>
      <c r="B48" s="556"/>
      <c r="C48" s="527" t="str">
        <f>IF(B48&lt;&gt;0,INDEX(Tabla16[],MATCH(A47&amp;A48&amp;B48,Tabla16[Concatenado],0),IF(R48="Si",4,5)),"")</f>
        <v/>
      </c>
      <c r="D48" s="527" t="str">
        <f>IF(B48&lt;&gt;0,INDEX(Tabla16[],MATCH(A47&amp;A48&amp;B48,Tabla16[Concatenado],0),6),"")</f>
        <v/>
      </c>
      <c r="E48" s="527" t="str">
        <f>IFERROR(IF(B48&lt;&gt;0,INDEX(Tabla16[],MATCH(A47&amp;A48&amp;B48,Tabla16[Concatenado],0),IF(F$3=TS!$O$2,7,IF(F$3=TS!$O$3,8,IF(F$3=TS!$O$4,9,"")))),""),"")</f>
        <v/>
      </c>
      <c r="F48" s="527" t="str">
        <f>IF(B48&lt;&gt;0,INDEX(Tabla16[],MATCH(A47&amp;A48&amp;B48,Tabla16[Concatenado],0),10),"")</f>
        <v/>
      </c>
      <c r="G48" s="527" t="str">
        <f>IF(B48&lt;&gt;0,INDEX(Tabla18[],MATCH(A48,Tabla18[Nombre],0),2),"")</f>
        <v/>
      </c>
      <c r="H48" s="527" t="str">
        <f>IF(B48&lt;&gt;0,INDEX(Tabla18[],MATCH(A48,Tabla18[Nombre],0),3),"")</f>
        <v/>
      </c>
      <c r="I48" s="527" t="str">
        <f>IF(B48&lt;&gt;0,INDEX(Tabla18[],MATCH(A48,Tabla18[Nombre],0),4),"")</f>
        <v/>
      </c>
      <c r="J48" s="527" t="str">
        <f>IF(B48&lt;&gt;0,INDEX(Tabla18[],MATCH(A48,Tabla18[Nombre],0),5),"")</f>
        <v/>
      </c>
      <c r="K48" s="596" t="str">
        <f>IF(B48&lt;&gt;0,INDEX(Tabla18[],MATCH(A48,Tabla18[Nombre],0),6),"")</f>
        <v/>
      </c>
      <c r="L48" s="598"/>
      <c r="M48" s="527"/>
      <c r="N48" s="527"/>
      <c r="O48" s="527"/>
      <c r="P48" s="527"/>
      <c r="Q48" s="600"/>
      <c r="R48" s="608"/>
      <c r="V48" s="606" t="s">
        <v>6865</v>
      </c>
      <c r="W48" s="556"/>
      <c r="X48" s="527" t="str">
        <f>IF(W48&lt;&gt;0,INDEX(Tabla16[],MATCH(V47&amp;V48&amp;W48,Tabla16[Concatenado],0),IF(AM48="Si",4,5)),"")</f>
        <v/>
      </c>
      <c r="Y48" s="527" t="str">
        <f>IF(W48&lt;&gt;0,INDEX(Tabla16[],MATCH(V47&amp;V48&amp;W48,Tabla16[Concatenado],0),6),"")</f>
        <v/>
      </c>
      <c r="Z48" s="527" t="str">
        <f>IFERROR(IF(W48&lt;&gt;0,INDEX(Tabla16[],MATCH(V47&amp;V48&amp;W48,Tabla16[Concatenado],0),IF(AA$3=TS!$O$2,7,IF(AA$3=TS!$O$3,8,IF(AA$3=TS!$O$4,9,"")))),""),"")</f>
        <v/>
      </c>
      <c r="AA48" s="527" t="str">
        <f>IF(W48&lt;&gt;0,INDEX(Tabla16[],MATCH(V47&amp;V48&amp;W48,Tabla16[Concatenado],0),10),"")</f>
        <v/>
      </c>
      <c r="AB48" s="527" t="str">
        <f>IF(W48&lt;&gt;0,INDEX(Tabla18[],MATCH(V48,Tabla18[Nombre],0),2),"")</f>
        <v/>
      </c>
      <c r="AC48" s="527" t="str">
        <f>IF(W48&lt;&gt;0,INDEX(Tabla18[],MATCH(V48,Tabla18[Nombre],0),3),"")</f>
        <v/>
      </c>
      <c r="AD48" s="527" t="str">
        <f>IF(W48&lt;&gt;0,INDEX(Tabla18[],MATCH(V48,Tabla18[Nombre],0),4),"")</f>
        <v/>
      </c>
      <c r="AE48" s="527" t="str">
        <f>IF(W48&lt;&gt;0,INDEX(Tabla18[],MATCH(V48,Tabla18[Nombre],0),5),"")</f>
        <v/>
      </c>
      <c r="AF48" s="596" t="str">
        <f>IF(W48&lt;&gt;0,INDEX(Tabla18[],MATCH(V48,Tabla18[Nombre],0),6),"")</f>
        <v/>
      </c>
      <c r="AG48" s="598"/>
      <c r="AH48" s="527"/>
      <c r="AI48" s="527"/>
      <c r="AJ48" s="527"/>
      <c r="AK48" s="527"/>
      <c r="AL48" s="600"/>
      <c r="AM48" s="608"/>
      <c r="AQ48" s="606" t="s">
        <v>6865</v>
      </c>
      <c r="AR48" s="556"/>
      <c r="AS48" s="527" t="str">
        <f>IF(AR48&lt;&gt;0,INDEX(Tabla16[],MATCH(AQ47&amp;AQ48&amp;AR48,Tabla16[Concatenado],0),IF(BH48="Si",4,5)),"")</f>
        <v/>
      </c>
      <c r="AT48" s="527" t="str">
        <f>IF(AR48&lt;&gt;0,INDEX(Tabla16[],MATCH(AQ47&amp;AQ48&amp;AR48,Tabla16[Concatenado],0),6),"")</f>
        <v/>
      </c>
      <c r="AU48" s="527" t="str">
        <f>IFERROR(IF(AR48&lt;&gt;0,INDEX(Tabla16[],MATCH(AQ47&amp;AQ48&amp;AR48,Tabla16[Concatenado],0),IF(AV$3=TS!$O$2,7,IF(AV$3=TS!$O$3,8,IF(AV$3=TS!$O$4,9,"")))),""),"")</f>
        <v/>
      </c>
      <c r="AV48" s="527" t="str">
        <f>IF(AR48&lt;&gt;0,INDEX(Tabla16[],MATCH(AQ47&amp;AQ48&amp;AR48,Tabla16[Concatenado],0),10),"")</f>
        <v/>
      </c>
      <c r="AW48" s="527" t="str">
        <f>IF(AR48&lt;&gt;0,INDEX(Tabla18[],MATCH(AQ48,Tabla18[Nombre],0),2),"")</f>
        <v/>
      </c>
      <c r="AX48" s="527" t="str">
        <f>IF(AR48&lt;&gt;0,INDEX(Tabla18[],MATCH(AQ48,Tabla18[Nombre],0),3),"")</f>
        <v/>
      </c>
      <c r="AY48" s="527" t="str">
        <f>IF(AR48&lt;&gt;0,INDEX(Tabla18[],MATCH(AQ48,Tabla18[Nombre],0),4),"")</f>
        <v/>
      </c>
      <c r="AZ48" s="527" t="str">
        <f>IF(AR48&lt;&gt;0,INDEX(Tabla18[],MATCH(AQ48,Tabla18[Nombre],0),5),"")</f>
        <v/>
      </c>
      <c r="BA48" s="596" t="str">
        <f>IF(AR48&lt;&gt;0,INDEX(Tabla18[],MATCH(AQ48,Tabla18[Nombre],0),6),"")</f>
        <v/>
      </c>
      <c r="BB48" s="598"/>
      <c r="BC48" s="527"/>
      <c r="BD48" s="527"/>
      <c r="BE48" s="527"/>
      <c r="BF48" s="527"/>
      <c r="BG48" s="600"/>
      <c r="BH48" s="608"/>
      <c r="BL48" s="606" t="s">
        <v>6865</v>
      </c>
      <c r="BM48" s="556"/>
      <c r="BN48" s="527" t="str">
        <f>IF(BM48&lt;&gt;0,INDEX(Tabla16[],MATCH(BL47&amp;BL48&amp;BM48,Tabla16[Concatenado],0),IF(CC48="Si",4,5)),"")</f>
        <v/>
      </c>
      <c r="BO48" s="527" t="str">
        <f>IF(BM48&lt;&gt;0,INDEX(Tabla16[],MATCH(BL47&amp;BL48&amp;BM48,Tabla16[Concatenado],0),6),"")</f>
        <v/>
      </c>
      <c r="BP48" s="527" t="str">
        <f>IFERROR(IF(BM48&lt;&gt;0,INDEX(Tabla16[],MATCH(BL47&amp;BL48&amp;BM48,Tabla16[Concatenado],0),IF(BQ$3=TS!$O$2,7,IF(BQ$3=TS!$O$3,8,IF(BQ$3=TS!$O$4,9,"")))),""),"")</f>
        <v/>
      </c>
      <c r="BQ48" s="527" t="str">
        <f>IF(BM48&lt;&gt;0,INDEX(Tabla16[],MATCH(BL47&amp;BL48&amp;BM48,Tabla16[Concatenado],0),10),"")</f>
        <v/>
      </c>
      <c r="BR48" s="527" t="str">
        <f>IF(BM48&lt;&gt;0,INDEX(Tabla18[],MATCH(BL48,Tabla18[Nombre],0),2),"")</f>
        <v/>
      </c>
      <c r="BS48" s="527" t="str">
        <f>IF(BM48&lt;&gt;0,INDEX(Tabla18[],MATCH(BL48,Tabla18[Nombre],0),3),"")</f>
        <v/>
      </c>
      <c r="BT48" s="527" t="str">
        <f>IF(BM48&lt;&gt;0,INDEX(Tabla18[],MATCH(BL48,Tabla18[Nombre],0),4),"")</f>
        <v/>
      </c>
      <c r="BU48" s="527" t="str">
        <f>IF(BM48&lt;&gt;0,INDEX(Tabla18[],MATCH(BL48,Tabla18[Nombre],0),5),"")</f>
        <v/>
      </c>
      <c r="BV48" s="596" t="str">
        <f>IF(BM48&lt;&gt;0,INDEX(Tabla18[],MATCH(BL48,Tabla18[Nombre],0),6),"")</f>
        <v/>
      </c>
      <c r="BW48" s="598"/>
      <c r="BX48" s="527"/>
      <c r="BY48" s="527"/>
      <c r="BZ48" s="527"/>
      <c r="CA48" s="527"/>
      <c r="CB48" s="600"/>
      <c r="CC48" s="608"/>
    </row>
    <row r="49" spans="1:81" x14ac:dyDescent="0.2">
      <c r="A49" s="606" t="s">
        <v>6869</v>
      </c>
      <c r="B49" s="556"/>
      <c r="C49" s="527" t="str">
        <f>IF(B49&lt;&gt;0,INDEX(Tabla16[],MATCH(A49&amp;B49,Tabla16[Concatenado],0),IF(R49="Si",4,5)),"")</f>
        <v/>
      </c>
      <c r="D49" s="527" t="str">
        <f>IF(B49&lt;&gt;0,INDEX(Tabla16[],MATCH(A49&amp;B49,Tabla16[Concatenado],0),6),"")</f>
        <v/>
      </c>
      <c r="E49" s="527" t="str">
        <f>IFERROR(IF(B49&lt;&gt;0,INDEX(Tabla16[],MATCH(A49&amp;B49,Tabla16[Concatenado],0),IF(F$3=TS!$O$2,7,IF(F$3=TS!$O$3,8,IF(F$3=TS!$O$4,9,"")))),""),"")</f>
        <v/>
      </c>
      <c r="F49" s="527" t="str">
        <f>IF(B49&lt;&gt;0,INDEX(Tabla16[],MATCH(A49&amp;B49,Tabla16[Concatenado],0),10),"")</f>
        <v/>
      </c>
      <c r="G49" s="527" t="str">
        <f>IF(B49&lt;&gt;0,INDEX(Tabla18[],MATCH(A49,Tabla18[Nombre],0),2),"")</f>
        <v/>
      </c>
      <c r="H49" s="527" t="str">
        <f>IF(B49&lt;&gt;0,INDEX(Tabla18[],MATCH(A49,Tabla18[Nombre],0),3),"")</f>
        <v/>
      </c>
      <c r="I49" s="527" t="str">
        <f>IF(B49&lt;&gt;0,INDEX(Tabla18[],MATCH(A49,Tabla18[Nombre],0),4),"")</f>
        <v/>
      </c>
      <c r="J49" s="527" t="str">
        <f>IF(B49&lt;&gt;0,INDEX(Tabla18[],MATCH(A49,Tabla18[Nombre],0),5),"")</f>
        <v/>
      </c>
      <c r="K49" s="596" t="str">
        <f>IF(B49&lt;&gt;0,INDEX(Tabla18[],MATCH(A49,Tabla18[Nombre],0),6),"")</f>
        <v/>
      </c>
      <c r="L49" s="598"/>
      <c r="M49" s="527"/>
      <c r="N49" s="527"/>
      <c r="O49" s="527"/>
      <c r="P49" s="527"/>
      <c r="Q49" s="600"/>
      <c r="R49" s="608"/>
      <c r="V49" s="606" t="s">
        <v>6869</v>
      </c>
      <c r="W49" s="556"/>
      <c r="X49" s="527" t="str">
        <f>IF(W49&lt;&gt;0,INDEX(Tabla16[],MATCH(V49&amp;W49,Tabla16[Concatenado],0),IF(AM49="Si",4,5)),"")</f>
        <v/>
      </c>
      <c r="Y49" s="527" t="str">
        <f>IF(W49&lt;&gt;0,INDEX(Tabla16[],MATCH(V49&amp;W49,Tabla16[Concatenado],0),6),"")</f>
        <v/>
      </c>
      <c r="Z49" s="527" t="str">
        <f>IFERROR(IF(W49&lt;&gt;0,INDEX(Tabla16[],MATCH(V49&amp;W49,Tabla16[Concatenado],0),IF(AA$3=TS!$O$2,7,IF(AA$3=TS!$O$3,8,IF(AA$3=TS!$O$4,9,"")))),""),"")</f>
        <v/>
      </c>
      <c r="AA49" s="527" t="str">
        <f>IF(W49&lt;&gt;0,INDEX(Tabla16[],MATCH(V49&amp;W49,Tabla16[Concatenado],0),10),"")</f>
        <v/>
      </c>
      <c r="AB49" s="527" t="str">
        <f>IF(W49&lt;&gt;0,INDEX(Tabla18[],MATCH(V49,Tabla18[Nombre],0),2),"")</f>
        <v/>
      </c>
      <c r="AC49" s="527" t="str">
        <f>IF(W49&lt;&gt;0,INDEX(Tabla18[],MATCH(V49,Tabla18[Nombre],0),3),"")</f>
        <v/>
      </c>
      <c r="AD49" s="527" t="str">
        <f>IF(W49&lt;&gt;0,INDEX(Tabla18[],MATCH(V49,Tabla18[Nombre],0),4),"")</f>
        <v/>
      </c>
      <c r="AE49" s="527" t="str">
        <f>IF(W49&lt;&gt;0,INDEX(Tabla18[],MATCH(V49,Tabla18[Nombre],0),5),"")</f>
        <v/>
      </c>
      <c r="AF49" s="596" t="str">
        <f>IF(W49&lt;&gt;0,INDEX(Tabla18[],MATCH(V49,Tabla18[Nombre],0),6),"")</f>
        <v/>
      </c>
      <c r="AG49" s="598"/>
      <c r="AH49" s="527"/>
      <c r="AI49" s="527"/>
      <c r="AJ49" s="527"/>
      <c r="AK49" s="527"/>
      <c r="AL49" s="600"/>
      <c r="AM49" s="608"/>
      <c r="AQ49" s="606" t="s">
        <v>6869</v>
      </c>
      <c r="AR49" s="556"/>
      <c r="AS49" s="527" t="str">
        <f>IF(AR49&lt;&gt;0,INDEX(Tabla16[],MATCH(AQ49&amp;AR49,Tabla16[Concatenado],0),IF(BH49="Si",4,5)),"")</f>
        <v/>
      </c>
      <c r="AT49" s="527" t="str">
        <f>IF(AR49&lt;&gt;0,INDEX(Tabla16[],MATCH(AQ49&amp;AR49,Tabla16[Concatenado],0),6),"")</f>
        <v/>
      </c>
      <c r="AU49" s="527" t="str">
        <f>IFERROR(IF(AR49&lt;&gt;0,INDEX(Tabla16[],MATCH(AQ49&amp;AR49,Tabla16[Concatenado],0),IF(AV$3=TS!$O$2,7,IF(AV$3=TS!$O$3,8,IF(AV$3=TS!$O$4,9,"")))),""),"")</f>
        <v/>
      </c>
      <c r="AV49" s="527" t="str">
        <f>IF(AR49&lt;&gt;0,INDEX(Tabla16[],MATCH(AQ49&amp;AR49,Tabla16[Concatenado],0),10),"")</f>
        <v/>
      </c>
      <c r="AW49" s="527" t="str">
        <f>IF(AR49&lt;&gt;0,INDEX(Tabla18[],MATCH(AQ49,Tabla18[Nombre],0),2),"")</f>
        <v/>
      </c>
      <c r="AX49" s="527" t="str">
        <f>IF(AR49&lt;&gt;0,INDEX(Tabla18[],MATCH(AQ49,Tabla18[Nombre],0),3),"")</f>
        <v/>
      </c>
      <c r="AY49" s="527" t="str">
        <f>IF(AR49&lt;&gt;0,INDEX(Tabla18[],MATCH(AQ49,Tabla18[Nombre],0),4),"")</f>
        <v/>
      </c>
      <c r="AZ49" s="527" t="str">
        <f>IF(AR49&lt;&gt;0,INDEX(Tabla18[],MATCH(AQ49,Tabla18[Nombre],0),5),"")</f>
        <v/>
      </c>
      <c r="BA49" s="596" t="str">
        <f>IF(AR49&lt;&gt;0,INDEX(Tabla18[],MATCH(AQ49,Tabla18[Nombre],0),6),"")</f>
        <v/>
      </c>
      <c r="BB49" s="598"/>
      <c r="BC49" s="527"/>
      <c r="BD49" s="527"/>
      <c r="BE49" s="527"/>
      <c r="BF49" s="527"/>
      <c r="BG49" s="600"/>
      <c r="BH49" s="608"/>
      <c r="BL49" s="606" t="s">
        <v>6869</v>
      </c>
      <c r="BM49" s="556"/>
      <c r="BN49" s="527" t="str">
        <f>IF(BM49&lt;&gt;0,INDEX(Tabla16[],MATCH(BL49&amp;BM49,Tabla16[Concatenado],0),IF(CC49="Si",4,5)),"")</f>
        <v/>
      </c>
      <c r="BO49" s="527" t="str">
        <f>IF(BM49&lt;&gt;0,INDEX(Tabla16[],MATCH(BL49&amp;BM49,Tabla16[Concatenado],0),6),"")</f>
        <v/>
      </c>
      <c r="BP49" s="527" t="str">
        <f>IFERROR(IF(BM49&lt;&gt;0,INDEX(Tabla16[],MATCH(BL49&amp;BM49,Tabla16[Concatenado],0),IF(BQ$3=TS!$O$2,7,IF(BQ$3=TS!$O$3,8,IF(BQ$3=TS!$O$4,9,"")))),""),"")</f>
        <v/>
      </c>
      <c r="BQ49" s="527" t="str">
        <f>IF(BM49&lt;&gt;0,INDEX(Tabla16[],MATCH(BL49&amp;BM49,Tabla16[Concatenado],0),10),"")</f>
        <v/>
      </c>
      <c r="BR49" s="527" t="str">
        <f>IF(BM49&lt;&gt;0,INDEX(Tabla18[],MATCH(BL49,Tabla18[Nombre],0),2),"")</f>
        <v/>
      </c>
      <c r="BS49" s="527" t="str">
        <f>IF(BM49&lt;&gt;0,INDEX(Tabla18[],MATCH(BL49,Tabla18[Nombre],0),3),"")</f>
        <v/>
      </c>
      <c r="BT49" s="527" t="str">
        <f>IF(BM49&lt;&gt;0,INDEX(Tabla18[],MATCH(BL49,Tabla18[Nombre],0),4),"")</f>
        <v/>
      </c>
      <c r="BU49" s="527" t="str">
        <f>IF(BM49&lt;&gt;0,INDEX(Tabla18[],MATCH(BL49,Tabla18[Nombre],0),5),"")</f>
        <v/>
      </c>
      <c r="BV49" s="596" t="str">
        <f>IF(BM49&lt;&gt;0,INDEX(Tabla18[],MATCH(BL49,Tabla18[Nombre],0),6),"")</f>
        <v/>
      </c>
      <c r="BW49" s="598"/>
      <c r="BX49" s="527"/>
      <c r="BY49" s="527"/>
      <c r="BZ49" s="527"/>
      <c r="CA49" s="527"/>
      <c r="CB49" s="600"/>
      <c r="CC49" s="608"/>
    </row>
    <row r="50" spans="1:81" x14ac:dyDescent="0.2">
      <c r="A50" s="606" t="s">
        <v>6865</v>
      </c>
      <c r="B50" s="556"/>
      <c r="C50" s="527" t="str">
        <f>IF(B50&lt;&gt;0,INDEX(Tabla16[],MATCH(A49&amp;A50&amp;B50,Tabla16[Concatenado],0),IF(R50="Si",4,5)),"")</f>
        <v/>
      </c>
      <c r="D50" s="527" t="str">
        <f>IF(B50&lt;&gt;0,INDEX(Tabla16[],MATCH(A49&amp;A50&amp;B50,Tabla16[Concatenado],0),6),"")</f>
        <v/>
      </c>
      <c r="E50" s="527" t="str">
        <f>IFERROR(IF(B50&lt;&gt;0,INDEX(Tabla16[],MATCH(A49&amp;A50&amp;B50,Tabla16[Concatenado],0),IF(F$3=TS!$O$2,7,IF(F$3=TS!$O$3,8,IF(F$3=TS!$O$4,9,"")))),""),"")</f>
        <v/>
      </c>
      <c r="F50" s="527" t="str">
        <f>IF(B50&lt;&gt;0,INDEX(Tabla16[],MATCH(A49&amp;A50&amp;B50,Tabla16[Concatenado],0),10),"")</f>
        <v/>
      </c>
      <c r="G50" s="527" t="str">
        <f>IF(B50&lt;&gt;0,INDEX(Tabla18[],MATCH(A50,Tabla18[Nombre],0),2),"")</f>
        <v/>
      </c>
      <c r="H50" s="527" t="str">
        <f>IF(B50&lt;&gt;0,INDEX(Tabla18[],MATCH(A50,Tabla18[Nombre],0),3),"")</f>
        <v/>
      </c>
      <c r="I50" s="527" t="str">
        <f>IF(B50&lt;&gt;0,INDEX(Tabla18[],MATCH(A50,Tabla18[Nombre],0),4),"")</f>
        <v/>
      </c>
      <c r="J50" s="527" t="str">
        <f>IF(B50&lt;&gt;0,INDEX(Tabla18[],MATCH(A50,Tabla18[Nombre],0),5),"")</f>
        <v/>
      </c>
      <c r="K50" s="596" t="str">
        <f>IF(B50&lt;&gt;0,INDEX(Tabla18[],MATCH(A50,Tabla18[Nombre],0),6),"")</f>
        <v/>
      </c>
      <c r="L50" s="598"/>
      <c r="M50" s="527"/>
      <c r="N50" s="527"/>
      <c r="O50" s="527"/>
      <c r="P50" s="527"/>
      <c r="Q50" s="600"/>
      <c r="R50" s="608"/>
      <c r="V50" s="606" t="s">
        <v>6865</v>
      </c>
      <c r="W50" s="556"/>
      <c r="X50" s="527" t="str">
        <f>IF(W50&lt;&gt;0,INDEX(Tabla16[],MATCH(V49&amp;V50&amp;W50,Tabla16[Concatenado],0),IF(AM50="Si",4,5)),"")</f>
        <v/>
      </c>
      <c r="Y50" s="527" t="str">
        <f>IF(W50&lt;&gt;0,INDEX(Tabla16[],MATCH(V49&amp;V50&amp;W50,Tabla16[Concatenado],0),6),"")</f>
        <v/>
      </c>
      <c r="Z50" s="527" t="str">
        <f>IFERROR(IF(W50&lt;&gt;0,INDEX(Tabla16[],MATCH(V49&amp;V50&amp;W50,Tabla16[Concatenado],0),IF(AA$3=TS!$O$2,7,IF(AA$3=TS!$O$3,8,IF(AA$3=TS!$O$4,9,"")))),""),"")</f>
        <v/>
      </c>
      <c r="AA50" s="527" t="str">
        <f>IF(W50&lt;&gt;0,INDEX(Tabla16[],MATCH(V49&amp;V50&amp;W50,Tabla16[Concatenado],0),10),"")</f>
        <v/>
      </c>
      <c r="AB50" s="527" t="str">
        <f>IF(W50&lt;&gt;0,INDEX(Tabla18[],MATCH(V50,Tabla18[Nombre],0),2),"")</f>
        <v/>
      </c>
      <c r="AC50" s="527" t="str">
        <f>IF(W50&lt;&gt;0,INDEX(Tabla18[],MATCH(V50,Tabla18[Nombre],0),3),"")</f>
        <v/>
      </c>
      <c r="AD50" s="527" t="str">
        <f>IF(W50&lt;&gt;0,INDEX(Tabla18[],MATCH(V50,Tabla18[Nombre],0),4),"")</f>
        <v/>
      </c>
      <c r="AE50" s="527" t="str">
        <f>IF(W50&lt;&gt;0,INDEX(Tabla18[],MATCH(V50,Tabla18[Nombre],0),5),"")</f>
        <v/>
      </c>
      <c r="AF50" s="596" t="str">
        <f>IF(W50&lt;&gt;0,INDEX(Tabla18[],MATCH(V50,Tabla18[Nombre],0),6),"")</f>
        <v/>
      </c>
      <c r="AG50" s="598"/>
      <c r="AH50" s="527"/>
      <c r="AI50" s="527"/>
      <c r="AJ50" s="527"/>
      <c r="AK50" s="527"/>
      <c r="AL50" s="600"/>
      <c r="AM50" s="608"/>
      <c r="AQ50" s="606" t="s">
        <v>6865</v>
      </c>
      <c r="AR50" s="556"/>
      <c r="AS50" s="527" t="str">
        <f>IF(AR50&lt;&gt;0,INDEX(Tabla16[],MATCH(AQ49&amp;AQ50&amp;AR50,Tabla16[Concatenado],0),IF(BH50="Si",4,5)),"")</f>
        <v/>
      </c>
      <c r="AT50" s="527" t="str">
        <f>IF(AR50&lt;&gt;0,INDEX(Tabla16[],MATCH(AQ49&amp;AQ50&amp;AR50,Tabla16[Concatenado],0),6),"")</f>
        <v/>
      </c>
      <c r="AU50" s="527" t="str">
        <f>IFERROR(IF(AR50&lt;&gt;0,INDEX(Tabla16[],MATCH(AQ49&amp;AQ50&amp;AR50,Tabla16[Concatenado],0),IF(AV$3=TS!$O$2,7,IF(AV$3=TS!$O$3,8,IF(AV$3=TS!$O$4,9,"")))),""),"")</f>
        <v/>
      </c>
      <c r="AV50" s="527" t="str">
        <f>IF(AR50&lt;&gt;0,INDEX(Tabla16[],MATCH(AQ49&amp;AQ50&amp;AR50,Tabla16[Concatenado],0),10),"")</f>
        <v/>
      </c>
      <c r="AW50" s="527" t="str">
        <f>IF(AR50&lt;&gt;0,INDEX(Tabla18[],MATCH(AQ50,Tabla18[Nombre],0),2),"")</f>
        <v/>
      </c>
      <c r="AX50" s="527" t="str">
        <f>IF(AR50&lt;&gt;0,INDEX(Tabla18[],MATCH(AQ50,Tabla18[Nombre],0),3),"")</f>
        <v/>
      </c>
      <c r="AY50" s="527" t="str">
        <f>IF(AR50&lt;&gt;0,INDEX(Tabla18[],MATCH(AQ50,Tabla18[Nombre],0),4),"")</f>
        <v/>
      </c>
      <c r="AZ50" s="527" t="str">
        <f>IF(AR50&lt;&gt;0,INDEX(Tabla18[],MATCH(AQ50,Tabla18[Nombre],0),5),"")</f>
        <v/>
      </c>
      <c r="BA50" s="596" t="str">
        <f>IF(AR50&lt;&gt;0,INDEX(Tabla18[],MATCH(AQ50,Tabla18[Nombre],0),6),"")</f>
        <v/>
      </c>
      <c r="BB50" s="598"/>
      <c r="BC50" s="527"/>
      <c r="BD50" s="527"/>
      <c r="BE50" s="527"/>
      <c r="BF50" s="527"/>
      <c r="BG50" s="600"/>
      <c r="BH50" s="608"/>
      <c r="BL50" s="606" t="s">
        <v>6865</v>
      </c>
      <c r="BM50" s="556"/>
      <c r="BN50" s="527" t="str">
        <f>IF(BM50&lt;&gt;0,INDEX(Tabla16[],MATCH(BL49&amp;BL50&amp;BM50,Tabla16[Concatenado],0),IF(CC50="Si",4,5)),"")</f>
        <v/>
      </c>
      <c r="BO50" s="527" t="str">
        <f>IF(BM50&lt;&gt;0,INDEX(Tabla16[],MATCH(BL49&amp;BL50&amp;BM50,Tabla16[Concatenado],0),6),"")</f>
        <v/>
      </c>
      <c r="BP50" s="527" t="str">
        <f>IFERROR(IF(BM50&lt;&gt;0,INDEX(Tabla16[],MATCH(BL49&amp;BL50&amp;BM50,Tabla16[Concatenado],0),IF(BQ$3=TS!$O$2,7,IF(BQ$3=TS!$O$3,8,IF(BQ$3=TS!$O$4,9,"")))),""),"")</f>
        <v/>
      </c>
      <c r="BQ50" s="527" t="str">
        <f>IF(BM50&lt;&gt;0,INDEX(Tabla16[],MATCH(BL49&amp;BL50&amp;BM50,Tabla16[Concatenado],0),10),"")</f>
        <v/>
      </c>
      <c r="BR50" s="527" t="str">
        <f>IF(BM50&lt;&gt;0,INDEX(Tabla18[],MATCH(BL50,Tabla18[Nombre],0),2),"")</f>
        <v/>
      </c>
      <c r="BS50" s="527" t="str">
        <f>IF(BM50&lt;&gt;0,INDEX(Tabla18[],MATCH(BL50,Tabla18[Nombre],0),3),"")</f>
        <v/>
      </c>
      <c r="BT50" s="527" t="str">
        <f>IF(BM50&lt;&gt;0,INDEX(Tabla18[],MATCH(BL50,Tabla18[Nombre],0),4),"")</f>
        <v/>
      </c>
      <c r="BU50" s="527" t="str">
        <f>IF(BM50&lt;&gt;0,INDEX(Tabla18[],MATCH(BL50,Tabla18[Nombre],0),5),"")</f>
        <v/>
      </c>
      <c r="BV50" s="596" t="str">
        <f>IF(BM50&lt;&gt;0,INDEX(Tabla18[],MATCH(BL50,Tabla18[Nombre],0),6),"")</f>
        <v/>
      </c>
      <c r="BW50" s="598"/>
      <c r="BX50" s="527"/>
      <c r="BY50" s="527"/>
      <c r="BZ50" s="527"/>
      <c r="CA50" s="527"/>
      <c r="CB50" s="600"/>
      <c r="CC50" s="608"/>
    </row>
    <row r="51" spans="1:81" x14ac:dyDescent="0.2">
      <c r="A51" s="610" t="s">
        <v>6879</v>
      </c>
      <c r="B51" s="555" t="s">
        <v>164</v>
      </c>
      <c r="C51" s="306" t="s">
        <v>7163</v>
      </c>
      <c r="D51" s="306" t="s">
        <v>5</v>
      </c>
      <c r="E51" s="306" t="s">
        <v>69</v>
      </c>
      <c r="F51" s="306" t="s">
        <v>14</v>
      </c>
      <c r="G51" s="306" t="s">
        <v>26</v>
      </c>
      <c r="H51" s="306" t="s">
        <v>277</v>
      </c>
      <c r="I51" s="306" t="s">
        <v>6791</v>
      </c>
      <c r="J51" s="306" t="s">
        <v>6792</v>
      </c>
      <c r="K51" s="597" t="s">
        <v>7162</v>
      </c>
      <c r="L51" s="601" t="s">
        <v>36</v>
      </c>
      <c r="M51" s="306" t="s">
        <v>46</v>
      </c>
      <c r="N51" s="306" t="s">
        <v>57</v>
      </c>
      <c r="O51" s="306" t="s">
        <v>66</v>
      </c>
      <c r="P51" s="306" t="s">
        <v>59</v>
      </c>
      <c r="Q51" s="602" t="s">
        <v>58</v>
      </c>
      <c r="R51" s="611" t="s">
        <v>6787</v>
      </c>
      <c r="V51" s="610" t="s">
        <v>6879</v>
      </c>
      <c r="W51" s="555" t="s">
        <v>164</v>
      </c>
      <c r="X51" s="306" t="s">
        <v>7163</v>
      </c>
      <c r="Y51" s="306" t="s">
        <v>5</v>
      </c>
      <c r="Z51" s="306" t="s">
        <v>69</v>
      </c>
      <c r="AA51" s="306" t="s">
        <v>14</v>
      </c>
      <c r="AB51" s="306" t="s">
        <v>26</v>
      </c>
      <c r="AC51" s="306" t="s">
        <v>277</v>
      </c>
      <c r="AD51" s="306" t="s">
        <v>6791</v>
      </c>
      <c r="AE51" s="306" t="s">
        <v>6792</v>
      </c>
      <c r="AF51" s="597" t="s">
        <v>7162</v>
      </c>
      <c r="AG51" s="601" t="s">
        <v>36</v>
      </c>
      <c r="AH51" s="306" t="s">
        <v>46</v>
      </c>
      <c r="AI51" s="306" t="s">
        <v>57</v>
      </c>
      <c r="AJ51" s="306" t="s">
        <v>66</v>
      </c>
      <c r="AK51" s="306" t="s">
        <v>59</v>
      </c>
      <c r="AL51" s="602" t="s">
        <v>58</v>
      </c>
      <c r="AM51" s="611" t="s">
        <v>6787</v>
      </c>
      <c r="AQ51" s="610" t="s">
        <v>6879</v>
      </c>
      <c r="AR51" s="555" t="s">
        <v>164</v>
      </c>
      <c r="AS51" s="306" t="s">
        <v>7163</v>
      </c>
      <c r="AT51" s="306" t="s">
        <v>5</v>
      </c>
      <c r="AU51" s="306" t="s">
        <v>69</v>
      </c>
      <c r="AV51" s="306" t="s">
        <v>14</v>
      </c>
      <c r="AW51" s="306" t="s">
        <v>26</v>
      </c>
      <c r="AX51" s="306" t="s">
        <v>277</v>
      </c>
      <c r="AY51" s="306" t="s">
        <v>6791</v>
      </c>
      <c r="AZ51" s="306" t="s">
        <v>6792</v>
      </c>
      <c r="BA51" s="597" t="s">
        <v>7162</v>
      </c>
      <c r="BB51" s="601" t="s">
        <v>36</v>
      </c>
      <c r="BC51" s="306" t="s">
        <v>46</v>
      </c>
      <c r="BD51" s="306" t="s">
        <v>57</v>
      </c>
      <c r="BE51" s="306" t="s">
        <v>66</v>
      </c>
      <c r="BF51" s="306" t="s">
        <v>59</v>
      </c>
      <c r="BG51" s="602" t="s">
        <v>58</v>
      </c>
      <c r="BH51" s="611" t="s">
        <v>6787</v>
      </c>
      <c r="BL51" s="610" t="s">
        <v>6879</v>
      </c>
      <c r="BM51" s="555" t="s">
        <v>164</v>
      </c>
      <c r="BN51" s="306" t="s">
        <v>7163</v>
      </c>
      <c r="BO51" s="306" t="s">
        <v>5</v>
      </c>
      <c r="BP51" s="306" t="s">
        <v>69</v>
      </c>
      <c r="BQ51" s="306" t="s">
        <v>14</v>
      </c>
      <c r="BR51" s="306" t="s">
        <v>26</v>
      </c>
      <c r="BS51" s="306" t="s">
        <v>277</v>
      </c>
      <c r="BT51" s="306" t="s">
        <v>6791</v>
      </c>
      <c r="BU51" s="306" t="s">
        <v>6792</v>
      </c>
      <c r="BV51" s="597" t="s">
        <v>7162</v>
      </c>
      <c r="BW51" s="601" t="s">
        <v>36</v>
      </c>
      <c r="BX51" s="306" t="s">
        <v>46</v>
      </c>
      <c r="BY51" s="306" t="s">
        <v>57</v>
      </c>
      <c r="BZ51" s="306" t="s">
        <v>66</v>
      </c>
      <c r="CA51" s="306" t="s">
        <v>59</v>
      </c>
      <c r="CB51" s="602" t="s">
        <v>58</v>
      </c>
      <c r="CC51" s="611" t="s">
        <v>6787</v>
      </c>
    </row>
    <row r="52" spans="1:81" x14ac:dyDescent="0.2">
      <c r="A52" s="606" t="s">
        <v>6880</v>
      </c>
      <c r="B52" s="556"/>
      <c r="C52" s="527" t="str">
        <f>IF(B52&lt;&gt;0,INDEX(Tabla16[],MATCH(A52&amp;B52,Tabla16[Concatenado],0),IF(R52="Si",4,5)),"")</f>
        <v/>
      </c>
      <c r="D52" s="527" t="str">
        <f>IF(B52&lt;&gt;0,INDEX(Tabla16[],MATCH(A52&amp;B52,Tabla16[Concatenado],0),6),"")</f>
        <v/>
      </c>
      <c r="E52" s="527" t="str">
        <f>IFERROR(IF(B52&lt;&gt;0,INDEX(Tabla16[],MATCH(A52&amp;B52,Tabla16[Concatenado],0),IF(F$3=TS!$O$2,7,IF(F$3=TS!$O$3,8,IF(F$3=TS!$O$4,9,"")))),""),"")</f>
        <v/>
      </c>
      <c r="F52" s="527" t="str">
        <f>IF(B52&lt;&gt;0,INDEX(Tabla16[],MATCH(A52&amp;B52,Tabla16[Concatenado],0),10),"")</f>
        <v/>
      </c>
      <c r="G52" s="527" t="str">
        <f>IF(B52&lt;&gt;0,INDEX(Tabla18[],MATCH(A52,Tabla18[Nombre],0),2),"")</f>
        <v/>
      </c>
      <c r="H52" s="527" t="str">
        <f>IF(B52&lt;&gt;0,INDEX(Tabla18[],MATCH(A52,Tabla18[Nombre],0),3),"")</f>
        <v/>
      </c>
      <c r="I52" s="527" t="str">
        <f>IF(B52&lt;&gt;0,INDEX(Tabla18[],MATCH(A52,Tabla18[Nombre],0),4),"")</f>
        <v/>
      </c>
      <c r="J52" s="527" t="str">
        <f>IF(B52&lt;&gt;0,INDEX(Tabla18[],MATCH(A52,Tabla18[Nombre],0),5),"")</f>
        <v/>
      </c>
      <c r="K52" s="596" t="str">
        <f>IF(B52&lt;&gt;0,INDEX(Tabla18[],MATCH(A52,Tabla18[Nombre],0),6),"")</f>
        <v/>
      </c>
      <c r="L52" s="598"/>
      <c r="M52" s="527"/>
      <c r="N52" s="527"/>
      <c r="O52" s="527"/>
      <c r="P52" s="527"/>
      <c r="Q52" s="600"/>
      <c r="R52" s="608"/>
      <c r="V52" s="606" t="s">
        <v>6880</v>
      </c>
      <c r="W52" s="556"/>
      <c r="X52" s="527" t="str">
        <f>IF(W52&lt;&gt;0,INDEX(Tabla16[],MATCH(V52&amp;W52,Tabla16[Concatenado],0),IF(AM52="Si",4,5)),"")</f>
        <v/>
      </c>
      <c r="Y52" s="527" t="str">
        <f>IF(W52&lt;&gt;0,INDEX(Tabla16[],MATCH(V52&amp;W52,Tabla16[Concatenado],0),6),"")</f>
        <v/>
      </c>
      <c r="Z52" s="527" t="str">
        <f>IFERROR(IF(W52&lt;&gt;0,INDEX(Tabla16[],MATCH(V52&amp;W52,Tabla16[Concatenado],0),IF(AA$3=TS!$O$2,7,IF(AA$3=TS!$O$3,8,IF(AA$3=TS!$O$4,9,"")))),""),"")</f>
        <v/>
      </c>
      <c r="AA52" s="527" t="str">
        <f>IF(W52&lt;&gt;0,INDEX(Tabla16[],MATCH(V52&amp;W52,Tabla16[Concatenado],0),10),"")</f>
        <v/>
      </c>
      <c r="AB52" s="527" t="str">
        <f>IF(W52&lt;&gt;0,INDEX(Tabla18[],MATCH(V52,Tabla18[Nombre],0),2),"")</f>
        <v/>
      </c>
      <c r="AC52" s="527" t="str">
        <f>IF(W52&lt;&gt;0,INDEX(Tabla18[],MATCH(V52,Tabla18[Nombre],0),3),"")</f>
        <v/>
      </c>
      <c r="AD52" s="527" t="str">
        <f>IF(W52&lt;&gt;0,INDEX(Tabla18[],MATCH(V52,Tabla18[Nombre],0),4),"")</f>
        <v/>
      </c>
      <c r="AE52" s="527" t="str">
        <f>IF(W52&lt;&gt;0,INDEX(Tabla18[],MATCH(V52,Tabla18[Nombre],0),5),"")</f>
        <v/>
      </c>
      <c r="AF52" s="596" t="str">
        <f>IF(W52&lt;&gt;0,INDEX(Tabla18[],MATCH(V52,Tabla18[Nombre],0),6),"")</f>
        <v/>
      </c>
      <c r="AG52" s="598"/>
      <c r="AH52" s="527"/>
      <c r="AI52" s="527"/>
      <c r="AJ52" s="527"/>
      <c r="AK52" s="527"/>
      <c r="AL52" s="600"/>
      <c r="AM52" s="608"/>
      <c r="AQ52" s="606" t="s">
        <v>6880</v>
      </c>
      <c r="AR52" s="556"/>
      <c r="AS52" s="527" t="str">
        <f>IF(AR52&lt;&gt;0,INDEX(Tabla16[],MATCH(AQ52&amp;AR52,Tabla16[Concatenado],0),IF(BH52="Si",4,5)),"")</f>
        <v/>
      </c>
      <c r="AT52" s="527" t="str">
        <f>IF(AR52&lt;&gt;0,INDEX(Tabla16[],MATCH(AQ52&amp;AR52,Tabla16[Concatenado],0),6),"")</f>
        <v/>
      </c>
      <c r="AU52" s="527" t="str">
        <f>IFERROR(IF(AR52&lt;&gt;0,INDEX(Tabla16[],MATCH(AQ52&amp;AR52,Tabla16[Concatenado],0),IF(AV$3=TS!$O$2,7,IF(AV$3=TS!$O$3,8,IF(AV$3=TS!$O$4,9,"")))),""),"")</f>
        <v/>
      </c>
      <c r="AV52" s="527" t="str">
        <f>IF(AR52&lt;&gt;0,INDEX(Tabla16[],MATCH(AQ52&amp;AR52,Tabla16[Concatenado],0),10),"")</f>
        <v/>
      </c>
      <c r="AW52" s="527" t="str">
        <f>IF(AR52&lt;&gt;0,INDEX(Tabla18[],MATCH(AQ52,Tabla18[Nombre],0),2),"")</f>
        <v/>
      </c>
      <c r="AX52" s="527" t="str">
        <f>IF(AR52&lt;&gt;0,INDEX(Tabla18[],MATCH(AQ52,Tabla18[Nombre],0),3),"")</f>
        <v/>
      </c>
      <c r="AY52" s="527" t="str">
        <f>IF(AR52&lt;&gt;0,INDEX(Tabla18[],MATCH(AQ52,Tabla18[Nombre],0),4),"")</f>
        <v/>
      </c>
      <c r="AZ52" s="527" t="str">
        <f>IF(AR52&lt;&gt;0,INDEX(Tabla18[],MATCH(AQ52,Tabla18[Nombre],0),5),"")</f>
        <v/>
      </c>
      <c r="BA52" s="596" t="str">
        <f>IF(AR52&lt;&gt;0,INDEX(Tabla18[],MATCH(AQ52,Tabla18[Nombre],0),6),"")</f>
        <v/>
      </c>
      <c r="BB52" s="598"/>
      <c r="BC52" s="527"/>
      <c r="BD52" s="527"/>
      <c r="BE52" s="527"/>
      <c r="BF52" s="527"/>
      <c r="BG52" s="600"/>
      <c r="BH52" s="608"/>
      <c r="BL52" s="606" t="s">
        <v>6880</v>
      </c>
      <c r="BM52" s="556"/>
      <c r="BN52" s="527" t="str">
        <f>IF(BM52&lt;&gt;0,INDEX(Tabla16[],MATCH(BL52&amp;BM52,Tabla16[Concatenado],0),IF(CC52="Si",4,5)),"")</f>
        <v/>
      </c>
      <c r="BO52" s="527" t="str">
        <f>IF(BM52&lt;&gt;0,INDEX(Tabla16[],MATCH(BL52&amp;BM52,Tabla16[Concatenado],0),6),"")</f>
        <v/>
      </c>
      <c r="BP52" s="527" t="str">
        <f>IFERROR(IF(BM52&lt;&gt;0,INDEX(Tabla16[],MATCH(BL52&amp;BM52,Tabla16[Concatenado],0),IF(BQ$3=TS!$O$2,7,IF(BQ$3=TS!$O$3,8,IF(BQ$3=TS!$O$4,9,"")))),""),"")</f>
        <v/>
      </c>
      <c r="BQ52" s="527" t="str">
        <f>IF(BM52&lt;&gt;0,INDEX(Tabla16[],MATCH(BL52&amp;BM52,Tabla16[Concatenado],0),10),"")</f>
        <v/>
      </c>
      <c r="BR52" s="527" t="str">
        <f>IF(BM52&lt;&gt;0,INDEX(Tabla18[],MATCH(BL52,Tabla18[Nombre],0),2),"")</f>
        <v/>
      </c>
      <c r="BS52" s="527" t="str">
        <f>IF(BM52&lt;&gt;0,INDEX(Tabla18[],MATCH(BL52,Tabla18[Nombre],0),3),"")</f>
        <v/>
      </c>
      <c r="BT52" s="527" t="str">
        <f>IF(BM52&lt;&gt;0,INDEX(Tabla18[],MATCH(BL52,Tabla18[Nombre],0),4),"")</f>
        <v/>
      </c>
      <c r="BU52" s="527" t="str">
        <f>IF(BM52&lt;&gt;0,INDEX(Tabla18[],MATCH(BL52,Tabla18[Nombre],0),5),"")</f>
        <v/>
      </c>
      <c r="BV52" s="596" t="str">
        <f>IF(BM52&lt;&gt;0,INDEX(Tabla18[],MATCH(BL52,Tabla18[Nombre],0),6),"")</f>
        <v/>
      </c>
      <c r="BW52" s="598"/>
      <c r="BX52" s="527"/>
      <c r="BY52" s="527"/>
      <c r="BZ52" s="527"/>
      <c r="CA52" s="527"/>
      <c r="CB52" s="600"/>
      <c r="CC52" s="608"/>
    </row>
    <row r="53" spans="1:81" x14ac:dyDescent="0.2">
      <c r="A53" s="606" t="s">
        <v>6881</v>
      </c>
      <c r="B53" s="556"/>
      <c r="C53" s="527" t="str">
        <f>IF(B53&lt;&gt;0,INDEX(Tabla16[],MATCH(A53&amp;B53,Tabla16[Concatenado],0),IF(R53="Si",4,5)),"")</f>
        <v/>
      </c>
      <c r="D53" s="527" t="str">
        <f>IF(B53&lt;&gt;0,INDEX(Tabla16[],MATCH(A53&amp;B53,Tabla16[Concatenado],0),6),"")</f>
        <v/>
      </c>
      <c r="E53" s="527" t="str">
        <f>IFERROR(IF(B53&lt;&gt;0,INDEX(Tabla16[],MATCH(A53&amp;B53,Tabla16[Concatenado],0),IF(F$3=TS!$O$2,7,IF(F$3=TS!$O$3,8,IF(F$3=TS!$O$4,9,"")))),""),"")</f>
        <v/>
      </c>
      <c r="F53" s="527" t="str">
        <f>IF(B53&lt;&gt;0,INDEX(Tabla16[],MATCH(A53&amp;B53,Tabla16[Concatenado],0),10),"")</f>
        <v/>
      </c>
      <c r="G53" s="527" t="str">
        <f>IF(B53&lt;&gt;0,INDEX(Tabla18[],MATCH(A53,Tabla18[Nombre],0),2),"")</f>
        <v/>
      </c>
      <c r="H53" s="527" t="str">
        <f>IF(B53&lt;&gt;0,INDEX(Tabla18[],MATCH(A53,Tabla18[Nombre],0),3),"")</f>
        <v/>
      </c>
      <c r="I53" s="527" t="str">
        <f>IF(B53&lt;&gt;0,INDEX(Tabla18[],MATCH(A53,Tabla18[Nombre],0),4),"")</f>
        <v/>
      </c>
      <c r="J53" s="527" t="str">
        <f>IF(B53&lt;&gt;0,INDEX(Tabla18[],MATCH(A53,Tabla18[Nombre],0),5),"")</f>
        <v/>
      </c>
      <c r="K53" s="596" t="str">
        <f>IF(B53&lt;&gt;0,INDEX(Tabla18[],MATCH(A53,Tabla18[Nombre],0),6),"")</f>
        <v/>
      </c>
      <c r="L53" s="598"/>
      <c r="M53" s="527"/>
      <c r="N53" s="527"/>
      <c r="O53" s="527"/>
      <c r="P53" s="527"/>
      <c r="Q53" s="600"/>
      <c r="R53" s="608"/>
      <c r="V53" s="606" t="s">
        <v>6881</v>
      </c>
      <c r="W53" s="556"/>
      <c r="X53" s="527" t="str">
        <f>IF(W53&lt;&gt;0,INDEX(Tabla16[],MATCH(V53&amp;W53,Tabla16[Concatenado],0),IF(AM53="Si",4,5)),"")</f>
        <v/>
      </c>
      <c r="Y53" s="527" t="str">
        <f>IF(W53&lt;&gt;0,INDEX(Tabla16[],MATCH(V53&amp;W53,Tabla16[Concatenado],0),6),"")</f>
        <v/>
      </c>
      <c r="Z53" s="527" t="str">
        <f>IFERROR(IF(W53&lt;&gt;0,INDEX(Tabla16[],MATCH(V53&amp;W53,Tabla16[Concatenado],0),IF(AA$3=TS!$O$2,7,IF(AA$3=TS!$O$3,8,IF(AA$3=TS!$O$4,9,"")))),""),"")</f>
        <v/>
      </c>
      <c r="AA53" s="527" t="str">
        <f>IF(W53&lt;&gt;0,INDEX(Tabla16[],MATCH(V53&amp;W53,Tabla16[Concatenado],0),10),"")</f>
        <v/>
      </c>
      <c r="AB53" s="527" t="str">
        <f>IF(W53&lt;&gt;0,INDEX(Tabla18[],MATCH(V53,Tabla18[Nombre],0),2),"")</f>
        <v/>
      </c>
      <c r="AC53" s="527" t="str">
        <f>IF(W53&lt;&gt;0,INDEX(Tabla18[],MATCH(V53,Tabla18[Nombre],0),3),"")</f>
        <v/>
      </c>
      <c r="AD53" s="527" t="str">
        <f>IF(W53&lt;&gt;0,INDEX(Tabla18[],MATCH(V53,Tabla18[Nombre],0),4),"")</f>
        <v/>
      </c>
      <c r="AE53" s="527" t="str">
        <f>IF(W53&lt;&gt;0,INDEX(Tabla18[],MATCH(V53,Tabla18[Nombre],0),5),"")</f>
        <v/>
      </c>
      <c r="AF53" s="596" t="str">
        <f>IF(W53&lt;&gt;0,INDEX(Tabla18[],MATCH(V53,Tabla18[Nombre],0),6),"")</f>
        <v/>
      </c>
      <c r="AG53" s="598"/>
      <c r="AH53" s="527"/>
      <c r="AI53" s="527"/>
      <c r="AJ53" s="527"/>
      <c r="AK53" s="527"/>
      <c r="AL53" s="600"/>
      <c r="AM53" s="608"/>
      <c r="AQ53" s="606" t="s">
        <v>6881</v>
      </c>
      <c r="AR53" s="556"/>
      <c r="AS53" s="527" t="str">
        <f>IF(AR53&lt;&gt;0,INDEX(Tabla16[],MATCH(AQ53&amp;AR53,Tabla16[Concatenado],0),IF(BH53="Si",4,5)),"")</f>
        <v/>
      </c>
      <c r="AT53" s="527" t="str">
        <f>IF(AR53&lt;&gt;0,INDEX(Tabla16[],MATCH(AQ53&amp;AR53,Tabla16[Concatenado],0),6),"")</f>
        <v/>
      </c>
      <c r="AU53" s="527" t="str">
        <f>IFERROR(IF(AR53&lt;&gt;0,INDEX(Tabla16[],MATCH(AQ53&amp;AR53,Tabla16[Concatenado],0),IF(AV$3=TS!$O$2,7,IF(AV$3=TS!$O$3,8,IF(AV$3=TS!$O$4,9,"")))),""),"")</f>
        <v/>
      </c>
      <c r="AV53" s="527" t="str">
        <f>IF(AR53&lt;&gt;0,INDEX(Tabla16[],MATCH(AQ53&amp;AR53,Tabla16[Concatenado],0),10),"")</f>
        <v/>
      </c>
      <c r="AW53" s="527" t="str">
        <f>IF(AR53&lt;&gt;0,INDEX(Tabla18[],MATCH(AQ53,Tabla18[Nombre],0),2),"")</f>
        <v/>
      </c>
      <c r="AX53" s="527" t="str">
        <f>IF(AR53&lt;&gt;0,INDEX(Tabla18[],MATCH(AQ53,Tabla18[Nombre],0),3),"")</f>
        <v/>
      </c>
      <c r="AY53" s="527" t="str">
        <f>IF(AR53&lt;&gt;0,INDEX(Tabla18[],MATCH(AQ53,Tabla18[Nombre],0),4),"")</f>
        <v/>
      </c>
      <c r="AZ53" s="527" t="str">
        <f>IF(AR53&lt;&gt;0,INDEX(Tabla18[],MATCH(AQ53,Tabla18[Nombre],0),5),"")</f>
        <v/>
      </c>
      <c r="BA53" s="596" t="str">
        <f>IF(AR53&lt;&gt;0,INDEX(Tabla18[],MATCH(AQ53,Tabla18[Nombre],0),6),"")</f>
        <v/>
      </c>
      <c r="BB53" s="598"/>
      <c r="BC53" s="527"/>
      <c r="BD53" s="527"/>
      <c r="BE53" s="527"/>
      <c r="BF53" s="527"/>
      <c r="BG53" s="600"/>
      <c r="BH53" s="608"/>
      <c r="BL53" s="606" t="s">
        <v>6881</v>
      </c>
      <c r="BM53" s="556"/>
      <c r="BN53" s="527" t="str">
        <f>IF(BM53&lt;&gt;0,INDEX(Tabla16[],MATCH(BL53&amp;BM53,Tabla16[Concatenado],0),IF(CC53="Si",4,5)),"")</f>
        <v/>
      </c>
      <c r="BO53" s="527" t="str">
        <f>IF(BM53&lt;&gt;0,INDEX(Tabla16[],MATCH(BL53&amp;BM53,Tabla16[Concatenado],0),6),"")</f>
        <v/>
      </c>
      <c r="BP53" s="527" t="str">
        <f>IFERROR(IF(BM53&lt;&gt;0,INDEX(Tabla16[],MATCH(BL53&amp;BM53,Tabla16[Concatenado],0),IF(BQ$3=TS!$O$2,7,IF(BQ$3=TS!$O$3,8,IF(BQ$3=TS!$O$4,9,"")))),""),"")</f>
        <v/>
      </c>
      <c r="BQ53" s="527" t="str">
        <f>IF(BM53&lt;&gt;0,INDEX(Tabla16[],MATCH(BL53&amp;BM53,Tabla16[Concatenado],0),10),"")</f>
        <v/>
      </c>
      <c r="BR53" s="527" t="str">
        <f>IF(BM53&lt;&gt;0,INDEX(Tabla18[],MATCH(BL53,Tabla18[Nombre],0),2),"")</f>
        <v/>
      </c>
      <c r="BS53" s="527" t="str">
        <f>IF(BM53&lt;&gt;0,INDEX(Tabla18[],MATCH(BL53,Tabla18[Nombre],0),3),"")</f>
        <v/>
      </c>
      <c r="BT53" s="527" t="str">
        <f>IF(BM53&lt;&gt;0,INDEX(Tabla18[],MATCH(BL53,Tabla18[Nombre],0),4),"")</f>
        <v/>
      </c>
      <c r="BU53" s="527" t="str">
        <f>IF(BM53&lt;&gt;0,INDEX(Tabla18[],MATCH(BL53,Tabla18[Nombre],0),5),"")</f>
        <v/>
      </c>
      <c r="BV53" s="596" t="str">
        <f>IF(BM53&lt;&gt;0,INDEX(Tabla18[],MATCH(BL53,Tabla18[Nombre],0),6),"")</f>
        <v/>
      </c>
      <c r="BW53" s="598"/>
      <c r="BX53" s="527"/>
      <c r="BY53" s="527"/>
      <c r="BZ53" s="527"/>
      <c r="CA53" s="527"/>
      <c r="CB53" s="600"/>
      <c r="CC53" s="608"/>
    </row>
    <row r="54" spans="1:81" x14ac:dyDescent="0.2">
      <c r="A54" s="606" t="s">
        <v>6882</v>
      </c>
      <c r="B54" s="556"/>
      <c r="C54" s="527" t="str">
        <f>IF(B54&lt;&gt;0,INDEX(Tabla16[],MATCH(A54&amp;B54,Tabla16[Concatenado],0),IF(R54="Si",4,5)),"")</f>
        <v/>
      </c>
      <c r="D54" s="527" t="str">
        <f>IF(B54&lt;&gt;0,INDEX(Tabla16[],MATCH(A54&amp;B54,Tabla16[Concatenado],0),6),"")</f>
        <v/>
      </c>
      <c r="E54" s="527" t="str">
        <f>IFERROR(IF(B54&lt;&gt;0,INDEX(Tabla16[],MATCH(A54&amp;B54,Tabla16[Concatenado],0),IF(F$3=TS!$O$2,7,IF(F$3=TS!$O$3,8,IF(F$3=TS!$O$4,9,"")))),""),"")</f>
        <v/>
      </c>
      <c r="F54" s="527" t="str">
        <f>IF(B54&lt;&gt;0,INDEX(Tabla16[],MATCH(A54&amp;B54,Tabla16[Concatenado],0),10),"")</f>
        <v/>
      </c>
      <c r="G54" s="527" t="str">
        <f>IF(B54&lt;&gt;0,INDEX(Tabla18[],MATCH(A54,Tabla18[Nombre],0),2),"")</f>
        <v/>
      </c>
      <c r="H54" s="527" t="str">
        <f>IF(B54&lt;&gt;0,INDEX(Tabla18[],MATCH(A54,Tabla18[Nombre],0),3),"")</f>
        <v/>
      </c>
      <c r="I54" s="527" t="str">
        <f>IF(B54&lt;&gt;0,INDEX(Tabla18[],MATCH(A54,Tabla18[Nombre],0),4),"")</f>
        <v/>
      </c>
      <c r="J54" s="527" t="str">
        <f>IF(B54&lt;&gt;0,INDEX(Tabla18[],MATCH(A54,Tabla18[Nombre],0),5),"")</f>
        <v/>
      </c>
      <c r="K54" s="596" t="str">
        <f>IF(B54&lt;&gt;0,INDEX(Tabla18[],MATCH(A54,Tabla18[Nombre],0),6),"")</f>
        <v/>
      </c>
      <c r="L54" s="598"/>
      <c r="M54" s="527"/>
      <c r="N54" s="527"/>
      <c r="O54" s="527"/>
      <c r="P54" s="527"/>
      <c r="Q54" s="600"/>
      <c r="R54" s="608"/>
      <c r="V54" s="606" t="s">
        <v>6882</v>
      </c>
      <c r="W54" s="556"/>
      <c r="X54" s="527" t="str">
        <f>IF(W54&lt;&gt;0,INDEX(Tabla16[],MATCH(V54&amp;W54,Tabla16[Concatenado],0),IF(AM54="Si",4,5)),"")</f>
        <v/>
      </c>
      <c r="Y54" s="527" t="str">
        <f>IF(W54&lt;&gt;0,INDEX(Tabla16[],MATCH(V54&amp;W54,Tabla16[Concatenado],0),6),"")</f>
        <v/>
      </c>
      <c r="Z54" s="527" t="str">
        <f>IFERROR(IF(W54&lt;&gt;0,INDEX(Tabla16[],MATCH(V54&amp;W54,Tabla16[Concatenado],0),IF(AA$3=TS!$O$2,7,IF(AA$3=TS!$O$3,8,IF(AA$3=TS!$O$4,9,"")))),""),"")</f>
        <v/>
      </c>
      <c r="AA54" s="527" t="str">
        <f>IF(W54&lt;&gt;0,INDEX(Tabla16[],MATCH(V54&amp;W54,Tabla16[Concatenado],0),10),"")</f>
        <v/>
      </c>
      <c r="AB54" s="527" t="str">
        <f>IF(W54&lt;&gt;0,INDEX(Tabla18[],MATCH(V54,Tabla18[Nombre],0),2),"")</f>
        <v/>
      </c>
      <c r="AC54" s="527" t="str">
        <f>IF(W54&lt;&gt;0,INDEX(Tabla18[],MATCH(V54,Tabla18[Nombre],0),3),"")</f>
        <v/>
      </c>
      <c r="AD54" s="527" t="str">
        <f>IF(W54&lt;&gt;0,INDEX(Tabla18[],MATCH(V54,Tabla18[Nombre],0),4),"")</f>
        <v/>
      </c>
      <c r="AE54" s="527" t="str">
        <f>IF(W54&lt;&gt;0,INDEX(Tabla18[],MATCH(V54,Tabla18[Nombre],0),5),"")</f>
        <v/>
      </c>
      <c r="AF54" s="596" t="str">
        <f>IF(W54&lt;&gt;0,INDEX(Tabla18[],MATCH(V54,Tabla18[Nombre],0),6),"")</f>
        <v/>
      </c>
      <c r="AG54" s="598"/>
      <c r="AH54" s="527"/>
      <c r="AI54" s="527"/>
      <c r="AJ54" s="527"/>
      <c r="AK54" s="527"/>
      <c r="AL54" s="600"/>
      <c r="AM54" s="608"/>
      <c r="AQ54" s="606" t="s">
        <v>6882</v>
      </c>
      <c r="AR54" s="556"/>
      <c r="AS54" s="527" t="str">
        <f>IF(AR54&lt;&gt;0,INDEX(Tabla16[],MATCH(AQ54&amp;AR54,Tabla16[Concatenado],0),IF(BH54="Si",4,5)),"")</f>
        <v/>
      </c>
      <c r="AT54" s="527" t="str">
        <f>IF(AR54&lt;&gt;0,INDEX(Tabla16[],MATCH(AQ54&amp;AR54,Tabla16[Concatenado],0),6),"")</f>
        <v/>
      </c>
      <c r="AU54" s="527" t="str">
        <f>IFERROR(IF(AR54&lt;&gt;0,INDEX(Tabla16[],MATCH(AQ54&amp;AR54,Tabla16[Concatenado],0),IF(AV$3=TS!$O$2,7,IF(AV$3=TS!$O$3,8,IF(AV$3=TS!$O$4,9,"")))),""),"")</f>
        <v/>
      </c>
      <c r="AV54" s="527" t="str">
        <f>IF(AR54&lt;&gt;0,INDEX(Tabla16[],MATCH(AQ54&amp;AR54,Tabla16[Concatenado],0),10),"")</f>
        <v/>
      </c>
      <c r="AW54" s="527" t="str">
        <f>IF(AR54&lt;&gt;0,INDEX(Tabla18[],MATCH(AQ54,Tabla18[Nombre],0),2),"")</f>
        <v/>
      </c>
      <c r="AX54" s="527" t="str">
        <f>IF(AR54&lt;&gt;0,INDEX(Tabla18[],MATCH(AQ54,Tabla18[Nombre],0),3),"")</f>
        <v/>
      </c>
      <c r="AY54" s="527" t="str">
        <f>IF(AR54&lt;&gt;0,INDEX(Tabla18[],MATCH(AQ54,Tabla18[Nombre],0),4),"")</f>
        <v/>
      </c>
      <c r="AZ54" s="527" t="str">
        <f>IF(AR54&lt;&gt;0,INDEX(Tabla18[],MATCH(AQ54,Tabla18[Nombre],0),5),"")</f>
        <v/>
      </c>
      <c r="BA54" s="596" t="str">
        <f>IF(AR54&lt;&gt;0,INDEX(Tabla18[],MATCH(AQ54,Tabla18[Nombre],0),6),"")</f>
        <v/>
      </c>
      <c r="BB54" s="598"/>
      <c r="BC54" s="527"/>
      <c r="BD54" s="527"/>
      <c r="BE54" s="527"/>
      <c r="BF54" s="527"/>
      <c r="BG54" s="600"/>
      <c r="BH54" s="608"/>
      <c r="BL54" s="606" t="s">
        <v>6882</v>
      </c>
      <c r="BM54" s="556"/>
      <c r="BN54" s="527" t="str">
        <f>IF(BM54&lt;&gt;0,INDEX(Tabla16[],MATCH(BL54&amp;BM54,Tabla16[Concatenado],0),IF(CC54="Si",4,5)),"")</f>
        <v/>
      </c>
      <c r="BO54" s="527" t="str">
        <f>IF(BM54&lt;&gt;0,INDEX(Tabla16[],MATCH(BL54&amp;BM54,Tabla16[Concatenado],0),6),"")</f>
        <v/>
      </c>
      <c r="BP54" s="527" t="str">
        <f>IFERROR(IF(BM54&lt;&gt;0,INDEX(Tabla16[],MATCH(BL54&amp;BM54,Tabla16[Concatenado],0),IF(BQ$3=TS!$O$2,7,IF(BQ$3=TS!$O$3,8,IF(BQ$3=TS!$O$4,9,"")))),""),"")</f>
        <v/>
      </c>
      <c r="BQ54" s="527" t="str">
        <f>IF(BM54&lt;&gt;0,INDEX(Tabla16[],MATCH(BL54&amp;BM54,Tabla16[Concatenado],0),10),"")</f>
        <v/>
      </c>
      <c r="BR54" s="527" t="str">
        <f>IF(BM54&lt;&gt;0,INDEX(Tabla18[],MATCH(BL54,Tabla18[Nombre],0),2),"")</f>
        <v/>
      </c>
      <c r="BS54" s="527" t="str">
        <f>IF(BM54&lt;&gt;0,INDEX(Tabla18[],MATCH(BL54,Tabla18[Nombre],0),3),"")</f>
        <v/>
      </c>
      <c r="BT54" s="527" t="str">
        <f>IF(BM54&lt;&gt;0,INDEX(Tabla18[],MATCH(BL54,Tabla18[Nombre],0),4),"")</f>
        <v/>
      </c>
      <c r="BU54" s="527" t="str">
        <f>IF(BM54&lt;&gt;0,INDEX(Tabla18[],MATCH(BL54,Tabla18[Nombre],0),5),"")</f>
        <v/>
      </c>
      <c r="BV54" s="596" t="str">
        <f>IF(BM54&lt;&gt;0,INDEX(Tabla18[],MATCH(BL54,Tabla18[Nombre],0),6),"")</f>
        <v/>
      </c>
      <c r="BW54" s="598"/>
      <c r="BX54" s="527"/>
      <c r="BY54" s="527"/>
      <c r="BZ54" s="527"/>
      <c r="CA54" s="527"/>
      <c r="CB54" s="600"/>
      <c r="CC54" s="608"/>
    </row>
    <row r="55" spans="1:81" x14ac:dyDescent="0.2">
      <c r="A55" s="610" t="s">
        <v>6922</v>
      </c>
      <c r="B55" s="555" t="s">
        <v>164</v>
      </c>
      <c r="C55" s="306" t="s">
        <v>7163</v>
      </c>
      <c r="D55" s="306" t="s">
        <v>5</v>
      </c>
      <c r="E55" s="306" t="s">
        <v>69</v>
      </c>
      <c r="F55" s="306" t="s">
        <v>14</v>
      </c>
      <c r="G55" s="306" t="s">
        <v>26</v>
      </c>
      <c r="H55" s="306" t="s">
        <v>277</v>
      </c>
      <c r="I55" s="306" t="s">
        <v>6791</v>
      </c>
      <c r="J55" s="306" t="s">
        <v>6792</v>
      </c>
      <c r="K55" s="597" t="s">
        <v>7162</v>
      </c>
      <c r="L55" s="601" t="s">
        <v>36</v>
      </c>
      <c r="M55" s="306" t="s">
        <v>46</v>
      </c>
      <c r="N55" s="306" t="s">
        <v>57</v>
      </c>
      <c r="O55" s="306" t="s">
        <v>66</v>
      </c>
      <c r="P55" s="306" t="s">
        <v>59</v>
      </c>
      <c r="Q55" s="602" t="s">
        <v>58</v>
      </c>
      <c r="R55" s="611" t="s">
        <v>6787</v>
      </c>
      <c r="V55" s="610" t="s">
        <v>6922</v>
      </c>
      <c r="W55" s="555" t="s">
        <v>164</v>
      </c>
      <c r="X55" s="306" t="s">
        <v>7163</v>
      </c>
      <c r="Y55" s="306" t="s">
        <v>5</v>
      </c>
      <c r="Z55" s="306" t="s">
        <v>69</v>
      </c>
      <c r="AA55" s="306" t="s">
        <v>14</v>
      </c>
      <c r="AB55" s="306" t="s">
        <v>26</v>
      </c>
      <c r="AC55" s="306" t="s">
        <v>277</v>
      </c>
      <c r="AD55" s="306" t="s">
        <v>6791</v>
      </c>
      <c r="AE55" s="306" t="s">
        <v>6792</v>
      </c>
      <c r="AF55" s="597" t="s">
        <v>7162</v>
      </c>
      <c r="AG55" s="601" t="s">
        <v>36</v>
      </c>
      <c r="AH55" s="306" t="s">
        <v>46</v>
      </c>
      <c r="AI55" s="306" t="s">
        <v>57</v>
      </c>
      <c r="AJ55" s="306" t="s">
        <v>66</v>
      </c>
      <c r="AK55" s="306" t="s">
        <v>59</v>
      </c>
      <c r="AL55" s="602" t="s">
        <v>58</v>
      </c>
      <c r="AM55" s="611" t="s">
        <v>6787</v>
      </c>
      <c r="AQ55" s="610" t="s">
        <v>6922</v>
      </c>
      <c r="AR55" s="555" t="s">
        <v>164</v>
      </c>
      <c r="AS55" s="306" t="s">
        <v>7163</v>
      </c>
      <c r="AT55" s="306" t="s">
        <v>5</v>
      </c>
      <c r="AU55" s="306" t="s">
        <v>69</v>
      </c>
      <c r="AV55" s="306" t="s">
        <v>14</v>
      </c>
      <c r="AW55" s="306" t="s">
        <v>26</v>
      </c>
      <c r="AX55" s="306" t="s">
        <v>277</v>
      </c>
      <c r="AY55" s="306" t="s">
        <v>6791</v>
      </c>
      <c r="AZ55" s="306" t="s">
        <v>6792</v>
      </c>
      <c r="BA55" s="597" t="s">
        <v>7162</v>
      </c>
      <c r="BB55" s="601" t="s">
        <v>36</v>
      </c>
      <c r="BC55" s="306" t="s">
        <v>46</v>
      </c>
      <c r="BD55" s="306" t="s">
        <v>57</v>
      </c>
      <c r="BE55" s="306" t="s">
        <v>66</v>
      </c>
      <c r="BF55" s="306" t="s">
        <v>59</v>
      </c>
      <c r="BG55" s="602" t="s">
        <v>58</v>
      </c>
      <c r="BH55" s="611" t="s">
        <v>6787</v>
      </c>
      <c r="BL55" s="610" t="s">
        <v>6922</v>
      </c>
      <c r="BM55" s="555" t="s">
        <v>164</v>
      </c>
      <c r="BN55" s="306" t="s">
        <v>7163</v>
      </c>
      <c r="BO55" s="306" t="s">
        <v>5</v>
      </c>
      <c r="BP55" s="306" t="s">
        <v>69</v>
      </c>
      <c r="BQ55" s="306" t="s">
        <v>14</v>
      </c>
      <c r="BR55" s="306" t="s">
        <v>26</v>
      </c>
      <c r="BS55" s="306" t="s">
        <v>277</v>
      </c>
      <c r="BT55" s="306" t="s">
        <v>6791</v>
      </c>
      <c r="BU55" s="306" t="s">
        <v>6792</v>
      </c>
      <c r="BV55" s="597" t="s">
        <v>7162</v>
      </c>
      <c r="BW55" s="601" t="s">
        <v>36</v>
      </c>
      <c r="BX55" s="306" t="s">
        <v>46</v>
      </c>
      <c r="BY55" s="306" t="s">
        <v>57</v>
      </c>
      <c r="BZ55" s="306" t="s">
        <v>66</v>
      </c>
      <c r="CA55" s="306" t="s">
        <v>59</v>
      </c>
      <c r="CB55" s="602" t="s">
        <v>58</v>
      </c>
      <c r="CC55" s="611" t="s">
        <v>6787</v>
      </c>
    </row>
    <row r="56" spans="1:81" x14ac:dyDescent="0.2">
      <c r="A56" s="606" t="s">
        <v>6894</v>
      </c>
      <c r="B56" s="556"/>
      <c r="C56" s="527" t="str">
        <f>IF(B56&lt;&gt;0,INDEX(Tabla16[],MATCH(A56&amp;B56,Tabla16[Concatenado],0),IF(R56="Si",4,5)),"")</f>
        <v/>
      </c>
      <c r="D56" s="527" t="str">
        <f>IF(B56&lt;&gt;0,INDEX(Tabla16[],MATCH(A56&amp;B56,Tabla16[Concatenado],0),6),"")</f>
        <v/>
      </c>
      <c r="E56" s="527" t="str">
        <f>IFERROR(IF(B56&lt;&gt;0,INDEX(Tabla16[],MATCH(A56&amp;B56,Tabla16[Concatenado],0),IF(F$3=TS!$O$2,7,IF(F$3=TS!$O$3,8,IF(F$3=TS!$O$4,9,"")))),""),"")</f>
        <v/>
      </c>
      <c r="F56" s="527" t="str">
        <f>IF(B56&lt;&gt;0,INDEX(Tabla16[],MATCH(A56&amp;B56,Tabla16[Concatenado],0),10),"")</f>
        <v/>
      </c>
      <c r="G56" s="527" t="str">
        <f>IF(B56&lt;&gt;0,INDEX(Tabla18[],MATCH(A56,Tabla18[Nombre],0),2),"")</f>
        <v/>
      </c>
      <c r="H56" s="527" t="str">
        <f>IF(B56&lt;&gt;0,INDEX(Tabla18[],MATCH(A56,Tabla18[Nombre],0),3),"")</f>
        <v/>
      </c>
      <c r="I56" s="527" t="str">
        <f>IF(B56&lt;&gt;0,INDEX(Tabla18[],MATCH(A56,Tabla18[Nombre],0),4),"")</f>
        <v/>
      </c>
      <c r="J56" s="527" t="str">
        <f>IF(B56&lt;&gt;0,INDEX(Tabla18[],MATCH(A56,Tabla18[Nombre],0),5),"")</f>
        <v/>
      </c>
      <c r="K56" s="596" t="str">
        <f>IF(B56&lt;&gt;0,INDEX(Tabla18[],MATCH(A56,Tabla18[Nombre],0),6),"")</f>
        <v/>
      </c>
      <c r="L56" s="598"/>
      <c r="M56" s="527"/>
      <c r="N56" s="527"/>
      <c r="O56" s="527"/>
      <c r="P56" s="527"/>
      <c r="Q56" s="600"/>
      <c r="R56" s="608"/>
      <c r="V56" s="606" t="s">
        <v>6894</v>
      </c>
      <c r="W56" s="556"/>
      <c r="X56" s="527" t="str">
        <f>IF(W56&lt;&gt;0,INDEX(Tabla16[],MATCH(V56&amp;W56,Tabla16[Concatenado],0),IF(AM56="Si",4,5)),"")</f>
        <v/>
      </c>
      <c r="Y56" s="527" t="str">
        <f>IF(W56&lt;&gt;0,INDEX(Tabla16[],MATCH(V56&amp;W56,Tabla16[Concatenado],0),6),"")</f>
        <v/>
      </c>
      <c r="Z56" s="527" t="str">
        <f>IFERROR(IF(W56&lt;&gt;0,INDEX(Tabla16[],MATCH(V56&amp;W56,Tabla16[Concatenado],0),IF(AA$3=TS!$O$2,7,IF(AA$3=TS!$O$3,8,IF(AA$3=TS!$O$4,9,"")))),""),"")</f>
        <v/>
      </c>
      <c r="AA56" s="527" t="str">
        <f>IF(W56&lt;&gt;0,INDEX(Tabla16[],MATCH(V56&amp;W56,Tabla16[Concatenado],0),10),"")</f>
        <v/>
      </c>
      <c r="AB56" s="527" t="str">
        <f>IF(W56&lt;&gt;0,INDEX(Tabla18[],MATCH(V56,Tabla18[Nombre],0),2),"")</f>
        <v/>
      </c>
      <c r="AC56" s="527" t="str">
        <f>IF(W56&lt;&gt;0,INDEX(Tabla18[],MATCH(V56,Tabla18[Nombre],0),3),"")</f>
        <v/>
      </c>
      <c r="AD56" s="527" t="str">
        <f>IF(W56&lt;&gt;0,INDEX(Tabla18[],MATCH(V56,Tabla18[Nombre],0),4),"")</f>
        <v/>
      </c>
      <c r="AE56" s="527" t="str">
        <f>IF(W56&lt;&gt;0,INDEX(Tabla18[],MATCH(V56,Tabla18[Nombre],0),5),"")</f>
        <v/>
      </c>
      <c r="AF56" s="596" t="str">
        <f>IF(W56&lt;&gt;0,INDEX(Tabla18[],MATCH(V56,Tabla18[Nombre],0),6),"")</f>
        <v/>
      </c>
      <c r="AG56" s="598"/>
      <c r="AH56" s="527"/>
      <c r="AI56" s="527"/>
      <c r="AJ56" s="527"/>
      <c r="AK56" s="527"/>
      <c r="AL56" s="600"/>
      <c r="AM56" s="608"/>
      <c r="AQ56" s="606" t="s">
        <v>6894</v>
      </c>
      <c r="AR56" s="556"/>
      <c r="AS56" s="527" t="str">
        <f>IF(AR56&lt;&gt;0,INDEX(Tabla16[],MATCH(AQ56&amp;AR56,Tabla16[Concatenado],0),IF(BH56="Si",4,5)),"")</f>
        <v/>
      </c>
      <c r="AT56" s="527" t="str">
        <f>IF(AR56&lt;&gt;0,INDEX(Tabla16[],MATCH(AQ56&amp;AR56,Tabla16[Concatenado],0),6),"")</f>
        <v/>
      </c>
      <c r="AU56" s="527" t="str">
        <f>IFERROR(IF(AR56&lt;&gt;0,INDEX(Tabla16[],MATCH(AQ56&amp;AR56,Tabla16[Concatenado],0),IF(AV$3=TS!$O$2,7,IF(AV$3=TS!$O$3,8,IF(AV$3=TS!$O$4,9,"")))),""),"")</f>
        <v/>
      </c>
      <c r="AV56" s="527" t="str">
        <f>IF(AR56&lt;&gt;0,INDEX(Tabla16[],MATCH(AQ56&amp;AR56,Tabla16[Concatenado],0),10),"")</f>
        <v/>
      </c>
      <c r="AW56" s="527" t="str">
        <f>IF(AR56&lt;&gt;0,INDEX(Tabla18[],MATCH(AQ56,Tabla18[Nombre],0),2),"")</f>
        <v/>
      </c>
      <c r="AX56" s="527" t="str">
        <f>IF(AR56&lt;&gt;0,INDEX(Tabla18[],MATCH(AQ56,Tabla18[Nombre],0),3),"")</f>
        <v/>
      </c>
      <c r="AY56" s="527" t="str">
        <f>IF(AR56&lt;&gt;0,INDEX(Tabla18[],MATCH(AQ56,Tabla18[Nombre],0),4),"")</f>
        <v/>
      </c>
      <c r="AZ56" s="527" t="str">
        <f>IF(AR56&lt;&gt;0,INDEX(Tabla18[],MATCH(AQ56,Tabla18[Nombre],0),5),"")</f>
        <v/>
      </c>
      <c r="BA56" s="596" t="str">
        <f>IF(AR56&lt;&gt;0,INDEX(Tabla18[],MATCH(AQ56,Tabla18[Nombre],0),6),"")</f>
        <v/>
      </c>
      <c r="BB56" s="598"/>
      <c r="BC56" s="527"/>
      <c r="BD56" s="527"/>
      <c r="BE56" s="527"/>
      <c r="BF56" s="527"/>
      <c r="BG56" s="600"/>
      <c r="BH56" s="608"/>
      <c r="BL56" s="606" t="s">
        <v>6894</v>
      </c>
      <c r="BM56" s="556"/>
      <c r="BN56" s="527" t="str">
        <f>IF(BM56&lt;&gt;0,INDEX(Tabla16[],MATCH(BL56&amp;BM56,Tabla16[Concatenado],0),IF(CC56="Si",4,5)),"")</f>
        <v/>
      </c>
      <c r="BO56" s="527" t="str">
        <f>IF(BM56&lt;&gt;0,INDEX(Tabla16[],MATCH(BL56&amp;BM56,Tabla16[Concatenado],0),6),"")</f>
        <v/>
      </c>
      <c r="BP56" s="527" t="str">
        <f>IFERROR(IF(BM56&lt;&gt;0,INDEX(Tabla16[],MATCH(BL56&amp;BM56,Tabla16[Concatenado],0),IF(BQ$3=TS!$O$2,7,IF(BQ$3=TS!$O$3,8,IF(BQ$3=TS!$O$4,9,"")))),""),"")</f>
        <v/>
      </c>
      <c r="BQ56" s="527" t="str">
        <f>IF(BM56&lt;&gt;0,INDEX(Tabla16[],MATCH(BL56&amp;BM56,Tabla16[Concatenado],0),10),"")</f>
        <v/>
      </c>
      <c r="BR56" s="527" t="str">
        <f>IF(BM56&lt;&gt;0,INDEX(Tabla18[],MATCH(BL56,Tabla18[Nombre],0),2),"")</f>
        <v/>
      </c>
      <c r="BS56" s="527" t="str">
        <f>IF(BM56&lt;&gt;0,INDEX(Tabla18[],MATCH(BL56,Tabla18[Nombre],0),3),"")</f>
        <v/>
      </c>
      <c r="BT56" s="527" t="str">
        <f>IF(BM56&lt;&gt;0,INDEX(Tabla18[],MATCH(BL56,Tabla18[Nombre],0),4),"")</f>
        <v/>
      </c>
      <c r="BU56" s="527" t="str">
        <f>IF(BM56&lt;&gt;0,INDEX(Tabla18[],MATCH(BL56,Tabla18[Nombre],0),5),"")</f>
        <v/>
      </c>
      <c r="BV56" s="596" t="str">
        <f>IF(BM56&lt;&gt;0,INDEX(Tabla18[],MATCH(BL56,Tabla18[Nombre],0),6),"")</f>
        <v/>
      </c>
      <c r="BW56" s="598"/>
      <c r="BX56" s="527"/>
      <c r="BY56" s="527"/>
      <c r="BZ56" s="527"/>
      <c r="CA56" s="527"/>
      <c r="CB56" s="600"/>
      <c r="CC56" s="608"/>
    </row>
    <row r="57" spans="1:81" x14ac:dyDescent="0.2">
      <c r="A57" s="606" t="s">
        <v>6895</v>
      </c>
      <c r="B57" s="556"/>
      <c r="C57" s="527" t="str">
        <f>IF(B57&lt;&gt;0,INDEX(Tabla16[],MATCH(A56&amp;A57&amp;B57,Tabla16[Concatenado],0),IF(R57="Si",4,5)),"")</f>
        <v/>
      </c>
      <c r="D57" s="527" t="str">
        <f>IF(B57&lt;&gt;0,INDEX(Tabla16[],MATCH(A56&amp;A57&amp;B57,Tabla16[Concatenado],0),6),"")</f>
        <v/>
      </c>
      <c r="E57" s="527" t="str">
        <f>IFERROR(IF(B57&lt;&gt;0,INDEX(Tabla16[],MATCH(A56&amp;A57&amp;B57,Tabla16[Concatenado],0),IF(F$3=TS!$O$2,7,IF(F$3=TS!$O$3,8,IF(F$3=TS!$O$4,9,"")))),""),"")</f>
        <v/>
      </c>
      <c r="F57" s="527" t="str">
        <f>IF(B57&lt;&gt;0,INDEX(Tabla16[],MATCH(A56&amp;A57&amp;B57,Tabla16[Concatenado],0),10),"")</f>
        <v/>
      </c>
      <c r="G57" s="527" t="str">
        <f>IF(B57&lt;&gt;0,INDEX(Tabla18[],MATCH(A57,Tabla18[Nombre],0),2),"")</f>
        <v/>
      </c>
      <c r="H57" s="527" t="str">
        <f>IF(B57&lt;&gt;0,INDEX(Tabla18[],MATCH(A57,Tabla18[Nombre],0),3),"")</f>
        <v/>
      </c>
      <c r="I57" s="527" t="str">
        <f>IF(B57&lt;&gt;0,INDEX(Tabla18[],MATCH(A57,Tabla18[Nombre],0),4),"")</f>
        <v/>
      </c>
      <c r="J57" s="527" t="str">
        <f>IF(B57&lt;&gt;0,INDEX(Tabla18[],MATCH(A57,Tabla18[Nombre],0),5),"")</f>
        <v/>
      </c>
      <c r="K57" s="596" t="str">
        <f>IF(B57&lt;&gt;0,INDEX(Tabla18[],MATCH(A57,Tabla18[Nombre],0),6),"")</f>
        <v/>
      </c>
      <c r="L57" s="598"/>
      <c r="M57" s="527"/>
      <c r="N57" s="527"/>
      <c r="O57" s="527"/>
      <c r="P57" s="527"/>
      <c r="Q57" s="600"/>
      <c r="R57" s="608"/>
      <c r="V57" s="606" t="s">
        <v>6895</v>
      </c>
      <c r="W57" s="556"/>
      <c r="X57" s="527" t="str">
        <f>IF(W57&lt;&gt;0,INDEX(Tabla16[],MATCH(V56&amp;V57&amp;W57,Tabla16[Concatenado],0),IF(AM57="Si",4,5)),"")</f>
        <v/>
      </c>
      <c r="Y57" s="527" t="str">
        <f>IF(W57&lt;&gt;0,INDEX(Tabla16[],MATCH(V56&amp;V57&amp;W57,Tabla16[Concatenado],0),6),"")</f>
        <v/>
      </c>
      <c r="Z57" s="527" t="str">
        <f>IFERROR(IF(W57&lt;&gt;0,INDEX(Tabla16[],MATCH(V56&amp;V57&amp;W57,Tabla16[Concatenado],0),IF(AA$3=TS!$O$2,7,IF(AA$3=TS!$O$3,8,IF(AA$3=TS!$O$4,9,"")))),""),"")</f>
        <v/>
      </c>
      <c r="AA57" s="527" t="str">
        <f>IF(W57&lt;&gt;0,INDEX(Tabla16[],MATCH(V56&amp;V57&amp;W57,Tabla16[Concatenado],0),10),"")</f>
        <v/>
      </c>
      <c r="AB57" s="527" t="str">
        <f>IF(W57&lt;&gt;0,INDEX(Tabla18[],MATCH(V57,Tabla18[Nombre],0),2),"")</f>
        <v/>
      </c>
      <c r="AC57" s="527" t="str">
        <f>IF(W57&lt;&gt;0,INDEX(Tabla18[],MATCH(V57,Tabla18[Nombre],0),3),"")</f>
        <v/>
      </c>
      <c r="AD57" s="527" t="str">
        <f>IF(W57&lt;&gt;0,INDEX(Tabla18[],MATCH(V57,Tabla18[Nombre],0),4),"")</f>
        <v/>
      </c>
      <c r="AE57" s="527" t="str">
        <f>IF(W57&lt;&gt;0,INDEX(Tabla18[],MATCH(V57,Tabla18[Nombre],0),5),"")</f>
        <v/>
      </c>
      <c r="AF57" s="596" t="str">
        <f>IF(W57&lt;&gt;0,INDEX(Tabla18[],MATCH(V57,Tabla18[Nombre],0),6),"")</f>
        <v/>
      </c>
      <c r="AG57" s="598"/>
      <c r="AH57" s="527"/>
      <c r="AI57" s="527"/>
      <c r="AJ57" s="527"/>
      <c r="AK57" s="527"/>
      <c r="AL57" s="600"/>
      <c r="AM57" s="608"/>
      <c r="AQ57" s="606" t="s">
        <v>6895</v>
      </c>
      <c r="AR57" s="556"/>
      <c r="AS57" s="527" t="str">
        <f>IF(AR57&lt;&gt;0,INDEX(Tabla16[],MATCH(AQ56&amp;AQ57&amp;AR57,Tabla16[Concatenado],0),IF(BH57="Si",4,5)),"")</f>
        <v/>
      </c>
      <c r="AT57" s="527" t="str">
        <f>IF(AR57&lt;&gt;0,INDEX(Tabla16[],MATCH(AQ56&amp;AQ57&amp;AR57,Tabla16[Concatenado],0),6),"")</f>
        <v/>
      </c>
      <c r="AU57" s="527" t="str">
        <f>IFERROR(IF(AR57&lt;&gt;0,INDEX(Tabla16[],MATCH(AQ56&amp;AQ57&amp;AR57,Tabla16[Concatenado],0),IF(AV$3=TS!$O$2,7,IF(AV$3=TS!$O$3,8,IF(AV$3=TS!$O$4,9,"")))),""),"")</f>
        <v/>
      </c>
      <c r="AV57" s="527" t="str">
        <f>IF(AR57&lt;&gt;0,INDEX(Tabla16[],MATCH(AQ56&amp;AQ57&amp;AR57,Tabla16[Concatenado],0),10),"")</f>
        <v/>
      </c>
      <c r="AW57" s="527" t="str">
        <f>IF(AR57&lt;&gt;0,INDEX(Tabla18[],MATCH(AQ57,Tabla18[Nombre],0),2),"")</f>
        <v/>
      </c>
      <c r="AX57" s="527" t="str">
        <f>IF(AR57&lt;&gt;0,INDEX(Tabla18[],MATCH(AQ57,Tabla18[Nombre],0),3),"")</f>
        <v/>
      </c>
      <c r="AY57" s="527" t="str">
        <f>IF(AR57&lt;&gt;0,INDEX(Tabla18[],MATCH(AQ57,Tabla18[Nombre],0),4),"")</f>
        <v/>
      </c>
      <c r="AZ57" s="527" t="str">
        <f>IF(AR57&lt;&gt;0,INDEX(Tabla18[],MATCH(AQ57,Tabla18[Nombre],0),5),"")</f>
        <v/>
      </c>
      <c r="BA57" s="596" t="str">
        <f>IF(AR57&lt;&gt;0,INDEX(Tabla18[],MATCH(AQ57,Tabla18[Nombre],0),6),"")</f>
        <v/>
      </c>
      <c r="BB57" s="598"/>
      <c r="BC57" s="527"/>
      <c r="BD57" s="527"/>
      <c r="BE57" s="527"/>
      <c r="BF57" s="527"/>
      <c r="BG57" s="600"/>
      <c r="BH57" s="608"/>
      <c r="BL57" s="606" t="s">
        <v>6895</v>
      </c>
      <c r="BM57" s="556"/>
      <c r="BN57" s="527" t="str">
        <f>IF(BM57&lt;&gt;0,INDEX(Tabla16[],MATCH(BL56&amp;BL57&amp;BM57,Tabla16[Concatenado],0),IF(CC57="Si",4,5)),"")</f>
        <v/>
      </c>
      <c r="BO57" s="527" t="str">
        <f>IF(BM57&lt;&gt;0,INDEX(Tabla16[],MATCH(BL56&amp;BL57&amp;BM57,Tabla16[Concatenado],0),6),"")</f>
        <v/>
      </c>
      <c r="BP57" s="527" t="str">
        <f>IFERROR(IF(BM57&lt;&gt;0,INDEX(Tabla16[],MATCH(BL56&amp;BL57&amp;BM57,Tabla16[Concatenado],0),IF(BQ$3=TS!$O$2,7,IF(BQ$3=TS!$O$3,8,IF(BQ$3=TS!$O$4,9,"")))),""),"")</f>
        <v/>
      </c>
      <c r="BQ57" s="527" t="str">
        <f>IF(BM57&lt;&gt;0,INDEX(Tabla16[],MATCH(BL56&amp;BL57&amp;BM57,Tabla16[Concatenado],0),10),"")</f>
        <v/>
      </c>
      <c r="BR57" s="527" t="str">
        <f>IF(BM57&lt;&gt;0,INDEX(Tabla18[],MATCH(BL57,Tabla18[Nombre],0),2),"")</f>
        <v/>
      </c>
      <c r="BS57" s="527" t="str">
        <f>IF(BM57&lt;&gt;0,INDEX(Tabla18[],MATCH(BL57,Tabla18[Nombre],0),3),"")</f>
        <v/>
      </c>
      <c r="BT57" s="527" t="str">
        <f>IF(BM57&lt;&gt;0,INDEX(Tabla18[],MATCH(BL57,Tabla18[Nombre],0),4),"")</f>
        <v/>
      </c>
      <c r="BU57" s="527" t="str">
        <f>IF(BM57&lt;&gt;0,INDEX(Tabla18[],MATCH(BL57,Tabla18[Nombre],0),5),"")</f>
        <v/>
      </c>
      <c r="BV57" s="596" t="str">
        <f>IF(BM57&lt;&gt;0,INDEX(Tabla18[],MATCH(BL57,Tabla18[Nombre],0),6),"")</f>
        <v/>
      </c>
      <c r="BW57" s="598"/>
      <c r="BX57" s="527"/>
      <c r="BY57" s="527"/>
      <c r="BZ57" s="527"/>
      <c r="CA57" s="527"/>
      <c r="CB57" s="600"/>
      <c r="CC57" s="608"/>
    </row>
    <row r="58" spans="1:81" x14ac:dyDescent="0.2">
      <c r="A58" s="606" t="s">
        <v>6896</v>
      </c>
      <c r="B58" s="556"/>
      <c r="C58" s="527" t="str">
        <f>IF(B58&lt;&gt;0,INDEX(Tabla16[],MATCH(A56&amp;A58&amp;B58,Tabla16[Concatenado],0),IF(R58="Si",4,5)),"")</f>
        <v/>
      </c>
      <c r="D58" s="527" t="str">
        <f>IF(B58&lt;&gt;0,INDEX(Tabla16[],MATCH(A56&amp;A58&amp;B58,Tabla16[Concatenado],0),6),"")</f>
        <v/>
      </c>
      <c r="E58" s="527" t="str">
        <f>IFERROR(IF(B58&lt;&gt;0,INDEX(Tabla16[],MATCH(A56&amp;A58&amp;B58,Tabla16[Concatenado],0),IF(F$3=TS!$O$2,7,IF(F$3=TS!$O$3,8,IF(F$3=TS!$O$4,9,"")))),""),"")</f>
        <v/>
      </c>
      <c r="F58" s="527" t="str">
        <f>IF(B58&lt;&gt;0,INDEX(Tabla16[],MATCH(A56&amp;A58&amp;B58,Tabla16[Concatenado],0),10),"")</f>
        <v/>
      </c>
      <c r="G58" s="527" t="str">
        <f>IF(B58&lt;&gt;0,INDEX(Tabla18[],MATCH(A58,Tabla18[Nombre],0),2),"")</f>
        <v/>
      </c>
      <c r="H58" s="527" t="str">
        <f>IF(B58&lt;&gt;0,INDEX(Tabla18[],MATCH(A58,Tabla18[Nombre],0),3),"")</f>
        <v/>
      </c>
      <c r="I58" s="527" t="str">
        <f>IF(B58&lt;&gt;0,INDEX(Tabla18[],MATCH(A58,Tabla18[Nombre],0),4),"")</f>
        <v/>
      </c>
      <c r="J58" s="527" t="str">
        <f>IF(B58&lt;&gt;0,INDEX(Tabla18[],MATCH(A58,Tabla18[Nombre],0),5),"")</f>
        <v/>
      </c>
      <c r="K58" s="596" t="str">
        <f>IF(B58&lt;&gt;0,INDEX(Tabla18[],MATCH(A58,Tabla18[Nombre],0),6),"")</f>
        <v/>
      </c>
      <c r="L58" s="598"/>
      <c r="M58" s="527"/>
      <c r="N58" s="527"/>
      <c r="O58" s="527"/>
      <c r="P58" s="527"/>
      <c r="Q58" s="600"/>
      <c r="R58" s="608"/>
      <c r="V58" s="606" t="s">
        <v>6896</v>
      </c>
      <c r="W58" s="556"/>
      <c r="X58" s="527" t="str">
        <f>IF(W58&lt;&gt;0,INDEX(Tabla16[],MATCH(V56&amp;V58&amp;W58,Tabla16[Concatenado],0),IF(AM58="Si",4,5)),"")</f>
        <v/>
      </c>
      <c r="Y58" s="527" t="str">
        <f>IF(W58&lt;&gt;0,INDEX(Tabla16[],MATCH(V56&amp;V58&amp;W58,Tabla16[Concatenado],0),6),"")</f>
        <v/>
      </c>
      <c r="Z58" s="527" t="str">
        <f>IFERROR(IF(W58&lt;&gt;0,INDEX(Tabla16[],MATCH(V56&amp;V58&amp;W58,Tabla16[Concatenado],0),IF(AA$3=TS!$O$2,7,IF(AA$3=TS!$O$3,8,IF(AA$3=TS!$O$4,9,"")))),""),"")</f>
        <v/>
      </c>
      <c r="AA58" s="527" t="str">
        <f>IF(W58&lt;&gt;0,INDEX(Tabla16[],MATCH(V56&amp;V58&amp;W58,Tabla16[Concatenado],0),10),"")</f>
        <v/>
      </c>
      <c r="AB58" s="527" t="str">
        <f>IF(W58&lt;&gt;0,INDEX(Tabla18[],MATCH(V58,Tabla18[Nombre],0),2),"")</f>
        <v/>
      </c>
      <c r="AC58" s="527" t="str">
        <f>IF(W58&lt;&gt;0,INDEX(Tabla18[],MATCH(V58,Tabla18[Nombre],0),3),"")</f>
        <v/>
      </c>
      <c r="AD58" s="527" t="str">
        <f>IF(W58&lt;&gt;0,INDEX(Tabla18[],MATCH(V58,Tabla18[Nombre],0),4),"")</f>
        <v/>
      </c>
      <c r="AE58" s="527" t="str">
        <f>IF(W58&lt;&gt;0,INDEX(Tabla18[],MATCH(V58,Tabla18[Nombre],0),5),"")</f>
        <v/>
      </c>
      <c r="AF58" s="596" t="str">
        <f>IF(W58&lt;&gt;0,INDEX(Tabla18[],MATCH(V58,Tabla18[Nombre],0),6),"")</f>
        <v/>
      </c>
      <c r="AG58" s="598"/>
      <c r="AH58" s="527"/>
      <c r="AI58" s="527"/>
      <c r="AJ58" s="527"/>
      <c r="AK58" s="527"/>
      <c r="AL58" s="600"/>
      <c r="AM58" s="608"/>
      <c r="AQ58" s="606" t="s">
        <v>6896</v>
      </c>
      <c r="AR58" s="556"/>
      <c r="AS58" s="527" t="str">
        <f>IF(AR58&lt;&gt;0,INDEX(Tabla16[],MATCH(AQ56&amp;AQ58&amp;AR58,Tabla16[Concatenado],0),IF(BH58="Si",4,5)),"")</f>
        <v/>
      </c>
      <c r="AT58" s="527" t="str">
        <f>IF(AR58&lt;&gt;0,INDEX(Tabla16[],MATCH(AQ56&amp;AQ58&amp;AR58,Tabla16[Concatenado],0),6),"")</f>
        <v/>
      </c>
      <c r="AU58" s="527" t="str">
        <f>IFERROR(IF(AR58&lt;&gt;0,INDEX(Tabla16[],MATCH(AQ56&amp;AQ58&amp;AR58,Tabla16[Concatenado],0),IF(AV$3=TS!$O$2,7,IF(AV$3=TS!$O$3,8,IF(AV$3=TS!$O$4,9,"")))),""),"")</f>
        <v/>
      </c>
      <c r="AV58" s="527" t="str">
        <f>IF(AR58&lt;&gt;0,INDEX(Tabla16[],MATCH(AQ56&amp;AQ58&amp;AR58,Tabla16[Concatenado],0),10),"")</f>
        <v/>
      </c>
      <c r="AW58" s="527" t="str">
        <f>IF(AR58&lt;&gt;0,INDEX(Tabla18[],MATCH(AQ58,Tabla18[Nombre],0),2),"")</f>
        <v/>
      </c>
      <c r="AX58" s="527" t="str">
        <f>IF(AR58&lt;&gt;0,INDEX(Tabla18[],MATCH(AQ58,Tabla18[Nombre],0),3),"")</f>
        <v/>
      </c>
      <c r="AY58" s="527" t="str">
        <f>IF(AR58&lt;&gt;0,INDEX(Tabla18[],MATCH(AQ58,Tabla18[Nombre],0),4),"")</f>
        <v/>
      </c>
      <c r="AZ58" s="527" t="str">
        <f>IF(AR58&lt;&gt;0,INDEX(Tabla18[],MATCH(AQ58,Tabla18[Nombre],0),5),"")</f>
        <v/>
      </c>
      <c r="BA58" s="596" t="str">
        <f>IF(AR58&lt;&gt;0,INDEX(Tabla18[],MATCH(AQ58,Tabla18[Nombre],0),6),"")</f>
        <v/>
      </c>
      <c r="BB58" s="598"/>
      <c r="BC58" s="527"/>
      <c r="BD58" s="527"/>
      <c r="BE58" s="527"/>
      <c r="BF58" s="527"/>
      <c r="BG58" s="600"/>
      <c r="BH58" s="608"/>
      <c r="BL58" s="606" t="s">
        <v>6896</v>
      </c>
      <c r="BM58" s="556"/>
      <c r="BN58" s="527" t="str">
        <f>IF(BM58&lt;&gt;0,INDEX(Tabla16[],MATCH(BL56&amp;BL58&amp;BM58,Tabla16[Concatenado],0),IF(CC58="Si",4,5)),"")</f>
        <v/>
      </c>
      <c r="BO58" s="527" t="str">
        <f>IF(BM58&lt;&gt;0,INDEX(Tabla16[],MATCH(BL56&amp;BL58&amp;BM58,Tabla16[Concatenado],0),6),"")</f>
        <v/>
      </c>
      <c r="BP58" s="527" t="str">
        <f>IFERROR(IF(BM58&lt;&gt;0,INDEX(Tabla16[],MATCH(BL56&amp;BL58&amp;BM58,Tabla16[Concatenado],0),IF(BQ$3=TS!$O$2,7,IF(BQ$3=TS!$O$3,8,IF(BQ$3=TS!$O$4,9,"")))),""),"")</f>
        <v/>
      </c>
      <c r="BQ58" s="527" t="str">
        <f>IF(BM58&lt;&gt;0,INDEX(Tabla16[],MATCH(BL56&amp;BL58&amp;BM58,Tabla16[Concatenado],0),10),"")</f>
        <v/>
      </c>
      <c r="BR58" s="527" t="str">
        <f>IF(BM58&lt;&gt;0,INDEX(Tabla18[],MATCH(BL58,Tabla18[Nombre],0),2),"")</f>
        <v/>
      </c>
      <c r="BS58" s="527" t="str">
        <f>IF(BM58&lt;&gt;0,INDEX(Tabla18[],MATCH(BL58,Tabla18[Nombre],0),3),"")</f>
        <v/>
      </c>
      <c r="BT58" s="527" t="str">
        <f>IF(BM58&lt;&gt;0,INDEX(Tabla18[],MATCH(BL58,Tabla18[Nombre],0),4),"")</f>
        <v/>
      </c>
      <c r="BU58" s="527" t="str">
        <f>IF(BM58&lt;&gt;0,INDEX(Tabla18[],MATCH(BL58,Tabla18[Nombre],0),5),"")</f>
        <v/>
      </c>
      <c r="BV58" s="596" t="str">
        <f>IF(BM58&lt;&gt;0,INDEX(Tabla18[],MATCH(BL58,Tabla18[Nombre],0),6),"")</f>
        <v/>
      </c>
      <c r="BW58" s="598"/>
      <c r="BX58" s="527"/>
      <c r="BY58" s="527"/>
      <c r="BZ58" s="527"/>
      <c r="CA58" s="527"/>
      <c r="CB58" s="600"/>
      <c r="CC58" s="608"/>
    </row>
    <row r="59" spans="1:81" x14ac:dyDescent="0.2">
      <c r="A59" s="606" t="s">
        <v>6897</v>
      </c>
      <c r="B59" s="556"/>
      <c r="C59" s="527" t="str">
        <f>IF(B59&lt;&gt;0,INDEX(Tabla16[],MATCH(A59&amp;B59,Tabla16[Concatenado],0),IF(R59="Si",4,5)),"")</f>
        <v/>
      </c>
      <c r="D59" s="527" t="str">
        <f>IF(B59&lt;&gt;0,INDEX(Tabla16[],MATCH(A59&amp;B59,Tabla16[Concatenado],0),6),"")</f>
        <v/>
      </c>
      <c r="E59" s="527" t="str">
        <f>IFERROR(IF(B59&lt;&gt;0,INDEX(Tabla16[],MATCH(A59&amp;B59,Tabla16[Concatenado],0),IF(F$3=TS!$O$2,7,IF(F$3=TS!$O$3,8,IF(F$3=TS!$O$4,9,"")))),""),"")</f>
        <v/>
      </c>
      <c r="F59" s="527" t="str">
        <f>IF(B59&lt;&gt;0,INDEX(Tabla16[],MATCH(A59&amp;B59,Tabla16[Concatenado],0),10),"")</f>
        <v/>
      </c>
      <c r="G59" s="527" t="str">
        <f>IF(B59&lt;&gt;0,INDEX(Tabla18[],MATCH(A59,Tabla18[Nombre],0),2),"")</f>
        <v/>
      </c>
      <c r="H59" s="527" t="str">
        <f>IF(B59&lt;&gt;0,INDEX(Tabla18[],MATCH(A59,Tabla18[Nombre],0),3),"")</f>
        <v/>
      </c>
      <c r="I59" s="527" t="str">
        <f>IF(B59&lt;&gt;0,INDEX(Tabla18[],MATCH(A59,Tabla18[Nombre],0),4),"")</f>
        <v/>
      </c>
      <c r="J59" s="527" t="str">
        <f>IF(B59&lt;&gt;0,INDEX(Tabla18[],MATCH(A59,Tabla18[Nombre],0),5),"")</f>
        <v/>
      </c>
      <c r="K59" s="596" t="str">
        <f>IF(B59&lt;&gt;0,INDEX(Tabla18[],MATCH(A59,Tabla18[Nombre],0),6),"")</f>
        <v/>
      </c>
      <c r="L59" s="598"/>
      <c r="M59" s="527"/>
      <c r="N59" s="527"/>
      <c r="O59" s="527"/>
      <c r="P59" s="527"/>
      <c r="Q59" s="600"/>
      <c r="R59" s="608"/>
      <c r="V59" s="606" t="s">
        <v>6897</v>
      </c>
      <c r="W59" s="556"/>
      <c r="X59" s="527" t="str">
        <f>IF(W59&lt;&gt;0,INDEX(Tabla16[],MATCH(V59&amp;W59,Tabla16[Concatenado],0),IF(AM59="Si",4,5)),"")</f>
        <v/>
      </c>
      <c r="Y59" s="527" t="str">
        <f>IF(W59&lt;&gt;0,INDEX(Tabla16[],MATCH(V59&amp;W59,Tabla16[Concatenado],0),6),"")</f>
        <v/>
      </c>
      <c r="Z59" s="527" t="str">
        <f>IFERROR(IF(W59&lt;&gt;0,INDEX(Tabla16[],MATCH(V59&amp;W59,Tabla16[Concatenado],0),IF(AA$3=TS!$O$2,7,IF(AA$3=TS!$O$3,8,IF(AA$3=TS!$O$4,9,"")))),""),"")</f>
        <v/>
      </c>
      <c r="AA59" s="527" t="str">
        <f>IF(W59&lt;&gt;0,INDEX(Tabla16[],MATCH(V59&amp;W59,Tabla16[Concatenado],0),10),"")</f>
        <v/>
      </c>
      <c r="AB59" s="527" t="str">
        <f>IF(W59&lt;&gt;0,INDEX(Tabla18[],MATCH(V59,Tabla18[Nombre],0),2),"")</f>
        <v/>
      </c>
      <c r="AC59" s="527" t="str">
        <f>IF(W59&lt;&gt;0,INDEX(Tabla18[],MATCH(V59,Tabla18[Nombre],0),3),"")</f>
        <v/>
      </c>
      <c r="AD59" s="527" t="str">
        <f>IF(W59&lt;&gt;0,INDEX(Tabla18[],MATCH(V59,Tabla18[Nombre],0),4),"")</f>
        <v/>
      </c>
      <c r="AE59" s="527" t="str">
        <f>IF(W59&lt;&gt;0,INDEX(Tabla18[],MATCH(V59,Tabla18[Nombre],0),5),"")</f>
        <v/>
      </c>
      <c r="AF59" s="596" t="str">
        <f>IF(W59&lt;&gt;0,INDEX(Tabla18[],MATCH(V59,Tabla18[Nombre],0),6),"")</f>
        <v/>
      </c>
      <c r="AG59" s="598"/>
      <c r="AH59" s="527"/>
      <c r="AI59" s="527"/>
      <c r="AJ59" s="527"/>
      <c r="AK59" s="527"/>
      <c r="AL59" s="600"/>
      <c r="AM59" s="608"/>
      <c r="AQ59" s="606" t="s">
        <v>6897</v>
      </c>
      <c r="AR59" s="556"/>
      <c r="AS59" s="527" t="str">
        <f>IF(AR59&lt;&gt;0,INDEX(Tabla16[],MATCH(AQ59&amp;AR59,Tabla16[Concatenado],0),IF(BH59="Si",4,5)),"")</f>
        <v/>
      </c>
      <c r="AT59" s="527" t="str">
        <f>IF(AR59&lt;&gt;0,INDEX(Tabla16[],MATCH(AQ59&amp;AR59,Tabla16[Concatenado],0),6),"")</f>
        <v/>
      </c>
      <c r="AU59" s="527" t="str">
        <f>IFERROR(IF(AR59&lt;&gt;0,INDEX(Tabla16[],MATCH(AQ59&amp;AR59,Tabla16[Concatenado],0),IF(AV$3=TS!$O$2,7,IF(AV$3=TS!$O$3,8,IF(AV$3=TS!$O$4,9,"")))),""),"")</f>
        <v/>
      </c>
      <c r="AV59" s="527" t="str">
        <f>IF(AR59&lt;&gt;0,INDEX(Tabla16[],MATCH(AQ59&amp;AR59,Tabla16[Concatenado],0),10),"")</f>
        <v/>
      </c>
      <c r="AW59" s="527" t="str">
        <f>IF(AR59&lt;&gt;0,INDEX(Tabla18[],MATCH(AQ59,Tabla18[Nombre],0),2),"")</f>
        <v/>
      </c>
      <c r="AX59" s="527" t="str">
        <f>IF(AR59&lt;&gt;0,INDEX(Tabla18[],MATCH(AQ59,Tabla18[Nombre],0),3),"")</f>
        <v/>
      </c>
      <c r="AY59" s="527" t="str">
        <f>IF(AR59&lt;&gt;0,INDEX(Tabla18[],MATCH(AQ59,Tabla18[Nombre],0),4),"")</f>
        <v/>
      </c>
      <c r="AZ59" s="527" t="str">
        <f>IF(AR59&lt;&gt;0,INDEX(Tabla18[],MATCH(AQ59,Tabla18[Nombre],0),5),"")</f>
        <v/>
      </c>
      <c r="BA59" s="596" t="str">
        <f>IF(AR59&lt;&gt;0,INDEX(Tabla18[],MATCH(AQ59,Tabla18[Nombre],0),6),"")</f>
        <v/>
      </c>
      <c r="BB59" s="598"/>
      <c r="BC59" s="527"/>
      <c r="BD59" s="527"/>
      <c r="BE59" s="527"/>
      <c r="BF59" s="527"/>
      <c r="BG59" s="600"/>
      <c r="BH59" s="608"/>
      <c r="BL59" s="606" t="s">
        <v>6897</v>
      </c>
      <c r="BM59" s="556"/>
      <c r="BN59" s="527" t="str">
        <f>IF(BM59&lt;&gt;0,INDEX(Tabla16[],MATCH(BL59&amp;BM59,Tabla16[Concatenado],0),IF(CC59="Si",4,5)),"")</f>
        <v/>
      </c>
      <c r="BO59" s="527" t="str">
        <f>IF(BM59&lt;&gt;0,INDEX(Tabla16[],MATCH(BL59&amp;BM59,Tabla16[Concatenado],0),6),"")</f>
        <v/>
      </c>
      <c r="BP59" s="527" t="str">
        <f>IFERROR(IF(BM59&lt;&gt;0,INDEX(Tabla16[],MATCH(BL59&amp;BM59,Tabla16[Concatenado],0),IF(BQ$3=TS!$O$2,7,IF(BQ$3=TS!$O$3,8,IF(BQ$3=TS!$O$4,9,"")))),""),"")</f>
        <v/>
      </c>
      <c r="BQ59" s="527" t="str">
        <f>IF(BM59&lt;&gt;0,INDEX(Tabla16[],MATCH(BL59&amp;BM59,Tabla16[Concatenado],0),10),"")</f>
        <v/>
      </c>
      <c r="BR59" s="527" t="str">
        <f>IF(BM59&lt;&gt;0,INDEX(Tabla18[],MATCH(BL59,Tabla18[Nombre],0),2),"")</f>
        <v/>
      </c>
      <c r="BS59" s="527" t="str">
        <f>IF(BM59&lt;&gt;0,INDEX(Tabla18[],MATCH(BL59,Tabla18[Nombre],0),3),"")</f>
        <v/>
      </c>
      <c r="BT59" s="527" t="str">
        <f>IF(BM59&lt;&gt;0,INDEX(Tabla18[],MATCH(BL59,Tabla18[Nombre],0),4),"")</f>
        <v/>
      </c>
      <c r="BU59" s="527" t="str">
        <f>IF(BM59&lt;&gt;0,INDEX(Tabla18[],MATCH(BL59,Tabla18[Nombre],0),5),"")</f>
        <v/>
      </c>
      <c r="BV59" s="596" t="str">
        <f>IF(BM59&lt;&gt;0,INDEX(Tabla18[],MATCH(BL59,Tabla18[Nombre],0),6),"")</f>
        <v/>
      </c>
      <c r="BW59" s="598"/>
      <c r="BX59" s="527"/>
      <c r="BY59" s="527"/>
      <c r="BZ59" s="527"/>
      <c r="CA59" s="527"/>
      <c r="CB59" s="600"/>
      <c r="CC59" s="608"/>
    </row>
    <row r="60" spans="1:81" x14ac:dyDescent="0.2">
      <c r="A60" s="606" t="s">
        <v>6898</v>
      </c>
      <c r="B60" s="556"/>
      <c r="C60" s="527" t="str">
        <f>IF(B60&lt;&gt;0,INDEX(Tabla16[],MATCH(A60&amp;B60,Tabla16[Concatenado],0),IF(R60="Si",4,5)),"")</f>
        <v/>
      </c>
      <c r="D60" s="527" t="str">
        <f>IF(B60&lt;&gt;0,INDEX(Tabla16[],MATCH(A60&amp;B60,Tabla16[Concatenado],0),6),"")</f>
        <v/>
      </c>
      <c r="E60" s="527" t="str">
        <f>IFERROR(IF(B60&lt;&gt;0,INDEX(Tabla16[],MATCH(A60&amp;B60,Tabla16[Concatenado],0),IF(F$3=TS!$O$2,7,IF(F$3=TS!$O$3,8,IF(F$3=TS!$O$4,9,"")))),""),"")</f>
        <v/>
      </c>
      <c r="F60" s="527" t="str">
        <f>IF(B60&lt;&gt;0,INDEX(Tabla16[],MATCH(A60&amp;B60,Tabla16[Concatenado],0),10),"")</f>
        <v/>
      </c>
      <c r="G60" s="527" t="str">
        <f>IF(B60&lt;&gt;0,INDEX(Tabla18[],MATCH(A60,Tabla18[Nombre],0),2),"")</f>
        <v/>
      </c>
      <c r="H60" s="527" t="str">
        <f>IF(B60&lt;&gt;0,INDEX(Tabla18[],MATCH(A60,Tabla18[Nombre],0),3),"")</f>
        <v/>
      </c>
      <c r="I60" s="527" t="str">
        <f>IF(B60&lt;&gt;0,INDEX(Tabla18[],MATCH(A60,Tabla18[Nombre],0),4),"")</f>
        <v/>
      </c>
      <c r="J60" s="527" t="str">
        <f>IF(B60&lt;&gt;0,INDEX(Tabla18[],MATCH(A60,Tabla18[Nombre],0),5),"")</f>
        <v/>
      </c>
      <c r="K60" s="596" t="str">
        <f>IF(B60&lt;&gt;0,INDEX(Tabla18[],MATCH(A60,Tabla18[Nombre],0),6),"")</f>
        <v/>
      </c>
      <c r="L60" s="598"/>
      <c r="M60" s="527"/>
      <c r="N60" s="527"/>
      <c r="O60" s="527"/>
      <c r="P60" s="527"/>
      <c r="Q60" s="600"/>
      <c r="R60" s="608"/>
      <c r="V60" s="606" t="s">
        <v>6898</v>
      </c>
      <c r="W60" s="556"/>
      <c r="X60" s="527" t="str">
        <f>IF(W60&lt;&gt;0,INDEX(Tabla16[],MATCH(V60&amp;W60,Tabla16[Concatenado],0),IF(AM60="Si",4,5)),"")</f>
        <v/>
      </c>
      <c r="Y60" s="527" t="str">
        <f>IF(W60&lt;&gt;0,INDEX(Tabla16[],MATCH(V60&amp;W60,Tabla16[Concatenado],0),6),"")</f>
        <v/>
      </c>
      <c r="Z60" s="527" t="str">
        <f>IFERROR(IF(W60&lt;&gt;0,INDEX(Tabla16[],MATCH(V60&amp;W60,Tabla16[Concatenado],0),IF(AA$3=TS!$O$2,7,IF(AA$3=TS!$O$3,8,IF(AA$3=TS!$O$4,9,"")))),""),"")</f>
        <v/>
      </c>
      <c r="AA60" s="527" t="str">
        <f>IF(W60&lt;&gt;0,INDEX(Tabla16[],MATCH(V60&amp;W60,Tabla16[Concatenado],0),10),"")</f>
        <v/>
      </c>
      <c r="AB60" s="527" t="str">
        <f>IF(W60&lt;&gt;0,INDEX(Tabla18[],MATCH(V60,Tabla18[Nombre],0),2),"")</f>
        <v/>
      </c>
      <c r="AC60" s="527" t="str">
        <f>IF(W60&lt;&gt;0,INDEX(Tabla18[],MATCH(V60,Tabla18[Nombre],0),3),"")</f>
        <v/>
      </c>
      <c r="AD60" s="527" t="str">
        <f>IF(W60&lt;&gt;0,INDEX(Tabla18[],MATCH(V60,Tabla18[Nombre],0),4),"")</f>
        <v/>
      </c>
      <c r="AE60" s="527" t="str">
        <f>IF(W60&lt;&gt;0,INDEX(Tabla18[],MATCH(V60,Tabla18[Nombre],0),5),"")</f>
        <v/>
      </c>
      <c r="AF60" s="596" t="str">
        <f>IF(W60&lt;&gt;0,INDEX(Tabla18[],MATCH(V60,Tabla18[Nombre],0),6),"")</f>
        <v/>
      </c>
      <c r="AG60" s="598"/>
      <c r="AH60" s="527"/>
      <c r="AI60" s="527"/>
      <c r="AJ60" s="527"/>
      <c r="AK60" s="527"/>
      <c r="AL60" s="600"/>
      <c r="AM60" s="608"/>
      <c r="AQ60" s="606" t="s">
        <v>6898</v>
      </c>
      <c r="AR60" s="556"/>
      <c r="AS60" s="527" t="str">
        <f>IF(AR60&lt;&gt;0,INDEX(Tabla16[],MATCH(AQ60&amp;AR60,Tabla16[Concatenado],0),IF(BH60="Si",4,5)),"")</f>
        <v/>
      </c>
      <c r="AT60" s="527" t="str">
        <f>IF(AR60&lt;&gt;0,INDEX(Tabla16[],MATCH(AQ60&amp;AR60,Tabla16[Concatenado],0),6),"")</f>
        <v/>
      </c>
      <c r="AU60" s="527" t="str">
        <f>IFERROR(IF(AR60&lt;&gt;0,INDEX(Tabla16[],MATCH(AQ60&amp;AR60,Tabla16[Concatenado],0),IF(AV$3=TS!$O$2,7,IF(AV$3=TS!$O$3,8,IF(AV$3=TS!$O$4,9,"")))),""),"")</f>
        <v/>
      </c>
      <c r="AV60" s="527" t="str">
        <f>IF(AR60&lt;&gt;0,INDEX(Tabla16[],MATCH(AQ60&amp;AR60,Tabla16[Concatenado],0),10),"")</f>
        <v/>
      </c>
      <c r="AW60" s="527" t="str">
        <f>IF(AR60&lt;&gt;0,INDEX(Tabla18[],MATCH(AQ60,Tabla18[Nombre],0),2),"")</f>
        <v/>
      </c>
      <c r="AX60" s="527" t="str">
        <f>IF(AR60&lt;&gt;0,INDEX(Tabla18[],MATCH(AQ60,Tabla18[Nombre],0),3),"")</f>
        <v/>
      </c>
      <c r="AY60" s="527" t="str">
        <f>IF(AR60&lt;&gt;0,INDEX(Tabla18[],MATCH(AQ60,Tabla18[Nombre],0),4),"")</f>
        <v/>
      </c>
      <c r="AZ60" s="527" t="str">
        <f>IF(AR60&lt;&gt;0,INDEX(Tabla18[],MATCH(AQ60,Tabla18[Nombre],0),5),"")</f>
        <v/>
      </c>
      <c r="BA60" s="596" t="str">
        <f>IF(AR60&lt;&gt;0,INDEX(Tabla18[],MATCH(AQ60,Tabla18[Nombre],0),6),"")</f>
        <v/>
      </c>
      <c r="BB60" s="598"/>
      <c r="BC60" s="527"/>
      <c r="BD60" s="527"/>
      <c r="BE60" s="527"/>
      <c r="BF60" s="527"/>
      <c r="BG60" s="600"/>
      <c r="BH60" s="608"/>
      <c r="BL60" s="606" t="s">
        <v>6898</v>
      </c>
      <c r="BM60" s="556"/>
      <c r="BN60" s="527" t="str">
        <f>IF(BM60&lt;&gt;0,INDEX(Tabla16[],MATCH(BL60&amp;BM60,Tabla16[Concatenado],0),IF(CC60="Si",4,5)),"")</f>
        <v/>
      </c>
      <c r="BO60" s="527" t="str">
        <f>IF(BM60&lt;&gt;0,INDEX(Tabla16[],MATCH(BL60&amp;BM60,Tabla16[Concatenado],0),6),"")</f>
        <v/>
      </c>
      <c r="BP60" s="527" t="str">
        <f>IFERROR(IF(BM60&lt;&gt;0,INDEX(Tabla16[],MATCH(BL60&amp;BM60,Tabla16[Concatenado],0),IF(BQ$3=TS!$O$2,7,IF(BQ$3=TS!$O$3,8,IF(BQ$3=TS!$O$4,9,"")))),""),"")</f>
        <v/>
      </c>
      <c r="BQ60" s="527" t="str">
        <f>IF(BM60&lt;&gt;0,INDEX(Tabla16[],MATCH(BL60&amp;BM60,Tabla16[Concatenado],0),10),"")</f>
        <v/>
      </c>
      <c r="BR60" s="527" t="str">
        <f>IF(BM60&lt;&gt;0,INDEX(Tabla18[],MATCH(BL60,Tabla18[Nombre],0),2),"")</f>
        <v/>
      </c>
      <c r="BS60" s="527" t="str">
        <f>IF(BM60&lt;&gt;0,INDEX(Tabla18[],MATCH(BL60,Tabla18[Nombre],0),3),"")</f>
        <v/>
      </c>
      <c r="BT60" s="527" t="str">
        <f>IF(BM60&lt;&gt;0,INDEX(Tabla18[],MATCH(BL60,Tabla18[Nombre],0),4),"")</f>
        <v/>
      </c>
      <c r="BU60" s="527" t="str">
        <f>IF(BM60&lt;&gt;0,INDEX(Tabla18[],MATCH(BL60,Tabla18[Nombre],0),5),"")</f>
        <v/>
      </c>
      <c r="BV60" s="596" t="str">
        <f>IF(BM60&lt;&gt;0,INDEX(Tabla18[],MATCH(BL60,Tabla18[Nombre],0),6),"")</f>
        <v/>
      </c>
      <c r="BW60" s="598"/>
      <c r="BX60" s="527"/>
      <c r="BY60" s="527"/>
      <c r="BZ60" s="527"/>
      <c r="CA60" s="527"/>
      <c r="CB60" s="600"/>
      <c r="CC60" s="608"/>
    </row>
    <row r="61" spans="1:81" x14ac:dyDescent="0.2">
      <c r="A61" s="606" t="s">
        <v>6899</v>
      </c>
      <c r="B61" s="556"/>
      <c r="C61" s="527" t="str">
        <f>IF(B61&lt;&gt;0,INDEX(Tabla16[],MATCH(A60&amp;A61&amp;B61,Tabla16[Concatenado],0),IF(R61="Si",4,5)),"")</f>
        <v/>
      </c>
      <c r="D61" s="527" t="str">
        <f>IF(B61&lt;&gt;0,INDEX(Tabla16[],MATCH(A60&amp;A61&amp;B61,Tabla16[Concatenado],0),6),"")</f>
        <v/>
      </c>
      <c r="E61" s="527" t="str">
        <f>IFERROR(IF(B61&lt;&gt;0,INDEX(Tabla16[],MATCH(A60&amp;A61&amp;B61,Tabla16[Concatenado],0),IF(F$3=TS!$O$2,7,IF(F$3=TS!$O$3,8,IF(F$3=TS!$O$4,9,"")))),""),"")</f>
        <v/>
      </c>
      <c r="F61" s="527" t="str">
        <f>IF(B61&lt;&gt;0,INDEX(Tabla16[],MATCH(A60&amp;A61&amp;B61,Tabla16[Concatenado],0),10),"")</f>
        <v/>
      </c>
      <c r="G61" s="527" t="str">
        <f>IF(B61&lt;&gt;0,INDEX(Tabla18[],MATCH(A61,Tabla18[Nombre],0),2),"")</f>
        <v/>
      </c>
      <c r="H61" s="527" t="str">
        <f>IF(B61&lt;&gt;0,INDEX(Tabla18[],MATCH(A61,Tabla18[Nombre],0),3),"")</f>
        <v/>
      </c>
      <c r="I61" s="527" t="str">
        <f>IF(B61&lt;&gt;0,INDEX(Tabla18[],MATCH(A61,Tabla18[Nombre],0),4),"")</f>
        <v/>
      </c>
      <c r="J61" s="527" t="str">
        <f>IF(B61&lt;&gt;0,INDEX(Tabla18[],MATCH(A61,Tabla18[Nombre],0),5),"")</f>
        <v/>
      </c>
      <c r="K61" s="596" t="str">
        <f>IF(B61&lt;&gt;0,INDEX(Tabla18[],MATCH(A61,Tabla18[Nombre],0),6),"")</f>
        <v/>
      </c>
      <c r="L61" s="598"/>
      <c r="M61" s="527"/>
      <c r="N61" s="527"/>
      <c r="O61" s="527"/>
      <c r="P61" s="527"/>
      <c r="Q61" s="600"/>
      <c r="R61" s="608"/>
      <c r="V61" s="606" t="s">
        <v>6899</v>
      </c>
      <c r="W61" s="556"/>
      <c r="X61" s="527" t="str">
        <f>IF(W61&lt;&gt;0,INDEX(Tabla16[],MATCH(V60&amp;V61&amp;W61,Tabla16[Concatenado],0),IF(AM61="Si",4,5)),"")</f>
        <v/>
      </c>
      <c r="Y61" s="527" t="str">
        <f>IF(W61&lt;&gt;0,INDEX(Tabla16[],MATCH(V60&amp;V61&amp;W61,Tabla16[Concatenado],0),6),"")</f>
        <v/>
      </c>
      <c r="Z61" s="527" t="str">
        <f>IFERROR(IF(W61&lt;&gt;0,INDEX(Tabla16[],MATCH(V60&amp;V61&amp;W61,Tabla16[Concatenado],0),IF(AA$3=TS!$O$2,7,IF(AA$3=TS!$O$3,8,IF(AA$3=TS!$O$4,9,"")))),""),"")</f>
        <v/>
      </c>
      <c r="AA61" s="527" t="str">
        <f>IF(W61&lt;&gt;0,INDEX(Tabla16[],MATCH(V60&amp;V61&amp;W61,Tabla16[Concatenado],0),10),"")</f>
        <v/>
      </c>
      <c r="AB61" s="527" t="str">
        <f>IF(W61&lt;&gt;0,INDEX(Tabla18[],MATCH(V61,Tabla18[Nombre],0),2),"")</f>
        <v/>
      </c>
      <c r="AC61" s="527" t="str">
        <f>IF(W61&lt;&gt;0,INDEX(Tabla18[],MATCH(V61,Tabla18[Nombre],0),3),"")</f>
        <v/>
      </c>
      <c r="AD61" s="527" t="str">
        <f>IF(W61&lt;&gt;0,INDEX(Tabla18[],MATCH(V61,Tabla18[Nombre],0),4),"")</f>
        <v/>
      </c>
      <c r="AE61" s="527" t="str">
        <f>IF(W61&lt;&gt;0,INDEX(Tabla18[],MATCH(V61,Tabla18[Nombre],0),5),"")</f>
        <v/>
      </c>
      <c r="AF61" s="596" t="str">
        <f>IF(W61&lt;&gt;0,INDEX(Tabla18[],MATCH(V61,Tabla18[Nombre],0),6),"")</f>
        <v/>
      </c>
      <c r="AG61" s="598"/>
      <c r="AH61" s="527"/>
      <c r="AI61" s="527"/>
      <c r="AJ61" s="527"/>
      <c r="AK61" s="527"/>
      <c r="AL61" s="600"/>
      <c r="AM61" s="608"/>
      <c r="AQ61" s="606" t="s">
        <v>6899</v>
      </c>
      <c r="AR61" s="556"/>
      <c r="AS61" s="527" t="str">
        <f>IF(AR61&lt;&gt;0,INDEX(Tabla16[],MATCH(AQ60&amp;AQ61&amp;AR61,Tabla16[Concatenado],0),IF(BH61="Si",4,5)),"")</f>
        <v/>
      </c>
      <c r="AT61" s="527" t="str">
        <f>IF(AR61&lt;&gt;0,INDEX(Tabla16[],MATCH(AQ60&amp;AQ61&amp;AR61,Tabla16[Concatenado],0),6),"")</f>
        <v/>
      </c>
      <c r="AU61" s="527" t="str">
        <f>IFERROR(IF(AR61&lt;&gt;0,INDEX(Tabla16[],MATCH(AQ60&amp;AQ61&amp;AR61,Tabla16[Concatenado],0),IF(AV$3=TS!$O$2,7,IF(AV$3=TS!$O$3,8,IF(AV$3=TS!$O$4,9,"")))),""),"")</f>
        <v/>
      </c>
      <c r="AV61" s="527" t="str">
        <f>IF(AR61&lt;&gt;0,INDEX(Tabla16[],MATCH(AQ60&amp;AQ61&amp;AR61,Tabla16[Concatenado],0),10),"")</f>
        <v/>
      </c>
      <c r="AW61" s="527" t="str">
        <f>IF(AR61&lt;&gt;0,INDEX(Tabla18[],MATCH(AQ61,Tabla18[Nombre],0),2),"")</f>
        <v/>
      </c>
      <c r="AX61" s="527" t="str">
        <f>IF(AR61&lt;&gt;0,INDEX(Tabla18[],MATCH(AQ61,Tabla18[Nombre],0),3),"")</f>
        <v/>
      </c>
      <c r="AY61" s="527" t="str">
        <f>IF(AR61&lt;&gt;0,INDEX(Tabla18[],MATCH(AQ61,Tabla18[Nombre],0),4),"")</f>
        <v/>
      </c>
      <c r="AZ61" s="527" t="str">
        <f>IF(AR61&lt;&gt;0,INDEX(Tabla18[],MATCH(AQ61,Tabla18[Nombre],0),5),"")</f>
        <v/>
      </c>
      <c r="BA61" s="596" t="str">
        <f>IF(AR61&lt;&gt;0,INDEX(Tabla18[],MATCH(AQ61,Tabla18[Nombre],0),6),"")</f>
        <v/>
      </c>
      <c r="BB61" s="598"/>
      <c r="BC61" s="527"/>
      <c r="BD61" s="527"/>
      <c r="BE61" s="527"/>
      <c r="BF61" s="527"/>
      <c r="BG61" s="600"/>
      <c r="BH61" s="608"/>
      <c r="BL61" s="606" t="s">
        <v>6899</v>
      </c>
      <c r="BM61" s="556"/>
      <c r="BN61" s="527" t="str">
        <f>IF(BM61&lt;&gt;0,INDEX(Tabla16[],MATCH(BL60&amp;BL61&amp;BM61,Tabla16[Concatenado],0),IF(CC61="Si",4,5)),"")</f>
        <v/>
      </c>
      <c r="BO61" s="527" t="str">
        <f>IF(BM61&lt;&gt;0,INDEX(Tabla16[],MATCH(BL60&amp;BL61&amp;BM61,Tabla16[Concatenado],0),6),"")</f>
        <v/>
      </c>
      <c r="BP61" s="527" t="str">
        <f>IFERROR(IF(BM61&lt;&gt;0,INDEX(Tabla16[],MATCH(BL60&amp;BL61&amp;BM61,Tabla16[Concatenado],0),IF(BQ$3=TS!$O$2,7,IF(BQ$3=TS!$O$3,8,IF(BQ$3=TS!$O$4,9,"")))),""),"")</f>
        <v/>
      </c>
      <c r="BQ61" s="527" t="str">
        <f>IF(BM61&lt;&gt;0,INDEX(Tabla16[],MATCH(BL60&amp;BL61&amp;BM61,Tabla16[Concatenado],0),10),"")</f>
        <v/>
      </c>
      <c r="BR61" s="527" t="str">
        <f>IF(BM61&lt;&gt;0,INDEX(Tabla18[],MATCH(BL61,Tabla18[Nombre],0),2),"")</f>
        <v/>
      </c>
      <c r="BS61" s="527" t="str">
        <f>IF(BM61&lt;&gt;0,INDEX(Tabla18[],MATCH(BL61,Tabla18[Nombre],0),3),"")</f>
        <v/>
      </c>
      <c r="BT61" s="527" t="str">
        <f>IF(BM61&lt;&gt;0,INDEX(Tabla18[],MATCH(BL61,Tabla18[Nombre],0),4),"")</f>
        <v/>
      </c>
      <c r="BU61" s="527" t="str">
        <f>IF(BM61&lt;&gt;0,INDEX(Tabla18[],MATCH(BL61,Tabla18[Nombre],0),5),"")</f>
        <v/>
      </c>
      <c r="BV61" s="596" t="str">
        <f>IF(BM61&lt;&gt;0,INDEX(Tabla18[],MATCH(BL61,Tabla18[Nombre],0),6),"")</f>
        <v/>
      </c>
      <c r="BW61" s="598"/>
      <c r="BX61" s="527"/>
      <c r="BY61" s="527"/>
      <c r="BZ61" s="527"/>
      <c r="CA61" s="527"/>
      <c r="CB61" s="600"/>
      <c r="CC61" s="608"/>
    </row>
    <row r="62" spans="1:81" x14ac:dyDescent="0.2">
      <c r="A62" s="606" t="s">
        <v>6900</v>
      </c>
      <c r="B62" s="556"/>
      <c r="C62" s="527" t="str">
        <f>IF(B62&lt;&gt;0,INDEX(Tabla16[],MATCH(A62&amp;B62,Tabla16[Concatenado],0),IF(R62="Si",4,5)),"")</f>
        <v/>
      </c>
      <c r="D62" s="527" t="str">
        <f>IF(B62&lt;&gt;0,INDEX(Tabla16[],MATCH(A62&amp;B62,Tabla16[Concatenado],0),6),"")</f>
        <v/>
      </c>
      <c r="E62" s="527" t="str">
        <f>IFERROR(IF(B62&lt;&gt;0,INDEX(Tabla16[],MATCH(A62&amp;B62,Tabla16[Concatenado],0),IF(F$3=TS!$O$2,7,IF(F$3=TS!$O$3,8,IF(F$3=TS!$O$4,9,"")))),""),"")</f>
        <v/>
      </c>
      <c r="F62" s="527" t="str">
        <f>IF(B62&lt;&gt;0,INDEX(Tabla16[],MATCH(A62&amp;B62,Tabla16[Concatenado],0),10),"")</f>
        <v/>
      </c>
      <c r="G62" s="527" t="str">
        <f>IF(B62&lt;&gt;0,INDEX(Tabla18[],MATCH(A62,Tabla18[Nombre],0),2),"")</f>
        <v/>
      </c>
      <c r="H62" s="527" t="str">
        <f>IF(B62&lt;&gt;0,INDEX(Tabla18[],MATCH(A62,Tabla18[Nombre],0),3),"")</f>
        <v/>
      </c>
      <c r="I62" s="527" t="str">
        <f>IF(B62&lt;&gt;0,INDEX(Tabla18[],MATCH(A62,Tabla18[Nombre],0),4),"")</f>
        <v/>
      </c>
      <c r="J62" s="527" t="str">
        <f>IF(B62&lt;&gt;0,INDEX(Tabla18[],MATCH(A62,Tabla18[Nombre],0),5),"")</f>
        <v/>
      </c>
      <c r="K62" s="596" t="str">
        <f>IF(B62&lt;&gt;0,INDEX(Tabla18[],MATCH(A62,Tabla18[Nombre],0),6),"")</f>
        <v/>
      </c>
      <c r="L62" s="598"/>
      <c r="M62" s="527"/>
      <c r="N62" s="527"/>
      <c r="O62" s="527"/>
      <c r="P62" s="527"/>
      <c r="Q62" s="600"/>
      <c r="R62" s="608"/>
      <c r="V62" s="606" t="s">
        <v>6900</v>
      </c>
      <c r="W62" s="556"/>
      <c r="X62" s="527" t="str">
        <f>IF(W62&lt;&gt;0,INDEX(Tabla16[],MATCH(V62&amp;W62,Tabla16[Concatenado],0),IF(AM62="Si",4,5)),"")</f>
        <v/>
      </c>
      <c r="Y62" s="527" t="str">
        <f>IF(W62&lt;&gt;0,INDEX(Tabla16[],MATCH(V62&amp;W62,Tabla16[Concatenado],0),6),"")</f>
        <v/>
      </c>
      <c r="Z62" s="527" t="str">
        <f>IFERROR(IF(W62&lt;&gt;0,INDEX(Tabla16[],MATCH(V62&amp;W62,Tabla16[Concatenado],0),IF(AA$3=TS!$O$2,7,IF(AA$3=TS!$O$3,8,IF(AA$3=TS!$O$4,9,"")))),""),"")</f>
        <v/>
      </c>
      <c r="AA62" s="527" t="str">
        <f>IF(W62&lt;&gt;0,INDEX(Tabla16[],MATCH(V62&amp;W62,Tabla16[Concatenado],0),10),"")</f>
        <v/>
      </c>
      <c r="AB62" s="527" t="str">
        <f>IF(W62&lt;&gt;0,INDEX(Tabla18[],MATCH(V62,Tabla18[Nombre],0),2),"")</f>
        <v/>
      </c>
      <c r="AC62" s="527" t="str">
        <f>IF(W62&lt;&gt;0,INDEX(Tabla18[],MATCH(V62,Tabla18[Nombre],0),3),"")</f>
        <v/>
      </c>
      <c r="AD62" s="527" t="str">
        <f>IF(W62&lt;&gt;0,INDEX(Tabla18[],MATCH(V62,Tabla18[Nombre],0),4),"")</f>
        <v/>
      </c>
      <c r="AE62" s="527" t="str">
        <f>IF(W62&lt;&gt;0,INDEX(Tabla18[],MATCH(V62,Tabla18[Nombre],0),5),"")</f>
        <v/>
      </c>
      <c r="AF62" s="596" t="str">
        <f>IF(W62&lt;&gt;0,INDEX(Tabla18[],MATCH(V62,Tabla18[Nombre],0),6),"")</f>
        <v/>
      </c>
      <c r="AG62" s="598"/>
      <c r="AH62" s="527"/>
      <c r="AI62" s="527"/>
      <c r="AJ62" s="527"/>
      <c r="AK62" s="527"/>
      <c r="AL62" s="600"/>
      <c r="AM62" s="608"/>
      <c r="AQ62" s="606" t="s">
        <v>6900</v>
      </c>
      <c r="AR62" s="556"/>
      <c r="AS62" s="527" t="str">
        <f>IF(AR62&lt;&gt;0,INDEX(Tabla16[],MATCH(AQ62&amp;AR62,Tabla16[Concatenado],0),IF(BH62="Si",4,5)),"")</f>
        <v/>
      </c>
      <c r="AT62" s="527" t="str">
        <f>IF(AR62&lt;&gt;0,INDEX(Tabla16[],MATCH(AQ62&amp;AR62,Tabla16[Concatenado],0),6),"")</f>
        <v/>
      </c>
      <c r="AU62" s="527" t="str">
        <f>IFERROR(IF(AR62&lt;&gt;0,INDEX(Tabla16[],MATCH(AQ62&amp;AR62,Tabla16[Concatenado],0),IF(AV$3=TS!$O$2,7,IF(AV$3=TS!$O$3,8,IF(AV$3=TS!$O$4,9,"")))),""),"")</f>
        <v/>
      </c>
      <c r="AV62" s="527" t="str">
        <f>IF(AR62&lt;&gt;0,INDEX(Tabla16[],MATCH(AQ62&amp;AR62,Tabla16[Concatenado],0),10),"")</f>
        <v/>
      </c>
      <c r="AW62" s="527" t="str">
        <f>IF(AR62&lt;&gt;0,INDEX(Tabla18[],MATCH(AQ62,Tabla18[Nombre],0),2),"")</f>
        <v/>
      </c>
      <c r="AX62" s="527" t="str">
        <f>IF(AR62&lt;&gt;0,INDEX(Tabla18[],MATCH(AQ62,Tabla18[Nombre],0),3),"")</f>
        <v/>
      </c>
      <c r="AY62" s="527" t="str">
        <f>IF(AR62&lt;&gt;0,INDEX(Tabla18[],MATCH(AQ62,Tabla18[Nombre],0),4),"")</f>
        <v/>
      </c>
      <c r="AZ62" s="527" t="str">
        <f>IF(AR62&lt;&gt;0,INDEX(Tabla18[],MATCH(AQ62,Tabla18[Nombre],0),5),"")</f>
        <v/>
      </c>
      <c r="BA62" s="596" t="str">
        <f>IF(AR62&lt;&gt;0,INDEX(Tabla18[],MATCH(AQ62,Tabla18[Nombre],0),6),"")</f>
        <v/>
      </c>
      <c r="BB62" s="598"/>
      <c r="BC62" s="527"/>
      <c r="BD62" s="527"/>
      <c r="BE62" s="527"/>
      <c r="BF62" s="527"/>
      <c r="BG62" s="600"/>
      <c r="BH62" s="608"/>
      <c r="BL62" s="606" t="s">
        <v>6900</v>
      </c>
      <c r="BM62" s="556"/>
      <c r="BN62" s="527" t="str">
        <f>IF(BM62&lt;&gt;0,INDEX(Tabla16[],MATCH(BL62&amp;BM62,Tabla16[Concatenado],0),IF(CC62="Si",4,5)),"")</f>
        <v/>
      </c>
      <c r="BO62" s="527" t="str">
        <f>IF(BM62&lt;&gt;0,INDEX(Tabla16[],MATCH(BL62&amp;BM62,Tabla16[Concatenado],0),6),"")</f>
        <v/>
      </c>
      <c r="BP62" s="527" t="str">
        <f>IFERROR(IF(BM62&lt;&gt;0,INDEX(Tabla16[],MATCH(BL62&amp;BM62,Tabla16[Concatenado],0),IF(BQ$3=TS!$O$2,7,IF(BQ$3=TS!$O$3,8,IF(BQ$3=TS!$O$4,9,"")))),""),"")</f>
        <v/>
      </c>
      <c r="BQ62" s="527" t="str">
        <f>IF(BM62&lt;&gt;0,INDEX(Tabla16[],MATCH(BL62&amp;BM62,Tabla16[Concatenado],0),10),"")</f>
        <v/>
      </c>
      <c r="BR62" s="527" t="str">
        <f>IF(BM62&lt;&gt;0,INDEX(Tabla18[],MATCH(BL62,Tabla18[Nombre],0),2),"")</f>
        <v/>
      </c>
      <c r="BS62" s="527" t="str">
        <f>IF(BM62&lt;&gt;0,INDEX(Tabla18[],MATCH(BL62,Tabla18[Nombre],0),3),"")</f>
        <v/>
      </c>
      <c r="BT62" s="527" t="str">
        <f>IF(BM62&lt;&gt;0,INDEX(Tabla18[],MATCH(BL62,Tabla18[Nombre],0),4),"")</f>
        <v/>
      </c>
      <c r="BU62" s="527" t="str">
        <f>IF(BM62&lt;&gt;0,INDEX(Tabla18[],MATCH(BL62,Tabla18[Nombre],0),5),"")</f>
        <v/>
      </c>
      <c r="BV62" s="596" t="str">
        <f>IF(BM62&lt;&gt;0,INDEX(Tabla18[],MATCH(BL62,Tabla18[Nombre],0),6),"")</f>
        <v/>
      </c>
      <c r="BW62" s="598"/>
      <c r="BX62" s="527"/>
      <c r="BY62" s="527"/>
      <c r="BZ62" s="527"/>
      <c r="CA62" s="527"/>
      <c r="CB62" s="600"/>
      <c r="CC62" s="608"/>
    </row>
    <row r="63" spans="1:81" x14ac:dyDescent="0.2">
      <c r="A63" s="606" t="s">
        <v>6899</v>
      </c>
      <c r="B63" s="556"/>
      <c r="C63" s="527" t="str">
        <f>IF(B63&lt;&gt;0,INDEX(Tabla16[],MATCH(A62&amp;A63&amp;B63,Tabla16[Concatenado],0),IF(R63="Si",4,5)),"")</f>
        <v/>
      </c>
      <c r="D63" s="527" t="str">
        <f>IF(B63&lt;&gt;0,INDEX(Tabla16[],MATCH(A62&amp;A63&amp;B63,Tabla16[Concatenado],0),6),"")</f>
        <v/>
      </c>
      <c r="E63" s="527" t="str">
        <f>IFERROR(IF(B63&lt;&gt;0,INDEX(Tabla16[],MATCH(A62&amp;A63&amp;B63,Tabla16[Concatenado],0),IF(F$3=TS!$O$2,7,IF(F$3=TS!$O$3,8,IF(F$3=TS!$O$4,9,"")))),""),"")</f>
        <v/>
      </c>
      <c r="F63" s="527" t="str">
        <f>IF(B63&lt;&gt;0,INDEX(Tabla16[],MATCH(A62&amp;A63&amp;B63,Tabla16[Concatenado],0),10),"")</f>
        <v/>
      </c>
      <c r="G63" s="527" t="str">
        <f>IF(B63&lt;&gt;0,INDEX(Tabla18[],MATCH(A63,Tabla18[Nombre],0),2),"")</f>
        <v/>
      </c>
      <c r="H63" s="527" t="str">
        <f>IF(B63&lt;&gt;0,INDEX(Tabla18[],MATCH(A63,Tabla18[Nombre],0),3),"")</f>
        <v/>
      </c>
      <c r="I63" s="527" t="str">
        <f>IF(B63&lt;&gt;0,INDEX(Tabla18[],MATCH(A63,Tabla18[Nombre],0),4),"")</f>
        <v/>
      </c>
      <c r="J63" s="527" t="str">
        <f>IF(B63&lt;&gt;0,INDEX(Tabla18[],MATCH(A63,Tabla18[Nombre],0),5),"")</f>
        <v/>
      </c>
      <c r="K63" s="596" t="str">
        <f>IF(B63&lt;&gt;0,INDEX(Tabla18[],MATCH(A63,Tabla18[Nombre],0),6),"")</f>
        <v/>
      </c>
      <c r="L63" s="598"/>
      <c r="M63" s="527"/>
      <c r="N63" s="527"/>
      <c r="O63" s="527"/>
      <c r="P63" s="527"/>
      <c r="Q63" s="600"/>
      <c r="R63" s="608"/>
      <c r="V63" s="606" t="s">
        <v>6899</v>
      </c>
      <c r="W63" s="556"/>
      <c r="X63" s="527" t="str">
        <f>IF(W63&lt;&gt;0,INDEX(Tabla16[],MATCH(V62&amp;V63&amp;W63,Tabla16[Concatenado],0),IF(AM63="Si",4,5)),"")</f>
        <v/>
      </c>
      <c r="Y63" s="527" t="str">
        <f>IF(W63&lt;&gt;0,INDEX(Tabla16[],MATCH(V62&amp;V63&amp;W63,Tabla16[Concatenado],0),6),"")</f>
        <v/>
      </c>
      <c r="Z63" s="527" t="str">
        <f>IFERROR(IF(W63&lt;&gt;0,INDEX(Tabla16[],MATCH(V62&amp;V63&amp;W63,Tabla16[Concatenado],0),IF(AA$3=TS!$O$2,7,IF(AA$3=TS!$O$3,8,IF(AA$3=TS!$O$4,9,"")))),""),"")</f>
        <v/>
      </c>
      <c r="AA63" s="527" t="str">
        <f>IF(W63&lt;&gt;0,INDEX(Tabla16[],MATCH(V62&amp;V63&amp;W63,Tabla16[Concatenado],0),10),"")</f>
        <v/>
      </c>
      <c r="AB63" s="527" t="str">
        <f>IF(W63&lt;&gt;0,INDEX(Tabla18[],MATCH(V63,Tabla18[Nombre],0),2),"")</f>
        <v/>
      </c>
      <c r="AC63" s="527" t="str">
        <f>IF(W63&lt;&gt;0,INDEX(Tabla18[],MATCH(V63,Tabla18[Nombre],0),3),"")</f>
        <v/>
      </c>
      <c r="AD63" s="527" t="str">
        <f>IF(W63&lt;&gt;0,INDEX(Tabla18[],MATCH(V63,Tabla18[Nombre],0),4),"")</f>
        <v/>
      </c>
      <c r="AE63" s="527" t="str">
        <f>IF(W63&lt;&gt;0,INDEX(Tabla18[],MATCH(V63,Tabla18[Nombre],0),5),"")</f>
        <v/>
      </c>
      <c r="AF63" s="596" t="str">
        <f>IF(W63&lt;&gt;0,INDEX(Tabla18[],MATCH(V63,Tabla18[Nombre],0),6),"")</f>
        <v/>
      </c>
      <c r="AG63" s="598"/>
      <c r="AH63" s="527"/>
      <c r="AI63" s="527"/>
      <c r="AJ63" s="527"/>
      <c r="AK63" s="527"/>
      <c r="AL63" s="600"/>
      <c r="AM63" s="608"/>
      <c r="AQ63" s="606" t="s">
        <v>6899</v>
      </c>
      <c r="AR63" s="556"/>
      <c r="AS63" s="527" t="str">
        <f>IF(AR63&lt;&gt;0,INDEX(Tabla16[],MATCH(AQ62&amp;AQ63&amp;AR63,Tabla16[Concatenado],0),IF(BH63="Si",4,5)),"")</f>
        <v/>
      </c>
      <c r="AT63" s="527" t="str">
        <f>IF(AR63&lt;&gt;0,INDEX(Tabla16[],MATCH(AQ62&amp;AQ63&amp;AR63,Tabla16[Concatenado],0),6),"")</f>
        <v/>
      </c>
      <c r="AU63" s="527" t="str">
        <f>IFERROR(IF(AR63&lt;&gt;0,INDEX(Tabla16[],MATCH(AQ62&amp;AQ63&amp;AR63,Tabla16[Concatenado],0),IF(AV$3=TS!$O$2,7,IF(AV$3=TS!$O$3,8,IF(AV$3=TS!$O$4,9,"")))),""),"")</f>
        <v/>
      </c>
      <c r="AV63" s="527" t="str">
        <f>IF(AR63&lt;&gt;0,INDEX(Tabla16[],MATCH(AQ62&amp;AQ63&amp;AR63,Tabla16[Concatenado],0),10),"")</f>
        <v/>
      </c>
      <c r="AW63" s="527" t="str">
        <f>IF(AR63&lt;&gt;0,INDEX(Tabla18[],MATCH(AQ63,Tabla18[Nombre],0),2),"")</f>
        <v/>
      </c>
      <c r="AX63" s="527" t="str">
        <f>IF(AR63&lt;&gt;0,INDEX(Tabla18[],MATCH(AQ63,Tabla18[Nombre],0),3),"")</f>
        <v/>
      </c>
      <c r="AY63" s="527" t="str">
        <f>IF(AR63&lt;&gt;0,INDEX(Tabla18[],MATCH(AQ63,Tabla18[Nombre],0),4),"")</f>
        <v/>
      </c>
      <c r="AZ63" s="527" t="str">
        <f>IF(AR63&lt;&gt;0,INDEX(Tabla18[],MATCH(AQ63,Tabla18[Nombre],0),5),"")</f>
        <v/>
      </c>
      <c r="BA63" s="596" t="str">
        <f>IF(AR63&lt;&gt;0,INDEX(Tabla18[],MATCH(AQ63,Tabla18[Nombre],0),6),"")</f>
        <v/>
      </c>
      <c r="BB63" s="598"/>
      <c r="BC63" s="527"/>
      <c r="BD63" s="527"/>
      <c r="BE63" s="527"/>
      <c r="BF63" s="527"/>
      <c r="BG63" s="600"/>
      <c r="BH63" s="608"/>
      <c r="BL63" s="606" t="s">
        <v>6899</v>
      </c>
      <c r="BM63" s="556"/>
      <c r="BN63" s="527" t="str">
        <f>IF(BM63&lt;&gt;0,INDEX(Tabla16[],MATCH(BL62&amp;BL63&amp;BM63,Tabla16[Concatenado],0),IF(CC63="Si",4,5)),"")</f>
        <v/>
      </c>
      <c r="BO63" s="527" t="str">
        <f>IF(BM63&lt;&gt;0,INDEX(Tabla16[],MATCH(BL62&amp;BL63&amp;BM63,Tabla16[Concatenado],0),6),"")</f>
        <v/>
      </c>
      <c r="BP63" s="527" t="str">
        <f>IFERROR(IF(BM63&lt;&gt;0,INDEX(Tabla16[],MATCH(BL62&amp;BL63&amp;BM63,Tabla16[Concatenado],0),IF(BQ$3=TS!$O$2,7,IF(BQ$3=TS!$O$3,8,IF(BQ$3=TS!$O$4,9,"")))),""),"")</f>
        <v/>
      </c>
      <c r="BQ63" s="527" t="str">
        <f>IF(BM63&lt;&gt;0,INDEX(Tabla16[],MATCH(BL62&amp;BL63&amp;BM63,Tabla16[Concatenado],0),10),"")</f>
        <v/>
      </c>
      <c r="BR63" s="527" t="str">
        <f>IF(BM63&lt;&gt;0,INDEX(Tabla18[],MATCH(BL63,Tabla18[Nombre],0),2),"")</f>
        <v/>
      </c>
      <c r="BS63" s="527" t="str">
        <f>IF(BM63&lt;&gt;0,INDEX(Tabla18[],MATCH(BL63,Tabla18[Nombre],0),3),"")</f>
        <v/>
      </c>
      <c r="BT63" s="527" t="str">
        <f>IF(BM63&lt;&gt;0,INDEX(Tabla18[],MATCH(BL63,Tabla18[Nombre],0),4),"")</f>
        <v/>
      </c>
      <c r="BU63" s="527" t="str">
        <f>IF(BM63&lt;&gt;0,INDEX(Tabla18[],MATCH(BL63,Tabla18[Nombre],0),5),"")</f>
        <v/>
      </c>
      <c r="BV63" s="596" t="str">
        <f>IF(BM63&lt;&gt;0,INDEX(Tabla18[],MATCH(BL63,Tabla18[Nombre],0),6),"")</f>
        <v/>
      </c>
      <c r="BW63" s="598"/>
      <c r="BX63" s="527"/>
      <c r="BY63" s="527"/>
      <c r="BZ63" s="527"/>
      <c r="CA63" s="527"/>
      <c r="CB63" s="600"/>
      <c r="CC63" s="608"/>
    </row>
    <row r="64" spans="1:81" x14ac:dyDescent="0.2">
      <c r="A64" s="606" t="s">
        <v>6901</v>
      </c>
      <c r="B64" s="556"/>
      <c r="C64" s="527" t="str">
        <f>IF(B64&lt;&gt;0,INDEX(Tabla16[],MATCH(A64&amp;B64,Tabla16[Concatenado],0),IF(R64="Si",4,5)),"")</f>
        <v/>
      </c>
      <c r="D64" s="527" t="str">
        <f>IF(B64&lt;&gt;0,INDEX(Tabla16[],MATCH(A64&amp;B64,Tabla16[Concatenado],0),6),"")</f>
        <v/>
      </c>
      <c r="E64" s="527" t="str">
        <f>IFERROR(IF(B64&lt;&gt;0,INDEX(Tabla16[],MATCH(A64&amp;B64,Tabla16[Concatenado],0),IF(F$3=TS!$O$2,7,IF(F$3=TS!$O$3,8,IF(F$3=TS!$O$4,9,"")))),""),"")</f>
        <v/>
      </c>
      <c r="F64" s="527" t="str">
        <f>IF(B64&lt;&gt;0,INDEX(Tabla16[],MATCH(A64&amp;B64,Tabla16[Concatenado],0),10),"")</f>
        <v/>
      </c>
      <c r="G64" s="527" t="str">
        <f>IF(B64&lt;&gt;0,INDEX(Tabla18[],MATCH(A64,Tabla18[Nombre],0),2),"")</f>
        <v/>
      </c>
      <c r="H64" s="527" t="str">
        <f>IF(B64&lt;&gt;0,INDEX(Tabla18[],MATCH(A64,Tabla18[Nombre],0),3),"")</f>
        <v/>
      </c>
      <c r="I64" s="527" t="str">
        <f>IF(B64&lt;&gt;0,INDEX(Tabla18[],MATCH(A64,Tabla18[Nombre],0),4),"")</f>
        <v/>
      </c>
      <c r="J64" s="527" t="str">
        <f>IF(B64&lt;&gt;0,INDEX(Tabla18[],MATCH(A64,Tabla18[Nombre],0),5),"")</f>
        <v/>
      </c>
      <c r="K64" s="596" t="str">
        <f>IF(B64&lt;&gt;0,INDEX(Tabla18[],MATCH(A64,Tabla18[Nombre],0),6),"")</f>
        <v/>
      </c>
      <c r="L64" s="598"/>
      <c r="M64" s="527"/>
      <c r="N64" s="527"/>
      <c r="O64" s="527"/>
      <c r="P64" s="527"/>
      <c r="Q64" s="600"/>
      <c r="R64" s="608"/>
      <c r="V64" s="606" t="s">
        <v>6901</v>
      </c>
      <c r="W64" s="556"/>
      <c r="X64" s="527" t="str">
        <f>IF(W64&lt;&gt;0,INDEX(Tabla16[],MATCH(V64&amp;W64,Tabla16[Concatenado],0),IF(AM64="Si",4,5)),"")</f>
        <v/>
      </c>
      <c r="Y64" s="527" t="str">
        <f>IF(W64&lt;&gt;0,INDEX(Tabla16[],MATCH(V64&amp;W64,Tabla16[Concatenado],0),6),"")</f>
        <v/>
      </c>
      <c r="Z64" s="527" t="str">
        <f>IFERROR(IF(W64&lt;&gt;0,INDEX(Tabla16[],MATCH(V64&amp;W64,Tabla16[Concatenado],0),IF(AA$3=TS!$O$2,7,IF(AA$3=TS!$O$3,8,IF(AA$3=TS!$O$4,9,"")))),""),"")</f>
        <v/>
      </c>
      <c r="AA64" s="527" t="str">
        <f>IF(W64&lt;&gt;0,INDEX(Tabla16[],MATCH(V64&amp;W64,Tabla16[Concatenado],0),10),"")</f>
        <v/>
      </c>
      <c r="AB64" s="527" t="str">
        <f>IF(W64&lt;&gt;0,INDEX(Tabla18[],MATCH(V64,Tabla18[Nombre],0),2),"")</f>
        <v/>
      </c>
      <c r="AC64" s="527" t="str">
        <f>IF(W64&lt;&gt;0,INDEX(Tabla18[],MATCH(V64,Tabla18[Nombre],0),3),"")</f>
        <v/>
      </c>
      <c r="AD64" s="527" t="str">
        <f>IF(W64&lt;&gt;0,INDEX(Tabla18[],MATCH(V64,Tabla18[Nombre],0),4),"")</f>
        <v/>
      </c>
      <c r="AE64" s="527" t="str">
        <f>IF(W64&lt;&gt;0,INDEX(Tabla18[],MATCH(V64,Tabla18[Nombre],0),5),"")</f>
        <v/>
      </c>
      <c r="AF64" s="596" t="str">
        <f>IF(W64&lt;&gt;0,INDEX(Tabla18[],MATCH(V64,Tabla18[Nombre],0),6),"")</f>
        <v/>
      </c>
      <c r="AG64" s="598"/>
      <c r="AH64" s="527"/>
      <c r="AI64" s="527"/>
      <c r="AJ64" s="527"/>
      <c r="AK64" s="527"/>
      <c r="AL64" s="600"/>
      <c r="AM64" s="608"/>
      <c r="AQ64" s="606" t="s">
        <v>6901</v>
      </c>
      <c r="AR64" s="556"/>
      <c r="AS64" s="527" t="str">
        <f>IF(AR64&lt;&gt;0,INDEX(Tabla16[],MATCH(AQ64&amp;AR64,Tabla16[Concatenado],0),IF(BH64="Si",4,5)),"")</f>
        <v/>
      </c>
      <c r="AT64" s="527" t="str">
        <f>IF(AR64&lt;&gt;0,INDEX(Tabla16[],MATCH(AQ64&amp;AR64,Tabla16[Concatenado],0),6),"")</f>
        <v/>
      </c>
      <c r="AU64" s="527" t="str">
        <f>IFERROR(IF(AR64&lt;&gt;0,INDEX(Tabla16[],MATCH(AQ64&amp;AR64,Tabla16[Concatenado],0),IF(AV$3=TS!$O$2,7,IF(AV$3=TS!$O$3,8,IF(AV$3=TS!$O$4,9,"")))),""),"")</f>
        <v/>
      </c>
      <c r="AV64" s="527" t="str">
        <f>IF(AR64&lt;&gt;0,INDEX(Tabla16[],MATCH(AQ64&amp;AR64,Tabla16[Concatenado],0),10),"")</f>
        <v/>
      </c>
      <c r="AW64" s="527" t="str">
        <f>IF(AR64&lt;&gt;0,INDEX(Tabla18[],MATCH(AQ64,Tabla18[Nombre],0),2),"")</f>
        <v/>
      </c>
      <c r="AX64" s="527" t="str">
        <f>IF(AR64&lt;&gt;0,INDEX(Tabla18[],MATCH(AQ64,Tabla18[Nombre],0),3),"")</f>
        <v/>
      </c>
      <c r="AY64" s="527" t="str">
        <f>IF(AR64&lt;&gt;0,INDEX(Tabla18[],MATCH(AQ64,Tabla18[Nombre],0),4),"")</f>
        <v/>
      </c>
      <c r="AZ64" s="527" t="str">
        <f>IF(AR64&lt;&gt;0,INDEX(Tabla18[],MATCH(AQ64,Tabla18[Nombre],0),5),"")</f>
        <v/>
      </c>
      <c r="BA64" s="596" t="str">
        <f>IF(AR64&lt;&gt;0,INDEX(Tabla18[],MATCH(AQ64,Tabla18[Nombre],0),6),"")</f>
        <v/>
      </c>
      <c r="BB64" s="598"/>
      <c r="BC64" s="527"/>
      <c r="BD64" s="527"/>
      <c r="BE64" s="527"/>
      <c r="BF64" s="527"/>
      <c r="BG64" s="600"/>
      <c r="BH64" s="608"/>
      <c r="BL64" s="606" t="s">
        <v>6901</v>
      </c>
      <c r="BM64" s="556"/>
      <c r="BN64" s="527" t="str">
        <f>IF(BM64&lt;&gt;0,INDEX(Tabla16[],MATCH(BL64&amp;BM64,Tabla16[Concatenado],0),IF(CC64="Si",4,5)),"")</f>
        <v/>
      </c>
      <c r="BO64" s="527" t="str">
        <f>IF(BM64&lt;&gt;0,INDEX(Tabla16[],MATCH(BL64&amp;BM64,Tabla16[Concatenado],0),6),"")</f>
        <v/>
      </c>
      <c r="BP64" s="527" t="str">
        <f>IFERROR(IF(BM64&lt;&gt;0,INDEX(Tabla16[],MATCH(BL64&amp;BM64,Tabla16[Concatenado],0),IF(BQ$3=TS!$O$2,7,IF(BQ$3=TS!$O$3,8,IF(BQ$3=TS!$O$4,9,"")))),""),"")</f>
        <v/>
      </c>
      <c r="BQ64" s="527" t="str">
        <f>IF(BM64&lt;&gt;0,INDEX(Tabla16[],MATCH(BL64&amp;BM64,Tabla16[Concatenado],0),10),"")</f>
        <v/>
      </c>
      <c r="BR64" s="527" t="str">
        <f>IF(BM64&lt;&gt;0,INDEX(Tabla18[],MATCH(BL64,Tabla18[Nombre],0),2),"")</f>
        <v/>
      </c>
      <c r="BS64" s="527" t="str">
        <f>IF(BM64&lt;&gt;0,INDEX(Tabla18[],MATCH(BL64,Tabla18[Nombre],0),3),"")</f>
        <v/>
      </c>
      <c r="BT64" s="527" t="str">
        <f>IF(BM64&lt;&gt;0,INDEX(Tabla18[],MATCH(BL64,Tabla18[Nombre],0),4),"")</f>
        <v/>
      </c>
      <c r="BU64" s="527" t="str">
        <f>IF(BM64&lt;&gt;0,INDEX(Tabla18[],MATCH(BL64,Tabla18[Nombre],0),5),"")</f>
        <v/>
      </c>
      <c r="BV64" s="596" t="str">
        <f>IF(BM64&lt;&gt;0,INDEX(Tabla18[],MATCH(BL64,Tabla18[Nombre],0),6),"")</f>
        <v/>
      </c>
      <c r="BW64" s="598"/>
      <c r="BX64" s="527"/>
      <c r="BY64" s="527"/>
      <c r="BZ64" s="527"/>
      <c r="CA64" s="527"/>
      <c r="CB64" s="600"/>
      <c r="CC64" s="608"/>
    </row>
    <row r="65" spans="1:81" x14ac:dyDescent="0.2">
      <c r="A65" s="606" t="s">
        <v>6902</v>
      </c>
      <c r="B65" s="556"/>
      <c r="C65" s="527" t="str">
        <f>IF(B65&lt;&gt;0,INDEX(Tabla16[],MATCH(A65&amp;B65,Tabla16[Concatenado],0),IF(R65="Si",4,5)),"")</f>
        <v/>
      </c>
      <c r="D65" s="527" t="str">
        <f>IF(B65&lt;&gt;0,INDEX(Tabla16[],MATCH(A65&amp;B65,Tabla16[Concatenado],0),6),"")</f>
        <v/>
      </c>
      <c r="E65" s="527" t="str">
        <f>IFERROR(IF(B65&lt;&gt;0,INDEX(Tabla16[],MATCH(A65&amp;B65,Tabla16[Concatenado],0),IF(F$3=TS!$O$2,7,IF(F$3=TS!$O$3,8,IF(F$3=TS!$O$4,9,"")))),""),"")</f>
        <v/>
      </c>
      <c r="F65" s="527" t="str">
        <f>IF(B65&lt;&gt;0,INDEX(Tabla16[],MATCH(A65&amp;B65,Tabla16[Concatenado],0),10),"")</f>
        <v/>
      </c>
      <c r="G65" s="527" t="str">
        <f>IF(B65&lt;&gt;0,INDEX(Tabla18[],MATCH(A65,Tabla18[Nombre],0),2),"")</f>
        <v/>
      </c>
      <c r="H65" s="527" t="str">
        <f>IF(B65&lt;&gt;0,INDEX(Tabla18[],MATCH(A65,Tabla18[Nombre],0),3),"")</f>
        <v/>
      </c>
      <c r="I65" s="527" t="str">
        <f>IF(B65&lt;&gt;0,INDEX(Tabla18[],MATCH(A65,Tabla18[Nombre],0),4),"")</f>
        <v/>
      </c>
      <c r="J65" s="527" t="str">
        <f>IF(B65&lt;&gt;0,INDEX(Tabla18[],MATCH(A65,Tabla18[Nombre],0),5),"")</f>
        <v/>
      </c>
      <c r="K65" s="596" t="str">
        <f>IF(B65&lt;&gt;0,INDEX(Tabla18[],MATCH(A65,Tabla18[Nombre],0),6),"")</f>
        <v/>
      </c>
      <c r="L65" s="598"/>
      <c r="M65" s="527"/>
      <c r="N65" s="527"/>
      <c r="O65" s="527"/>
      <c r="P65" s="527"/>
      <c r="Q65" s="600"/>
      <c r="R65" s="608"/>
      <c r="V65" s="606" t="s">
        <v>6902</v>
      </c>
      <c r="W65" s="556"/>
      <c r="X65" s="527" t="str">
        <f>IF(W65&lt;&gt;0,INDEX(Tabla16[],MATCH(V65&amp;W65,Tabla16[Concatenado],0),IF(AM65="Si",4,5)),"")</f>
        <v/>
      </c>
      <c r="Y65" s="527" t="str">
        <f>IF(W65&lt;&gt;0,INDEX(Tabla16[],MATCH(V65&amp;W65,Tabla16[Concatenado],0),6),"")</f>
        <v/>
      </c>
      <c r="Z65" s="527" t="str">
        <f>IFERROR(IF(W65&lt;&gt;0,INDEX(Tabla16[],MATCH(V65&amp;W65,Tabla16[Concatenado],0),IF(AA$3=TS!$O$2,7,IF(AA$3=TS!$O$3,8,IF(AA$3=TS!$O$4,9,"")))),""),"")</f>
        <v/>
      </c>
      <c r="AA65" s="527" t="str">
        <f>IF(W65&lt;&gt;0,INDEX(Tabla16[],MATCH(V65&amp;W65,Tabla16[Concatenado],0),10),"")</f>
        <v/>
      </c>
      <c r="AB65" s="527" t="str">
        <f>IF(W65&lt;&gt;0,INDEX(Tabla18[],MATCH(V65,Tabla18[Nombre],0),2),"")</f>
        <v/>
      </c>
      <c r="AC65" s="527" t="str">
        <f>IF(W65&lt;&gt;0,INDEX(Tabla18[],MATCH(V65,Tabla18[Nombre],0),3),"")</f>
        <v/>
      </c>
      <c r="AD65" s="527" t="str">
        <f>IF(W65&lt;&gt;0,INDEX(Tabla18[],MATCH(V65,Tabla18[Nombre],0),4),"")</f>
        <v/>
      </c>
      <c r="AE65" s="527" t="str">
        <f>IF(W65&lt;&gt;0,INDEX(Tabla18[],MATCH(V65,Tabla18[Nombre],0),5),"")</f>
        <v/>
      </c>
      <c r="AF65" s="596" t="str">
        <f>IF(W65&lt;&gt;0,INDEX(Tabla18[],MATCH(V65,Tabla18[Nombre],0),6),"")</f>
        <v/>
      </c>
      <c r="AG65" s="598"/>
      <c r="AH65" s="527"/>
      <c r="AI65" s="527"/>
      <c r="AJ65" s="527"/>
      <c r="AK65" s="527"/>
      <c r="AL65" s="600"/>
      <c r="AM65" s="608"/>
      <c r="AQ65" s="606" t="s">
        <v>6902</v>
      </c>
      <c r="AR65" s="556"/>
      <c r="AS65" s="527" t="str">
        <f>IF(AR65&lt;&gt;0,INDEX(Tabla16[],MATCH(AQ65&amp;AR65,Tabla16[Concatenado],0),IF(BH65="Si",4,5)),"")</f>
        <v/>
      </c>
      <c r="AT65" s="527" t="str">
        <f>IF(AR65&lt;&gt;0,INDEX(Tabla16[],MATCH(AQ65&amp;AR65,Tabla16[Concatenado],0),6),"")</f>
        <v/>
      </c>
      <c r="AU65" s="527" t="str">
        <f>IFERROR(IF(AR65&lt;&gt;0,INDEX(Tabla16[],MATCH(AQ65&amp;AR65,Tabla16[Concatenado],0),IF(AV$3=TS!$O$2,7,IF(AV$3=TS!$O$3,8,IF(AV$3=TS!$O$4,9,"")))),""),"")</f>
        <v/>
      </c>
      <c r="AV65" s="527" t="str">
        <f>IF(AR65&lt;&gt;0,INDEX(Tabla16[],MATCH(AQ65&amp;AR65,Tabla16[Concatenado],0),10),"")</f>
        <v/>
      </c>
      <c r="AW65" s="527" t="str">
        <f>IF(AR65&lt;&gt;0,INDEX(Tabla18[],MATCH(AQ65,Tabla18[Nombre],0),2),"")</f>
        <v/>
      </c>
      <c r="AX65" s="527" t="str">
        <f>IF(AR65&lt;&gt;0,INDEX(Tabla18[],MATCH(AQ65,Tabla18[Nombre],0),3),"")</f>
        <v/>
      </c>
      <c r="AY65" s="527" t="str">
        <f>IF(AR65&lt;&gt;0,INDEX(Tabla18[],MATCH(AQ65,Tabla18[Nombre],0),4),"")</f>
        <v/>
      </c>
      <c r="AZ65" s="527" t="str">
        <f>IF(AR65&lt;&gt;0,INDEX(Tabla18[],MATCH(AQ65,Tabla18[Nombre],0),5),"")</f>
        <v/>
      </c>
      <c r="BA65" s="596" t="str">
        <f>IF(AR65&lt;&gt;0,INDEX(Tabla18[],MATCH(AQ65,Tabla18[Nombre],0),6),"")</f>
        <v/>
      </c>
      <c r="BB65" s="598"/>
      <c r="BC65" s="527"/>
      <c r="BD65" s="527"/>
      <c r="BE65" s="527"/>
      <c r="BF65" s="527"/>
      <c r="BG65" s="600"/>
      <c r="BH65" s="608"/>
      <c r="BL65" s="606" t="s">
        <v>6902</v>
      </c>
      <c r="BM65" s="556"/>
      <c r="BN65" s="527" t="str">
        <f>IF(BM65&lt;&gt;0,INDEX(Tabla16[],MATCH(BL65&amp;BM65,Tabla16[Concatenado],0),IF(CC65="Si",4,5)),"")</f>
        <v/>
      </c>
      <c r="BO65" s="527" t="str">
        <f>IF(BM65&lt;&gt;0,INDEX(Tabla16[],MATCH(BL65&amp;BM65,Tabla16[Concatenado],0),6),"")</f>
        <v/>
      </c>
      <c r="BP65" s="527" t="str">
        <f>IFERROR(IF(BM65&lt;&gt;0,INDEX(Tabla16[],MATCH(BL65&amp;BM65,Tabla16[Concatenado],0),IF(BQ$3=TS!$O$2,7,IF(BQ$3=TS!$O$3,8,IF(BQ$3=TS!$O$4,9,"")))),""),"")</f>
        <v/>
      </c>
      <c r="BQ65" s="527" t="str">
        <f>IF(BM65&lt;&gt;0,INDEX(Tabla16[],MATCH(BL65&amp;BM65,Tabla16[Concatenado],0),10),"")</f>
        <v/>
      </c>
      <c r="BR65" s="527" t="str">
        <f>IF(BM65&lt;&gt;0,INDEX(Tabla18[],MATCH(BL65,Tabla18[Nombre],0),2),"")</f>
        <v/>
      </c>
      <c r="BS65" s="527" t="str">
        <f>IF(BM65&lt;&gt;0,INDEX(Tabla18[],MATCH(BL65,Tabla18[Nombre],0),3),"")</f>
        <v/>
      </c>
      <c r="BT65" s="527" t="str">
        <f>IF(BM65&lt;&gt;0,INDEX(Tabla18[],MATCH(BL65,Tabla18[Nombre],0),4),"")</f>
        <v/>
      </c>
      <c r="BU65" s="527" t="str">
        <f>IF(BM65&lt;&gt;0,INDEX(Tabla18[],MATCH(BL65,Tabla18[Nombre],0),5),"")</f>
        <v/>
      </c>
      <c r="BV65" s="596" t="str">
        <f>IF(BM65&lt;&gt;0,INDEX(Tabla18[],MATCH(BL65,Tabla18[Nombre],0),6),"")</f>
        <v/>
      </c>
      <c r="BW65" s="598"/>
      <c r="BX65" s="527"/>
      <c r="BY65" s="527"/>
      <c r="BZ65" s="527"/>
      <c r="CA65" s="527"/>
      <c r="CB65" s="600"/>
      <c r="CC65" s="608"/>
    </row>
    <row r="66" spans="1:81" x14ac:dyDescent="0.2">
      <c r="A66" s="610" t="s">
        <v>6923</v>
      </c>
      <c r="B66" s="555" t="s">
        <v>164</v>
      </c>
      <c r="C66" s="306" t="s">
        <v>7163</v>
      </c>
      <c r="D66" s="306" t="s">
        <v>5</v>
      </c>
      <c r="E66" s="306" t="s">
        <v>69</v>
      </c>
      <c r="F66" s="306" t="s">
        <v>14</v>
      </c>
      <c r="G66" s="306" t="s">
        <v>26</v>
      </c>
      <c r="H66" s="306" t="s">
        <v>277</v>
      </c>
      <c r="I66" s="306" t="s">
        <v>6791</v>
      </c>
      <c r="J66" s="306" t="s">
        <v>6792</v>
      </c>
      <c r="K66" s="597" t="s">
        <v>7162</v>
      </c>
      <c r="L66" s="601" t="s">
        <v>36</v>
      </c>
      <c r="M66" s="306" t="s">
        <v>46</v>
      </c>
      <c r="N66" s="306" t="s">
        <v>57</v>
      </c>
      <c r="O66" s="306" t="s">
        <v>66</v>
      </c>
      <c r="P66" s="306" t="s">
        <v>59</v>
      </c>
      <c r="Q66" s="602" t="s">
        <v>58</v>
      </c>
      <c r="R66" s="611" t="s">
        <v>6787</v>
      </c>
      <c r="V66" s="610" t="s">
        <v>6923</v>
      </c>
      <c r="W66" s="555" t="s">
        <v>164</v>
      </c>
      <c r="X66" s="306" t="s">
        <v>7163</v>
      </c>
      <c r="Y66" s="306" t="s">
        <v>5</v>
      </c>
      <c r="Z66" s="306" t="s">
        <v>69</v>
      </c>
      <c r="AA66" s="306" t="s">
        <v>14</v>
      </c>
      <c r="AB66" s="306" t="s">
        <v>26</v>
      </c>
      <c r="AC66" s="306" t="s">
        <v>277</v>
      </c>
      <c r="AD66" s="306" t="s">
        <v>6791</v>
      </c>
      <c r="AE66" s="306" t="s">
        <v>6792</v>
      </c>
      <c r="AF66" s="597" t="s">
        <v>7162</v>
      </c>
      <c r="AG66" s="601" t="s">
        <v>36</v>
      </c>
      <c r="AH66" s="306" t="s">
        <v>46</v>
      </c>
      <c r="AI66" s="306" t="s">
        <v>57</v>
      </c>
      <c r="AJ66" s="306" t="s">
        <v>66</v>
      </c>
      <c r="AK66" s="306" t="s">
        <v>59</v>
      </c>
      <c r="AL66" s="602" t="s">
        <v>58</v>
      </c>
      <c r="AM66" s="611" t="s">
        <v>6787</v>
      </c>
      <c r="AQ66" s="610" t="s">
        <v>6923</v>
      </c>
      <c r="AR66" s="555" t="s">
        <v>164</v>
      </c>
      <c r="AS66" s="306" t="s">
        <v>7163</v>
      </c>
      <c r="AT66" s="306" t="s">
        <v>5</v>
      </c>
      <c r="AU66" s="306" t="s">
        <v>69</v>
      </c>
      <c r="AV66" s="306" t="s">
        <v>14</v>
      </c>
      <c r="AW66" s="306" t="s">
        <v>26</v>
      </c>
      <c r="AX66" s="306" t="s">
        <v>277</v>
      </c>
      <c r="AY66" s="306" t="s">
        <v>6791</v>
      </c>
      <c r="AZ66" s="306" t="s">
        <v>6792</v>
      </c>
      <c r="BA66" s="597" t="s">
        <v>7162</v>
      </c>
      <c r="BB66" s="601" t="s">
        <v>36</v>
      </c>
      <c r="BC66" s="306" t="s">
        <v>46</v>
      </c>
      <c r="BD66" s="306" t="s">
        <v>57</v>
      </c>
      <c r="BE66" s="306" t="s">
        <v>66</v>
      </c>
      <c r="BF66" s="306" t="s">
        <v>59</v>
      </c>
      <c r="BG66" s="602" t="s">
        <v>58</v>
      </c>
      <c r="BH66" s="611" t="s">
        <v>6787</v>
      </c>
      <c r="BL66" s="610" t="s">
        <v>6923</v>
      </c>
      <c r="BM66" s="555" t="s">
        <v>164</v>
      </c>
      <c r="BN66" s="306" t="s">
        <v>7163</v>
      </c>
      <c r="BO66" s="306" t="s">
        <v>5</v>
      </c>
      <c r="BP66" s="306" t="s">
        <v>69</v>
      </c>
      <c r="BQ66" s="306" t="s">
        <v>14</v>
      </c>
      <c r="BR66" s="306" t="s">
        <v>26</v>
      </c>
      <c r="BS66" s="306" t="s">
        <v>277</v>
      </c>
      <c r="BT66" s="306" t="s">
        <v>6791</v>
      </c>
      <c r="BU66" s="306" t="s">
        <v>6792</v>
      </c>
      <c r="BV66" s="597" t="s">
        <v>7162</v>
      </c>
      <c r="BW66" s="601" t="s">
        <v>36</v>
      </c>
      <c r="BX66" s="306" t="s">
        <v>46</v>
      </c>
      <c r="BY66" s="306" t="s">
        <v>57</v>
      </c>
      <c r="BZ66" s="306" t="s">
        <v>66</v>
      </c>
      <c r="CA66" s="306" t="s">
        <v>59</v>
      </c>
      <c r="CB66" s="602" t="s">
        <v>58</v>
      </c>
      <c r="CC66" s="611" t="s">
        <v>6787</v>
      </c>
    </row>
    <row r="67" spans="1:81" x14ac:dyDescent="0.2">
      <c r="A67" s="606" t="s">
        <v>6924</v>
      </c>
      <c r="B67" s="556"/>
      <c r="C67" s="527" t="str">
        <f>IF(B67&lt;&gt;0,INDEX(Tabla16[],MATCH(A67&amp;B67,Tabla16[Concatenado],0),IF(R67="Si",4,5)),"")</f>
        <v/>
      </c>
      <c r="D67" s="527" t="str">
        <f>IF(B67&lt;&gt;0,INDEX(Tabla16[],MATCH(A67&amp;B67,Tabla16[Concatenado],0),6),"")</f>
        <v/>
      </c>
      <c r="E67" s="527" t="str">
        <f>IFERROR(IF(B67&lt;&gt;0,INDEX(Tabla16[],MATCH(A67&amp;B67,Tabla16[Concatenado],0),IF(F$3=TS!$O$2,7,IF(F$3=TS!$O$3,8,IF(F$3=TS!$O$4,9,"")))),""),"")</f>
        <v/>
      </c>
      <c r="F67" s="527" t="str">
        <f>IF(B67&lt;&gt;0,INDEX(Tabla16[],MATCH(A67&amp;B67,Tabla16[Concatenado],0),10),"")</f>
        <v/>
      </c>
      <c r="G67" s="527" t="str">
        <f>IF(B67&lt;&gt;0,INDEX(Tabla18[],MATCH(A67,Tabla18[Nombre],0),2),"")</f>
        <v/>
      </c>
      <c r="H67" s="527" t="str">
        <f>IF(B67&lt;&gt;0,INDEX(Tabla18[],MATCH(A67,Tabla18[Nombre],0),3),"")</f>
        <v/>
      </c>
      <c r="I67" s="527" t="str">
        <f>IF(B67&lt;&gt;0,INDEX(Tabla18[],MATCH(A67,Tabla18[Nombre],0),4),"")</f>
        <v/>
      </c>
      <c r="J67" s="527" t="str">
        <f>IF(B67&lt;&gt;0,INDEX(Tabla18[],MATCH(A67,Tabla18[Nombre],0),5),"")</f>
        <v/>
      </c>
      <c r="K67" s="596" t="str">
        <f>IF(B67&lt;&gt;0,INDEX(Tabla18[],MATCH(A67,Tabla18[Nombre],0),6),"")</f>
        <v/>
      </c>
      <c r="L67" s="598"/>
      <c r="M67" s="527"/>
      <c r="N67" s="527"/>
      <c r="O67" s="527"/>
      <c r="P67" s="527"/>
      <c r="Q67" s="600"/>
      <c r="R67" s="608"/>
      <c r="V67" s="606" t="s">
        <v>6924</v>
      </c>
      <c r="W67" s="556"/>
      <c r="X67" s="527" t="str">
        <f>IF(W67&lt;&gt;0,INDEX(Tabla16[],MATCH(V67&amp;W67,Tabla16[Concatenado],0),IF(AM67="Si",4,5)),"")</f>
        <v/>
      </c>
      <c r="Y67" s="527" t="str">
        <f>IF(W67&lt;&gt;0,INDEX(Tabla16[],MATCH(V67&amp;W67,Tabla16[Concatenado],0),6),"")</f>
        <v/>
      </c>
      <c r="Z67" s="527" t="str">
        <f>IFERROR(IF(W67&lt;&gt;0,INDEX(Tabla16[],MATCH(V67&amp;W67,Tabla16[Concatenado],0),IF(AA$3=TS!$O$2,7,IF(AA$3=TS!$O$3,8,IF(AA$3=TS!$O$4,9,"")))),""),"")</f>
        <v/>
      </c>
      <c r="AA67" s="527" t="str">
        <f>IF(W67&lt;&gt;0,INDEX(Tabla16[],MATCH(V67&amp;W67,Tabla16[Concatenado],0),10),"")</f>
        <v/>
      </c>
      <c r="AB67" s="527" t="str">
        <f>IF(W67&lt;&gt;0,INDEX(Tabla18[],MATCH(V67,Tabla18[Nombre],0),2),"")</f>
        <v/>
      </c>
      <c r="AC67" s="527" t="str">
        <f>IF(W67&lt;&gt;0,INDEX(Tabla18[],MATCH(V67,Tabla18[Nombre],0),3),"")</f>
        <v/>
      </c>
      <c r="AD67" s="527" t="str">
        <f>IF(W67&lt;&gt;0,INDEX(Tabla18[],MATCH(V67,Tabla18[Nombre],0),4),"")</f>
        <v/>
      </c>
      <c r="AE67" s="527" t="str">
        <f>IF(W67&lt;&gt;0,INDEX(Tabla18[],MATCH(V67,Tabla18[Nombre],0),5),"")</f>
        <v/>
      </c>
      <c r="AF67" s="596" t="str">
        <f>IF(W67&lt;&gt;0,INDEX(Tabla18[],MATCH(V67,Tabla18[Nombre],0),6),"")</f>
        <v/>
      </c>
      <c r="AG67" s="598"/>
      <c r="AH67" s="527"/>
      <c r="AI67" s="527"/>
      <c r="AJ67" s="527"/>
      <c r="AK67" s="527"/>
      <c r="AL67" s="600"/>
      <c r="AM67" s="608"/>
      <c r="AQ67" s="606" t="s">
        <v>6924</v>
      </c>
      <c r="AR67" s="556"/>
      <c r="AS67" s="527" t="str">
        <f>IF(AR67&lt;&gt;0,INDEX(Tabla16[],MATCH(AQ67&amp;AR67,Tabla16[Concatenado],0),IF(BH67="Si",4,5)),"")</f>
        <v/>
      </c>
      <c r="AT67" s="527" t="str">
        <f>IF(AR67&lt;&gt;0,INDEX(Tabla16[],MATCH(AQ67&amp;AR67,Tabla16[Concatenado],0),6),"")</f>
        <v/>
      </c>
      <c r="AU67" s="527" t="str">
        <f>IFERROR(IF(AR67&lt;&gt;0,INDEX(Tabla16[],MATCH(AQ67&amp;AR67,Tabla16[Concatenado],0),IF(AV$3=TS!$O$2,7,IF(AV$3=TS!$O$3,8,IF(AV$3=TS!$O$4,9,"")))),""),"")</f>
        <v/>
      </c>
      <c r="AV67" s="527" t="str">
        <f>IF(AR67&lt;&gt;0,INDEX(Tabla16[],MATCH(AQ67&amp;AR67,Tabla16[Concatenado],0),10),"")</f>
        <v/>
      </c>
      <c r="AW67" s="527" t="str">
        <f>IF(AR67&lt;&gt;0,INDEX(Tabla18[],MATCH(AQ67,Tabla18[Nombre],0),2),"")</f>
        <v/>
      </c>
      <c r="AX67" s="527" t="str">
        <f>IF(AR67&lt;&gt;0,INDEX(Tabla18[],MATCH(AQ67,Tabla18[Nombre],0),3),"")</f>
        <v/>
      </c>
      <c r="AY67" s="527" t="str">
        <f>IF(AR67&lt;&gt;0,INDEX(Tabla18[],MATCH(AQ67,Tabla18[Nombre],0),4),"")</f>
        <v/>
      </c>
      <c r="AZ67" s="527" t="str">
        <f>IF(AR67&lt;&gt;0,INDEX(Tabla18[],MATCH(AQ67,Tabla18[Nombre],0),5),"")</f>
        <v/>
      </c>
      <c r="BA67" s="596" t="str">
        <f>IF(AR67&lt;&gt;0,INDEX(Tabla18[],MATCH(AQ67,Tabla18[Nombre],0),6),"")</f>
        <v/>
      </c>
      <c r="BB67" s="598"/>
      <c r="BC67" s="527"/>
      <c r="BD67" s="527"/>
      <c r="BE67" s="527"/>
      <c r="BF67" s="527"/>
      <c r="BG67" s="600"/>
      <c r="BH67" s="608"/>
      <c r="BL67" s="606" t="s">
        <v>6924</v>
      </c>
      <c r="BM67" s="556"/>
      <c r="BN67" s="527" t="str">
        <f>IF(BM67&lt;&gt;0,INDEX(Tabla16[],MATCH(BL67&amp;BM67,Tabla16[Concatenado],0),IF(CC67="Si",4,5)),"")</f>
        <v/>
      </c>
      <c r="BO67" s="527" t="str">
        <f>IF(BM67&lt;&gt;0,INDEX(Tabla16[],MATCH(BL67&amp;BM67,Tabla16[Concatenado],0),6),"")</f>
        <v/>
      </c>
      <c r="BP67" s="527" t="str">
        <f>IFERROR(IF(BM67&lt;&gt;0,INDEX(Tabla16[],MATCH(BL67&amp;BM67,Tabla16[Concatenado],0),IF(BQ$3=TS!$O$2,7,IF(BQ$3=TS!$O$3,8,IF(BQ$3=TS!$O$4,9,"")))),""),"")</f>
        <v/>
      </c>
      <c r="BQ67" s="527" t="str">
        <f>IF(BM67&lt;&gt;0,INDEX(Tabla16[],MATCH(BL67&amp;BM67,Tabla16[Concatenado],0),10),"")</f>
        <v/>
      </c>
      <c r="BR67" s="527" t="str">
        <f>IF(BM67&lt;&gt;0,INDEX(Tabla18[],MATCH(BL67,Tabla18[Nombre],0),2),"")</f>
        <v/>
      </c>
      <c r="BS67" s="527" t="str">
        <f>IF(BM67&lt;&gt;0,INDEX(Tabla18[],MATCH(BL67,Tabla18[Nombre],0),3),"")</f>
        <v/>
      </c>
      <c r="BT67" s="527" t="str">
        <f>IF(BM67&lt;&gt;0,INDEX(Tabla18[],MATCH(BL67,Tabla18[Nombre],0),4),"")</f>
        <v/>
      </c>
      <c r="BU67" s="527" t="str">
        <f>IF(BM67&lt;&gt;0,INDEX(Tabla18[],MATCH(BL67,Tabla18[Nombre],0),5),"")</f>
        <v/>
      </c>
      <c r="BV67" s="596" t="str">
        <f>IF(BM67&lt;&gt;0,INDEX(Tabla18[],MATCH(BL67,Tabla18[Nombre],0),6),"")</f>
        <v/>
      </c>
      <c r="BW67" s="598"/>
      <c r="BX67" s="527"/>
      <c r="BY67" s="527"/>
      <c r="BZ67" s="527"/>
      <c r="CA67" s="527"/>
      <c r="CB67" s="600"/>
      <c r="CC67" s="608"/>
    </row>
    <row r="68" spans="1:81" x14ac:dyDescent="0.2">
      <c r="A68" s="606" t="s">
        <v>6925</v>
      </c>
      <c r="B68" s="556"/>
      <c r="C68" s="527" t="str">
        <f>IF(B68&lt;&gt;0,INDEX(Tabla16[],MATCH(A68&amp;B68,Tabla16[Concatenado],0),IF(R68="Si",4,5)),"")</f>
        <v/>
      </c>
      <c r="D68" s="527" t="str">
        <f>IF(B68&lt;&gt;0,INDEX(Tabla16[],MATCH(A68&amp;B68,Tabla16[Concatenado],0),6),"")</f>
        <v/>
      </c>
      <c r="E68" s="527" t="str">
        <f>IFERROR(IF(B68&lt;&gt;0,INDEX(Tabla16[],MATCH(A68&amp;B68,Tabla16[Concatenado],0),IF(F$3=TS!$O$2,7,IF(F$3=TS!$O$3,8,IF(F$3=TS!$O$4,9,"")))),""),"")</f>
        <v/>
      </c>
      <c r="F68" s="527" t="str">
        <f>IF(B68&lt;&gt;0,INDEX(Tabla16[],MATCH(A68&amp;B68,Tabla16[Concatenado],0),10),"")</f>
        <v/>
      </c>
      <c r="G68" s="527" t="str">
        <f>IF(B68&lt;&gt;0,INDEX(Tabla18[],MATCH(A68,Tabla18[Nombre],0),2),"")</f>
        <v/>
      </c>
      <c r="H68" s="527" t="str">
        <f>IF(B68&lt;&gt;0,INDEX(Tabla18[],MATCH(A68,Tabla18[Nombre],0),3),"")</f>
        <v/>
      </c>
      <c r="I68" s="527" t="str">
        <f>IF(B68&lt;&gt;0,INDEX(Tabla18[],MATCH(A68,Tabla18[Nombre],0),4),"")</f>
        <v/>
      </c>
      <c r="J68" s="527" t="str">
        <f>IF(B68&lt;&gt;0,INDEX(Tabla18[],MATCH(A68,Tabla18[Nombre],0),5),"")</f>
        <v/>
      </c>
      <c r="K68" s="596" t="str">
        <f>IF(B68&lt;&gt;0,INDEX(Tabla18[],MATCH(A68,Tabla18[Nombre],0),6),"")</f>
        <v/>
      </c>
      <c r="L68" s="598"/>
      <c r="M68" s="527"/>
      <c r="N68" s="527"/>
      <c r="O68" s="527"/>
      <c r="P68" s="527"/>
      <c r="Q68" s="600"/>
      <c r="R68" s="608"/>
      <c r="V68" s="606" t="s">
        <v>6925</v>
      </c>
      <c r="W68" s="556"/>
      <c r="X68" s="527" t="str">
        <f>IF(W68&lt;&gt;0,INDEX(Tabla16[],MATCH(V68&amp;W68,Tabla16[Concatenado],0),IF(AM68="Si",4,5)),"")</f>
        <v/>
      </c>
      <c r="Y68" s="527" t="str">
        <f>IF(W68&lt;&gt;0,INDEX(Tabla16[],MATCH(V68&amp;W68,Tabla16[Concatenado],0),6),"")</f>
        <v/>
      </c>
      <c r="Z68" s="527" t="str">
        <f>IFERROR(IF(W68&lt;&gt;0,INDEX(Tabla16[],MATCH(V68&amp;W68,Tabla16[Concatenado],0),IF(AA$3=TS!$O$2,7,IF(AA$3=TS!$O$3,8,IF(AA$3=TS!$O$4,9,"")))),""),"")</f>
        <v/>
      </c>
      <c r="AA68" s="527" t="str">
        <f>IF(W68&lt;&gt;0,INDEX(Tabla16[],MATCH(V68&amp;W68,Tabla16[Concatenado],0),10),"")</f>
        <v/>
      </c>
      <c r="AB68" s="527" t="str">
        <f>IF(W68&lt;&gt;0,INDEX(Tabla18[],MATCH(V68,Tabla18[Nombre],0),2),"")</f>
        <v/>
      </c>
      <c r="AC68" s="527" t="str">
        <f>IF(W68&lt;&gt;0,INDEX(Tabla18[],MATCH(V68,Tabla18[Nombre],0),3),"")</f>
        <v/>
      </c>
      <c r="AD68" s="527" t="str">
        <f>IF(W68&lt;&gt;0,INDEX(Tabla18[],MATCH(V68,Tabla18[Nombre],0),4),"")</f>
        <v/>
      </c>
      <c r="AE68" s="527" t="str">
        <f>IF(W68&lt;&gt;0,INDEX(Tabla18[],MATCH(V68,Tabla18[Nombre],0),5),"")</f>
        <v/>
      </c>
      <c r="AF68" s="596" t="str">
        <f>IF(W68&lt;&gt;0,INDEX(Tabla18[],MATCH(V68,Tabla18[Nombre],0),6),"")</f>
        <v/>
      </c>
      <c r="AG68" s="598"/>
      <c r="AH68" s="527"/>
      <c r="AI68" s="527"/>
      <c r="AJ68" s="527"/>
      <c r="AK68" s="527"/>
      <c r="AL68" s="600"/>
      <c r="AM68" s="608"/>
      <c r="AQ68" s="606" t="s">
        <v>6925</v>
      </c>
      <c r="AR68" s="556"/>
      <c r="AS68" s="527" t="str">
        <f>IF(AR68&lt;&gt;0,INDEX(Tabla16[],MATCH(AQ68&amp;AR68,Tabla16[Concatenado],0),IF(BH68="Si",4,5)),"")</f>
        <v/>
      </c>
      <c r="AT68" s="527" t="str">
        <f>IF(AR68&lt;&gt;0,INDEX(Tabla16[],MATCH(AQ68&amp;AR68,Tabla16[Concatenado],0),6),"")</f>
        <v/>
      </c>
      <c r="AU68" s="527" t="str">
        <f>IFERROR(IF(AR68&lt;&gt;0,INDEX(Tabla16[],MATCH(AQ68&amp;AR68,Tabla16[Concatenado],0),IF(AV$3=TS!$O$2,7,IF(AV$3=TS!$O$3,8,IF(AV$3=TS!$O$4,9,"")))),""),"")</f>
        <v/>
      </c>
      <c r="AV68" s="527" t="str">
        <f>IF(AR68&lt;&gt;0,INDEX(Tabla16[],MATCH(AQ68&amp;AR68,Tabla16[Concatenado],0),10),"")</f>
        <v/>
      </c>
      <c r="AW68" s="527" t="str">
        <f>IF(AR68&lt;&gt;0,INDEX(Tabla18[],MATCH(AQ68,Tabla18[Nombre],0),2),"")</f>
        <v/>
      </c>
      <c r="AX68" s="527" t="str">
        <f>IF(AR68&lt;&gt;0,INDEX(Tabla18[],MATCH(AQ68,Tabla18[Nombre],0),3),"")</f>
        <v/>
      </c>
      <c r="AY68" s="527" t="str">
        <f>IF(AR68&lt;&gt;0,INDEX(Tabla18[],MATCH(AQ68,Tabla18[Nombre],0),4),"")</f>
        <v/>
      </c>
      <c r="AZ68" s="527" t="str">
        <f>IF(AR68&lt;&gt;0,INDEX(Tabla18[],MATCH(AQ68,Tabla18[Nombre],0),5),"")</f>
        <v/>
      </c>
      <c r="BA68" s="596" t="str">
        <f>IF(AR68&lt;&gt;0,INDEX(Tabla18[],MATCH(AQ68,Tabla18[Nombre],0),6),"")</f>
        <v/>
      </c>
      <c r="BB68" s="598"/>
      <c r="BC68" s="527"/>
      <c r="BD68" s="527"/>
      <c r="BE68" s="527"/>
      <c r="BF68" s="527"/>
      <c r="BG68" s="600"/>
      <c r="BH68" s="608"/>
      <c r="BL68" s="606" t="s">
        <v>6925</v>
      </c>
      <c r="BM68" s="556"/>
      <c r="BN68" s="527" t="str">
        <f>IF(BM68&lt;&gt;0,INDEX(Tabla16[],MATCH(BL68&amp;BM68,Tabla16[Concatenado],0),IF(CC68="Si",4,5)),"")</f>
        <v/>
      </c>
      <c r="BO68" s="527" t="str">
        <f>IF(BM68&lt;&gt;0,INDEX(Tabla16[],MATCH(BL68&amp;BM68,Tabla16[Concatenado],0),6),"")</f>
        <v/>
      </c>
      <c r="BP68" s="527" t="str">
        <f>IFERROR(IF(BM68&lt;&gt;0,INDEX(Tabla16[],MATCH(BL68&amp;BM68,Tabla16[Concatenado],0),IF(BQ$3=TS!$O$2,7,IF(BQ$3=TS!$O$3,8,IF(BQ$3=TS!$O$4,9,"")))),""),"")</f>
        <v/>
      </c>
      <c r="BQ68" s="527" t="str">
        <f>IF(BM68&lt;&gt;0,INDEX(Tabla16[],MATCH(BL68&amp;BM68,Tabla16[Concatenado],0),10),"")</f>
        <v/>
      </c>
      <c r="BR68" s="527" t="str">
        <f>IF(BM68&lt;&gt;0,INDEX(Tabla18[],MATCH(BL68,Tabla18[Nombre],0),2),"")</f>
        <v/>
      </c>
      <c r="BS68" s="527" t="str">
        <f>IF(BM68&lt;&gt;0,INDEX(Tabla18[],MATCH(BL68,Tabla18[Nombre],0),3),"")</f>
        <v/>
      </c>
      <c r="BT68" s="527" t="str">
        <f>IF(BM68&lt;&gt;0,INDEX(Tabla18[],MATCH(BL68,Tabla18[Nombre],0),4),"")</f>
        <v/>
      </c>
      <c r="BU68" s="527" t="str">
        <f>IF(BM68&lt;&gt;0,INDEX(Tabla18[],MATCH(BL68,Tabla18[Nombre],0),5),"")</f>
        <v/>
      </c>
      <c r="BV68" s="596" t="str">
        <f>IF(BM68&lt;&gt;0,INDEX(Tabla18[],MATCH(BL68,Tabla18[Nombre],0),6),"")</f>
        <v/>
      </c>
      <c r="BW68" s="598"/>
      <c r="BX68" s="527"/>
      <c r="BY68" s="527"/>
      <c r="BZ68" s="527"/>
      <c r="CA68" s="527"/>
      <c r="CB68" s="600"/>
      <c r="CC68" s="608"/>
    </row>
    <row r="69" spans="1:81" x14ac:dyDescent="0.2">
      <c r="A69" s="606" t="s">
        <v>6926</v>
      </c>
      <c r="B69" s="556"/>
      <c r="C69" s="527" t="str">
        <f>IF(B69&lt;&gt;0,INDEX(Tabla16[],MATCH(A69&amp;B69,Tabla16[Concatenado],0),IF(R69="Si",4,5)),"")</f>
        <v/>
      </c>
      <c r="D69" s="527" t="str">
        <f>IF(B69&lt;&gt;0,INDEX(Tabla16[],MATCH(A69&amp;B69,Tabla16[Concatenado],0),6),"")</f>
        <v/>
      </c>
      <c r="E69" s="527" t="str">
        <f>IFERROR(IF(B69&lt;&gt;0,INDEX(Tabla16[],MATCH(A69&amp;B69,Tabla16[Concatenado],0),IF(F$3=TS!$O$2,7,IF(F$3=TS!$O$3,8,IF(F$3=TS!$O$4,9,"")))),""),"")</f>
        <v/>
      </c>
      <c r="F69" s="527" t="str">
        <f>IF(B69&lt;&gt;0,INDEX(Tabla16[],MATCH(A69&amp;B69,Tabla16[Concatenado],0),10),"")</f>
        <v/>
      </c>
      <c r="G69" s="527" t="str">
        <f>IF(B69&lt;&gt;0,INDEX(Tabla18[],MATCH(A69,Tabla18[Nombre],0),2),"")</f>
        <v/>
      </c>
      <c r="H69" s="527" t="str">
        <f>IF(B69&lt;&gt;0,INDEX(Tabla18[],MATCH(A69,Tabla18[Nombre],0),3),"")</f>
        <v/>
      </c>
      <c r="I69" s="527" t="str">
        <f>IF(B69&lt;&gt;0,INDEX(Tabla18[],MATCH(A69,Tabla18[Nombre],0),4),"")</f>
        <v/>
      </c>
      <c r="J69" s="527" t="str">
        <f>IF(B69&lt;&gt;0,INDEX(Tabla18[],MATCH(A69,Tabla18[Nombre],0),5),"")</f>
        <v/>
      </c>
      <c r="K69" s="596" t="str">
        <f>IF(B69&lt;&gt;0,INDEX(Tabla18[],MATCH(A69,Tabla18[Nombre],0),6),"")</f>
        <v/>
      </c>
      <c r="L69" s="598"/>
      <c r="M69" s="527"/>
      <c r="N69" s="527"/>
      <c r="O69" s="527"/>
      <c r="P69" s="527"/>
      <c r="Q69" s="600"/>
      <c r="R69" s="608"/>
      <c r="V69" s="606" t="s">
        <v>6926</v>
      </c>
      <c r="W69" s="556"/>
      <c r="X69" s="527" t="str">
        <f>IF(W69&lt;&gt;0,INDEX(Tabla16[],MATCH(V69&amp;W69,Tabla16[Concatenado],0),IF(AM69="Si",4,5)),"")</f>
        <v/>
      </c>
      <c r="Y69" s="527" t="str">
        <f>IF(W69&lt;&gt;0,INDEX(Tabla16[],MATCH(V69&amp;W69,Tabla16[Concatenado],0),6),"")</f>
        <v/>
      </c>
      <c r="Z69" s="527" t="str">
        <f>IFERROR(IF(W69&lt;&gt;0,INDEX(Tabla16[],MATCH(V69&amp;W69,Tabla16[Concatenado],0),IF(AA$3=TS!$O$2,7,IF(AA$3=TS!$O$3,8,IF(AA$3=TS!$O$4,9,"")))),""),"")</f>
        <v/>
      </c>
      <c r="AA69" s="527" t="str">
        <f>IF(W69&lt;&gt;0,INDEX(Tabla16[],MATCH(V69&amp;W69,Tabla16[Concatenado],0),10),"")</f>
        <v/>
      </c>
      <c r="AB69" s="527" t="str">
        <f>IF(W69&lt;&gt;0,INDEX(Tabla18[],MATCH(V69,Tabla18[Nombre],0),2),"")</f>
        <v/>
      </c>
      <c r="AC69" s="527" t="str">
        <f>IF(W69&lt;&gt;0,INDEX(Tabla18[],MATCH(V69,Tabla18[Nombre],0),3),"")</f>
        <v/>
      </c>
      <c r="AD69" s="527" t="str">
        <f>IF(W69&lt;&gt;0,INDEX(Tabla18[],MATCH(V69,Tabla18[Nombre],0),4),"")</f>
        <v/>
      </c>
      <c r="AE69" s="527" t="str">
        <f>IF(W69&lt;&gt;0,INDEX(Tabla18[],MATCH(V69,Tabla18[Nombre],0),5),"")</f>
        <v/>
      </c>
      <c r="AF69" s="596" t="str">
        <f>IF(W69&lt;&gt;0,INDEX(Tabla18[],MATCH(V69,Tabla18[Nombre],0),6),"")</f>
        <v/>
      </c>
      <c r="AG69" s="598"/>
      <c r="AH69" s="527"/>
      <c r="AI69" s="527"/>
      <c r="AJ69" s="527"/>
      <c r="AK69" s="527"/>
      <c r="AL69" s="600"/>
      <c r="AM69" s="608"/>
      <c r="AQ69" s="606" t="s">
        <v>6926</v>
      </c>
      <c r="AR69" s="556"/>
      <c r="AS69" s="527" t="str">
        <f>IF(AR69&lt;&gt;0,INDEX(Tabla16[],MATCH(AQ69&amp;AR69,Tabla16[Concatenado],0),IF(BH69="Si",4,5)),"")</f>
        <v/>
      </c>
      <c r="AT69" s="527" t="str">
        <f>IF(AR69&lt;&gt;0,INDEX(Tabla16[],MATCH(AQ69&amp;AR69,Tabla16[Concatenado],0),6),"")</f>
        <v/>
      </c>
      <c r="AU69" s="527" t="str">
        <f>IFERROR(IF(AR69&lt;&gt;0,INDEX(Tabla16[],MATCH(AQ69&amp;AR69,Tabla16[Concatenado],0),IF(AV$3=TS!$O$2,7,IF(AV$3=TS!$O$3,8,IF(AV$3=TS!$O$4,9,"")))),""),"")</f>
        <v/>
      </c>
      <c r="AV69" s="527" t="str">
        <f>IF(AR69&lt;&gt;0,INDEX(Tabla16[],MATCH(AQ69&amp;AR69,Tabla16[Concatenado],0),10),"")</f>
        <v/>
      </c>
      <c r="AW69" s="527" t="str">
        <f>IF(AR69&lt;&gt;0,INDEX(Tabla18[],MATCH(AQ69,Tabla18[Nombre],0),2),"")</f>
        <v/>
      </c>
      <c r="AX69" s="527" t="str">
        <f>IF(AR69&lt;&gt;0,INDEX(Tabla18[],MATCH(AQ69,Tabla18[Nombre],0),3),"")</f>
        <v/>
      </c>
      <c r="AY69" s="527" t="str">
        <f>IF(AR69&lt;&gt;0,INDEX(Tabla18[],MATCH(AQ69,Tabla18[Nombre],0),4),"")</f>
        <v/>
      </c>
      <c r="AZ69" s="527" t="str">
        <f>IF(AR69&lt;&gt;0,INDEX(Tabla18[],MATCH(AQ69,Tabla18[Nombre],0),5),"")</f>
        <v/>
      </c>
      <c r="BA69" s="596" t="str">
        <f>IF(AR69&lt;&gt;0,INDEX(Tabla18[],MATCH(AQ69,Tabla18[Nombre],0),6),"")</f>
        <v/>
      </c>
      <c r="BB69" s="598"/>
      <c r="BC69" s="527"/>
      <c r="BD69" s="527"/>
      <c r="BE69" s="527"/>
      <c r="BF69" s="527"/>
      <c r="BG69" s="600"/>
      <c r="BH69" s="608"/>
      <c r="BL69" s="606" t="s">
        <v>6926</v>
      </c>
      <c r="BM69" s="556"/>
      <c r="BN69" s="527" t="str">
        <f>IF(BM69&lt;&gt;0,INDEX(Tabla16[],MATCH(BL69&amp;BM69,Tabla16[Concatenado],0),IF(CC69="Si",4,5)),"")</f>
        <v/>
      </c>
      <c r="BO69" s="527" t="str">
        <f>IF(BM69&lt;&gt;0,INDEX(Tabla16[],MATCH(BL69&amp;BM69,Tabla16[Concatenado],0),6),"")</f>
        <v/>
      </c>
      <c r="BP69" s="527" t="str">
        <f>IFERROR(IF(BM69&lt;&gt;0,INDEX(Tabla16[],MATCH(BL69&amp;BM69,Tabla16[Concatenado],0),IF(BQ$3=TS!$O$2,7,IF(BQ$3=TS!$O$3,8,IF(BQ$3=TS!$O$4,9,"")))),""),"")</f>
        <v/>
      </c>
      <c r="BQ69" s="527" t="str">
        <f>IF(BM69&lt;&gt;0,INDEX(Tabla16[],MATCH(BL69&amp;BM69,Tabla16[Concatenado],0),10),"")</f>
        <v/>
      </c>
      <c r="BR69" s="527" t="str">
        <f>IF(BM69&lt;&gt;0,INDEX(Tabla18[],MATCH(BL69,Tabla18[Nombre],0),2),"")</f>
        <v/>
      </c>
      <c r="BS69" s="527" t="str">
        <f>IF(BM69&lt;&gt;0,INDEX(Tabla18[],MATCH(BL69,Tabla18[Nombre],0),3),"")</f>
        <v/>
      </c>
      <c r="BT69" s="527" t="str">
        <f>IF(BM69&lt;&gt;0,INDEX(Tabla18[],MATCH(BL69,Tabla18[Nombre],0),4),"")</f>
        <v/>
      </c>
      <c r="BU69" s="527" t="str">
        <f>IF(BM69&lt;&gt;0,INDEX(Tabla18[],MATCH(BL69,Tabla18[Nombre],0),5),"")</f>
        <v/>
      </c>
      <c r="BV69" s="596" t="str">
        <f>IF(BM69&lt;&gt;0,INDEX(Tabla18[],MATCH(BL69,Tabla18[Nombre],0),6),"")</f>
        <v/>
      </c>
      <c r="BW69" s="598"/>
      <c r="BX69" s="527"/>
      <c r="BY69" s="527"/>
      <c r="BZ69" s="527"/>
      <c r="CA69" s="527"/>
      <c r="CB69" s="600"/>
      <c r="CC69" s="608"/>
    </row>
    <row r="70" spans="1:81" x14ac:dyDescent="0.2">
      <c r="A70" s="606" t="s">
        <v>33</v>
      </c>
      <c r="B70" s="556"/>
      <c r="C70" s="527" t="str">
        <f>IF(B70&lt;&gt;0,INDEX(Tabla16[],MATCH(A70&amp;B70,Tabla16[Concatenado],0),IF(R70="Si",4,5)),"")</f>
        <v/>
      </c>
      <c r="D70" s="527" t="str">
        <f>IF(B70&lt;&gt;0,INDEX(Tabla16[],MATCH(A70&amp;B70,Tabla16[Concatenado],0),6),"")</f>
        <v/>
      </c>
      <c r="E70" s="527" t="str">
        <f>IFERROR(IF(B70&lt;&gt;0,INDEX(Tabla16[],MATCH(A70&amp;B70,Tabla16[Concatenado],0),IF(F$3=TS!$O$2,7,IF(F$3=TS!$O$3,8,IF(F$3=TS!$O$4,9,"")))),""),"")</f>
        <v/>
      </c>
      <c r="F70" s="527" t="str">
        <f>IF(B70&lt;&gt;0,INDEX(Tabla16[],MATCH(A70&amp;B70,Tabla16[Concatenado],0),10),"")</f>
        <v/>
      </c>
      <c r="G70" s="527" t="str">
        <f>IF(B70&lt;&gt;0,INDEX(Tabla18[],MATCH(A70,Tabla18[Nombre],0),2),"")</f>
        <v/>
      </c>
      <c r="H70" s="527" t="str">
        <f>IF(B70&lt;&gt;0,INDEX(Tabla18[],MATCH(A70,Tabla18[Nombre],0),3),"")</f>
        <v/>
      </c>
      <c r="I70" s="527" t="str">
        <f>IF(B70&lt;&gt;0,INDEX(Tabla18[],MATCH(A70,Tabla18[Nombre],0),4),"")</f>
        <v/>
      </c>
      <c r="J70" s="527" t="str">
        <f>IF(B70&lt;&gt;0,INDEX(Tabla18[],MATCH(A70,Tabla18[Nombre],0),5),"")</f>
        <v/>
      </c>
      <c r="K70" s="596" t="str">
        <f>IF(B70&lt;&gt;0,INDEX(Tabla18[],MATCH(A70,Tabla18[Nombre],0),6),"")</f>
        <v/>
      </c>
      <c r="L70" s="598"/>
      <c r="M70" s="527"/>
      <c r="N70" s="527"/>
      <c r="O70" s="527"/>
      <c r="P70" s="527"/>
      <c r="Q70" s="600"/>
      <c r="R70" s="608"/>
      <c r="V70" s="606" t="s">
        <v>33</v>
      </c>
      <c r="W70" s="556"/>
      <c r="X70" s="527" t="str">
        <f>IF(W70&lt;&gt;0,INDEX(Tabla16[],MATCH(V70&amp;W70,Tabla16[Concatenado],0),IF(AM70="Si",4,5)),"")</f>
        <v/>
      </c>
      <c r="Y70" s="527" t="str">
        <f>IF(W70&lt;&gt;0,INDEX(Tabla16[],MATCH(V70&amp;W70,Tabla16[Concatenado],0),6),"")</f>
        <v/>
      </c>
      <c r="Z70" s="527" t="str">
        <f>IFERROR(IF(W70&lt;&gt;0,INDEX(Tabla16[],MATCH(V70&amp;W70,Tabla16[Concatenado],0),IF(AA$3=TS!$O$2,7,IF(AA$3=TS!$O$3,8,IF(AA$3=TS!$O$4,9,"")))),""),"")</f>
        <v/>
      </c>
      <c r="AA70" s="527" t="str">
        <f>IF(W70&lt;&gt;0,INDEX(Tabla16[],MATCH(V70&amp;W70,Tabla16[Concatenado],0),10),"")</f>
        <v/>
      </c>
      <c r="AB70" s="527" t="str">
        <f>IF(W70&lt;&gt;0,INDEX(Tabla18[],MATCH(V70,Tabla18[Nombre],0),2),"")</f>
        <v/>
      </c>
      <c r="AC70" s="527" t="str">
        <f>IF(W70&lt;&gt;0,INDEX(Tabla18[],MATCH(V70,Tabla18[Nombre],0),3),"")</f>
        <v/>
      </c>
      <c r="AD70" s="527" t="str">
        <f>IF(W70&lt;&gt;0,INDEX(Tabla18[],MATCH(V70,Tabla18[Nombre],0),4),"")</f>
        <v/>
      </c>
      <c r="AE70" s="527" t="str">
        <f>IF(W70&lt;&gt;0,INDEX(Tabla18[],MATCH(V70,Tabla18[Nombre],0),5),"")</f>
        <v/>
      </c>
      <c r="AF70" s="596" t="str">
        <f>IF(W70&lt;&gt;0,INDEX(Tabla18[],MATCH(V70,Tabla18[Nombre],0),6),"")</f>
        <v/>
      </c>
      <c r="AG70" s="598"/>
      <c r="AH70" s="527"/>
      <c r="AI70" s="527"/>
      <c r="AJ70" s="527"/>
      <c r="AK70" s="527"/>
      <c r="AL70" s="600"/>
      <c r="AM70" s="608"/>
      <c r="AQ70" s="606" t="s">
        <v>33</v>
      </c>
      <c r="AR70" s="556"/>
      <c r="AS70" s="527" t="str">
        <f>IF(AR70&lt;&gt;0,INDEX(Tabla16[],MATCH(AQ70&amp;AR70,Tabla16[Concatenado],0),IF(BH70="Si",4,5)),"")</f>
        <v/>
      </c>
      <c r="AT70" s="527" t="str">
        <f>IF(AR70&lt;&gt;0,INDEX(Tabla16[],MATCH(AQ70&amp;AR70,Tabla16[Concatenado],0),6),"")</f>
        <v/>
      </c>
      <c r="AU70" s="527" t="str">
        <f>IFERROR(IF(AR70&lt;&gt;0,INDEX(Tabla16[],MATCH(AQ70&amp;AR70,Tabla16[Concatenado],0),IF(AV$3=TS!$O$2,7,IF(AV$3=TS!$O$3,8,IF(AV$3=TS!$O$4,9,"")))),""),"")</f>
        <v/>
      </c>
      <c r="AV70" s="527" t="str">
        <f>IF(AR70&lt;&gt;0,INDEX(Tabla16[],MATCH(AQ70&amp;AR70,Tabla16[Concatenado],0),10),"")</f>
        <v/>
      </c>
      <c r="AW70" s="527" t="str">
        <f>IF(AR70&lt;&gt;0,INDEX(Tabla18[],MATCH(AQ70,Tabla18[Nombre],0),2),"")</f>
        <v/>
      </c>
      <c r="AX70" s="527" t="str">
        <f>IF(AR70&lt;&gt;0,INDEX(Tabla18[],MATCH(AQ70,Tabla18[Nombre],0),3),"")</f>
        <v/>
      </c>
      <c r="AY70" s="527" t="str">
        <f>IF(AR70&lt;&gt;0,INDEX(Tabla18[],MATCH(AQ70,Tabla18[Nombre],0),4),"")</f>
        <v/>
      </c>
      <c r="AZ70" s="527" t="str">
        <f>IF(AR70&lt;&gt;0,INDEX(Tabla18[],MATCH(AQ70,Tabla18[Nombre],0),5),"")</f>
        <v/>
      </c>
      <c r="BA70" s="596" t="str">
        <f>IF(AR70&lt;&gt;0,INDEX(Tabla18[],MATCH(AQ70,Tabla18[Nombre],0),6),"")</f>
        <v/>
      </c>
      <c r="BB70" s="598"/>
      <c r="BC70" s="527"/>
      <c r="BD70" s="527"/>
      <c r="BE70" s="527"/>
      <c r="BF70" s="527"/>
      <c r="BG70" s="600"/>
      <c r="BH70" s="608"/>
      <c r="BL70" s="606" t="s">
        <v>33</v>
      </c>
      <c r="BM70" s="556"/>
      <c r="BN70" s="527" t="str">
        <f>IF(BM70&lt;&gt;0,INDEX(Tabla16[],MATCH(BL70&amp;BM70,Tabla16[Concatenado],0),IF(CC70="Si",4,5)),"")</f>
        <v/>
      </c>
      <c r="BO70" s="527" t="str">
        <f>IF(BM70&lt;&gt;0,INDEX(Tabla16[],MATCH(BL70&amp;BM70,Tabla16[Concatenado],0),6),"")</f>
        <v/>
      </c>
      <c r="BP70" s="527" t="str">
        <f>IFERROR(IF(BM70&lt;&gt;0,INDEX(Tabla16[],MATCH(BL70&amp;BM70,Tabla16[Concatenado],0),IF(BQ$3=TS!$O$2,7,IF(BQ$3=TS!$O$3,8,IF(BQ$3=TS!$O$4,9,"")))),""),"")</f>
        <v/>
      </c>
      <c r="BQ70" s="527" t="str">
        <f>IF(BM70&lt;&gt;0,INDEX(Tabla16[],MATCH(BL70&amp;BM70,Tabla16[Concatenado],0),10),"")</f>
        <v/>
      </c>
      <c r="BR70" s="527" t="str">
        <f>IF(BM70&lt;&gt;0,INDEX(Tabla18[],MATCH(BL70,Tabla18[Nombre],0),2),"")</f>
        <v/>
      </c>
      <c r="BS70" s="527" t="str">
        <f>IF(BM70&lt;&gt;0,INDEX(Tabla18[],MATCH(BL70,Tabla18[Nombre],0),3),"")</f>
        <v/>
      </c>
      <c r="BT70" s="527" t="str">
        <f>IF(BM70&lt;&gt;0,INDEX(Tabla18[],MATCH(BL70,Tabla18[Nombre],0),4),"")</f>
        <v/>
      </c>
      <c r="BU70" s="527" t="str">
        <f>IF(BM70&lt;&gt;0,INDEX(Tabla18[],MATCH(BL70,Tabla18[Nombre],0),5),"")</f>
        <v/>
      </c>
      <c r="BV70" s="596" t="str">
        <f>IF(BM70&lt;&gt;0,INDEX(Tabla18[],MATCH(BL70,Tabla18[Nombre],0),6),"")</f>
        <v/>
      </c>
      <c r="BW70" s="598"/>
      <c r="BX70" s="527"/>
      <c r="BY70" s="527"/>
      <c r="BZ70" s="527"/>
      <c r="CA70" s="527"/>
      <c r="CB70" s="600"/>
      <c r="CC70" s="608"/>
    </row>
    <row r="71" spans="1:81" x14ac:dyDescent="0.2">
      <c r="A71" s="606" t="s">
        <v>6927</v>
      </c>
      <c r="B71" s="556"/>
      <c r="C71" s="527" t="str">
        <f>IF(B71&lt;&gt;0,INDEX(Tabla16[],MATCH(A70&amp;A71&amp;B71,Tabla16[Concatenado],0),IF(R71="Si",4,5)),"")</f>
        <v/>
      </c>
      <c r="D71" s="527" t="str">
        <f>IF(B71&lt;&gt;0,INDEX(Tabla16[],MATCH(A70&amp;A71&amp;B71,Tabla16[Concatenado],0),6),"")</f>
        <v/>
      </c>
      <c r="E71" s="527" t="str">
        <f>IFERROR(IF(B71&lt;&gt;0,INDEX(Tabla16[],MATCH(A70&amp;A71&amp;B71,Tabla16[Concatenado],0),IF(F$3=TS!$O$2,7,IF(F$3=TS!$O$3,8,IF(F$3=TS!$O$4,9,"")))),""),"")</f>
        <v/>
      </c>
      <c r="F71" s="527" t="str">
        <f>IF(B71&lt;&gt;0,INDEX(Tabla16[],MATCH(A70&amp;A71&amp;B71,Tabla16[Concatenado],0),10),"")</f>
        <v/>
      </c>
      <c r="G71" s="527" t="str">
        <f>IF(B71&lt;&gt;0,INDEX(Tabla18[],MATCH(A71,Tabla18[Nombre],0),2),"")</f>
        <v/>
      </c>
      <c r="H71" s="527" t="str">
        <f>IF(B71&lt;&gt;0,INDEX(Tabla18[],MATCH(A71,Tabla18[Nombre],0),3),"")</f>
        <v/>
      </c>
      <c r="I71" s="527" t="str">
        <f>IF(B71&lt;&gt;0,INDEX(Tabla18[],MATCH(A71,Tabla18[Nombre],0),4),"")</f>
        <v/>
      </c>
      <c r="J71" s="527" t="str">
        <f>IF(B71&lt;&gt;0,INDEX(Tabla18[],MATCH(A71,Tabla18[Nombre],0),5),"")</f>
        <v/>
      </c>
      <c r="K71" s="596" t="str">
        <f>IF(B71&lt;&gt;0,INDEX(Tabla18[],MATCH(A71,Tabla18[Nombre],0),6),"")</f>
        <v/>
      </c>
      <c r="L71" s="598"/>
      <c r="M71" s="527"/>
      <c r="N71" s="527"/>
      <c r="O71" s="527"/>
      <c r="P71" s="527"/>
      <c r="Q71" s="600"/>
      <c r="R71" s="608"/>
      <c r="V71" s="606" t="s">
        <v>6927</v>
      </c>
      <c r="W71" s="556"/>
      <c r="X71" s="527" t="str">
        <f>IF(W71&lt;&gt;0,INDEX(Tabla16[],MATCH(V70&amp;V71&amp;W71,Tabla16[Concatenado],0),IF(AM71="Si",4,5)),"")</f>
        <v/>
      </c>
      <c r="Y71" s="527" t="str">
        <f>IF(W71&lt;&gt;0,INDEX(Tabla16[],MATCH(V70&amp;V71&amp;W71,Tabla16[Concatenado],0),6),"")</f>
        <v/>
      </c>
      <c r="Z71" s="527" t="str">
        <f>IFERROR(IF(W71&lt;&gt;0,INDEX(Tabla16[],MATCH(V70&amp;V71&amp;W71,Tabla16[Concatenado],0),IF(AA$3=TS!$O$2,7,IF(AA$3=TS!$O$3,8,IF(AA$3=TS!$O$4,9,"")))),""),"")</f>
        <v/>
      </c>
      <c r="AA71" s="527" t="str">
        <f>IF(W71&lt;&gt;0,INDEX(Tabla16[],MATCH(V70&amp;V71&amp;W71,Tabla16[Concatenado],0),10),"")</f>
        <v/>
      </c>
      <c r="AB71" s="527" t="str">
        <f>IF(W71&lt;&gt;0,INDEX(Tabla18[],MATCH(V71,Tabla18[Nombre],0),2),"")</f>
        <v/>
      </c>
      <c r="AC71" s="527" t="str">
        <f>IF(W71&lt;&gt;0,INDEX(Tabla18[],MATCH(V71,Tabla18[Nombre],0),3),"")</f>
        <v/>
      </c>
      <c r="AD71" s="527" t="str">
        <f>IF(W71&lt;&gt;0,INDEX(Tabla18[],MATCH(V71,Tabla18[Nombre],0),4),"")</f>
        <v/>
      </c>
      <c r="AE71" s="527" t="str">
        <f>IF(W71&lt;&gt;0,INDEX(Tabla18[],MATCH(V71,Tabla18[Nombre],0),5),"")</f>
        <v/>
      </c>
      <c r="AF71" s="596" t="str">
        <f>IF(W71&lt;&gt;0,INDEX(Tabla18[],MATCH(V71,Tabla18[Nombre],0),6),"")</f>
        <v/>
      </c>
      <c r="AG71" s="598"/>
      <c r="AH71" s="527"/>
      <c r="AI71" s="527"/>
      <c r="AJ71" s="527"/>
      <c r="AK71" s="527"/>
      <c r="AL71" s="600"/>
      <c r="AM71" s="608"/>
      <c r="AQ71" s="606" t="s">
        <v>6927</v>
      </c>
      <c r="AR71" s="556"/>
      <c r="AS71" s="527" t="str">
        <f>IF(AR71&lt;&gt;0,INDEX(Tabla16[],MATCH(AQ70&amp;AQ71&amp;AR71,Tabla16[Concatenado],0),IF(BH71="Si",4,5)),"")</f>
        <v/>
      </c>
      <c r="AT71" s="527" t="str">
        <f>IF(AR71&lt;&gt;0,INDEX(Tabla16[],MATCH(AQ70&amp;AQ71&amp;AR71,Tabla16[Concatenado],0),6),"")</f>
        <v/>
      </c>
      <c r="AU71" s="527" t="str">
        <f>IFERROR(IF(AR71&lt;&gt;0,INDEX(Tabla16[],MATCH(AQ70&amp;AQ71&amp;AR71,Tabla16[Concatenado],0),IF(AV$3=TS!$O$2,7,IF(AV$3=TS!$O$3,8,IF(AV$3=TS!$O$4,9,"")))),""),"")</f>
        <v/>
      </c>
      <c r="AV71" s="527" t="str">
        <f>IF(AR71&lt;&gt;0,INDEX(Tabla16[],MATCH(AQ70&amp;AQ71&amp;AR71,Tabla16[Concatenado],0),10),"")</f>
        <v/>
      </c>
      <c r="AW71" s="527" t="str">
        <f>IF(AR71&lt;&gt;0,INDEX(Tabla18[],MATCH(AQ71,Tabla18[Nombre],0),2),"")</f>
        <v/>
      </c>
      <c r="AX71" s="527" t="str">
        <f>IF(AR71&lt;&gt;0,INDEX(Tabla18[],MATCH(AQ71,Tabla18[Nombre],0),3),"")</f>
        <v/>
      </c>
      <c r="AY71" s="527" t="str">
        <f>IF(AR71&lt;&gt;0,INDEX(Tabla18[],MATCH(AQ71,Tabla18[Nombre],0),4),"")</f>
        <v/>
      </c>
      <c r="AZ71" s="527" t="str">
        <f>IF(AR71&lt;&gt;0,INDEX(Tabla18[],MATCH(AQ71,Tabla18[Nombre],0),5),"")</f>
        <v/>
      </c>
      <c r="BA71" s="596" t="str">
        <f>IF(AR71&lt;&gt;0,INDEX(Tabla18[],MATCH(AQ71,Tabla18[Nombre],0),6),"")</f>
        <v/>
      </c>
      <c r="BB71" s="598"/>
      <c r="BC71" s="527"/>
      <c r="BD71" s="527"/>
      <c r="BE71" s="527"/>
      <c r="BF71" s="527"/>
      <c r="BG71" s="600"/>
      <c r="BH71" s="608"/>
      <c r="BL71" s="606" t="s">
        <v>6927</v>
      </c>
      <c r="BM71" s="556"/>
      <c r="BN71" s="527" t="str">
        <f>IF(BM71&lt;&gt;0,INDEX(Tabla16[],MATCH(BL70&amp;BL71&amp;BM71,Tabla16[Concatenado],0),IF(CC71="Si",4,5)),"")</f>
        <v/>
      </c>
      <c r="BO71" s="527" t="str">
        <f>IF(BM71&lt;&gt;0,INDEX(Tabla16[],MATCH(BL70&amp;BL71&amp;BM71,Tabla16[Concatenado],0),6),"")</f>
        <v/>
      </c>
      <c r="BP71" s="527" t="str">
        <f>IFERROR(IF(BM71&lt;&gt;0,INDEX(Tabla16[],MATCH(BL70&amp;BL71&amp;BM71,Tabla16[Concatenado],0),IF(BQ$3=TS!$O$2,7,IF(BQ$3=TS!$O$3,8,IF(BQ$3=TS!$O$4,9,"")))),""),"")</f>
        <v/>
      </c>
      <c r="BQ71" s="527" t="str">
        <f>IF(BM71&lt;&gt;0,INDEX(Tabla16[],MATCH(BL70&amp;BL71&amp;BM71,Tabla16[Concatenado],0),10),"")</f>
        <v/>
      </c>
      <c r="BR71" s="527" t="str">
        <f>IF(BM71&lt;&gt;0,INDEX(Tabla18[],MATCH(BL71,Tabla18[Nombre],0),2),"")</f>
        <v/>
      </c>
      <c r="BS71" s="527" t="str">
        <f>IF(BM71&lt;&gt;0,INDEX(Tabla18[],MATCH(BL71,Tabla18[Nombre],0),3),"")</f>
        <v/>
      </c>
      <c r="BT71" s="527" t="str">
        <f>IF(BM71&lt;&gt;0,INDEX(Tabla18[],MATCH(BL71,Tabla18[Nombre],0),4),"")</f>
        <v/>
      </c>
      <c r="BU71" s="527" t="str">
        <f>IF(BM71&lt;&gt;0,INDEX(Tabla18[],MATCH(BL71,Tabla18[Nombre],0),5),"")</f>
        <v/>
      </c>
      <c r="BV71" s="596" t="str">
        <f>IF(BM71&lt;&gt;0,INDEX(Tabla18[],MATCH(BL71,Tabla18[Nombre],0),6),"")</f>
        <v/>
      </c>
      <c r="BW71" s="598"/>
      <c r="BX71" s="527"/>
      <c r="BY71" s="527"/>
      <c r="BZ71" s="527"/>
      <c r="CA71" s="527"/>
      <c r="CB71" s="600"/>
      <c r="CC71" s="608"/>
    </row>
    <row r="72" spans="1:81" x14ac:dyDescent="0.2">
      <c r="A72" s="606" t="s">
        <v>6928</v>
      </c>
      <c r="B72" s="556"/>
      <c r="C72" s="527" t="str">
        <f>IF(B72&lt;&gt;0,INDEX(Tabla16[],MATCH(A70&amp;A72&amp;B72,Tabla16[Concatenado],0),IF(R72="Si",4,5)),"")</f>
        <v/>
      </c>
      <c r="D72" s="527" t="str">
        <f>IF(B72&lt;&gt;0,INDEX(Tabla16[],MATCH(A70&amp;A72&amp;B72,Tabla16[Concatenado],0),6),"")</f>
        <v/>
      </c>
      <c r="E72" s="527" t="str">
        <f>IFERROR(IF(B72&lt;&gt;0,INDEX(Tabla16[],MATCH(A70&amp;A72&amp;B72,Tabla16[Concatenado],0),IF(F$3=TS!$O$2,7,IF(F$3=TS!$O$3,8,IF(F$3=TS!$O$4,9,"")))),""),"")</f>
        <v/>
      </c>
      <c r="F72" s="527" t="str">
        <f>IF(B72&lt;&gt;0,INDEX(Tabla16[],MATCH(A70&amp;A72&amp;B72,Tabla16[Concatenado],0),10),"")</f>
        <v/>
      </c>
      <c r="G72" s="527" t="str">
        <f>IF(B72&lt;&gt;0,INDEX(Tabla18[],MATCH(A72,Tabla18[Nombre],0),2),"")</f>
        <v/>
      </c>
      <c r="H72" s="527" t="str">
        <f>IF(B72&lt;&gt;0,INDEX(Tabla18[],MATCH(A72,Tabla18[Nombre],0),3),"")</f>
        <v/>
      </c>
      <c r="I72" s="527" t="str">
        <f>IF(B72&lt;&gt;0,INDEX(Tabla18[],MATCH(A72,Tabla18[Nombre],0),4),"")</f>
        <v/>
      </c>
      <c r="J72" s="527" t="str">
        <f>IF(B72&lt;&gt;0,INDEX(Tabla18[],MATCH(A72,Tabla18[Nombre],0),5),"")</f>
        <v/>
      </c>
      <c r="K72" s="596" t="str">
        <f>IF(B72&lt;&gt;0,INDEX(Tabla18[],MATCH(A72,Tabla18[Nombre],0),6),"")</f>
        <v/>
      </c>
      <c r="L72" s="598"/>
      <c r="M72" s="527"/>
      <c r="N72" s="527"/>
      <c r="O72" s="527"/>
      <c r="P72" s="527"/>
      <c r="Q72" s="600"/>
      <c r="R72" s="608"/>
      <c r="V72" s="606" t="s">
        <v>6928</v>
      </c>
      <c r="W72" s="556"/>
      <c r="X72" s="527" t="str">
        <f>IF(W72&lt;&gt;0,INDEX(Tabla16[],MATCH(V70&amp;V72&amp;W72,Tabla16[Concatenado],0),IF(AM72="Si",4,5)),"")</f>
        <v/>
      </c>
      <c r="Y72" s="527" t="str">
        <f>IF(W72&lt;&gt;0,INDEX(Tabla16[],MATCH(V70&amp;V72&amp;W72,Tabla16[Concatenado],0),6),"")</f>
        <v/>
      </c>
      <c r="Z72" s="527" t="str">
        <f>IFERROR(IF(W72&lt;&gt;0,INDEX(Tabla16[],MATCH(V70&amp;V72&amp;W72,Tabla16[Concatenado],0),IF(AA$3=TS!$O$2,7,IF(AA$3=TS!$O$3,8,IF(AA$3=TS!$O$4,9,"")))),""),"")</f>
        <v/>
      </c>
      <c r="AA72" s="527" t="str">
        <f>IF(W72&lt;&gt;0,INDEX(Tabla16[],MATCH(V70&amp;V72&amp;W72,Tabla16[Concatenado],0),10),"")</f>
        <v/>
      </c>
      <c r="AB72" s="527" t="str">
        <f>IF(W72&lt;&gt;0,INDEX(Tabla18[],MATCH(V72,Tabla18[Nombre],0),2),"")</f>
        <v/>
      </c>
      <c r="AC72" s="527" t="str">
        <f>IF(W72&lt;&gt;0,INDEX(Tabla18[],MATCH(V72,Tabla18[Nombre],0),3),"")</f>
        <v/>
      </c>
      <c r="AD72" s="527" t="str">
        <f>IF(W72&lt;&gt;0,INDEX(Tabla18[],MATCH(V72,Tabla18[Nombre],0),4),"")</f>
        <v/>
      </c>
      <c r="AE72" s="527" t="str">
        <f>IF(W72&lt;&gt;0,INDEX(Tabla18[],MATCH(V72,Tabla18[Nombre],0),5),"")</f>
        <v/>
      </c>
      <c r="AF72" s="596" t="str">
        <f>IF(W72&lt;&gt;0,INDEX(Tabla18[],MATCH(V72,Tabla18[Nombre],0),6),"")</f>
        <v/>
      </c>
      <c r="AG72" s="598"/>
      <c r="AH72" s="527"/>
      <c r="AI72" s="527"/>
      <c r="AJ72" s="527"/>
      <c r="AK72" s="527"/>
      <c r="AL72" s="600"/>
      <c r="AM72" s="608"/>
      <c r="AQ72" s="606" t="s">
        <v>6928</v>
      </c>
      <c r="AR72" s="556"/>
      <c r="AS72" s="527" t="str">
        <f>IF(AR72&lt;&gt;0,INDEX(Tabla16[],MATCH(AQ70&amp;AQ72&amp;AR72,Tabla16[Concatenado],0),IF(BH72="Si",4,5)),"")</f>
        <v/>
      </c>
      <c r="AT72" s="527" t="str">
        <f>IF(AR72&lt;&gt;0,INDEX(Tabla16[],MATCH(AQ70&amp;AQ72&amp;AR72,Tabla16[Concatenado],0),6),"")</f>
        <v/>
      </c>
      <c r="AU72" s="527" t="str">
        <f>IFERROR(IF(AR72&lt;&gt;0,INDEX(Tabla16[],MATCH(AQ70&amp;AQ72&amp;AR72,Tabla16[Concatenado],0),IF(AV$3=TS!$O$2,7,IF(AV$3=TS!$O$3,8,IF(AV$3=TS!$O$4,9,"")))),""),"")</f>
        <v/>
      </c>
      <c r="AV72" s="527" t="str">
        <f>IF(AR72&lt;&gt;0,INDEX(Tabla16[],MATCH(AQ70&amp;AQ72&amp;AR72,Tabla16[Concatenado],0),10),"")</f>
        <v/>
      </c>
      <c r="AW72" s="527" t="str">
        <f>IF(AR72&lt;&gt;0,INDEX(Tabla18[],MATCH(AQ72,Tabla18[Nombre],0),2),"")</f>
        <v/>
      </c>
      <c r="AX72" s="527" t="str">
        <f>IF(AR72&lt;&gt;0,INDEX(Tabla18[],MATCH(AQ72,Tabla18[Nombre],0),3),"")</f>
        <v/>
      </c>
      <c r="AY72" s="527" t="str">
        <f>IF(AR72&lt;&gt;0,INDEX(Tabla18[],MATCH(AQ72,Tabla18[Nombre],0),4),"")</f>
        <v/>
      </c>
      <c r="AZ72" s="527" t="str">
        <f>IF(AR72&lt;&gt;0,INDEX(Tabla18[],MATCH(AQ72,Tabla18[Nombre],0),5),"")</f>
        <v/>
      </c>
      <c r="BA72" s="596" t="str">
        <f>IF(AR72&lt;&gt;0,INDEX(Tabla18[],MATCH(AQ72,Tabla18[Nombre],0),6),"")</f>
        <v/>
      </c>
      <c r="BB72" s="598"/>
      <c r="BC72" s="527"/>
      <c r="BD72" s="527"/>
      <c r="BE72" s="527"/>
      <c r="BF72" s="527"/>
      <c r="BG72" s="600"/>
      <c r="BH72" s="608"/>
      <c r="BL72" s="606" t="s">
        <v>6928</v>
      </c>
      <c r="BM72" s="556"/>
      <c r="BN72" s="527" t="str">
        <f>IF(BM72&lt;&gt;0,INDEX(Tabla16[],MATCH(BL70&amp;BL72&amp;BM72,Tabla16[Concatenado],0),IF(CC72="Si",4,5)),"")</f>
        <v/>
      </c>
      <c r="BO72" s="527" t="str">
        <f>IF(BM72&lt;&gt;0,INDEX(Tabla16[],MATCH(BL70&amp;BL72&amp;BM72,Tabla16[Concatenado],0),6),"")</f>
        <v/>
      </c>
      <c r="BP72" s="527" t="str">
        <f>IFERROR(IF(BM72&lt;&gt;0,INDEX(Tabla16[],MATCH(BL70&amp;BL72&amp;BM72,Tabla16[Concatenado],0),IF(BQ$3=TS!$O$2,7,IF(BQ$3=TS!$O$3,8,IF(BQ$3=TS!$O$4,9,"")))),""),"")</f>
        <v/>
      </c>
      <c r="BQ72" s="527" t="str">
        <f>IF(BM72&lt;&gt;0,INDEX(Tabla16[],MATCH(BL70&amp;BL72&amp;BM72,Tabla16[Concatenado],0),10),"")</f>
        <v/>
      </c>
      <c r="BR72" s="527" t="str">
        <f>IF(BM72&lt;&gt;0,INDEX(Tabla18[],MATCH(BL72,Tabla18[Nombre],0),2),"")</f>
        <v/>
      </c>
      <c r="BS72" s="527" t="str">
        <f>IF(BM72&lt;&gt;0,INDEX(Tabla18[],MATCH(BL72,Tabla18[Nombre],0),3),"")</f>
        <v/>
      </c>
      <c r="BT72" s="527" t="str">
        <f>IF(BM72&lt;&gt;0,INDEX(Tabla18[],MATCH(BL72,Tabla18[Nombre],0),4),"")</f>
        <v/>
      </c>
      <c r="BU72" s="527" t="str">
        <f>IF(BM72&lt;&gt;0,INDEX(Tabla18[],MATCH(BL72,Tabla18[Nombre],0),5),"")</f>
        <v/>
      </c>
      <c r="BV72" s="596" t="str">
        <f>IF(BM72&lt;&gt;0,INDEX(Tabla18[],MATCH(BL72,Tabla18[Nombre],0),6),"")</f>
        <v/>
      </c>
      <c r="BW72" s="598"/>
      <c r="BX72" s="527"/>
      <c r="BY72" s="527"/>
      <c r="BZ72" s="527"/>
      <c r="CA72" s="527"/>
      <c r="CB72" s="600"/>
      <c r="CC72" s="608"/>
    </row>
    <row r="73" spans="1:81" x14ac:dyDescent="0.2">
      <c r="A73" s="606" t="s">
        <v>6929</v>
      </c>
      <c r="B73" s="556"/>
      <c r="C73" s="527" t="str">
        <f>IF(B73&lt;&gt;0,INDEX(Tabla16[],MATCH(A70&amp;A73&amp;B73,Tabla16[Concatenado],0),IF(R73="Si",4,5)),"")</f>
        <v/>
      </c>
      <c r="D73" s="527" t="str">
        <f>IF(B73&lt;&gt;0,INDEX(Tabla16[],MATCH(A70&amp;A73&amp;B73,Tabla16[Concatenado],0),6),"")</f>
        <v/>
      </c>
      <c r="E73" s="527" t="str">
        <f>IFERROR(IF(B73&lt;&gt;0,INDEX(Tabla16[],MATCH(A70&amp;A73&amp;B73,Tabla16[Concatenado],0),IF(F$3=TS!$O$2,7,IF(F$3=TS!$O$3,8,IF(F$3=TS!$O$4,9,"")))),""),"")</f>
        <v/>
      </c>
      <c r="F73" s="527" t="str">
        <f>IF(B73&lt;&gt;0,INDEX(Tabla16[],MATCH(A70&amp;A73&amp;B73,Tabla16[Concatenado],0),10),"")</f>
        <v/>
      </c>
      <c r="G73" s="527" t="str">
        <f>IF(B73&lt;&gt;0,INDEX(Tabla18[],MATCH(A73,Tabla18[Nombre],0),2),"")</f>
        <v/>
      </c>
      <c r="H73" s="527" t="str">
        <f>IF(B73&lt;&gt;0,INDEX(Tabla18[],MATCH(A73,Tabla18[Nombre],0),3),"")</f>
        <v/>
      </c>
      <c r="I73" s="527" t="str">
        <f>IF(B73&lt;&gt;0,INDEX(Tabla18[],MATCH(A73,Tabla18[Nombre],0),4),"")</f>
        <v/>
      </c>
      <c r="J73" s="527" t="str">
        <f>IF(B73&lt;&gt;0,INDEX(Tabla18[],MATCH(A73,Tabla18[Nombre],0),5),"")</f>
        <v/>
      </c>
      <c r="K73" s="596" t="str">
        <f>IF(B73&lt;&gt;0,INDEX(Tabla18[],MATCH(A73,Tabla18[Nombre],0),6),"")</f>
        <v/>
      </c>
      <c r="L73" s="598"/>
      <c r="M73" s="527"/>
      <c r="N73" s="527"/>
      <c r="O73" s="527"/>
      <c r="P73" s="527"/>
      <c r="Q73" s="600"/>
      <c r="R73" s="608"/>
      <c r="V73" s="606" t="s">
        <v>6929</v>
      </c>
      <c r="W73" s="556"/>
      <c r="X73" s="527" t="str">
        <f>IF(W73&lt;&gt;0,INDEX(Tabla16[],MATCH(V70&amp;V73&amp;W73,Tabla16[Concatenado],0),IF(AM73="Si",4,5)),"")</f>
        <v/>
      </c>
      <c r="Y73" s="527" t="str">
        <f>IF(W73&lt;&gt;0,INDEX(Tabla16[],MATCH(V70&amp;V73&amp;W73,Tabla16[Concatenado],0),6),"")</f>
        <v/>
      </c>
      <c r="Z73" s="527" t="str">
        <f>IFERROR(IF(W73&lt;&gt;0,INDEX(Tabla16[],MATCH(V70&amp;V73&amp;W73,Tabla16[Concatenado],0),IF(AA$3=TS!$O$2,7,IF(AA$3=TS!$O$3,8,IF(AA$3=TS!$O$4,9,"")))),""),"")</f>
        <v/>
      </c>
      <c r="AA73" s="527" t="str">
        <f>IF(W73&lt;&gt;0,INDEX(Tabla16[],MATCH(V70&amp;V73&amp;W73,Tabla16[Concatenado],0),10),"")</f>
        <v/>
      </c>
      <c r="AB73" s="527" t="str">
        <f>IF(W73&lt;&gt;0,INDEX(Tabla18[],MATCH(V73,Tabla18[Nombre],0),2),"")</f>
        <v/>
      </c>
      <c r="AC73" s="527" t="str">
        <f>IF(W73&lt;&gt;0,INDEX(Tabla18[],MATCH(V73,Tabla18[Nombre],0),3),"")</f>
        <v/>
      </c>
      <c r="AD73" s="527" t="str">
        <f>IF(W73&lt;&gt;0,INDEX(Tabla18[],MATCH(V73,Tabla18[Nombre],0),4),"")</f>
        <v/>
      </c>
      <c r="AE73" s="527" t="str">
        <f>IF(W73&lt;&gt;0,INDEX(Tabla18[],MATCH(V73,Tabla18[Nombre],0),5),"")</f>
        <v/>
      </c>
      <c r="AF73" s="596" t="str">
        <f>IF(W73&lt;&gt;0,INDEX(Tabla18[],MATCH(V73,Tabla18[Nombre],0),6),"")</f>
        <v/>
      </c>
      <c r="AG73" s="598"/>
      <c r="AH73" s="527"/>
      <c r="AI73" s="527"/>
      <c r="AJ73" s="527"/>
      <c r="AK73" s="527"/>
      <c r="AL73" s="600"/>
      <c r="AM73" s="608"/>
      <c r="AQ73" s="606" t="s">
        <v>6929</v>
      </c>
      <c r="AR73" s="556"/>
      <c r="AS73" s="527" t="str">
        <f>IF(AR73&lt;&gt;0,INDEX(Tabla16[],MATCH(AQ70&amp;AQ73&amp;AR73,Tabla16[Concatenado],0),IF(BH73="Si",4,5)),"")</f>
        <v/>
      </c>
      <c r="AT73" s="527" t="str">
        <f>IF(AR73&lt;&gt;0,INDEX(Tabla16[],MATCH(AQ70&amp;AQ73&amp;AR73,Tabla16[Concatenado],0),6),"")</f>
        <v/>
      </c>
      <c r="AU73" s="527" t="str">
        <f>IFERROR(IF(AR73&lt;&gt;0,INDEX(Tabla16[],MATCH(AQ70&amp;AQ73&amp;AR73,Tabla16[Concatenado],0),IF(AV$3=TS!$O$2,7,IF(AV$3=TS!$O$3,8,IF(AV$3=TS!$O$4,9,"")))),""),"")</f>
        <v/>
      </c>
      <c r="AV73" s="527" t="str">
        <f>IF(AR73&lt;&gt;0,INDEX(Tabla16[],MATCH(AQ70&amp;AQ73&amp;AR73,Tabla16[Concatenado],0),10),"")</f>
        <v/>
      </c>
      <c r="AW73" s="527" t="str">
        <f>IF(AR73&lt;&gt;0,INDEX(Tabla18[],MATCH(AQ73,Tabla18[Nombre],0),2),"")</f>
        <v/>
      </c>
      <c r="AX73" s="527" t="str">
        <f>IF(AR73&lt;&gt;0,INDEX(Tabla18[],MATCH(AQ73,Tabla18[Nombre],0),3),"")</f>
        <v/>
      </c>
      <c r="AY73" s="527" t="str">
        <f>IF(AR73&lt;&gt;0,INDEX(Tabla18[],MATCH(AQ73,Tabla18[Nombre],0),4),"")</f>
        <v/>
      </c>
      <c r="AZ73" s="527" t="str">
        <f>IF(AR73&lt;&gt;0,INDEX(Tabla18[],MATCH(AQ73,Tabla18[Nombre],0),5),"")</f>
        <v/>
      </c>
      <c r="BA73" s="596" t="str">
        <f>IF(AR73&lt;&gt;0,INDEX(Tabla18[],MATCH(AQ73,Tabla18[Nombre],0),6),"")</f>
        <v/>
      </c>
      <c r="BB73" s="598"/>
      <c r="BC73" s="527"/>
      <c r="BD73" s="527"/>
      <c r="BE73" s="527"/>
      <c r="BF73" s="527"/>
      <c r="BG73" s="600"/>
      <c r="BH73" s="608"/>
      <c r="BL73" s="606" t="s">
        <v>6929</v>
      </c>
      <c r="BM73" s="556"/>
      <c r="BN73" s="527" t="str">
        <f>IF(BM73&lt;&gt;0,INDEX(Tabla16[],MATCH(BL70&amp;BL73&amp;BM73,Tabla16[Concatenado],0),IF(CC73="Si",4,5)),"")</f>
        <v/>
      </c>
      <c r="BO73" s="527" t="str">
        <f>IF(BM73&lt;&gt;0,INDEX(Tabla16[],MATCH(BL70&amp;BL73&amp;BM73,Tabla16[Concatenado],0),6),"")</f>
        <v/>
      </c>
      <c r="BP73" s="527" t="str">
        <f>IFERROR(IF(BM73&lt;&gt;0,INDEX(Tabla16[],MATCH(BL70&amp;BL73&amp;BM73,Tabla16[Concatenado],0),IF(BQ$3=TS!$O$2,7,IF(BQ$3=TS!$O$3,8,IF(BQ$3=TS!$O$4,9,"")))),""),"")</f>
        <v/>
      </c>
      <c r="BQ73" s="527" t="str">
        <f>IF(BM73&lt;&gt;0,INDEX(Tabla16[],MATCH(BL70&amp;BL73&amp;BM73,Tabla16[Concatenado],0),10),"")</f>
        <v/>
      </c>
      <c r="BR73" s="527" t="str">
        <f>IF(BM73&lt;&gt;0,INDEX(Tabla18[],MATCH(BL73,Tabla18[Nombre],0),2),"")</f>
        <v/>
      </c>
      <c r="BS73" s="527" t="str">
        <f>IF(BM73&lt;&gt;0,INDEX(Tabla18[],MATCH(BL73,Tabla18[Nombre],0),3),"")</f>
        <v/>
      </c>
      <c r="BT73" s="527" t="str">
        <f>IF(BM73&lt;&gt;0,INDEX(Tabla18[],MATCH(BL73,Tabla18[Nombre],0),4),"")</f>
        <v/>
      </c>
      <c r="BU73" s="527" t="str">
        <f>IF(BM73&lt;&gt;0,INDEX(Tabla18[],MATCH(BL73,Tabla18[Nombre],0),5),"")</f>
        <v/>
      </c>
      <c r="BV73" s="596" t="str">
        <f>IF(BM73&lt;&gt;0,INDEX(Tabla18[],MATCH(BL73,Tabla18[Nombre],0),6),"")</f>
        <v/>
      </c>
      <c r="BW73" s="598"/>
      <c r="BX73" s="527"/>
      <c r="BY73" s="527"/>
      <c r="BZ73" s="527"/>
      <c r="CA73" s="527"/>
      <c r="CB73" s="600"/>
      <c r="CC73" s="608"/>
    </row>
    <row r="74" spans="1:81" x14ac:dyDescent="0.2">
      <c r="A74" s="610" t="s">
        <v>6947</v>
      </c>
      <c r="B74" s="555" t="s">
        <v>164</v>
      </c>
      <c r="C74" s="306" t="s">
        <v>7163</v>
      </c>
      <c r="D74" s="306" t="s">
        <v>5</v>
      </c>
      <c r="E74" s="306" t="s">
        <v>69</v>
      </c>
      <c r="F74" s="306" t="s">
        <v>14</v>
      </c>
      <c r="G74" s="306" t="s">
        <v>26</v>
      </c>
      <c r="H74" s="306" t="s">
        <v>277</v>
      </c>
      <c r="I74" s="306" t="s">
        <v>6791</v>
      </c>
      <c r="J74" s="306" t="s">
        <v>6792</v>
      </c>
      <c r="K74" s="597" t="s">
        <v>7162</v>
      </c>
      <c r="L74" s="601" t="s">
        <v>36</v>
      </c>
      <c r="M74" s="306" t="s">
        <v>46</v>
      </c>
      <c r="N74" s="306" t="s">
        <v>57</v>
      </c>
      <c r="O74" s="306" t="s">
        <v>66</v>
      </c>
      <c r="P74" s="306" t="s">
        <v>59</v>
      </c>
      <c r="Q74" s="602" t="s">
        <v>58</v>
      </c>
      <c r="R74" s="611" t="s">
        <v>6787</v>
      </c>
      <c r="V74" s="610" t="s">
        <v>6947</v>
      </c>
      <c r="W74" s="555" t="s">
        <v>164</v>
      </c>
      <c r="X74" s="306" t="s">
        <v>7163</v>
      </c>
      <c r="Y74" s="306" t="s">
        <v>5</v>
      </c>
      <c r="Z74" s="306" t="s">
        <v>69</v>
      </c>
      <c r="AA74" s="306" t="s">
        <v>14</v>
      </c>
      <c r="AB74" s="306" t="s">
        <v>26</v>
      </c>
      <c r="AC74" s="306" t="s">
        <v>277</v>
      </c>
      <c r="AD74" s="306" t="s">
        <v>6791</v>
      </c>
      <c r="AE74" s="306" t="s">
        <v>6792</v>
      </c>
      <c r="AF74" s="597" t="s">
        <v>7162</v>
      </c>
      <c r="AG74" s="601" t="s">
        <v>36</v>
      </c>
      <c r="AH74" s="306" t="s">
        <v>46</v>
      </c>
      <c r="AI74" s="306" t="s">
        <v>57</v>
      </c>
      <c r="AJ74" s="306" t="s">
        <v>66</v>
      </c>
      <c r="AK74" s="306" t="s">
        <v>59</v>
      </c>
      <c r="AL74" s="602" t="s">
        <v>58</v>
      </c>
      <c r="AM74" s="611" t="s">
        <v>6787</v>
      </c>
      <c r="AQ74" s="610" t="s">
        <v>6947</v>
      </c>
      <c r="AR74" s="555" t="s">
        <v>164</v>
      </c>
      <c r="AS74" s="306" t="s">
        <v>7163</v>
      </c>
      <c r="AT74" s="306" t="s">
        <v>5</v>
      </c>
      <c r="AU74" s="306" t="s">
        <v>69</v>
      </c>
      <c r="AV74" s="306" t="s">
        <v>14</v>
      </c>
      <c r="AW74" s="306" t="s">
        <v>26</v>
      </c>
      <c r="AX74" s="306" t="s">
        <v>277</v>
      </c>
      <c r="AY74" s="306" t="s">
        <v>6791</v>
      </c>
      <c r="AZ74" s="306" t="s">
        <v>6792</v>
      </c>
      <c r="BA74" s="597" t="s">
        <v>7162</v>
      </c>
      <c r="BB74" s="601" t="s">
        <v>36</v>
      </c>
      <c r="BC74" s="306" t="s">
        <v>46</v>
      </c>
      <c r="BD74" s="306" t="s">
        <v>57</v>
      </c>
      <c r="BE74" s="306" t="s">
        <v>66</v>
      </c>
      <c r="BF74" s="306" t="s">
        <v>59</v>
      </c>
      <c r="BG74" s="602" t="s">
        <v>58</v>
      </c>
      <c r="BH74" s="611" t="s">
        <v>6787</v>
      </c>
      <c r="BL74" s="610" t="s">
        <v>6947</v>
      </c>
      <c r="BM74" s="555" t="s">
        <v>164</v>
      </c>
      <c r="BN74" s="306" t="s">
        <v>7163</v>
      </c>
      <c r="BO74" s="306" t="s">
        <v>5</v>
      </c>
      <c r="BP74" s="306" t="s">
        <v>69</v>
      </c>
      <c r="BQ74" s="306" t="s">
        <v>14</v>
      </c>
      <c r="BR74" s="306" t="s">
        <v>26</v>
      </c>
      <c r="BS74" s="306" t="s">
        <v>277</v>
      </c>
      <c r="BT74" s="306" t="s">
        <v>6791</v>
      </c>
      <c r="BU74" s="306" t="s">
        <v>6792</v>
      </c>
      <c r="BV74" s="597" t="s">
        <v>7162</v>
      </c>
      <c r="BW74" s="601" t="s">
        <v>36</v>
      </c>
      <c r="BX74" s="306" t="s">
        <v>46</v>
      </c>
      <c r="BY74" s="306" t="s">
        <v>57</v>
      </c>
      <c r="BZ74" s="306" t="s">
        <v>66</v>
      </c>
      <c r="CA74" s="306" t="s">
        <v>59</v>
      </c>
      <c r="CB74" s="602" t="s">
        <v>58</v>
      </c>
      <c r="CC74" s="611" t="s">
        <v>6787</v>
      </c>
    </row>
    <row r="75" spans="1:81" x14ac:dyDescent="0.2">
      <c r="A75" s="606" t="s">
        <v>6948</v>
      </c>
      <c r="B75" s="556"/>
      <c r="C75" s="527" t="str">
        <f>IF(B75&lt;&gt;0,INDEX(Tabla16[],MATCH(A75&amp;B75,Tabla16[Concatenado],0),IF(R75="Si",4,5)),"")</f>
        <v/>
      </c>
      <c r="D75" s="527" t="str">
        <f>IF(B75&lt;&gt;0,INDEX(Tabla16[],MATCH(A75&amp;B75,Tabla16[Concatenado],0),6),"")</f>
        <v/>
      </c>
      <c r="E75" s="527" t="str">
        <f>IFERROR(IF(B75&lt;&gt;0,INDEX(Tabla16[],MATCH(A75&amp;B75,Tabla16[Concatenado],0),IF(F$3=TS!$O$2,7,IF(F$3=TS!$O$3,8,IF(F$3=TS!$O$4,9,"")))),""),"")</f>
        <v/>
      </c>
      <c r="F75" s="527" t="str">
        <f>IF(B75&lt;&gt;0,INDEX(Tabla16[],MATCH(A75&amp;B75,Tabla16[Concatenado],0),10),"")</f>
        <v/>
      </c>
      <c r="G75" s="527" t="str">
        <f>IF(B75&lt;&gt;0,INDEX(Tabla18[],MATCH(A75,Tabla18[Nombre],0),2),"")</f>
        <v/>
      </c>
      <c r="H75" s="527" t="str">
        <f>IF(B75&lt;&gt;0,INDEX(Tabla18[],MATCH(A75,Tabla18[Nombre],0),3),"")</f>
        <v/>
      </c>
      <c r="I75" s="527" t="str">
        <f>IF(B75&lt;&gt;0,INDEX(Tabla18[],MATCH(A75,Tabla18[Nombre],0),4),"")</f>
        <v/>
      </c>
      <c r="J75" s="527" t="str">
        <f>IF(B75&lt;&gt;0,INDEX(Tabla18[],MATCH(A75,Tabla18[Nombre],0),5),"")</f>
        <v/>
      </c>
      <c r="K75" s="596" t="str">
        <f>IF(B75&lt;&gt;0,INDEX(Tabla18[],MATCH(A75,Tabla18[Nombre],0),6),"")</f>
        <v/>
      </c>
      <c r="L75" s="598"/>
      <c r="M75" s="527"/>
      <c r="N75" s="527"/>
      <c r="O75" s="527"/>
      <c r="P75" s="527"/>
      <c r="Q75" s="600"/>
      <c r="R75" s="608"/>
      <c r="V75" s="606" t="s">
        <v>6948</v>
      </c>
      <c r="W75" s="556"/>
      <c r="X75" s="527" t="str">
        <f>IF(W75&lt;&gt;0,INDEX(Tabla16[],MATCH(V75&amp;W75,Tabla16[Concatenado],0),IF(AM75="Si",4,5)),"")</f>
        <v/>
      </c>
      <c r="Y75" s="527" t="str">
        <f>IF(W75&lt;&gt;0,INDEX(Tabla16[],MATCH(V75&amp;W75,Tabla16[Concatenado],0),6),"")</f>
        <v/>
      </c>
      <c r="Z75" s="527" t="str">
        <f>IFERROR(IF(W75&lt;&gt;0,INDEX(Tabla16[],MATCH(V75&amp;W75,Tabla16[Concatenado],0),IF(AA$3=TS!$O$2,7,IF(AA$3=TS!$O$3,8,IF(AA$3=TS!$O$4,9,"")))),""),"")</f>
        <v/>
      </c>
      <c r="AA75" s="527" t="str">
        <f>IF(W75&lt;&gt;0,INDEX(Tabla16[],MATCH(V75&amp;W75,Tabla16[Concatenado],0),10),"")</f>
        <v/>
      </c>
      <c r="AB75" s="527" t="str">
        <f>IF(W75&lt;&gt;0,INDEX(Tabla18[],MATCH(V75,Tabla18[Nombre],0),2),"")</f>
        <v/>
      </c>
      <c r="AC75" s="527" t="str">
        <f>IF(W75&lt;&gt;0,INDEX(Tabla18[],MATCH(V75,Tabla18[Nombre],0),3),"")</f>
        <v/>
      </c>
      <c r="AD75" s="527" t="str">
        <f>IF(W75&lt;&gt;0,INDEX(Tabla18[],MATCH(V75,Tabla18[Nombre],0),4),"")</f>
        <v/>
      </c>
      <c r="AE75" s="527" t="str">
        <f>IF(W75&lt;&gt;0,INDEX(Tabla18[],MATCH(V75,Tabla18[Nombre],0),5),"")</f>
        <v/>
      </c>
      <c r="AF75" s="596" t="str">
        <f>IF(W75&lt;&gt;0,INDEX(Tabla18[],MATCH(V75,Tabla18[Nombre],0),6),"")</f>
        <v/>
      </c>
      <c r="AG75" s="598"/>
      <c r="AH75" s="527"/>
      <c r="AI75" s="527"/>
      <c r="AJ75" s="527"/>
      <c r="AK75" s="527"/>
      <c r="AL75" s="600"/>
      <c r="AM75" s="608"/>
      <c r="AQ75" s="606" t="s">
        <v>6948</v>
      </c>
      <c r="AR75" s="556"/>
      <c r="AS75" s="527" t="str">
        <f>IF(AR75&lt;&gt;0,INDEX(Tabla16[],MATCH(AQ75&amp;AR75,Tabla16[Concatenado],0),IF(BH75="Si",4,5)),"")</f>
        <v/>
      </c>
      <c r="AT75" s="527" t="str">
        <f>IF(AR75&lt;&gt;0,INDEX(Tabla16[],MATCH(AQ75&amp;AR75,Tabla16[Concatenado],0),6),"")</f>
        <v/>
      </c>
      <c r="AU75" s="527" t="str">
        <f>IFERROR(IF(AR75&lt;&gt;0,INDEX(Tabla16[],MATCH(AQ75&amp;AR75,Tabla16[Concatenado],0),IF(AV$3=TS!$O$2,7,IF(AV$3=TS!$O$3,8,IF(AV$3=TS!$O$4,9,"")))),""),"")</f>
        <v/>
      </c>
      <c r="AV75" s="527" t="str">
        <f>IF(AR75&lt;&gt;0,INDEX(Tabla16[],MATCH(AQ75&amp;AR75,Tabla16[Concatenado],0),10),"")</f>
        <v/>
      </c>
      <c r="AW75" s="527" t="str">
        <f>IF(AR75&lt;&gt;0,INDEX(Tabla18[],MATCH(AQ75,Tabla18[Nombre],0),2),"")</f>
        <v/>
      </c>
      <c r="AX75" s="527" t="str">
        <f>IF(AR75&lt;&gt;0,INDEX(Tabla18[],MATCH(AQ75,Tabla18[Nombre],0),3),"")</f>
        <v/>
      </c>
      <c r="AY75" s="527" t="str">
        <f>IF(AR75&lt;&gt;0,INDEX(Tabla18[],MATCH(AQ75,Tabla18[Nombre],0),4),"")</f>
        <v/>
      </c>
      <c r="AZ75" s="527" t="str">
        <f>IF(AR75&lt;&gt;0,INDEX(Tabla18[],MATCH(AQ75,Tabla18[Nombre],0),5),"")</f>
        <v/>
      </c>
      <c r="BA75" s="596" t="str">
        <f>IF(AR75&lt;&gt;0,INDEX(Tabla18[],MATCH(AQ75,Tabla18[Nombre],0),6),"")</f>
        <v/>
      </c>
      <c r="BB75" s="598"/>
      <c r="BC75" s="527"/>
      <c r="BD75" s="527"/>
      <c r="BE75" s="527"/>
      <c r="BF75" s="527"/>
      <c r="BG75" s="600"/>
      <c r="BH75" s="608"/>
      <c r="BL75" s="606" t="s">
        <v>6948</v>
      </c>
      <c r="BM75" s="556"/>
      <c r="BN75" s="527" t="str">
        <f>IF(BM75&lt;&gt;0,INDEX(Tabla16[],MATCH(BL75&amp;BM75,Tabla16[Concatenado],0),IF(CC75="Si",4,5)),"")</f>
        <v/>
      </c>
      <c r="BO75" s="527" t="str">
        <f>IF(BM75&lt;&gt;0,INDEX(Tabla16[],MATCH(BL75&amp;BM75,Tabla16[Concatenado],0),6),"")</f>
        <v/>
      </c>
      <c r="BP75" s="527" t="str">
        <f>IFERROR(IF(BM75&lt;&gt;0,INDEX(Tabla16[],MATCH(BL75&amp;BM75,Tabla16[Concatenado],0),IF(BQ$3=TS!$O$2,7,IF(BQ$3=TS!$O$3,8,IF(BQ$3=TS!$O$4,9,"")))),""),"")</f>
        <v/>
      </c>
      <c r="BQ75" s="527" t="str">
        <f>IF(BM75&lt;&gt;0,INDEX(Tabla16[],MATCH(BL75&amp;BM75,Tabla16[Concatenado],0),10),"")</f>
        <v/>
      </c>
      <c r="BR75" s="527" t="str">
        <f>IF(BM75&lt;&gt;0,INDEX(Tabla18[],MATCH(BL75,Tabla18[Nombre],0),2),"")</f>
        <v/>
      </c>
      <c r="BS75" s="527" t="str">
        <f>IF(BM75&lt;&gt;0,INDEX(Tabla18[],MATCH(BL75,Tabla18[Nombre],0),3),"")</f>
        <v/>
      </c>
      <c r="BT75" s="527" t="str">
        <f>IF(BM75&lt;&gt;0,INDEX(Tabla18[],MATCH(BL75,Tabla18[Nombre],0),4),"")</f>
        <v/>
      </c>
      <c r="BU75" s="527" t="str">
        <f>IF(BM75&lt;&gt;0,INDEX(Tabla18[],MATCH(BL75,Tabla18[Nombre],0),5),"")</f>
        <v/>
      </c>
      <c r="BV75" s="596" t="str">
        <f>IF(BM75&lt;&gt;0,INDEX(Tabla18[],MATCH(BL75,Tabla18[Nombre],0),6),"")</f>
        <v/>
      </c>
      <c r="BW75" s="598"/>
      <c r="BX75" s="527"/>
      <c r="BY75" s="527"/>
      <c r="BZ75" s="527"/>
      <c r="CA75" s="527"/>
      <c r="CB75" s="600"/>
      <c r="CC75" s="608"/>
    </row>
    <row r="76" spans="1:81" x14ac:dyDescent="0.2">
      <c r="A76" s="606" t="s">
        <v>6949</v>
      </c>
      <c r="B76" s="556"/>
      <c r="C76" s="527" t="str">
        <f>IF(B76&lt;&gt;0,INDEX(Tabla16[],MATCH(A76&amp;B76,Tabla16[Concatenado],0),IF(R76="Si",4,5)),"")</f>
        <v/>
      </c>
      <c r="D76" s="527" t="str">
        <f>IF(B76&lt;&gt;0,INDEX(Tabla16[],MATCH(A76&amp;B76,Tabla16[Concatenado],0),6),"")</f>
        <v/>
      </c>
      <c r="E76" s="527" t="str">
        <f>IFERROR(IF(B76&lt;&gt;0,INDEX(Tabla16[],MATCH(A76&amp;B76,Tabla16[Concatenado],0),IF(F$3=TS!$O$2,7,IF(F$3=TS!$O$3,8,IF(F$3=TS!$O$4,9,"")))),""),"")</f>
        <v/>
      </c>
      <c r="F76" s="527" t="str">
        <f>IF(B76&lt;&gt;0,INDEX(Tabla16[],MATCH(A76&amp;B76,Tabla16[Concatenado],0),10),"")</f>
        <v/>
      </c>
      <c r="G76" s="527" t="str">
        <f>IF(B76&lt;&gt;0,INDEX(Tabla18[],MATCH(A76,Tabla18[Nombre],0),2),"")</f>
        <v/>
      </c>
      <c r="H76" s="527" t="str">
        <f>IF(B76&lt;&gt;0,INDEX(Tabla18[],MATCH(A76,Tabla18[Nombre],0),3),"")</f>
        <v/>
      </c>
      <c r="I76" s="527" t="str">
        <f>IF(B76&lt;&gt;0,INDEX(Tabla18[],MATCH(A76,Tabla18[Nombre],0),4),"")</f>
        <v/>
      </c>
      <c r="J76" s="527" t="str">
        <f>IF(B76&lt;&gt;0,INDEX(Tabla18[],MATCH(A76,Tabla18[Nombre],0),5),"")</f>
        <v/>
      </c>
      <c r="K76" s="596" t="str">
        <f>IF(B76&lt;&gt;0,INDEX(Tabla18[],MATCH(A76,Tabla18[Nombre],0),6),"")</f>
        <v/>
      </c>
      <c r="L76" s="598"/>
      <c r="M76" s="527"/>
      <c r="N76" s="527"/>
      <c r="O76" s="527"/>
      <c r="P76" s="527"/>
      <c r="Q76" s="600"/>
      <c r="R76" s="608"/>
      <c r="V76" s="606" t="s">
        <v>6949</v>
      </c>
      <c r="W76" s="556"/>
      <c r="X76" s="527" t="str">
        <f>IF(W76&lt;&gt;0,INDEX(Tabla16[],MATCH(V76&amp;W76,Tabla16[Concatenado],0),IF(AM76="Si",4,5)),"")</f>
        <v/>
      </c>
      <c r="Y76" s="527" t="str">
        <f>IF(W76&lt;&gt;0,INDEX(Tabla16[],MATCH(V76&amp;W76,Tabla16[Concatenado],0),6),"")</f>
        <v/>
      </c>
      <c r="Z76" s="527" t="str">
        <f>IFERROR(IF(W76&lt;&gt;0,INDEX(Tabla16[],MATCH(V76&amp;W76,Tabla16[Concatenado],0),IF(AA$3=TS!$O$2,7,IF(AA$3=TS!$O$3,8,IF(AA$3=TS!$O$4,9,"")))),""),"")</f>
        <v/>
      </c>
      <c r="AA76" s="527" t="str">
        <f>IF(W76&lt;&gt;0,INDEX(Tabla16[],MATCH(V76&amp;W76,Tabla16[Concatenado],0),10),"")</f>
        <v/>
      </c>
      <c r="AB76" s="527" t="str">
        <f>IF(W76&lt;&gt;0,INDEX(Tabla18[],MATCH(V76,Tabla18[Nombre],0),2),"")</f>
        <v/>
      </c>
      <c r="AC76" s="527" t="str">
        <f>IF(W76&lt;&gt;0,INDEX(Tabla18[],MATCH(V76,Tabla18[Nombre],0),3),"")</f>
        <v/>
      </c>
      <c r="AD76" s="527" t="str">
        <f>IF(W76&lt;&gt;0,INDEX(Tabla18[],MATCH(V76,Tabla18[Nombre],0),4),"")</f>
        <v/>
      </c>
      <c r="AE76" s="527" t="str">
        <f>IF(W76&lt;&gt;0,INDEX(Tabla18[],MATCH(V76,Tabla18[Nombre],0),5),"")</f>
        <v/>
      </c>
      <c r="AF76" s="596" t="str">
        <f>IF(W76&lt;&gt;0,INDEX(Tabla18[],MATCH(V76,Tabla18[Nombre],0),6),"")</f>
        <v/>
      </c>
      <c r="AG76" s="598"/>
      <c r="AH76" s="527"/>
      <c r="AI76" s="527"/>
      <c r="AJ76" s="527"/>
      <c r="AK76" s="527"/>
      <c r="AL76" s="600"/>
      <c r="AM76" s="608"/>
      <c r="AQ76" s="606" t="s">
        <v>6949</v>
      </c>
      <c r="AR76" s="556"/>
      <c r="AS76" s="527" t="str">
        <f>IF(AR76&lt;&gt;0,INDEX(Tabla16[],MATCH(AQ76&amp;AR76,Tabla16[Concatenado],0),IF(BH76="Si",4,5)),"")</f>
        <v/>
      </c>
      <c r="AT76" s="527" t="str">
        <f>IF(AR76&lt;&gt;0,INDEX(Tabla16[],MATCH(AQ76&amp;AR76,Tabla16[Concatenado],0),6),"")</f>
        <v/>
      </c>
      <c r="AU76" s="527" t="str">
        <f>IFERROR(IF(AR76&lt;&gt;0,INDEX(Tabla16[],MATCH(AQ76&amp;AR76,Tabla16[Concatenado],0),IF(AV$3=TS!$O$2,7,IF(AV$3=TS!$O$3,8,IF(AV$3=TS!$O$4,9,"")))),""),"")</f>
        <v/>
      </c>
      <c r="AV76" s="527" t="str">
        <f>IF(AR76&lt;&gt;0,INDEX(Tabla16[],MATCH(AQ76&amp;AR76,Tabla16[Concatenado],0),10),"")</f>
        <v/>
      </c>
      <c r="AW76" s="527" t="str">
        <f>IF(AR76&lt;&gt;0,INDEX(Tabla18[],MATCH(AQ76,Tabla18[Nombre],0),2),"")</f>
        <v/>
      </c>
      <c r="AX76" s="527" t="str">
        <f>IF(AR76&lt;&gt;0,INDEX(Tabla18[],MATCH(AQ76,Tabla18[Nombre],0),3),"")</f>
        <v/>
      </c>
      <c r="AY76" s="527" t="str">
        <f>IF(AR76&lt;&gt;0,INDEX(Tabla18[],MATCH(AQ76,Tabla18[Nombre],0),4),"")</f>
        <v/>
      </c>
      <c r="AZ76" s="527" t="str">
        <f>IF(AR76&lt;&gt;0,INDEX(Tabla18[],MATCH(AQ76,Tabla18[Nombre],0),5),"")</f>
        <v/>
      </c>
      <c r="BA76" s="596" t="str">
        <f>IF(AR76&lt;&gt;0,INDEX(Tabla18[],MATCH(AQ76,Tabla18[Nombre],0),6),"")</f>
        <v/>
      </c>
      <c r="BB76" s="598"/>
      <c r="BC76" s="527"/>
      <c r="BD76" s="527"/>
      <c r="BE76" s="527"/>
      <c r="BF76" s="527"/>
      <c r="BG76" s="600"/>
      <c r="BH76" s="608"/>
      <c r="BL76" s="606" t="s">
        <v>6949</v>
      </c>
      <c r="BM76" s="556"/>
      <c r="BN76" s="527" t="str">
        <f>IF(BM76&lt;&gt;0,INDEX(Tabla16[],MATCH(BL76&amp;BM76,Tabla16[Concatenado],0),IF(CC76="Si",4,5)),"")</f>
        <v/>
      </c>
      <c r="BO76" s="527" t="str">
        <f>IF(BM76&lt;&gt;0,INDEX(Tabla16[],MATCH(BL76&amp;BM76,Tabla16[Concatenado],0),6),"")</f>
        <v/>
      </c>
      <c r="BP76" s="527" t="str">
        <f>IFERROR(IF(BM76&lt;&gt;0,INDEX(Tabla16[],MATCH(BL76&amp;BM76,Tabla16[Concatenado],0),IF(BQ$3=TS!$O$2,7,IF(BQ$3=TS!$O$3,8,IF(BQ$3=TS!$O$4,9,"")))),""),"")</f>
        <v/>
      </c>
      <c r="BQ76" s="527" t="str">
        <f>IF(BM76&lt;&gt;0,INDEX(Tabla16[],MATCH(BL76&amp;BM76,Tabla16[Concatenado],0),10),"")</f>
        <v/>
      </c>
      <c r="BR76" s="527" t="str">
        <f>IF(BM76&lt;&gt;0,INDEX(Tabla18[],MATCH(BL76,Tabla18[Nombre],0),2),"")</f>
        <v/>
      </c>
      <c r="BS76" s="527" t="str">
        <f>IF(BM76&lt;&gt;0,INDEX(Tabla18[],MATCH(BL76,Tabla18[Nombre],0),3),"")</f>
        <v/>
      </c>
      <c r="BT76" s="527" t="str">
        <f>IF(BM76&lt;&gt;0,INDEX(Tabla18[],MATCH(BL76,Tabla18[Nombre],0),4),"")</f>
        <v/>
      </c>
      <c r="BU76" s="527" t="str">
        <f>IF(BM76&lt;&gt;0,INDEX(Tabla18[],MATCH(BL76,Tabla18[Nombre],0),5),"")</f>
        <v/>
      </c>
      <c r="BV76" s="596" t="str">
        <f>IF(BM76&lt;&gt;0,INDEX(Tabla18[],MATCH(BL76,Tabla18[Nombre],0),6),"")</f>
        <v/>
      </c>
      <c r="BW76" s="598"/>
      <c r="BX76" s="527"/>
      <c r="BY76" s="527"/>
      <c r="BZ76" s="527"/>
      <c r="CA76" s="527"/>
      <c r="CB76" s="600"/>
      <c r="CC76" s="608"/>
    </row>
    <row r="77" spans="1:81" x14ac:dyDescent="0.2">
      <c r="A77" s="606" t="s">
        <v>6950</v>
      </c>
      <c r="B77" s="556"/>
      <c r="C77" s="527" t="str">
        <f>IF(B77&lt;&gt;0,INDEX(Tabla16[],MATCH(A77&amp;B77,Tabla16[Concatenado],0),IF(R77="Si",4,5)),"")</f>
        <v/>
      </c>
      <c r="D77" s="527" t="str">
        <f>IF(B77&lt;&gt;0,INDEX(Tabla16[],MATCH(A77&amp;B77,Tabla16[Concatenado],0),6),"")</f>
        <v/>
      </c>
      <c r="E77" s="527" t="str">
        <f>IFERROR(IF(B77&lt;&gt;0,INDEX(Tabla16[],MATCH(A77&amp;B77,Tabla16[Concatenado],0),IF(F$3=TS!$O$2,7,IF(F$3=TS!$O$3,8,IF(F$3=TS!$O$4,9,"")))),""),"")</f>
        <v/>
      </c>
      <c r="F77" s="527" t="str">
        <f>IF(B77&lt;&gt;0,INDEX(Tabla16[],MATCH(A77&amp;B77,Tabla16[Concatenado],0),10),"")</f>
        <v/>
      </c>
      <c r="G77" s="527" t="str">
        <f>IF(B77&lt;&gt;0,INDEX(Tabla18[],MATCH(A77,Tabla18[Nombre],0),2),"")</f>
        <v/>
      </c>
      <c r="H77" s="527" t="str">
        <f>IF(B77&lt;&gt;0,INDEX(Tabla18[],MATCH(A77,Tabla18[Nombre],0),3),"")</f>
        <v/>
      </c>
      <c r="I77" s="527" t="str">
        <f>IF(B77&lt;&gt;0,INDEX(Tabla18[],MATCH(A77,Tabla18[Nombre],0),4),"")</f>
        <v/>
      </c>
      <c r="J77" s="527" t="str">
        <f>IF(B77&lt;&gt;0,INDEX(Tabla18[],MATCH(A77,Tabla18[Nombre],0),5),"")</f>
        <v/>
      </c>
      <c r="K77" s="596" t="str">
        <f>IF(B77&lt;&gt;0,INDEX(Tabla18[],MATCH(A77,Tabla18[Nombre],0),6),"")</f>
        <v/>
      </c>
      <c r="L77" s="598"/>
      <c r="M77" s="527"/>
      <c r="N77" s="527"/>
      <c r="O77" s="527"/>
      <c r="P77" s="527"/>
      <c r="Q77" s="600"/>
      <c r="R77" s="608"/>
      <c r="V77" s="606" t="s">
        <v>6950</v>
      </c>
      <c r="W77" s="556"/>
      <c r="X77" s="527" t="str">
        <f>IF(W77&lt;&gt;0,INDEX(Tabla16[],MATCH(V77&amp;W77,Tabla16[Concatenado],0),IF(AM77="Si",4,5)),"")</f>
        <v/>
      </c>
      <c r="Y77" s="527" t="str">
        <f>IF(W77&lt;&gt;0,INDEX(Tabla16[],MATCH(V77&amp;W77,Tabla16[Concatenado],0),6),"")</f>
        <v/>
      </c>
      <c r="Z77" s="527" t="str">
        <f>IFERROR(IF(W77&lt;&gt;0,INDEX(Tabla16[],MATCH(V77&amp;W77,Tabla16[Concatenado],0),IF(AA$3=TS!$O$2,7,IF(AA$3=TS!$O$3,8,IF(AA$3=TS!$O$4,9,"")))),""),"")</f>
        <v/>
      </c>
      <c r="AA77" s="527" t="str">
        <f>IF(W77&lt;&gt;0,INDEX(Tabla16[],MATCH(V77&amp;W77,Tabla16[Concatenado],0),10),"")</f>
        <v/>
      </c>
      <c r="AB77" s="527" t="str">
        <f>IF(W77&lt;&gt;0,INDEX(Tabla18[],MATCH(V77,Tabla18[Nombre],0),2),"")</f>
        <v/>
      </c>
      <c r="AC77" s="527" t="str">
        <f>IF(W77&lt;&gt;0,INDEX(Tabla18[],MATCH(V77,Tabla18[Nombre],0),3),"")</f>
        <v/>
      </c>
      <c r="AD77" s="527" t="str">
        <f>IF(W77&lt;&gt;0,INDEX(Tabla18[],MATCH(V77,Tabla18[Nombre],0),4),"")</f>
        <v/>
      </c>
      <c r="AE77" s="527" t="str">
        <f>IF(W77&lt;&gt;0,INDEX(Tabla18[],MATCH(V77,Tabla18[Nombre],0),5),"")</f>
        <v/>
      </c>
      <c r="AF77" s="596" t="str">
        <f>IF(W77&lt;&gt;0,INDEX(Tabla18[],MATCH(V77,Tabla18[Nombre],0),6),"")</f>
        <v/>
      </c>
      <c r="AG77" s="598"/>
      <c r="AH77" s="527"/>
      <c r="AI77" s="527"/>
      <c r="AJ77" s="527"/>
      <c r="AK77" s="527"/>
      <c r="AL77" s="600"/>
      <c r="AM77" s="608"/>
      <c r="AQ77" s="606" t="s">
        <v>6950</v>
      </c>
      <c r="AR77" s="556"/>
      <c r="AS77" s="527" t="str">
        <f>IF(AR77&lt;&gt;0,INDEX(Tabla16[],MATCH(AQ77&amp;AR77,Tabla16[Concatenado],0),IF(BH77="Si",4,5)),"")</f>
        <v/>
      </c>
      <c r="AT77" s="527" t="str">
        <f>IF(AR77&lt;&gt;0,INDEX(Tabla16[],MATCH(AQ77&amp;AR77,Tabla16[Concatenado],0),6),"")</f>
        <v/>
      </c>
      <c r="AU77" s="527" t="str">
        <f>IFERROR(IF(AR77&lt;&gt;0,INDEX(Tabla16[],MATCH(AQ77&amp;AR77,Tabla16[Concatenado],0),IF(AV$3=TS!$O$2,7,IF(AV$3=TS!$O$3,8,IF(AV$3=TS!$O$4,9,"")))),""),"")</f>
        <v/>
      </c>
      <c r="AV77" s="527" t="str">
        <f>IF(AR77&lt;&gt;0,INDEX(Tabla16[],MATCH(AQ77&amp;AR77,Tabla16[Concatenado],0),10),"")</f>
        <v/>
      </c>
      <c r="AW77" s="527" t="str">
        <f>IF(AR77&lt;&gt;0,INDEX(Tabla18[],MATCH(AQ77,Tabla18[Nombre],0),2),"")</f>
        <v/>
      </c>
      <c r="AX77" s="527" t="str">
        <f>IF(AR77&lt;&gt;0,INDEX(Tabla18[],MATCH(AQ77,Tabla18[Nombre],0),3),"")</f>
        <v/>
      </c>
      <c r="AY77" s="527" t="str">
        <f>IF(AR77&lt;&gt;0,INDEX(Tabla18[],MATCH(AQ77,Tabla18[Nombre],0),4),"")</f>
        <v/>
      </c>
      <c r="AZ77" s="527" t="str">
        <f>IF(AR77&lt;&gt;0,INDEX(Tabla18[],MATCH(AQ77,Tabla18[Nombre],0),5),"")</f>
        <v/>
      </c>
      <c r="BA77" s="596" t="str">
        <f>IF(AR77&lt;&gt;0,INDEX(Tabla18[],MATCH(AQ77,Tabla18[Nombre],0),6),"")</f>
        <v/>
      </c>
      <c r="BB77" s="598"/>
      <c r="BC77" s="527"/>
      <c r="BD77" s="527"/>
      <c r="BE77" s="527"/>
      <c r="BF77" s="527"/>
      <c r="BG77" s="600"/>
      <c r="BH77" s="608"/>
      <c r="BL77" s="606" t="s">
        <v>6950</v>
      </c>
      <c r="BM77" s="556"/>
      <c r="BN77" s="527" t="str">
        <f>IF(BM77&lt;&gt;0,INDEX(Tabla16[],MATCH(BL77&amp;BM77,Tabla16[Concatenado],0),IF(CC77="Si",4,5)),"")</f>
        <v/>
      </c>
      <c r="BO77" s="527" t="str">
        <f>IF(BM77&lt;&gt;0,INDEX(Tabla16[],MATCH(BL77&amp;BM77,Tabla16[Concatenado],0),6),"")</f>
        <v/>
      </c>
      <c r="BP77" s="527" t="str">
        <f>IFERROR(IF(BM77&lt;&gt;0,INDEX(Tabla16[],MATCH(BL77&amp;BM77,Tabla16[Concatenado],0),IF(BQ$3=TS!$O$2,7,IF(BQ$3=TS!$O$3,8,IF(BQ$3=TS!$O$4,9,"")))),""),"")</f>
        <v/>
      </c>
      <c r="BQ77" s="527" t="str">
        <f>IF(BM77&lt;&gt;0,INDEX(Tabla16[],MATCH(BL77&amp;BM77,Tabla16[Concatenado],0),10),"")</f>
        <v/>
      </c>
      <c r="BR77" s="527" t="str">
        <f>IF(BM77&lt;&gt;0,INDEX(Tabla18[],MATCH(BL77,Tabla18[Nombre],0),2),"")</f>
        <v/>
      </c>
      <c r="BS77" s="527" t="str">
        <f>IF(BM77&lt;&gt;0,INDEX(Tabla18[],MATCH(BL77,Tabla18[Nombre],0),3),"")</f>
        <v/>
      </c>
      <c r="BT77" s="527" t="str">
        <f>IF(BM77&lt;&gt;0,INDEX(Tabla18[],MATCH(BL77,Tabla18[Nombre],0),4),"")</f>
        <v/>
      </c>
      <c r="BU77" s="527" t="str">
        <f>IF(BM77&lt;&gt;0,INDEX(Tabla18[],MATCH(BL77,Tabla18[Nombre],0),5),"")</f>
        <v/>
      </c>
      <c r="BV77" s="596" t="str">
        <f>IF(BM77&lt;&gt;0,INDEX(Tabla18[],MATCH(BL77,Tabla18[Nombre],0),6),"")</f>
        <v/>
      </c>
      <c r="BW77" s="598"/>
      <c r="BX77" s="527"/>
      <c r="BY77" s="527"/>
      <c r="BZ77" s="527"/>
      <c r="CA77" s="527"/>
      <c r="CB77" s="600"/>
      <c r="CC77" s="608"/>
    </row>
    <row r="78" spans="1:81" x14ac:dyDescent="0.2">
      <c r="A78" s="606" t="s">
        <v>6951</v>
      </c>
      <c r="B78" s="556"/>
      <c r="C78" s="527" t="str">
        <f>IF(B78&lt;&gt;0,INDEX(Tabla16[],MATCH(A78&amp;B78,Tabla16[Concatenado],0),IF(R78="Si",4,5)),"")</f>
        <v/>
      </c>
      <c r="D78" s="527" t="str">
        <f>IF(B78&lt;&gt;0,INDEX(Tabla16[],MATCH(A78&amp;B78,Tabla16[Concatenado],0),6),"")</f>
        <v/>
      </c>
      <c r="E78" s="527" t="str">
        <f>IFERROR(IF(B78&lt;&gt;0,INDEX(Tabla16[],MATCH(A78&amp;B78,Tabla16[Concatenado],0),IF(F$3=TS!$O$2,7,IF(F$3=TS!$O$3,8,IF(F$3=TS!$O$4,9,"")))),""),"")</f>
        <v/>
      </c>
      <c r="F78" s="527" t="str">
        <f>IF(B78&lt;&gt;0,INDEX(Tabla16[],MATCH(A78&amp;B78,Tabla16[Concatenado],0),10),"")</f>
        <v/>
      </c>
      <c r="G78" s="527" t="str">
        <f>IF(B78&lt;&gt;0,INDEX(Tabla18[],MATCH(A78,Tabla18[Nombre],0),2),"")</f>
        <v/>
      </c>
      <c r="H78" s="527" t="str">
        <f>IF(B78&lt;&gt;0,INDEX(Tabla18[],MATCH(A78,Tabla18[Nombre],0),3),"")</f>
        <v/>
      </c>
      <c r="I78" s="527" t="str">
        <f>IF(B78&lt;&gt;0,INDEX(Tabla18[],MATCH(A78,Tabla18[Nombre],0),4),"")</f>
        <v/>
      </c>
      <c r="J78" s="527" t="str">
        <f>IF(B78&lt;&gt;0,INDEX(Tabla18[],MATCH(A78,Tabla18[Nombre],0),5),"")</f>
        <v/>
      </c>
      <c r="K78" s="596" t="str">
        <f>IF(B78&lt;&gt;0,INDEX(Tabla18[],MATCH(A78,Tabla18[Nombre],0),6),"")</f>
        <v/>
      </c>
      <c r="L78" s="598"/>
      <c r="M78" s="527"/>
      <c r="N78" s="527"/>
      <c r="O78" s="527"/>
      <c r="P78" s="527"/>
      <c r="Q78" s="600"/>
      <c r="R78" s="608"/>
      <c r="V78" s="606" t="s">
        <v>6951</v>
      </c>
      <c r="W78" s="556"/>
      <c r="X78" s="527" t="str">
        <f>IF(W78&lt;&gt;0,INDEX(Tabla16[],MATCH(V78&amp;W78,Tabla16[Concatenado],0),IF(AM78="Si",4,5)),"")</f>
        <v/>
      </c>
      <c r="Y78" s="527" t="str">
        <f>IF(W78&lt;&gt;0,INDEX(Tabla16[],MATCH(V78&amp;W78,Tabla16[Concatenado],0),6),"")</f>
        <v/>
      </c>
      <c r="Z78" s="527" t="str">
        <f>IFERROR(IF(W78&lt;&gt;0,INDEX(Tabla16[],MATCH(V78&amp;W78,Tabla16[Concatenado],0),IF(AA$3=TS!$O$2,7,IF(AA$3=TS!$O$3,8,IF(AA$3=TS!$O$4,9,"")))),""),"")</f>
        <v/>
      </c>
      <c r="AA78" s="527" t="str">
        <f>IF(W78&lt;&gt;0,INDEX(Tabla16[],MATCH(V78&amp;W78,Tabla16[Concatenado],0),10),"")</f>
        <v/>
      </c>
      <c r="AB78" s="527" t="str">
        <f>IF(W78&lt;&gt;0,INDEX(Tabla18[],MATCH(V78,Tabla18[Nombre],0),2),"")</f>
        <v/>
      </c>
      <c r="AC78" s="527" t="str">
        <f>IF(W78&lt;&gt;0,INDEX(Tabla18[],MATCH(V78,Tabla18[Nombre],0),3),"")</f>
        <v/>
      </c>
      <c r="AD78" s="527" t="str">
        <f>IF(W78&lt;&gt;0,INDEX(Tabla18[],MATCH(V78,Tabla18[Nombre],0),4),"")</f>
        <v/>
      </c>
      <c r="AE78" s="527" t="str">
        <f>IF(W78&lt;&gt;0,INDEX(Tabla18[],MATCH(V78,Tabla18[Nombre],0),5),"")</f>
        <v/>
      </c>
      <c r="AF78" s="596" t="str">
        <f>IF(W78&lt;&gt;0,INDEX(Tabla18[],MATCH(V78,Tabla18[Nombre],0),6),"")</f>
        <v/>
      </c>
      <c r="AG78" s="598"/>
      <c r="AH78" s="527"/>
      <c r="AI78" s="527"/>
      <c r="AJ78" s="527"/>
      <c r="AK78" s="527"/>
      <c r="AL78" s="600"/>
      <c r="AM78" s="608"/>
      <c r="AQ78" s="606" t="s">
        <v>6951</v>
      </c>
      <c r="AR78" s="556"/>
      <c r="AS78" s="527" t="str">
        <f>IF(AR78&lt;&gt;0,INDEX(Tabla16[],MATCH(AQ78&amp;AR78,Tabla16[Concatenado],0),IF(BH78="Si",4,5)),"")</f>
        <v/>
      </c>
      <c r="AT78" s="527" t="str">
        <f>IF(AR78&lt;&gt;0,INDEX(Tabla16[],MATCH(AQ78&amp;AR78,Tabla16[Concatenado],0),6),"")</f>
        <v/>
      </c>
      <c r="AU78" s="527" t="str">
        <f>IFERROR(IF(AR78&lt;&gt;0,INDEX(Tabla16[],MATCH(AQ78&amp;AR78,Tabla16[Concatenado],0),IF(AV$3=TS!$O$2,7,IF(AV$3=TS!$O$3,8,IF(AV$3=TS!$O$4,9,"")))),""),"")</f>
        <v/>
      </c>
      <c r="AV78" s="527" t="str">
        <f>IF(AR78&lt;&gt;0,INDEX(Tabla16[],MATCH(AQ78&amp;AR78,Tabla16[Concatenado],0),10),"")</f>
        <v/>
      </c>
      <c r="AW78" s="527" t="str">
        <f>IF(AR78&lt;&gt;0,INDEX(Tabla18[],MATCH(AQ78,Tabla18[Nombre],0),2),"")</f>
        <v/>
      </c>
      <c r="AX78" s="527" t="str">
        <f>IF(AR78&lt;&gt;0,INDEX(Tabla18[],MATCH(AQ78,Tabla18[Nombre],0),3),"")</f>
        <v/>
      </c>
      <c r="AY78" s="527" t="str">
        <f>IF(AR78&lt;&gt;0,INDEX(Tabla18[],MATCH(AQ78,Tabla18[Nombre],0),4),"")</f>
        <v/>
      </c>
      <c r="AZ78" s="527" t="str">
        <f>IF(AR78&lt;&gt;0,INDEX(Tabla18[],MATCH(AQ78,Tabla18[Nombre],0),5),"")</f>
        <v/>
      </c>
      <c r="BA78" s="596" t="str">
        <f>IF(AR78&lt;&gt;0,INDEX(Tabla18[],MATCH(AQ78,Tabla18[Nombre],0),6),"")</f>
        <v/>
      </c>
      <c r="BB78" s="598"/>
      <c r="BC78" s="527"/>
      <c r="BD78" s="527"/>
      <c r="BE78" s="527"/>
      <c r="BF78" s="527"/>
      <c r="BG78" s="600"/>
      <c r="BH78" s="608"/>
      <c r="BL78" s="606" t="s">
        <v>6951</v>
      </c>
      <c r="BM78" s="556"/>
      <c r="BN78" s="527" t="str">
        <f>IF(BM78&lt;&gt;0,INDEX(Tabla16[],MATCH(BL78&amp;BM78,Tabla16[Concatenado],0),IF(CC78="Si",4,5)),"")</f>
        <v/>
      </c>
      <c r="BO78" s="527" t="str">
        <f>IF(BM78&lt;&gt;0,INDEX(Tabla16[],MATCH(BL78&amp;BM78,Tabla16[Concatenado],0),6),"")</f>
        <v/>
      </c>
      <c r="BP78" s="527" t="str">
        <f>IFERROR(IF(BM78&lt;&gt;0,INDEX(Tabla16[],MATCH(BL78&amp;BM78,Tabla16[Concatenado],0),IF(BQ$3=TS!$O$2,7,IF(BQ$3=TS!$O$3,8,IF(BQ$3=TS!$O$4,9,"")))),""),"")</f>
        <v/>
      </c>
      <c r="BQ78" s="527" t="str">
        <f>IF(BM78&lt;&gt;0,INDEX(Tabla16[],MATCH(BL78&amp;BM78,Tabla16[Concatenado],0),10),"")</f>
        <v/>
      </c>
      <c r="BR78" s="527" t="str">
        <f>IF(BM78&lt;&gt;0,INDEX(Tabla18[],MATCH(BL78,Tabla18[Nombre],0),2),"")</f>
        <v/>
      </c>
      <c r="BS78" s="527" t="str">
        <f>IF(BM78&lt;&gt;0,INDEX(Tabla18[],MATCH(BL78,Tabla18[Nombre],0),3),"")</f>
        <v/>
      </c>
      <c r="BT78" s="527" t="str">
        <f>IF(BM78&lt;&gt;0,INDEX(Tabla18[],MATCH(BL78,Tabla18[Nombre],0),4),"")</f>
        <v/>
      </c>
      <c r="BU78" s="527" t="str">
        <f>IF(BM78&lt;&gt;0,INDEX(Tabla18[],MATCH(BL78,Tabla18[Nombre],0),5),"")</f>
        <v/>
      </c>
      <c r="BV78" s="596" t="str">
        <f>IF(BM78&lt;&gt;0,INDEX(Tabla18[],MATCH(BL78,Tabla18[Nombre],0),6),"")</f>
        <v/>
      </c>
      <c r="BW78" s="598"/>
      <c r="BX78" s="527"/>
      <c r="BY78" s="527"/>
      <c r="BZ78" s="527"/>
      <c r="CA78" s="527"/>
      <c r="CB78" s="600"/>
      <c r="CC78" s="608"/>
    </row>
    <row r="79" spans="1:81" x14ac:dyDescent="0.2">
      <c r="A79" s="606" t="s">
        <v>6952</v>
      </c>
      <c r="B79" s="556"/>
      <c r="C79" s="527" t="str">
        <f>IF(B79&lt;&gt;0,INDEX(Tabla16[],MATCH(A78&amp;A79&amp;B79,Tabla16[Concatenado],0),IF(R79="Si",4,5)),"")</f>
        <v/>
      </c>
      <c r="D79" s="527" t="str">
        <f>IF(B79&lt;&gt;0,INDEX(Tabla16[],MATCH(A78&amp;A79&amp;B79,Tabla16[Concatenado],0),6),"")</f>
        <v/>
      </c>
      <c r="E79" s="527" t="str">
        <f>IFERROR(IF(B79&lt;&gt;0,INDEX(Tabla16[],MATCH(A78&amp;A79&amp;B79,Tabla16[Concatenado],0),IF(F$3=TS!$O$2,7,IF(F$3=TS!$O$3,8,IF(F$3=TS!$O$4,9,"")))),""),"")</f>
        <v/>
      </c>
      <c r="F79" s="527" t="str">
        <f>IF(B79&lt;&gt;0,INDEX(Tabla16[],MATCH(A78&amp;A79&amp;B79,Tabla16[Concatenado],0),10),"")</f>
        <v/>
      </c>
      <c r="G79" s="527" t="str">
        <f>IF(B79&lt;&gt;0,INDEX(Tabla18[],MATCH(A79,Tabla18[Nombre],0),2),"")</f>
        <v/>
      </c>
      <c r="H79" s="527" t="str">
        <f>IF(B79&lt;&gt;0,INDEX(Tabla18[],MATCH(A79,Tabla18[Nombre],0),3),"")</f>
        <v/>
      </c>
      <c r="I79" s="527" t="str">
        <f>IF(B79&lt;&gt;0,INDEX(Tabla18[],MATCH(A79,Tabla18[Nombre],0),4),"")</f>
        <v/>
      </c>
      <c r="J79" s="527" t="str">
        <f>IF(B79&lt;&gt;0,INDEX(Tabla18[],MATCH(A79,Tabla18[Nombre],0),5),"")</f>
        <v/>
      </c>
      <c r="K79" s="596" t="str">
        <f>IF(B79&lt;&gt;0,INDEX(Tabla18[],MATCH(A79,Tabla18[Nombre],0),6),"")</f>
        <v/>
      </c>
      <c r="L79" s="598"/>
      <c r="M79" s="527"/>
      <c r="N79" s="527"/>
      <c r="O79" s="527"/>
      <c r="P79" s="527"/>
      <c r="Q79" s="600"/>
      <c r="R79" s="608"/>
      <c r="V79" s="606" t="s">
        <v>6952</v>
      </c>
      <c r="W79" s="556"/>
      <c r="X79" s="527" t="str">
        <f>IF(W79&lt;&gt;0,INDEX(Tabla16[],MATCH(V78&amp;V79&amp;W79,Tabla16[Concatenado],0),IF(AM79="Si",4,5)),"")</f>
        <v/>
      </c>
      <c r="Y79" s="527" t="str">
        <f>IF(W79&lt;&gt;0,INDEX(Tabla16[],MATCH(V78&amp;V79&amp;W79,Tabla16[Concatenado],0),6),"")</f>
        <v/>
      </c>
      <c r="Z79" s="527" t="str">
        <f>IFERROR(IF(W79&lt;&gt;0,INDEX(Tabla16[],MATCH(V78&amp;V79&amp;W79,Tabla16[Concatenado],0),IF(AA$3=TS!$O$2,7,IF(AA$3=TS!$O$3,8,IF(AA$3=TS!$O$4,9,"")))),""),"")</f>
        <v/>
      </c>
      <c r="AA79" s="527" t="str">
        <f>IF(W79&lt;&gt;0,INDEX(Tabla16[],MATCH(V78&amp;V79&amp;W79,Tabla16[Concatenado],0),10),"")</f>
        <v/>
      </c>
      <c r="AB79" s="527" t="str">
        <f>IF(W79&lt;&gt;0,INDEX(Tabla18[],MATCH(V79,Tabla18[Nombre],0),2),"")</f>
        <v/>
      </c>
      <c r="AC79" s="527" t="str">
        <f>IF(W79&lt;&gt;0,INDEX(Tabla18[],MATCH(V79,Tabla18[Nombre],0),3),"")</f>
        <v/>
      </c>
      <c r="AD79" s="527" t="str">
        <f>IF(W79&lt;&gt;0,INDEX(Tabla18[],MATCH(V79,Tabla18[Nombre],0),4),"")</f>
        <v/>
      </c>
      <c r="AE79" s="527" t="str">
        <f>IF(W79&lt;&gt;0,INDEX(Tabla18[],MATCH(V79,Tabla18[Nombre],0),5),"")</f>
        <v/>
      </c>
      <c r="AF79" s="596" t="str">
        <f>IF(W79&lt;&gt;0,INDEX(Tabla18[],MATCH(V79,Tabla18[Nombre],0),6),"")</f>
        <v/>
      </c>
      <c r="AG79" s="598"/>
      <c r="AH79" s="527"/>
      <c r="AI79" s="527"/>
      <c r="AJ79" s="527"/>
      <c r="AK79" s="527"/>
      <c r="AL79" s="600"/>
      <c r="AM79" s="608"/>
      <c r="AQ79" s="606" t="s">
        <v>6952</v>
      </c>
      <c r="AR79" s="556"/>
      <c r="AS79" s="527" t="str">
        <f>IF(AR79&lt;&gt;0,INDEX(Tabla16[],MATCH(AQ78&amp;AQ79&amp;AR79,Tabla16[Concatenado],0),IF(BH79="Si",4,5)),"")</f>
        <v/>
      </c>
      <c r="AT79" s="527" t="str">
        <f>IF(AR79&lt;&gt;0,INDEX(Tabla16[],MATCH(AQ78&amp;AQ79&amp;AR79,Tabla16[Concatenado],0),6),"")</f>
        <v/>
      </c>
      <c r="AU79" s="527" t="str">
        <f>IFERROR(IF(AR79&lt;&gt;0,INDEX(Tabla16[],MATCH(AQ78&amp;AQ79&amp;AR79,Tabla16[Concatenado],0),IF(AV$3=TS!$O$2,7,IF(AV$3=TS!$O$3,8,IF(AV$3=TS!$O$4,9,"")))),""),"")</f>
        <v/>
      </c>
      <c r="AV79" s="527" t="str">
        <f>IF(AR79&lt;&gt;0,INDEX(Tabla16[],MATCH(AQ78&amp;AQ79&amp;AR79,Tabla16[Concatenado],0),10),"")</f>
        <v/>
      </c>
      <c r="AW79" s="527" t="str">
        <f>IF(AR79&lt;&gt;0,INDEX(Tabla18[],MATCH(AQ79,Tabla18[Nombre],0),2),"")</f>
        <v/>
      </c>
      <c r="AX79" s="527" t="str">
        <f>IF(AR79&lt;&gt;0,INDEX(Tabla18[],MATCH(AQ79,Tabla18[Nombre],0),3),"")</f>
        <v/>
      </c>
      <c r="AY79" s="527" t="str">
        <f>IF(AR79&lt;&gt;0,INDEX(Tabla18[],MATCH(AQ79,Tabla18[Nombre],0),4),"")</f>
        <v/>
      </c>
      <c r="AZ79" s="527" t="str">
        <f>IF(AR79&lt;&gt;0,INDEX(Tabla18[],MATCH(AQ79,Tabla18[Nombre],0),5),"")</f>
        <v/>
      </c>
      <c r="BA79" s="596" t="str">
        <f>IF(AR79&lt;&gt;0,INDEX(Tabla18[],MATCH(AQ79,Tabla18[Nombre],0),6),"")</f>
        <v/>
      </c>
      <c r="BB79" s="598"/>
      <c r="BC79" s="527"/>
      <c r="BD79" s="527"/>
      <c r="BE79" s="527"/>
      <c r="BF79" s="527"/>
      <c r="BG79" s="600"/>
      <c r="BH79" s="608"/>
      <c r="BL79" s="606" t="s">
        <v>6952</v>
      </c>
      <c r="BM79" s="556"/>
      <c r="BN79" s="527" t="str">
        <f>IF(BM79&lt;&gt;0,INDEX(Tabla16[],MATCH(BL78&amp;BL79&amp;BM79,Tabla16[Concatenado],0),IF(CC79="Si",4,5)),"")</f>
        <v/>
      </c>
      <c r="BO79" s="527" t="str">
        <f>IF(BM79&lt;&gt;0,INDEX(Tabla16[],MATCH(BL78&amp;BL79&amp;BM79,Tabla16[Concatenado],0),6),"")</f>
        <v/>
      </c>
      <c r="BP79" s="527" t="str">
        <f>IFERROR(IF(BM79&lt;&gt;0,INDEX(Tabla16[],MATCH(BL78&amp;BL79&amp;BM79,Tabla16[Concatenado],0),IF(BQ$3=TS!$O$2,7,IF(BQ$3=TS!$O$3,8,IF(BQ$3=TS!$O$4,9,"")))),""),"")</f>
        <v/>
      </c>
      <c r="BQ79" s="527" t="str">
        <f>IF(BM79&lt;&gt;0,INDEX(Tabla16[],MATCH(BL78&amp;BL79&amp;BM79,Tabla16[Concatenado],0),10),"")</f>
        <v/>
      </c>
      <c r="BR79" s="527" t="str">
        <f>IF(BM79&lt;&gt;0,INDEX(Tabla18[],MATCH(BL79,Tabla18[Nombre],0),2),"")</f>
        <v/>
      </c>
      <c r="BS79" s="527" t="str">
        <f>IF(BM79&lt;&gt;0,INDEX(Tabla18[],MATCH(BL79,Tabla18[Nombre],0),3),"")</f>
        <v/>
      </c>
      <c r="BT79" s="527" t="str">
        <f>IF(BM79&lt;&gt;0,INDEX(Tabla18[],MATCH(BL79,Tabla18[Nombre],0),4),"")</f>
        <v/>
      </c>
      <c r="BU79" s="527" t="str">
        <f>IF(BM79&lt;&gt;0,INDEX(Tabla18[],MATCH(BL79,Tabla18[Nombre],0),5),"")</f>
        <v/>
      </c>
      <c r="BV79" s="596" t="str">
        <f>IF(BM79&lt;&gt;0,INDEX(Tabla18[],MATCH(BL79,Tabla18[Nombre],0),6),"")</f>
        <v/>
      </c>
      <c r="BW79" s="598"/>
      <c r="BX79" s="527"/>
      <c r="BY79" s="527"/>
      <c r="BZ79" s="527"/>
      <c r="CA79" s="527"/>
      <c r="CB79" s="600"/>
      <c r="CC79" s="608"/>
    </row>
    <row r="80" spans="1:81" x14ac:dyDescent="0.2">
      <c r="A80" s="606" t="s">
        <v>6952</v>
      </c>
      <c r="B80" s="556"/>
      <c r="C80" s="527" t="str">
        <f>IF(B80&lt;&gt;0,INDEX(Tabla16[],MATCH(A78&amp;A80&amp;B80,Tabla16[Concatenado],0),IF(R80="Si",4,5)),"")</f>
        <v/>
      </c>
      <c r="D80" s="527" t="str">
        <f>IF(B80&lt;&gt;0,INDEX(Tabla16[],MATCH(A78&amp;A80&amp;B80,Tabla16[Concatenado],0),6),"")</f>
        <v/>
      </c>
      <c r="E80" s="527" t="str">
        <f>IFERROR(IF(B80&lt;&gt;0,INDEX(Tabla16[],MATCH(A78&amp;A80&amp;B80,Tabla16[Concatenado],0),IF(F$3=TS!$O$2,7,IF(F$3=TS!$O$3,8,IF(F$3=TS!$O$4,9,"")))),""),"")</f>
        <v/>
      </c>
      <c r="F80" s="527" t="str">
        <f>IF(B80&lt;&gt;0,INDEX(Tabla16[],MATCH(A78&amp;A80&amp;B80,Tabla16[Concatenado],0),10),"")</f>
        <v/>
      </c>
      <c r="G80" s="527" t="str">
        <f>IF(B80&lt;&gt;0,INDEX(Tabla18[],MATCH(A80,Tabla18[Nombre],0),2),"")</f>
        <v/>
      </c>
      <c r="H80" s="527" t="str">
        <f>IF(B80&lt;&gt;0,INDEX(Tabla18[],MATCH(A80,Tabla18[Nombre],0),3),"")</f>
        <v/>
      </c>
      <c r="I80" s="527" t="str">
        <f>IF(B80&lt;&gt;0,INDEX(Tabla18[],MATCH(A80,Tabla18[Nombre],0),4),"")</f>
        <v/>
      </c>
      <c r="J80" s="527" t="str">
        <f>IF(B80&lt;&gt;0,INDEX(Tabla18[],MATCH(A80,Tabla18[Nombre],0),5),"")</f>
        <v/>
      </c>
      <c r="K80" s="596" t="str">
        <f>IF(B80&lt;&gt;0,INDEX(Tabla18[],MATCH(A80,Tabla18[Nombre],0),6),"")</f>
        <v/>
      </c>
      <c r="L80" s="598"/>
      <c r="M80" s="527"/>
      <c r="N80" s="527"/>
      <c r="O80" s="527"/>
      <c r="P80" s="527"/>
      <c r="Q80" s="600"/>
      <c r="R80" s="608"/>
      <c r="V80" s="606" t="s">
        <v>6952</v>
      </c>
      <c r="W80" s="556"/>
      <c r="X80" s="527" t="str">
        <f>IF(W80&lt;&gt;0,INDEX(Tabla16[],MATCH(V78&amp;V80&amp;W80,Tabla16[Concatenado],0),IF(AM80="Si",4,5)),"")</f>
        <v/>
      </c>
      <c r="Y80" s="527" t="str">
        <f>IF(W80&lt;&gt;0,INDEX(Tabla16[],MATCH(V78&amp;V80&amp;W80,Tabla16[Concatenado],0),6),"")</f>
        <v/>
      </c>
      <c r="Z80" s="527" t="str">
        <f>IFERROR(IF(W80&lt;&gt;0,INDEX(Tabla16[],MATCH(V78&amp;V80&amp;W80,Tabla16[Concatenado],0),IF(AA$3=TS!$O$2,7,IF(AA$3=TS!$O$3,8,IF(AA$3=TS!$O$4,9,"")))),""),"")</f>
        <v/>
      </c>
      <c r="AA80" s="527" t="str">
        <f>IF(W80&lt;&gt;0,INDEX(Tabla16[],MATCH(V78&amp;V80&amp;W80,Tabla16[Concatenado],0),10),"")</f>
        <v/>
      </c>
      <c r="AB80" s="527" t="str">
        <f>IF(W80&lt;&gt;0,INDEX(Tabla18[],MATCH(V80,Tabla18[Nombre],0),2),"")</f>
        <v/>
      </c>
      <c r="AC80" s="527" t="str">
        <f>IF(W80&lt;&gt;0,INDEX(Tabla18[],MATCH(V80,Tabla18[Nombre],0),3),"")</f>
        <v/>
      </c>
      <c r="AD80" s="527" t="str">
        <f>IF(W80&lt;&gt;0,INDEX(Tabla18[],MATCH(V80,Tabla18[Nombre],0),4),"")</f>
        <v/>
      </c>
      <c r="AE80" s="527" t="str">
        <f>IF(W80&lt;&gt;0,INDEX(Tabla18[],MATCH(V80,Tabla18[Nombre],0),5),"")</f>
        <v/>
      </c>
      <c r="AF80" s="596" t="str">
        <f>IF(W80&lt;&gt;0,INDEX(Tabla18[],MATCH(V80,Tabla18[Nombre],0),6),"")</f>
        <v/>
      </c>
      <c r="AG80" s="598"/>
      <c r="AH80" s="527"/>
      <c r="AI80" s="527"/>
      <c r="AJ80" s="527"/>
      <c r="AK80" s="527"/>
      <c r="AL80" s="600"/>
      <c r="AM80" s="608"/>
      <c r="AQ80" s="606" t="s">
        <v>6952</v>
      </c>
      <c r="AR80" s="556"/>
      <c r="AS80" s="527" t="str">
        <f>IF(AR80&lt;&gt;0,INDEX(Tabla16[],MATCH(AQ78&amp;AQ80&amp;AR80,Tabla16[Concatenado],0),IF(BH80="Si",4,5)),"")</f>
        <v/>
      </c>
      <c r="AT80" s="527" t="str">
        <f>IF(AR80&lt;&gt;0,INDEX(Tabla16[],MATCH(AQ78&amp;AQ80&amp;AR80,Tabla16[Concatenado],0),6),"")</f>
        <v/>
      </c>
      <c r="AU80" s="527" t="str">
        <f>IFERROR(IF(AR80&lt;&gt;0,INDEX(Tabla16[],MATCH(AQ78&amp;AQ80&amp;AR80,Tabla16[Concatenado],0),IF(AV$3=TS!$O$2,7,IF(AV$3=TS!$O$3,8,IF(AV$3=TS!$O$4,9,"")))),""),"")</f>
        <v/>
      </c>
      <c r="AV80" s="527" t="str">
        <f>IF(AR80&lt;&gt;0,INDEX(Tabla16[],MATCH(AQ78&amp;AQ80&amp;AR80,Tabla16[Concatenado],0),10),"")</f>
        <v/>
      </c>
      <c r="AW80" s="527" t="str">
        <f>IF(AR80&lt;&gt;0,INDEX(Tabla18[],MATCH(AQ80,Tabla18[Nombre],0),2),"")</f>
        <v/>
      </c>
      <c r="AX80" s="527" t="str">
        <f>IF(AR80&lt;&gt;0,INDEX(Tabla18[],MATCH(AQ80,Tabla18[Nombre],0),3),"")</f>
        <v/>
      </c>
      <c r="AY80" s="527" t="str">
        <f>IF(AR80&lt;&gt;0,INDEX(Tabla18[],MATCH(AQ80,Tabla18[Nombre],0),4),"")</f>
        <v/>
      </c>
      <c r="AZ80" s="527" t="str">
        <f>IF(AR80&lt;&gt;0,INDEX(Tabla18[],MATCH(AQ80,Tabla18[Nombre],0),5),"")</f>
        <v/>
      </c>
      <c r="BA80" s="596" t="str">
        <f>IF(AR80&lt;&gt;0,INDEX(Tabla18[],MATCH(AQ80,Tabla18[Nombre],0),6),"")</f>
        <v/>
      </c>
      <c r="BB80" s="598"/>
      <c r="BC80" s="527"/>
      <c r="BD80" s="527"/>
      <c r="BE80" s="527"/>
      <c r="BF80" s="527"/>
      <c r="BG80" s="600"/>
      <c r="BH80" s="608"/>
      <c r="BL80" s="606" t="s">
        <v>6952</v>
      </c>
      <c r="BM80" s="556"/>
      <c r="BN80" s="527" t="str">
        <f>IF(BM80&lt;&gt;0,INDEX(Tabla16[],MATCH(BL78&amp;BL80&amp;BM80,Tabla16[Concatenado],0),IF(CC80="Si",4,5)),"")</f>
        <v/>
      </c>
      <c r="BO80" s="527" t="str">
        <f>IF(BM80&lt;&gt;0,INDEX(Tabla16[],MATCH(BL78&amp;BL80&amp;BM80,Tabla16[Concatenado],0),6),"")</f>
        <v/>
      </c>
      <c r="BP80" s="527" t="str">
        <f>IFERROR(IF(BM80&lt;&gt;0,INDEX(Tabla16[],MATCH(BL78&amp;BL80&amp;BM80,Tabla16[Concatenado],0),IF(BQ$3=TS!$O$2,7,IF(BQ$3=TS!$O$3,8,IF(BQ$3=TS!$O$4,9,"")))),""),"")</f>
        <v/>
      </c>
      <c r="BQ80" s="527" t="str">
        <f>IF(BM80&lt;&gt;0,INDEX(Tabla16[],MATCH(BL78&amp;BL80&amp;BM80,Tabla16[Concatenado],0),10),"")</f>
        <v/>
      </c>
      <c r="BR80" s="527" t="str">
        <f>IF(BM80&lt;&gt;0,INDEX(Tabla18[],MATCH(BL80,Tabla18[Nombre],0),2),"")</f>
        <v/>
      </c>
      <c r="BS80" s="527" t="str">
        <f>IF(BM80&lt;&gt;0,INDEX(Tabla18[],MATCH(BL80,Tabla18[Nombre],0),3),"")</f>
        <v/>
      </c>
      <c r="BT80" s="527" t="str">
        <f>IF(BM80&lt;&gt;0,INDEX(Tabla18[],MATCH(BL80,Tabla18[Nombre],0),4),"")</f>
        <v/>
      </c>
      <c r="BU80" s="527" t="str">
        <f>IF(BM80&lt;&gt;0,INDEX(Tabla18[],MATCH(BL80,Tabla18[Nombre],0),5),"")</f>
        <v/>
      </c>
      <c r="BV80" s="596" t="str">
        <f>IF(BM80&lt;&gt;0,INDEX(Tabla18[],MATCH(BL80,Tabla18[Nombre],0),6),"")</f>
        <v/>
      </c>
      <c r="BW80" s="598"/>
      <c r="BX80" s="527"/>
      <c r="BY80" s="527"/>
      <c r="BZ80" s="527"/>
      <c r="CA80" s="527"/>
      <c r="CB80" s="600"/>
      <c r="CC80" s="608"/>
    </row>
    <row r="81" spans="1:81" x14ac:dyDescent="0.2">
      <c r="A81" s="606" t="s">
        <v>6953</v>
      </c>
      <c r="B81" s="556"/>
      <c r="C81" s="527" t="str">
        <f>IF(B81&lt;&gt;0,INDEX(Tabla16[],MATCH(A81&amp;B81,Tabla16[Concatenado],0),IF(R81="Si",4,5)),"")</f>
        <v/>
      </c>
      <c r="D81" s="527" t="str">
        <f>IF(B81&lt;&gt;0,INDEX(Tabla16[],MATCH(A81&amp;B81,Tabla16[Concatenado],0),6),"")</f>
        <v/>
      </c>
      <c r="E81" s="527" t="str">
        <f>IFERROR(IF(B81&lt;&gt;0,INDEX(Tabla16[],MATCH(A81&amp;B81,Tabla16[Concatenado],0),IF(F$3=TS!$O$2,7,IF(F$3=TS!$O$3,8,IF(F$3=TS!$O$4,9,"")))),""),"")</f>
        <v/>
      </c>
      <c r="F81" s="527" t="str">
        <f>IF(B81&lt;&gt;0,INDEX(Tabla16[],MATCH(A81&amp;B81,Tabla16[Concatenado],0),10),"")</f>
        <v/>
      </c>
      <c r="G81" s="527" t="str">
        <f>IF(B81&lt;&gt;0,INDEX(Tabla18[],MATCH(A81,Tabla18[Nombre],0),2),"")</f>
        <v/>
      </c>
      <c r="H81" s="527" t="str">
        <f>IF(B81&lt;&gt;0,INDEX(Tabla18[],MATCH(A81,Tabla18[Nombre],0),3),"")</f>
        <v/>
      </c>
      <c r="I81" s="527" t="str">
        <f>IF(B81&lt;&gt;0,INDEX(Tabla18[],MATCH(A81,Tabla18[Nombre],0),4),"")</f>
        <v/>
      </c>
      <c r="J81" s="527" t="str">
        <f>IF(B81&lt;&gt;0,INDEX(Tabla18[],MATCH(A81,Tabla18[Nombre],0),5),"")</f>
        <v/>
      </c>
      <c r="K81" s="596" t="str">
        <f>IF(B81&lt;&gt;0,INDEX(Tabla18[],MATCH(A81,Tabla18[Nombre],0),6),"")</f>
        <v/>
      </c>
      <c r="L81" s="598"/>
      <c r="M81" s="527"/>
      <c r="N81" s="527"/>
      <c r="O81" s="527"/>
      <c r="P81" s="527"/>
      <c r="Q81" s="600"/>
      <c r="R81" s="608"/>
      <c r="V81" s="606" t="s">
        <v>6953</v>
      </c>
      <c r="W81" s="556"/>
      <c r="X81" s="527" t="str">
        <f>IF(W81&lt;&gt;0,INDEX(Tabla16[],MATCH(V81&amp;W81,Tabla16[Concatenado],0),IF(AM81="Si",4,5)),"")</f>
        <v/>
      </c>
      <c r="Y81" s="527" t="str">
        <f>IF(W81&lt;&gt;0,INDEX(Tabla16[],MATCH(V81&amp;W81,Tabla16[Concatenado],0),6),"")</f>
        <v/>
      </c>
      <c r="Z81" s="527" t="str">
        <f>IFERROR(IF(W81&lt;&gt;0,INDEX(Tabla16[],MATCH(V81&amp;W81,Tabla16[Concatenado],0),IF(AA$3=TS!$O$2,7,IF(AA$3=TS!$O$3,8,IF(AA$3=TS!$O$4,9,"")))),""),"")</f>
        <v/>
      </c>
      <c r="AA81" s="527" t="str">
        <f>IF(W81&lt;&gt;0,INDEX(Tabla16[],MATCH(V81&amp;W81,Tabla16[Concatenado],0),10),"")</f>
        <v/>
      </c>
      <c r="AB81" s="527" t="str">
        <f>IF(W81&lt;&gt;0,INDEX(Tabla18[],MATCH(V81,Tabla18[Nombre],0),2),"")</f>
        <v/>
      </c>
      <c r="AC81" s="527" t="str">
        <f>IF(W81&lt;&gt;0,INDEX(Tabla18[],MATCH(V81,Tabla18[Nombre],0),3),"")</f>
        <v/>
      </c>
      <c r="AD81" s="527" t="str">
        <f>IF(W81&lt;&gt;0,INDEX(Tabla18[],MATCH(V81,Tabla18[Nombre],0),4),"")</f>
        <v/>
      </c>
      <c r="AE81" s="527" t="str">
        <f>IF(W81&lt;&gt;0,INDEX(Tabla18[],MATCH(V81,Tabla18[Nombre],0),5),"")</f>
        <v/>
      </c>
      <c r="AF81" s="596" t="str">
        <f>IF(W81&lt;&gt;0,INDEX(Tabla18[],MATCH(V81,Tabla18[Nombre],0),6),"")</f>
        <v/>
      </c>
      <c r="AG81" s="598"/>
      <c r="AH81" s="527"/>
      <c r="AI81" s="527"/>
      <c r="AJ81" s="527"/>
      <c r="AK81" s="527"/>
      <c r="AL81" s="600"/>
      <c r="AM81" s="608"/>
      <c r="AQ81" s="606" t="s">
        <v>6953</v>
      </c>
      <c r="AR81" s="556"/>
      <c r="AS81" s="527" t="str">
        <f>IF(AR81&lt;&gt;0,INDEX(Tabla16[],MATCH(AQ81&amp;AR81,Tabla16[Concatenado],0),IF(BH81="Si",4,5)),"")</f>
        <v/>
      </c>
      <c r="AT81" s="527" t="str">
        <f>IF(AR81&lt;&gt;0,INDEX(Tabla16[],MATCH(AQ81&amp;AR81,Tabla16[Concatenado],0),6),"")</f>
        <v/>
      </c>
      <c r="AU81" s="527" t="str">
        <f>IFERROR(IF(AR81&lt;&gt;0,INDEX(Tabla16[],MATCH(AQ81&amp;AR81,Tabla16[Concatenado],0),IF(AV$3=TS!$O$2,7,IF(AV$3=TS!$O$3,8,IF(AV$3=TS!$O$4,9,"")))),""),"")</f>
        <v/>
      </c>
      <c r="AV81" s="527" t="str">
        <f>IF(AR81&lt;&gt;0,INDEX(Tabla16[],MATCH(AQ81&amp;AR81,Tabla16[Concatenado],0),10),"")</f>
        <v/>
      </c>
      <c r="AW81" s="527" t="str">
        <f>IF(AR81&lt;&gt;0,INDEX(Tabla18[],MATCH(AQ81,Tabla18[Nombre],0),2),"")</f>
        <v/>
      </c>
      <c r="AX81" s="527" t="str">
        <f>IF(AR81&lt;&gt;0,INDEX(Tabla18[],MATCH(AQ81,Tabla18[Nombre],0),3),"")</f>
        <v/>
      </c>
      <c r="AY81" s="527" t="str">
        <f>IF(AR81&lt;&gt;0,INDEX(Tabla18[],MATCH(AQ81,Tabla18[Nombre],0),4),"")</f>
        <v/>
      </c>
      <c r="AZ81" s="527" t="str">
        <f>IF(AR81&lt;&gt;0,INDEX(Tabla18[],MATCH(AQ81,Tabla18[Nombre],0),5),"")</f>
        <v/>
      </c>
      <c r="BA81" s="596" t="str">
        <f>IF(AR81&lt;&gt;0,INDEX(Tabla18[],MATCH(AQ81,Tabla18[Nombre],0),6),"")</f>
        <v/>
      </c>
      <c r="BB81" s="598"/>
      <c r="BC81" s="527"/>
      <c r="BD81" s="527"/>
      <c r="BE81" s="527"/>
      <c r="BF81" s="527"/>
      <c r="BG81" s="600"/>
      <c r="BH81" s="608"/>
      <c r="BL81" s="606" t="s">
        <v>6953</v>
      </c>
      <c r="BM81" s="556"/>
      <c r="BN81" s="527" t="str">
        <f>IF(BM81&lt;&gt;0,INDEX(Tabla16[],MATCH(BL81&amp;BM81,Tabla16[Concatenado],0),IF(CC81="Si",4,5)),"")</f>
        <v/>
      </c>
      <c r="BO81" s="527" t="str">
        <f>IF(BM81&lt;&gt;0,INDEX(Tabla16[],MATCH(BL81&amp;BM81,Tabla16[Concatenado],0),6),"")</f>
        <v/>
      </c>
      <c r="BP81" s="527" t="str">
        <f>IFERROR(IF(BM81&lt;&gt;0,INDEX(Tabla16[],MATCH(BL81&amp;BM81,Tabla16[Concatenado],0),IF(BQ$3=TS!$O$2,7,IF(BQ$3=TS!$O$3,8,IF(BQ$3=TS!$O$4,9,"")))),""),"")</f>
        <v/>
      </c>
      <c r="BQ81" s="527" t="str">
        <f>IF(BM81&lt;&gt;0,INDEX(Tabla16[],MATCH(BL81&amp;BM81,Tabla16[Concatenado],0),10),"")</f>
        <v/>
      </c>
      <c r="BR81" s="527" t="str">
        <f>IF(BM81&lt;&gt;0,INDEX(Tabla18[],MATCH(BL81,Tabla18[Nombre],0),2),"")</f>
        <v/>
      </c>
      <c r="BS81" s="527" t="str">
        <f>IF(BM81&lt;&gt;0,INDEX(Tabla18[],MATCH(BL81,Tabla18[Nombre],0),3),"")</f>
        <v/>
      </c>
      <c r="BT81" s="527" t="str">
        <f>IF(BM81&lt;&gt;0,INDEX(Tabla18[],MATCH(BL81,Tabla18[Nombre],0),4),"")</f>
        <v/>
      </c>
      <c r="BU81" s="527" t="str">
        <f>IF(BM81&lt;&gt;0,INDEX(Tabla18[],MATCH(BL81,Tabla18[Nombre],0),5),"")</f>
        <v/>
      </c>
      <c r="BV81" s="596" t="str">
        <f>IF(BM81&lt;&gt;0,INDEX(Tabla18[],MATCH(BL81,Tabla18[Nombre],0),6),"")</f>
        <v/>
      </c>
      <c r="BW81" s="598"/>
      <c r="BX81" s="527"/>
      <c r="BY81" s="527"/>
      <c r="BZ81" s="527"/>
      <c r="CA81" s="527"/>
      <c r="CB81" s="600"/>
      <c r="CC81" s="608"/>
    </row>
    <row r="82" spans="1:81" x14ac:dyDescent="0.2">
      <c r="A82" s="606" t="s">
        <v>6954</v>
      </c>
      <c r="B82" s="556"/>
      <c r="C82" s="527" t="str">
        <f>IF(B82&lt;&gt;0,INDEX(Tabla16[],MATCH(A82&amp;B82,Tabla16[Concatenado],0),IF(R82="Si",4,5)),"")</f>
        <v/>
      </c>
      <c r="D82" s="527" t="str">
        <f>IF(B82&lt;&gt;0,INDEX(Tabla16[],MATCH(A82&amp;B82,Tabla16[Concatenado],0),6),"")</f>
        <v/>
      </c>
      <c r="E82" s="527" t="str">
        <f>IFERROR(IF(B82&lt;&gt;0,INDEX(Tabla16[],MATCH(A82&amp;B82,Tabla16[Concatenado],0),IF(F$3=TS!$O$2,7,IF(F$3=TS!$O$3,8,IF(F$3=TS!$O$4,9,"")))),""),"")</f>
        <v/>
      </c>
      <c r="F82" s="527" t="str">
        <f>IF(B82&lt;&gt;0,INDEX(Tabla16[],MATCH(A82&amp;B82,Tabla16[Concatenado],0),10),"")</f>
        <v/>
      </c>
      <c r="G82" s="527" t="str">
        <f>IF(B82&lt;&gt;0,INDEX(Tabla18[],MATCH(A82,Tabla18[Nombre],0),2),"")</f>
        <v/>
      </c>
      <c r="H82" s="527" t="str">
        <f>IF(B82&lt;&gt;0,INDEX(Tabla18[],MATCH(A82,Tabla18[Nombre],0),3),"")</f>
        <v/>
      </c>
      <c r="I82" s="527" t="str">
        <f>IF(B82&lt;&gt;0,INDEX(Tabla18[],MATCH(A82,Tabla18[Nombre],0),4),"")</f>
        <v/>
      </c>
      <c r="J82" s="527" t="str">
        <f>IF(B82&lt;&gt;0,INDEX(Tabla18[],MATCH(A82,Tabla18[Nombre],0),5),"")</f>
        <v/>
      </c>
      <c r="K82" s="596" t="str">
        <f>IF(B82&lt;&gt;0,INDEX(Tabla18[],MATCH(A82,Tabla18[Nombre],0),6),"")</f>
        <v/>
      </c>
      <c r="L82" s="598"/>
      <c r="M82" s="527"/>
      <c r="N82" s="527"/>
      <c r="O82" s="527"/>
      <c r="P82" s="527"/>
      <c r="Q82" s="600"/>
      <c r="R82" s="608"/>
      <c r="V82" s="606" t="s">
        <v>6954</v>
      </c>
      <c r="W82" s="556"/>
      <c r="X82" s="527" t="str">
        <f>IF(W82&lt;&gt;0,INDEX(Tabla16[],MATCH(V82&amp;W82,Tabla16[Concatenado],0),IF(AM82="Si",4,5)),"")</f>
        <v/>
      </c>
      <c r="Y82" s="527" t="str">
        <f>IF(W82&lt;&gt;0,INDEX(Tabla16[],MATCH(V82&amp;W82,Tabla16[Concatenado],0),6),"")</f>
        <v/>
      </c>
      <c r="Z82" s="527" t="str">
        <f>IFERROR(IF(W82&lt;&gt;0,INDEX(Tabla16[],MATCH(V82&amp;W82,Tabla16[Concatenado],0),IF(AA$3=TS!$O$2,7,IF(AA$3=TS!$O$3,8,IF(AA$3=TS!$O$4,9,"")))),""),"")</f>
        <v/>
      </c>
      <c r="AA82" s="527" t="str">
        <f>IF(W82&lt;&gt;0,INDEX(Tabla16[],MATCH(V82&amp;W82,Tabla16[Concatenado],0),10),"")</f>
        <v/>
      </c>
      <c r="AB82" s="527" t="str">
        <f>IF(W82&lt;&gt;0,INDEX(Tabla18[],MATCH(V82,Tabla18[Nombre],0),2),"")</f>
        <v/>
      </c>
      <c r="AC82" s="527" t="str">
        <f>IF(W82&lt;&gt;0,INDEX(Tabla18[],MATCH(V82,Tabla18[Nombre],0),3),"")</f>
        <v/>
      </c>
      <c r="AD82" s="527" t="str">
        <f>IF(W82&lt;&gt;0,INDEX(Tabla18[],MATCH(V82,Tabla18[Nombre],0),4),"")</f>
        <v/>
      </c>
      <c r="AE82" s="527" t="str">
        <f>IF(W82&lt;&gt;0,INDEX(Tabla18[],MATCH(V82,Tabla18[Nombre],0),5),"")</f>
        <v/>
      </c>
      <c r="AF82" s="596" t="str">
        <f>IF(W82&lt;&gt;0,INDEX(Tabla18[],MATCH(V82,Tabla18[Nombre],0),6),"")</f>
        <v/>
      </c>
      <c r="AG82" s="598"/>
      <c r="AH82" s="527"/>
      <c r="AI82" s="527"/>
      <c r="AJ82" s="527"/>
      <c r="AK82" s="527"/>
      <c r="AL82" s="600"/>
      <c r="AM82" s="608"/>
      <c r="AQ82" s="606" t="s">
        <v>6954</v>
      </c>
      <c r="AR82" s="556"/>
      <c r="AS82" s="527" t="str">
        <f>IF(AR82&lt;&gt;0,INDEX(Tabla16[],MATCH(AQ82&amp;AR82,Tabla16[Concatenado],0),IF(BH82="Si",4,5)),"")</f>
        <v/>
      </c>
      <c r="AT82" s="527" t="str">
        <f>IF(AR82&lt;&gt;0,INDEX(Tabla16[],MATCH(AQ82&amp;AR82,Tabla16[Concatenado],0),6),"")</f>
        <v/>
      </c>
      <c r="AU82" s="527" t="str">
        <f>IFERROR(IF(AR82&lt;&gt;0,INDEX(Tabla16[],MATCH(AQ82&amp;AR82,Tabla16[Concatenado],0),IF(AV$3=TS!$O$2,7,IF(AV$3=TS!$O$3,8,IF(AV$3=TS!$O$4,9,"")))),""),"")</f>
        <v/>
      </c>
      <c r="AV82" s="527" t="str">
        <f>IF(AR82&lt;&gt;0,INDEX(Tabla16[],MATCH(AQ82&amp;AR82,Tabla16[Concatenado],0),10),"")</f>
        <v/>
      </c>
      <c r="AW82" s="527" t="str">
        <f>IF(AR82&lt;&gt;0,INDEX(Tabla18[],MATCH(AQ82,Tabla18[Nombre],0),2),"")</f>
        <v/>
      </c>
      <c r="AX82" s="527" t="str">
        <f>IF(AR82&lt;&gt;0,INDEX(Tabla18[],MATCH(AQ82,Tabla18[Nombre],0),3),"")</f>
        <v/>
      </c>
      <c r="AY82" s="527" t="str">
        <f>IF(AR82&lt;&gt;0,INDEX(Tabla18[],MATCH(AQ82,Tabla18[Nombre],0),4),"")</f>
        <v/>
      </c>
      <c r="AZ82" s="527" t="str">
        <f>IF(AR82&lt;&gt;0,INDEX(Tabla18[],MATCH(AQ82,Tabla18[Nombre],0),5),"")</f>
        <v/>
      </c>
      <c r="BA82" s="596" t="str">
        <f>IF(AR82&lt;&gt;0,INDEX(Tabla18[],MATCH(AQ82,Tabla18[Nombre],0),6),"")</f>
        <v/>
      </c>
      <c r="BB82" s="598"/>
      <c r="BC82" s="527"/>
      <c r="BD82" s="527"/>
      <c r="BE82" s="527"/>
      <c r="BF82" s="527"/>
      <c r="BG82" s="600"/>
      <c r="BH82" s="608"/>
      <c r="BL82" s="606" t="s">
        <v>6954</v>
      </c>
      <c r="BM82" s="556"/>
      <c r="BN82" s="527" t="str">
        <f>IF(BM82&lt;&gt;0,INDEX(Tabla16[],MATCH(BL82&amp;BM82,Tabla16[Concatenado],0),IF(CC82="Si",4,5)),"")</f>
        <v/>
      </c>
      <c r="BO82" s="527" t="str">
        <f>IF(BM82&lt;&gt;0,INDEX(Tabla16[],MATCH(BL82&amp;BM82,Tabla16[Concatenado],0),6),"")</f>
        <v/>
      </c>
      <c r="BP82" s="527" t="str">
        <f>IFERROR(IF(BM82&lt;&gt;0,INDEX(Tabla16[],MATCH(BL82&amp;BM82,Tabla16[Concatenado],0),IF(BQ$3=TS!$O$2,7,IF(BQ$3=TS!$O$3,8,IF(BQ$3=TS!$O$4,9,"")))),""),"")</f>
        <v/>
      </c>
      <c r="BQ82" s="527" t="str">
        <f>IF(BM82&lt;&gt;0,INDEX(Tabla16[],MATCH(BL82&amp;BM82,Tabla16[Concatenado],0),10),"")</f>
        <v/>
      </c>
      <c r="BR82" s="527" t="str">
        <f>IF(BM82&lt;&gt;0,INDEX(Tabla18[],MATCH(BL82,Tabla18[Nombre],0),2),"")</f>
        <v/>
      </c>
      <c r="BS82" s="527" t="str">
        <f>IF(BM82&lt;&gt;0,INDEX(Tabla18[],MATCH(BL82,Tabla18[Nombre],0),3),"")</f>
        <v/>
      </c>
      <c r="BT82" s="527" t="str">
        <f>IF(BM82&lt;&gt;0,INDEX(Tabla18[],MATCH(BL82,Tabla18[Nombre],0),4),"")</f>
        <v/>
      </c>
      <c r="BU82" s="527" t="str">
        <f>IF(BM82&lt;&gt;0,INDEX(Tabla18[],MATCH(BL82,Tabla18[Nombre],0),5),"")</f>
        <v/>
      </c>
      <c r="BV82" s="596" t="str">
        <f>IF(BM82&lt;&gt;0,INDEX(Tabla18[],MATCH(BL82,Tabla18[Nombre],0),6),"")</f>
        <v/>
      </c>
      <c r="BW82" s="598"/>
      <c r="BX82" s="527"/>
      <c r="BY82" s="527"/>
      <c r="BZ82" s="527"/>
      <c r="CA82" s="527"/>
      <c r="CB82" s="600"/>
      <c r="CC82" s="608"/>
    </row>
    <row r="83" spans="1:81" x14ac:dyDescent="0.2">
      <c r="A83" s="606" t="s">
        <v>6955</v>
      </c>
      <c r="B83" s="556"/>
      <c r="C83" s="527" t="str">
        <f>IF(B83&lt;&gt;0,INDEX(Tabla16[],MATCH(A83&amp;B83,Tabla16[Concatenado],0),IF(R83="Si",4,5)),"")</f>
        <v/>
      </c>
      <c r="D83" s="527" t="str">
        <f>IF(B83&lt;&gt;0,INDEX(Tabla16[],MATCH(A83&amp;B83,Tabla16[Concatenado],0),6),"")</f>
        <v/>
      </c>
      <c r="E83" s="527" t="str">
        <f>IFERROR(IF(B83&lt;&gt;0,INDEX(Tabla16[],MATCH(A83&amp;B83,Tabla16[Concatenado],0),IF(F$3=TS!$O$2,7,IF(F$3=TS!$O$3,8,IF(F$3=TS!$O$4,9,"")))),""),"")</f>
        <v/>
      </c>
      <c r="F83" s="527" t="str">
        <f>IF(B83&lt;&gt;0,INDEX(Tabla16[],MATCH(A83&amp;B83,Tabla16[Concatenado],0),10),"")</f>
        <v/>
      </c>
      <c r="G83" s="527" t="str">
        <f>IF(B83&lt;&gt;0,INDEX(Tabla18[],MATCH(A83,Tabla18[Nombre],0),2),"")</f>
        <v/>
      </c>
      <c r="H83" s="527" t="str">
        <f>IF(B83&lt;&gt;0,INDEX(Tabla18[],MATCH(A83,Tabla18[Nombre],0),3),"")</f>
        <v/>
      </c>
      <c r="I83" s="527" t="str">
        <f>IF(B83&lt;&gt;0,INDEX(Tabla18[],MATCH(A83,Tabla18[Nombre],0),4),"")</f>
        <v/>
      </c>
      <c r="J83" s="527" t="str">
        <f>IF(B83&lt;&gt;0,INDEX(Tabla18[],MATCH(A83,Tabla18[Nombre],0),5),"")</f>
        <v/>
      </c>
      <c r="K83" s="596" t="str">
        <f>IF(B83&lt;&gt;0,INDEX(Tabla18[],MATCH(A83,Tabla18[Nombre],0),6),"")</f>
        <v/>
      </c>
      <c r="L83" s="598"/>
      <c r="M83" s="527"/>
      <c r="N83" s="527"/>
      <c r="O83" s="527"/>
      <c r="P83" s="527"/>
      <c r="Q83" s="600"/>
      <c r="R83" s="608"/>
      <c r="V83" s="606" t="s">
        <v>6955</v>
      </c>
      <c r="W83" s="556"/>
      <c r="X83" s="527" t="str">
        <f>IF(W83&lt;&gt;0,INDEX(Tabla16[],MATCH(V83&amp;W83,Tabla16[Concatenado],0),IF(AM83="Si",4,5)),"")</f>
        <v/>
      </c>
      <c r="Y83" s="527" t="str">
        <f>IF(W83&lt;&gt;0,INDEX(Tabla16[],MATCH(V83&amp;W83,Tabla16[Concatenado],0),6),"")</f>
        <v/>
      </c>
      <c r="Z83" s="527" t="str">
        <f>IFERROR(IF(W83&lt;&gt;0,INDEX(Tabla16[],MATCH(V83&amp;W83,Tabla16[Concatenado],0),IF(AA$3=TS!$O$2,7,IF(AA$3=TS!$O$3,8,IF(AA$3=TS!$O$4,9,"")))),""),"")</f>
        <v/>
      </c>
      <c r="AA83" s="527" t="str">
        <f>IF(W83&lt;&gt;0,INDEX(Tabla16[],MATCH(V83&amp;W83,Tabla16[Concatenado],0),10),"")</f>
        <v/>
      </c>
      <c r="AB83" s="527" t="str">
        <f>IF(W83&lt;&gt;0,INDEX(Tabla18[],MATCH(V83,Tabla18[Nombre],0),2),"")</f>
        <v/>
      </c>
      <c r="AC83" s="527" t="str">
        <f>IF(W83&lt;&gt;0,INDEX(Tabla18[],MATCH(V83,Tabla18[Nombre],0),3),"")</f>
        <v/>
      </c>
      <c r="AD83" s="527" t="str">
        <f>IF(W83&lt;&gt;0,INDEX(Tabla18[],MATCH(V83,Tabla18[Nombre],0),4),"")</f>
        <v/>
      </c>
      <c r="AE83" s="527" t="str">
        <f>IF(W83&lt;&gt;0,INDEX(Tabla18[],MATCH(V83,Tabla18[Nombre],0),5),"")</f>
        <v/>
      </c>
      <c r="AF83" s="596" t="str">
        <f>IF(W83&lt;&gt;0,INDEX(Tabla18[],MATCH(V83,Tabla18[Nombre],0),6),"")</f>
        <v/>
      </c>
      <c r="AG83" s="598"/>
      <c r="AH83" s="527"/>
      <c r="AI83" s="527"/>
      <c r="AJ83" s="527"/>
      <c r="AK83" s="527"/>
      <c r="AL83" s="600"/>
      <c r="AM83" s="608"/>
      <c r="AQ83" s="606" t="s">
        <v>6955</v>
      </c>
      <c r="AR83" s="556"/>
      <c r="AS83" s="527" t="str">
        <f>IF(AR83&lt;&gt;0,INDEX(Tabla16[],MATCH(AQ83&amp;AR83,Tabla16[Concatenado],0),IF(BH83="Si",4,5)),"")</f>
        <v/>
      </c>
      <c r="AT83" s="527" t="str">
        <f>IF(AR83&lt;&gt;0,INDEX(Tabla16[],MATCH(AQ83&amp;AR83,Tabla16[Concatenado],0),6),"")</f>
        <v/>
      </c>
      <c r="AU83" s="527" t="str">
        <f>IFERROR(IF(AR83&lt;&gt;0,INDEX(Tabla16[],MATCH(AQ83&amp;AR83,Tabla16[Concatenado],0),IF(AV$3=TS!$O$2,7,IF(AV$3=TS!$O$3,8,IF(AV$3=TS!$O$4,9,"")))),""),"")</f>
        <v/>
      </c>
      <c r="AV83" s="527" t="str">
        <f>IF(AR83&lt;&gt;0,INDEX(Tabla16[],MATCH(AQ83&amp;AR83,Tabla16[Concatenado],0),10),"")</f>
        <v/>
      </c>
      <c r="AW83" s="527" t="str">
        <f>IF(AR83&lt;&gt;0,INDEX(Tabla18[],MATCH(AQ83,Tabla18[Nombre],0),2),"")</f>
        <v/>
      </c>
      <c r="AX83" s="527" t="str">
        <f>IF(AR83&lt;&gt;0,INDEX(Tabla18[],MATCH(AQ83,Tabla18[Nombre],0),3),"")</f>
        <v/>
      </c>
      <c r="AY83" s="527" t="str">
        <f>IF(AR83&lt;&gt;0,INDEX(Tabla18[],MATCH(AQ83,Tabla18[Nombre],0),4),"")</f>
        <v/>
      </c>
      <c r="AZ83" s="527" t="str">
        <f>IF(AR83&lt;&gt;0,INDEX(Tabla18[],MATCH(AQ83,Tabla18[Nombre],0),5),"")</f>
        <v/>
      </c>
      <c r="BA83" s="596" t="str">
        <f>IF(AR83&lt;&gt;0,INDEX(Tabla18[],MATCH(AQ83,Tabla18[Nombre],0),6),"")</f>
        <v/>
      </c>
      <c r="BB83" s="598"/>
      <c r="BC83" s="527"/>
      <c r="BD83" s="527"/>
      <c r="BE83" s="527"/>
      <c r="BF83" s="527"/>
      <c r="BG83" s="600"/>
      <c r="BH83" s="608"/>
      <c r="BL83" s="606" t="s">
        <v>6955</v>
      </c>
      <c r="BM83" s="556"/>
      <c r="BN83" s="527" t="str">
        <f>IF(BM83&lt;&gt;0,INDEX(Tabla16[],MATCH(BL83&amp;BM83,Tabla16[Concatenado],0),IF(CC83="Si",4,5)),"")</f>
        <v/>
      </c>
      <c r="BO83" s="527" t="str">
        <f>IF(BM83&lt;&gt;0,INDEX(Tabla16[],MATCH(BL83&amp;BM83,Tabla16[Concatenado],0),6),"")</f>
        <v/>
      </c>
      <c r="BP83" s="527" t="str">
        <f>IFERROR(IF(BM83&lt;&gt;0,INDEX(Tabla16[],MATCH(BL83&amp;BM83,Tabla16[Concatenado],0),IF(BQ$3=TS!$O$2,7,IF(BQ$3=TS!$O$3,8,IF(BQ$3=TS!$O$4,9,"")))),""),"")</f>
        <v/>
      </c>
      <c r="BQ83" s="527" t="str">
        <f>IF(BM83&lt;&gt;0,INDEX(Tabla16[],MATCH(BL83&amp;BM83,Tabla16[Concatenado],0),10),"")</f>
        <v/>
      </c>
      <c r="BR83" s="527" t="str">
        <f>IF(BM83&lt;&gt;0,INDEX(Tabla18[],MATCH(BL83,Tabla18[Nombre],0),2),"")</f>
        <v/>
      </c>
      <c r="BS83" s="527" t="str">
        <f>IF(BM83&lt;&gt;0,INDEX(Tabla18[],MATCH(BL83,Tabla18[Nombre],0),3),"")</f>
        <v/>
      </c>
      <c r="BT83" s="527" t="str">
        <f>IF(BM83&lt;&gt;0,INDEX(Tabla18[],MATCH(BL83,Tabla18[Nombre],0),4),"")</f>
        <v/>
      </c>
      <c r="BU83" s="527" t="str">
        <f>IF(BM83&lt;&gt;0,INDEX(Tabla18[],MATCH(BL83,Tabla18[Nombre],0),5),"")</f>
        <v/>
      </c>
      <c r="BV83" s="596" t="str">
        <f>IF(BM83&lt;&gt;0,INDEX(Tabla18[],MATCH(BL83,Tabla18[Nombre],0),6),"")</f>
        <v/>
      </c>
      <c r="BW83" s="598"/>
      <c r="BX83" s="527"/>
      <c r="BY83" s="527"/>
      <c r="BZ83" s="527"/>
      <c r="CA83" s="527"/>
      <c r="CB83" s="600"/>
      <c r="CC83" s="608"/>
    </row>
    <row r="84" spans="1:81" x14ac:dyDescent="0.2">
      <c r="A84" s="610" t="s">
        <v>6967</v>
      </c>
      <c r="B84" s="555" t="s">
        <v>164</v>
      </c>
      <c r="C84" s="306" t="s">
        <v>7163</v>
      </c>
      <c r="D84" s="306" t="s">
        <v>5</v>
      </c>
      <c r="E84" s="306" t="s">
        <v>69</v>
      </c>
      <c r="F84" s="306" t="s">
        <v>14</v>
      </c>
      <c r="G84" s="306" t="s">
        <v>26</v>
      </c>
      <c r="H84" s="306" t="s">
        <v>277</v>
      </c>
      <c r="I84" s="306" t="s">
        <v>6791</v>
      </c>
      <c r="J84" s="306" t="s">
        <v>6792</v>
      </c>
      <c r="K84" s="597" t="s">
        <v>7162</v>
      </c>
      <c r="L84" s="601" t="s">
        <v>36</v>
      </c>
      <c r="M84" s="306" t="s">
        <v>46</v>
      </c>
      <c r="N84" s="306" t="s">
        <v>57</v>
      </c>
      <c r="O84" s="306" t="s">
        <v>66</v>
      </c>
      <c r="P84" s="306" t="s">
        <v>59</v>
      </c>
      <c r="Q84" s="602" t="s">
        <v>58</v>
      </c>
      <c r="R84" s="611" t="s">
        <v>6787</v>
      </c>
      <c r="V84" s="610" t="s">
        <v>6967</v>
      </c>
      <c r="W84" s="555" t="s">
        <v>164</v>
      </c>
      <c r="X84" s="306" t="s">
        <v>7163</v>
      </c>
      <c r="Y84" s="306" t="s">
        <v>5</v>
      </c>
      <c r="Z84" s="306" t="s">
        <v>69</v>
      </c>
      <c r="AA84" s="306" t="s">
        <v>14</v>
      </c>
      <c r="AB84" s="306" t="s">
        <v>26</v>
      </c>
      <c r="AC84" s="306" t="s">
        <v>277</v>
      </c>
      <c r="AD84" s="306" t="s">
        <v>6791</v>
      </c>
      <c r="AE84" s="306" t="s">
        <v>6792</v>
      </c>
      <c r="AF84" s="597" t="s">
        <v>7162</v>
      </c>
      <c r="AG84" s="601" t="s">
        <v>36</v>
      </c>
      <c r="AH84" s="306" t="s">
        <v>46</v>
      </c>
      <c r="AI84" s="306" t="s">
        <v>57</v>
      </c>
      <c r="AJ84" s="306" t="s">
        <v>66</v>
      </c>
      <c r="AK84" s="306" t="s">
        <v>59</v>
      </c>
      <c r="AL84" s="602" t="s">
        <v>58</v>
      </c>
      <c r="AM84" s="611" t="s">
        <v>6787</v>
      </c>
      <c r="AQ84" s="610" t="s">
        <v>6967</v>
      </c>
      <c r="AR84" s="555" t="s">
        <v>164</v>
      </c>
      <c r="AS84" s="306" t="s">
        <v>7163</v>
      </c>
      <c r="AT84" s="306" t="s">
        <v>5</v>
      </c>
      <c r="AU84" s="306" t="s">
        <v>69</v>
      </c>
      <c r="AV84" s="306" t="s">
        <v>14</v>
      </c>
      <c r="AW84" s="306" t="s">
        <v>26</v>
      </c>
      <c r="AX84" s="306" t="s">
        <v>277</v>
      </c>
      <c r="AY84" s="306" t="s">
        <v>6791</v>
      </c>
      <c r="AZ84" s="306" t="s">
        <v>6792</v>
      </c>
      <c r="BA84" s="597" t="s">
        <v>7162</v>
      </c>
      <c r="BB84" s="601" t="s">
        <v>36</v>
      </c>
      <c r="BC84" s="306" t="s">
        <v>46</v>
      </c>
      <c r="BD84" s="306" t="s">
        <v>57</v>
      </c>
      <c r="BE84" s="306" t="s">
        <v>66</v>
      </c>
      <c r="BF84" s="306" t="s">
        <v>59</v>
      </c>
      <c r="BG84" s="602" t="s">
        <v>58</v>
      </c>
      <c r="BH84" s="611" t="s">
        <v>6787</v>
      </c>
      <c r="BL84" s="610" t="s">
        <v>6967</v>
      </c>
      <c r="BM84" s="555" t="s">
        <v>164</v>
      </c>
      <c r="BN84" s="306" t="s">
        <v>7163</v>
      </c>
      <c r="BO84" s="306" t="s">
        <v>5</v>
      </c>
      <c r="BP84" s="306" t="s">
        <v>69</v>
      </c>
      <c r="BQ84" s="306" t="s">
        <v>14</v>
      </c>
      <c r="BR84" s="306" t="s">
        <v>26</v>
      </c>
      <c r="BS84" s="306" t="s">
        <v>277</v>
      </c>
      <c r="BT84" s="306" t="s">
        <v>6791</v>
      </c>
      <c r="BU84" s="306" t="s">
        <v>6792</v>
      </c>
      <c r="BV84" s="597" t="s">
        <v>7162</v>
      </c>
      <c r="BW84" s="601" t="s">
        <v>36</v>
      </c>
      <c r="BX84" s="306" t="s">
        <v>46</v>
      </c>
      <c r="BY84" s="306" t="s">
        <v>57</v>
      </c>
      <c r="BZ84" s="306" t="s">
        <v>66</v>
      </c>
      <c r="CA84" s="306" t="s">
        <v>59</v>
      </c>
      <c r="CB84" s="602" t="s">
        <v>58</v>
      </c>
      <c r="CC84" s="611" t="s">
        <v>6787</v>
      </c>
    </row>
    <row r="85" spans="1:81" x14ac:dyDescent="0.2">
      <c r="A85" s="606" t="s">
        <v>6968</v>
      </c>
      <c r="B85" s="556"/>
      <c r="C85" s="527" t="str">
        <f>IF(B85&lt;&gt;0,INDEX(Tabla16[],MATCH(A85&amp;B85,Tabla16[Concatenado],0),IF(R85="Si",4,5)),"")</f>
        <v/>
      </c>
      <c r="D85" s="527" t="str">
        <f>IF(B85&lt;&gt;0,INDEX(Tabla16[],MATCH(A85&amp;B85,Tabla16[Concatenado],0),6),"")</f>
        <v/>
      </c>
      <c r="E85" s="527" t="str">
        <f>IFERROR(IF(B85&lt;&gt;0,INDEX(Tabla16[],MATCH(A85&amp;B85,Tabla16[Concatenado],0),IF(F$3=TS!$O$2,7,IF(F$3=TS!$O$3,8,IF(F$3=TS!$O$4,9,"")))),""),"")</f>
        <v/>
      </c>
      <c r="F85" s="527" t="str">
        <f>IF(B85&lt;&gt;0,INDEX(Tabla16[],MATCH(A85&amp;B85,Tabla16[Concatenado],0),10),"")</f>
        <v/>
      </c>
      <c r="G85" s="527" t="str">
        <f>IF(B85&lt;&gt;0,INDEX(Tabla18[],MATCH(A85,Tabla18[Nombre],0),2),"")</f>
        <v/>
      </c>
      <c r="H85" s="527" t="str">
        <f>IF(B85&lt;&gt;0,INDEX(Tabla18[],MATCH(A85,Tabla18[Nombre],0),3),"")</f>
        <v/>
      </c>
      <c r="I85" s="527" t="str">
        <f>IF(B85&lt;&gt;0,INDEX(Tabla18[],MATCH(A85,Tabla18[Nombre],0),4),"")</f>
        <v/>
      </c>
      <c r="J85" s="527" t="str">
        <f>IF(B85&lt;&gt;0,INDEX(Tabla18[],MATCH(A85,Tabla18[Nombre],0),5),"")</f>
        <v/>
      </c>
      <c r="K85" s="596" t="str">
        <f>IF(B85&lt;&gt;0,INDEX(Tabla18[],MATCH(A85,Tabla18[Nombre],0),6),"")</f>
        <v/>
      </c>
      <c r="L85" s="598"/>
      <c r="M85" s="527"/>
      <c r="N85" s="527"/>
      <c r="O85" s="527"/>
      <c r="P85" s="527"/>
      <c r="Q85" s="600"/>
      <c r="R85" s="608"/>
      <c r="V85" s="606" t="s">
        <v>6968</v>
      </c>
      <c r="W85" s="556"/>
      <c r="X85" s="527" t="str">
        <f>IF(W85&lt;&gt;0,INDEX(Tabla16[],MATCH(V85&amp;W85,Tabla16[Concatenado],0),IF(AM85="Si",4,5)),"")</f>
        <v/>
      </c>
      <c r="Y85" s="527" t="str">
        <f>IF(W85&lt;&gt;0,INDEX(Tabla16[],MATCH(V85&amp;W85,Tabla16[Concatenado],0),6),"")</f>
        <v/>
      </c>
      <c r="Z85" s="527" t="str">
        <f>IFERROR(IF(W85&lt;&gt;0,INDEX(Tabla16[],MATCH(V85&amp;W85,Tabla16[Concatenado],0),IF(AA$3=TS!$O$2,7,IF(AA$3=TS!$O$3,8,IF(AA$3=TS!$O$4,9,"")))),""),"")</f>
        <v/>
      </c>
      <c r="AA85" s="527" t="str">
        <f>IF(W85&lt;&gt;0,INDEX(Tabla16[],MATCH(V85&amp;W85,Tabla16[Concatenado],0),10),"")</f>
        <v/>
      </c>
      <c r="AB85" s="527" t="str">
        <f>IF(W85&lt;&gt;0,INDEX(Tabla18[],MATCH(V85,Tabla18[Nombre],0),2),"")</f>
        <v/>
      </c>
      <c r="AC85" s="527" t="str">
        <f>IF(W85&lt;&gt;0,INDEX(Tabla18[],MATCH(V85,Tabla18[Nombre],0),3),"")</f>
        <v/>
      </c>
      <c r="AD85" s="527" t="str">
        <f>IF(W85&lt;&gt;0,INDEX(Tabla18[],MATCH(V85,Tabla18[Nombre],0),4),"")</f>
        <v/>
      </c>
      <c r="AE85" s="527" t="str">
        <f>IF(W85&lt;&gt;0,INDEX(Tabla18[],MATCH(V85,Tabla18[Nombre],0),5),"")</f>
        <v/>
      </c>
      <c r="AF85" s="596" t="str">
        <f>IF(W85&lt;&gt;0,INDEX(Tabla18[],MATCH(V85,Tabla18[Nombre],0),6),"")</f>
        <v/>
      </c>
      <c r="AG85" s="598"/>
      <c r="AH85" s="527"/>
      <c r="AI85" s="527"/>
      <c r="AJ85" s="527"/>
      <c r="AK85" s="527"/>
      <c r="AL85" s="600"/>
      <c r="AM85" s="608"/>
      <c r="AQ85" s="606" t="s">
        <v>6968</v>
      </c>
      <c r="AR85" s="556"/>
      <c r="AS85" s="527" t="str">
        <f>IF(AR85&lt;&gt;0,INDEX(Tabla16[],MATCH(AQ85&amp;AR85,Tabla16[Concatenado],0),IF(BH85="Si",4,5)),"")</f>
        <v/>
      </c>
      <c r="AT85" s="527" t="str">
        <f>IF(AR85&lt;&gt;0,INDEX(Tabla16[],MATCH(AQ85&amp;AR85,Tabla16[Concatenado],0),6),"")</f>
        <v/>
      </c>
      <c r="AU85" s="527" t="str">
        <f>IFERROR(IF(AR85&lt;&gt;0,INDEX(Tabla16[],MATCH(AQ85&amp;AR85,Tabla16[Concatenado],0),IF(AV$3=TS!$O$2,7,IF(AV$3=TS!$O$3,8,IF(AV$3=TS!$O$4,9,"")))),""),"")</f>
        <v/>
      </c>
      <c r="AV85" s="527" t="str">
        <f>IF(AR85&lt;&gt;0,INDEX(Tabla16[],MATCH(AQ85&amp;AR85,Tabla16[Concatenado],0),10),"")</f>
        <v/>
      </c>
      <c r="AW85" s="527" t="str">
        <f>IF(AR85&lt;&gt;0,INDEX(Tabla18[],MATCH(AQ85,Tabla18[Nombre],0),2),"")</f>
        <v/>
      </c>
      <c r="AX85" s="527" t="str">
        <f>IF(AR85&lt;&gt;0,INDEX(Tabla18[],MATCH(AQ85,Tabla18[Nombre],0),3),"")</f>
        <v/>
      </c>
      <c r="AY85" s="527" t="str">
        <f>IF(AR85&lt;&gt;0,INDEX(Tabla18[],MATCH(AQ85,Tabla18[Nombre],0),4),"")</f>
        <v/>
      </c>
      <c r="AZ85" s="527" t="str">
        <f>IF(AR85&lt;&gt;0,INDEX(Tabla18[],MATCH(AQ85,Tabla18[Nombre],0),5),"")</f>
        <v/>
      </c>
      <c r="BA85" s="596" t="str">
        <f>IF(AR85&lt;&gt;0,INDEX(Tabla18[],MATCH(AQ85,Tabla18[Nombre],0),6),"")</f>
        <v/>
      </c>
      <c r="BB85" s="598"/>
      <c r="BC85" s="527"/>
      <c r="BD85" s="527"/>
      <c r="BE85" s="527"/>
      <c r="BF85" s="527"/>
      <c r="BG85" s="600"/>
      <c r="BH85" s="608"/>
      <c r="BL85" s="606" t="s">
        <v>6968</v>
      </c>
      <c r="BM85" s="556"/>
      <c r="BN85" s="527" t="str">
        <f>IF(BM85&lt;&gt;0,INDEX(Tabla16[],MATCH(BL85&amp;BM85,Tabla16[Concatenado],0),IF(CC85="Si",4,5)),"")</f>
        <v/>
      </c>
      <c r="BO85" s="527" t="str">
        <f>IF(BM85&lt;&gt;0,INDEX(Tabla16[],MATCH(BL85&amp;BM85,Tabla16[Concatenado],0),6),"")</f>
        <v/>
      </c>
      <c r="BP85" s="527" t="str">
        <f>IFERROR(IF(BM85&lt;&gt;0,INDEX(Tabla16[],MATCH(BL85&amp;BM85,Tabla16[Concatenado],0),IF(BQ$3=TS!$O$2,7,IF(BQ$3=TS!$O$3,8,IF(BQ$3=TS!$O$4,9,"")))),""),"")</f>
        <v/>
      </c>
      <c r="BQ85" s="527" t="str">
        <f>IF(BM85&lt;&gt;0,INDEX(Tabla16[],MATCH(BL85&amp;BM85,Tabla16[Concatenado],0),10),"")</f>
        <v/>
      </c>
      <c r="BR85" s="527" t="str">
        <f>IF(BM85&lt;&gt;0,INDEX(Tabla18[],MATCH(BL85,Tabla18[Nombre],0),2),"")</f>
        <v/>
      </c>
      <c r="BS85" s="527" t="str">
        <f>IF(BM85&lt;&gt;0,INDEX(Tabla18[],MATCH(BL85,Tabla18[Nombre],0),3),"")</f>
        <v/>
      </c>
      <c r="BT85" s="527" t="str">
        <f>IF(BM85&lt;&gt;0,INDEX(Tabla18[],MATCH(BL85,Tabla18[Nombre],0),4),"")</f>
        <v/>
      </c>
      <c r="BU85" s="527" t="str">
        <f>IF(BM85&lt;&gt;0,INDEX(Tabla18[],MATCH(BL85,Tabla18[Nombre],0),5),"")</f>
        <v/>
      </c>
      <c r="BV85" s="596" t="str">
        <f>IF(BM85&lt;&gt;0,INDEX(Tabla18[],MATCH(BL85,Tabla18[Nombre],0),6),"")</f>
        <v/>
      </c>
      <c r="BW85" s="598"/>
      <c r="BX85" s="527"/>
      <c r="BY85" s="527"/>
      <c r="BZ85" s="527"/>
      <c r="CA85" s="527"/>
      <c r="CB85" s="600"/>
      <c r="CC85" s="608"/>
    </row>
    <row r="86" spans="1:81" x14ac:dyDescent="0.2">
      <c r="A86" s="606" t="s">
        <v>5549</v>
      </c>
      <c r="B86" s="556"/>
      <c r="C86" s="527" t="str">
        <f>IF(B86&lt;&gt;0,INDEX(Tabla16[],MATCH(A86&amp;B86,Tabla16[Concatenado],0),IF(R86="Si",4,5)),"")</f>
        <v/>
      </c>
      <c r="D86" s="527" t="str">
        <f>IF(B86&lt;&gt;0,INDEX(Tabla16[],MATCH(A86&amp;B86,Tabla16[Concatenado],0),6),"")</f>
        <v/>
      </c>
      <c r="E86" s="527" t="str">
        <f>IFERROR(IF(B86&lt;&gt;0,INDEX(Tabla16[],MATCH(A86&amp;B86,Tabla16[Concatenado],0),IF(F$3=TS!$O$2,7,IF(F$3=TS!$O$3,8,IF(F$3=TS!$O$4,9,"")))),""),"")</f>
        <v/>
      </c>
      <c r="F86" s="527" t="str">
        <f>IF(B86&lt;&gt;0,INDEX(Tabla16[],MATCH(A86&amp;B86,Tabla16[Concatenado],0),10),"")</f>
        <v/>
      </c>
      <c r="G86" s="527" t="str">
        <f>IF(B86&lt;&gt;0,INDEX(Tabla18[],MATCH(A86,Tabla18[Nombre],0),2),"")</f>
        <v/>
      </c>
      <c r="H86" s="527" t="str">
        <f>IF(B86&lt;&gt;0,INDEX(Tabla18[],MATCH(A86,Tabla18[Nombre],0),3),"")</f>
        <v/>
      </c>
      <c r="I86" s="527" t="str">
        <f>IF(B86&lt;&gt;0,INDEX(Tabla18[],MATCH(A86,Tabla18[Nombre],0),4),"")</f>
        <v/>
      </c>
      <c r="J86" s="527" t="str">
        <f>IF(B86&lt;&gt;0,INDEX(Tabla18[],MATCH(A86,Tabla18[Nombre],0),5),"")</f>
        <v/>
      </c>
      <c r="K86" s="596" t="str">
        <f>IF(B86&lt;&gt;0,INDEX(Tabla18[],MATCH(A86,Tabla18[Nombre],0),6),"")</f>
        <v/>
      </c>
      <c r="L86" s="598"/>
      <c r="M86" s="527"/>
      <c r="N86" s="527"/>
      <c r="O86" s="527"/>
      <c r="P86" s="527"/>
      <c r="Q86" s="600"/>
      <c r="R86" s="608"/>
      <c r="V86" s="606" t="s">
        <v>5549</v>
      </c>
      <c r="W86" s="556"/>
      <c r="X86" s="527" t="str">
        <f>IF(W86&lt;&gt;0,INDEX(Tabla16[],MATCH(V86&amp;W86,Tabla16[Concatenado],0),IF(AM86="Si",4,5)),"")</f>
        <v/>
      </c>
      <c r="Y86" s="527" t="str">
        <f>IF(W86&lt;&gt;0,INDEX(Tabla16[],MATCH(V86&amp;W86,Tabla16[Concatenado],0),6),"")</f>
        <v/>
      </c>
      <c r="Z86" s="527" t="str">
        <f>IFERROR(IF(W86&lt;&gt;0,INDEX(Tabla16[],MATCH(V86&amp;W86,Tabla16[Concatenado],0),IF(AA$3=TS!$O$2,7,IF(AA$3=TS!$O$3,8,IF(AA$3=TS!$O$4,9,"")))),""),"")</f>
        <v/>
      </c>
      <c r="AA86" s="527" t="str">
        <f>IF(W86&lt;&gt;0,INDEX(Tabla16[],MATCH(V86&amp;W86,Tabla16[Concatenado],0),10),"")</f>
        <v/>
      </c>
      <c r="AB86" s="527" t="str">
        <f>IF(W86&lt;&gt;0,INDEX(Tabla18[],MATCH(V86,Tabla18[Nombre],0),2),"")</f>
        <v/>
      </c>
      <c r="AC86" s="527" t="str">
        <f>IF(W86&lt;&gt;0,INDEX(Tabla18[],MATCH(V86,Tabla18[Nombre],0),3),"")</f>
        <v/>
      </c>
      <c r="AD86" s="527" t="str">
        <f>IF(W86&lt;&gt;0,INDEX(Tabla18[],MATCH(V86,Tabla18[Nombre],0),4),"")</f>
        <v/>
      </c>
      <c r="AE86" s="527" t="str">
        <f>IF(W86&lt;&gt;0,INDEX(Tabla18[],MATCH(V86,Tabla18[Nombre],0),5),"")</f>
        <v/>
      </c>
      <c r="AF86" s="596" t="str">
        <f>IF(W86&lt;&gt;0,INDEX(Tabla18[],MATCH(V86,Tabla18[Nombre],0),6),"")</f>
        <v/>
      </c>
      <c r="AG86" s="598"/>
      <c r="AH86" s="527"/>
      <c r="AI86" s="527"/>
      <c r="AJ86" s="527"/>
      <c r="AK86" s="527"/>
      <c r="AL86" s="600"/>
      <c r="AM86" s="608"/>
      <c r="AQ86" s="606" t="s">
        <v>5549</v>
      </c>
      <c r="AR86" s="556"/>
      <c r="AS86" s="527" t="str">
        <f>IF(AR86&lt;&gt;0,INDEX(Tabla16[],MATCH(AQ86&amp;AR86,Tabla16[Concatenado],0),IF(BH86="Si",4,5)),"")</f>
        <v/>
      </c>
      <c r="AT86" s="527" t="str">
        <f>IF(AR86&lt;&gt;0,INDEX(Tabla16[],MATCH(AQ86&amp;AR86,Tabla16[Concatenado],0),6),"")</f>
        <v/>
      </c>
      <c r="AU86" s="527" t="str">
        <f>IFERROR(IF(AR86&lt;&gt;0,INDEX(Tabla16[],MATCH(AQ86&amp;AR86,Tabla16[Concatenado],0),IF(AV$3=TS!$O$2,7,IF(AV$3=TS!$O$3,8,IF(AV$3=TS!$O$4,9,"")))),""),"")</f>
        <v/>
      </c>
      <c r="AV86" s="527" t="str">
        <f>IF(AR86&lt;&gt;0,INDEX(Tabla16[],MATCH(AQ86&amp;AR86,Tabla16[Concatenado],0),10),"")</f>
        <v/>
      </c>
      <c r="AW86" s="527" t="str">
        <f>IF(AR86&lt;&gt;0,INDEX(Tabla18[],MATCH(AQ86,Tabla18[Nombre],0),2),"")</f>
        <v/>
      </c>
      <c r="AX86" s="527" t="str">
        <f>IF(AR86&lt;&gt;0,INDEX(Tabla18[],MATCH(AQ86,Tabla18[Nombre],0),3),"")</f>
        <v/>
      </c>
      <c r="AY86" s="527" t="str">
        <f>IF(AR86&lt;&gt;0,INDEX(Tabla18[],MATCH(AQ86,Tabla18[Nombre],0),4),"")</f>
        <v/>
      </c>
      <c r="AZ86" s="527" t="str">
        <f>IF(AR86&lt;&gt;0,INDEX(Tabla18[],MATCH(AQ86,Tabla18[Nombre],0),5),"")</f>
        <v/>
      </c>
      <c r="BA86" s="596" t="str">
        <f>IF(AR86&lt;&gt;0,INDEX(Tabla18[],MATCH(AQ86,Tabla18[Nombre],0),6),"")</f>
        <v/>
      </c>
      <c r="BB86" s="598"/>
      <c r="BC86" s="527"/>
      <c r="BD86" s="527"/>
      <c r="BE86" s="527"/>
      <c r="BF86" s="527"/>
      <c r="BG86" s="600"/>
      <c r="BH86" s="608"/>
      <c r="BL86" s="606" t="s">
        <v>5549</v>
      </c>
      <c r="BM86" s="556"/>
      <c r="BN86" s="527" t="str">
        <f>IF(BM86&lt;&gt;0,INDEX(Tabla16[],MATCH(BL86&amp;BM86,Tabla16[Concatenado],0),IF(CC86="Si",4,5)),"")</f>
        <v/>
      </c>
      <c r="BO86" s="527" t="str">
        <f>IF(BM86&lt;&gt;0,INDEX(Tabla16[],MATCH(BL86&amp;BM86,Tabla16[Concatenado],0),6),"")</f>
        <v/>
      </c>
      <c r="BP86" s="527" t="str">
        <f>IFERROR(IF(BM86&lt;&gt;0,INDEX(Tabla16[],MATCH(BL86&amp;BM86,Tabla16[Concatenado],0),IF(BQ$3=TS!$O$2,7,IF(BQ$3=TS!$O$3,8,IF(BQ$3=TS!$O$4,9,"")))),""),"")</f>
        <v/>
      </c>
      <c r="BQ86" s="527" t="str">
        <f>IF(BM86&lt;&gt;0,INDEX(Tabla16[],MATCH(BL86&amp;BM86,Tabla16[Concatenado],0),10),"")</f>
        <v/>
      </c>
      <c r="BR86" s="527" t="str">
        <f>IF(BM86&lt;&gt;0,INDEX(Tabla18[],MATCH(BL86,Tabla18[Nombre],0),2),"")</f>
        <v/>
      </c>
      <c r="BS86" s="527" t="str">
        <f>IF(BM86&lt;&gt;0,INDEX(Tabla18[],MATCH(BL86,Tabla18[Nombre],0),3),"")</f>
        <v/>
      </c>
      <c r="BT86" s="527" t="str">
        <f>IF(BM86&lt;&gt;0,INDEX(Tabla18[],MATCH(BL86,Tabla18[Nombre],0),4),"")</f>
        <v/>
      </c>
      <c r="BU86" s="527" t="str">
        <f>IF(BM86&lt;&gt;0,INDEX(Tabla18[],MATCH(BL86,Tabla18[Nombre],0),5),"")</f>
        <v/>
      </c>
      <c r="BV86" s="596" t="str">
        <f>IF(BM86&lt;&gt;0,INDEX(Tabla18[],MATCH(BL86,Tabla18[Nombre],0),6),"")</f>
        <v/>
      </c>
      <c r="BW86" s="598"/>
      <c r="BX86" s="527"/>
      <c r="BY86" s="527"/>
      <c r="BZ86" s="527"/>
      <c r="CA86" s="527"/>
      <c r="CB86" s="600"/>
      <c r="CC86" s="608"/>
    </row>
    <row r="87" spans="1:81" x14ac:dyDescent="0.2">
      <c r="A87" s="606" t="s">
        <v>6969</v>
      </c>
      <c r="B87" s="556"/>
      <c r="C87" s="527" t="str">
        <f>IF(B87&lt;&gt;0,INDEX(Tabla16[],MATCH(A87&amp;B87,Tabla16[Concatenado],0),IF(R87="Si",4,5)),"")</f>
        <v/>
      </c>
      <c r="D87" s="527" t="str">
        <f>IF(B87&lt;&gt;0,INDEX(Tabla16[],MATCH(A87&amp;B87,Tabla16[Concatenado],0),6),"")</f>
        <v/>
      </c>
      <c r="E87" s="527" t="str">
        <f>IFERROR(IF(B87&lt;&gt;0,INDEX(Tabla16[],MATCH(A87&amp;B87,Tabla16[Concatenado],0),IF(F$3=TS!$O$2,7,IF(F$3=TS!$O$3,8,IF(F$3=TS!$O$4,9,"")))),""),"")</f>
        <v/>
      </c>
      <c r="F87" s="527" t="str">
        <f>IF(B87&lt;&gt;0,INDEX(Tabla16[],MATCH(A87&amp;B87,Tabla16[Concatenado],0),10),"")</f>
        <v/>
      </c>
      <c r="G87" s="527" t="str">
        <f>IF(B87&lt;&gt;0,INDEX(Tabla18[],MATCH(A87,Tabla18[Nombre],0),2),"")</f>
        <v/>
      </c>
      <c r="H87" s="527" t="str">
        <f>IF(B87&lt;&gt;0,INDEX(Tabla18[],MATCH(A87,Tabla18[Nombre],0),3),"")</f>
        <v/>
      </c>
      <c r="I87" s="527" t="str">
        <f>IF(B87&lt;&gt;0,INDEX(Tabla18[],MATCH(A87,Tabla18[Nombre],0),4),"")</f>
        <v/>
      </c>
      <c r="J87" s="527" t="str">
        <f>IF(B87&lt;&gt;0,INDEX(Tabla18[],MATCH(A87,Tabla18[Nombre],0),5),"")</f>
        <v/>
      </c>
      <c r="K87" s="596" t="str">
        <f>IF(B87&lt;&gt;0,INDEX(Tabla18[],MATCH(A87,Tabla18[Nombre],0),6),"")</f>
        <v/>
      </c>
      <c r="L87" s="598"/>
      <c r="M87" s="527"/>
      <c r="N87" s="527"/>
      <c r="O87" s="527"/>
      <c r="P87" s="527"/>
      <c r="Q87" s="600"/>
      <c r="R87" s="608"/>
      <c r="V87" s="606" t="s">
        <v>6969</v>
      </c>
      <c r="W87" s="556"/>
      <c r="X87" s="527" t="str">
        <f>IF(W87&lt;&gt;0,INDEX(Tabla16[],MATCH(V87&amp;W87,Tabla16[Concatenado],0),IF(AM87="Si",4,5)),"")</f>
        <v/>
      </c>
      <c r="Y87" s="527" t="str">
        <f>IF(W87&lt;&gt;0,INDEX(Tabla16[],MATCH(V87&amp;W87,Tabla16[Concatenado],0),6),"")</f>
        <v/>
      </c>
      <c r="Z87" s="527" t="str">
        <f>IFERROR(IF(W87&lt;&gt;0,INDEX(Tabla16[],MATCH(V87&amp;W87,Tabla16[Concatenado],0),IF(AA$3=TS!$O$2,7,IF(AA$3=TS!$O$3,8,IF(AA$3=TS!$O$4,9,"")))),""),"")</f>
        <v/>
      </c>
      <c r="AA87" s="527" t="str">
        <f>IF(W87&lt;&gt;0,INDEX(Tabla16[],MATCH(V87&amp;W87,Tabla16[Concatenado],0),10),"")</f>
        <v/>
      </c>
      <c r="AB87" s="527" t="str">
        <f>IF(W87&lt;&gt;0,INDEX(Tabla18[],MATCH(V87,Tabla18[Nombre],0),2),"")</f>
        <v/>
      </c>
      <c r="AC87" s="527" t="str">
        <f>IF(W87&lt;&gt;0,INDEX(Tabla18[],MATCH(V87,Tabla18[Nombre],0),3),"")</f>
        <v/>
      </c>
      <c r="AD87" s="527" t="str">
        <f>IF(W87&lt;&gt;0,INDEX(Tabla18[],MATCH(V87,Tabla18[Nombre],0),4),"")</f>
        <v/>
      </c>
      <c r="AE87" s="527" t="str">
        <f>IF(W87&lt;&gt;0,INDEX(Tabla18[],MATCH(V87,Tabla18[Nombre],0),5),"")</f>
        <v/>
      </c>
      <c r="AF87" s="596" t="str">
        <f>IF(W87&lt;&gt;0,INDEX(Tabla18[],MATCH(V87,Tabla18[Nombre],0),6),"")</f>
        <v/>
      </c>
      <c r="AG87" s="598"/>
      <c r="AH87" s="527"/>
      <c r="AI87" s="527"/>
      <c r="AJ87" s="527"/>
      <c r="AK87" s="527"/>
      <c r="AL87" s="600"/>
      <c r="AM87" s="608"/>
      <c r="AQ87" s="606" t="s">
        <v>6969</v>
      </c>
      <c r="AR87" s="556"/>
      <c r="AS87" s="527" t="str">
        <f>IF(AR87&lt;&gt;0,INDEX(Tabla16[],MATCH(AQ87&amp;AR87,Tabla16[Concatenado],0),IF(BH87="Si",4,5)),"")</f>
        <v/>
      </c>
      <c r="AT87" s="527" t="str">
        <f>IF(AR87&lt;&gt;0,INDEX(Tabla16[],MATCH(AQ87&amp;AR87,Tabla16[Concatenado],0),6),"")</f>
        <v/>
      </c>
      <c r="AU87" s="527" t="str">
        <f>IFERROR(IF(AR87&lt;&gt;0,INDEX(Tabla16[],MATCH(AQ87&amp;AR87,Tabla16[Concatenado],0),IF(AV$3=TS!$O$2,7,IF(AV$3=TS!$O$3,8,IF(AV$3=TS!$O$4,9,"")))),""),"")</f>
        <v/>
      </c>
      <c r="AV87" s="527" t="str">
        <f>IF(AR87&lt;&gt;0,INDEX(Tabla16[],MATCH(AQ87&amp;AR87,Tabla16[Concatenado],0),10),"")</f>
        <v/>
      </c>
      <c r="AW87" s="527" t="str">
        <f>IF(AR87&lt;&gt;0,INDEX(Tabla18[],MATCH(AQ87,Tabla18[Nombre],0),2),"")</f>
        <v/>
      </c>
      <c r="AX87" s="527" t="str">
        <f>IF(AR87&lt;&gt;0,INDEX(Tabla18[],MATCH(AQ87,Tabla18[Nombre],0),3),"")</f>
        <v/>
      </c>
      <c r="AY87" s="527" t="str">
        <f>IF(AR87&lt;&gt;0,INDEX(Tabla18[],MATCH(AQ87,Tabla18[Nombre],0),4),"")</f>
        <v/>
      </c>
      <c r="AZ87" s="527" t="str">
        <f>IF(AR87&lt;&gt;0,INDEX(Tabla18[],MATCH(AQ87,Tabla18[Nombre],0),5),"")</f>
        <v/>
      </c>
      <c r="BA87" s="596" t="str">
        <f>IF(AR87&lt;&gt;0,INDEX(Tabla18[],MATCH(AQ87,Tabla18[Nombre],0),6),"")</f>
        <v/>
      </c>
      <c r="BB87" s="598"/>
      <c r="BC87" s="527"/>
      <c r="BD87" s="527"/>
      <c r="BE87" s="527"/>
      <c r="BF87" s="527"/>
      <c r="BG87" s="600"/>
      <c r="BH87" s="608"/>
      <c r="BL87" s="606" t="s">
        <v>6969</v>
      </c>
      <c r="BM87" s="556"/>
      <c r="BN87" s="527" t="str">
        <f>IF(BM87&lt;&gt;0,INDEX(Tabla16[],MATCH(BL87&amp;BM87,Tabla16[Concatenado],0),IF(CC87="Si",4,5)),"")</f>
        <v/>
      </c>
      <c r="BO87" s="527" t="str">
        <f>IF(BM87&lt;&gt;0,INDEX(Tabla16[],MATCH(BL87&amp;BM87,Tabla16[Concatenado],0),6),"")</f>
        <v/>
      </c>
      <c r="BP87" s="527" t="str">
        <f>IFERROR(IF(BM87&lt;&gt;0,INDEX(Tabla16[],MATCH(BL87&amp;BM87,Tabla16[Concatenado],0),IF(BQ$3=TS!$O$2,7,IF(BQ$3=TS!$O$3,8,IF(BQ$3=TS!$O$4,9,"")))),""),"")</f>
        <v/>
      </c>
      <c r="BQ87" s="527" t="str">
        <f>IF(BM87&lt;&gt;0,INDEX(Tabla16[],MATCH(BL87&amp;BM87,Tabla16[Concatenado],0),10),"")</f>
        <v/>
      </c>
      <c r="BR87" s="527" t="str">
        <f>IF(BM87&lt;&gt;0,INDEX(Tabla18[],MATCH(BL87,Tabla18[Nombre],0),2),"")</f>
        <v/>
      </c>
      <c r="BS87" s="527" t="str">
        <f>IF(BM87&lt;&gt;0,INDEX(Tabla18[],MATCH(BL87,Tabla18[Nombre],0),3),"")</f>
        <v/>
      </c>
      <c r="BT87" s="527" t="str">
        <f>IF(BM87&lt;&gt;0,INDEX(Tabla18[],MATCH(BL87,Tabla18[Nombre],0),4),"")</f>
        <v/>
      </c>
      <c r="BU87" s="527" t="str">
        <f>IF(BM87&lt;&gt;0,INDEX(Tabla18[],MATCH(BL87,Tabla18[Nombre],0),5),"")</f>
        <v/>
      </c>
      <c r="BV87" s="596" t="str">
        <f>IF(BM87&lt;&gt;0,INDEX(Tabla18[],MATCH(BL87,Tabla18[Nombre],0),6),"")</f>
        <v/>
      </c>
      <c r="BW87" s="598"/>
      <c r="BX87" s="527"/>
      <c r="BY87" s="527"/>
      <c r="BZ87" s="527"/>
      <c r="CA87" s="527"/>
      <c r="CB87" s="600"/>
      <c r="CC87" s="608"/>
    </row>
    <row r="88" spans="1:81" x14ac:dyDescent="0.2">
      <c r="A88" s="606" t="s">
        <v>6970</v>
      </c>
      <c r="B88" s="556"/>
      <c r="C88" s="527" t="str">
        <f>IF(B88&lt;&gt;0,INDEX(Tabla16[],MATCH(A87&amp;A88&amp;B88,Tabla16[Concatenado],0),IF(R88="Si",4,5)),"")</f>
        <v/>
      </c>
      <c r="D88" s="527" t="str">
        <f>IF(B88&lt;&gt;0,INDEX(Tabla16[],MATCH(A87&amp;A88&amp;B88,Tabla16[Concatenado],0),6),"")</f>
        <v/>
      </c>
      <c r="E88" s="527" t="str">
        <f>IFERROR(IF(B88&lt;&gt;0,INDEX(Tabla16[],MATCH(A87&amp;A88&amp;B88,Tabla16[Concatenado],0),IF(F$3=TS!$O$2,7,IF(F$3=TS!$O$3,8,IF(F$3=TS!$O$4,9,"")))),""),"")</f>
        <v/>
      </c>
      <c r="F88" s="527" t="str">
        <f>IF(B88&lt;&gt;0,INDEX(Tabla16[],MATCH(A87&amp;A88&amp;B88,Tabla16[Concatenado],0),10),"")</f>
        <v/>
      </c>
      <c r="G88" s="527" t="str">
        <f>IF(B88&lt;&gt;0,INDEX(Tabla18[],MATCH(A88,Tabla18[Nombre],0),2),"")</f>
        <v/>
      </c>
      <c r="H88" s="527" t="str">
        <f>IF(B88&lt;&gt;0,INDEX(Tabla18[],MATCH(A88,Tabla18[Nombre],0),3),"")</f>
        <v/>
      </c>
      <c r="I88" s="527" t="str">
        <f>IF(B88&lt;&gt;0,INDEX(Tabla18[],MATCH(A88,Tabla18[Nombre],0),4),"")</f>
        <v/>
      </c>
      <c r="J88" s="527" t="str">
        <f>IF(B88&lt;&gt;0,INDEX(Tabla18[],MATCH(A88,Tabla18[Nombre],0),5),"")</f>
        <v/>
      </c>
      <c r="K88" s="596" t="str">
        <f>IF(B88&lt;&gt;0,INDEX(Tabla18[],MATCH(A88,Tabla18[Nombre],0),6),"")</f>
        <v/>
      </c>
      <c r="L88" s="598"/>
      <c r="M88" s="527"/>
      <c r="N88" s="527"/>
      <c r="O88" s="527"/>
      <c r="P88" s="527"/>
      <c r="Q88" s="600"/>
      <c r="R88" s="608"/>
      <c r="V88" s="606" t="s">
        <v>6970</v>
      </c>
      <c r="W88" s="556"/>
      <c r="X88" s="527" t="str">
        <f>IF(W88&lt;&gt;0,INDEX(Tabla16[],MATCH(V87&amp;V88&amp;W88,Tabla16[Concatenado],0),IF(AM88="Si",4,5)),"")</f>
        <v/>
      </c>
      <c r="Y88" s="527" t="str">
        <f>IF(W88&lt;&gt;0,INDEX(Tabla16[],MATCH(V87&amp;V88&amp;W88,Tabla16[Concatenado],0),6),"")</f>
        <v/>
      </c>
      <c r="Z88" s="527" t="str">
        <f>IFERROR(IF(W88&lt;&gt;0,INDEX(Tabla16[],MATCH(V87&amp;V88&amp;W88,Tabla16[Concatenado],0),IF(AA$3=TS!$O$2,7,IF(AA$3=TS!$O$3,8,IF(AA$3=TS!$O$4,9,"")))),""),"")</f>
        <v/>
      </c>
      <c r="AA88" s="527" t="str">
        <f>IF(W88&lt;&gt;0,INDEX(Tabla16[],MATCH(V87&amp;V88&amp;W88,Tabla16[Concatenado],0),10),"")</f>
        <v/>
      </c>
      <c r="AB88" s="527" t="str">
        <f>IF(W88&lt;&gt;0,INDEX(Tabla18[],MATCH(V88,Tabla18[Nombre],0),2),"")</f>
        <v/>
      </c>
      <c r="AC88" s="527" t="str">
        <f>IF(W88&lt;&gt;0,INDEX(Tabla18[],MATCH(V88,Tabla18[Nombre],0),3),"")</f>
        <v/>
      </c>
      <c r="AD88" s="527" t="str">
        <f>IF(W88&lt;&gt;0,INDEX(Tabla18[],MATCH(V88,Tabla18[Nombre],0),4),"")</f>
        <v/>
      </c>
      <c r="AE88" s="527" t="str">
        <f>IF(W88&lt;&gt;0,INDEX(Tabla18[],MATCH(V88,Tabla18[Nombre],0),5),"")</f>
        <v/>
      </c>
      <c r="AF88" s="596" t="str">
        <f>IF(W88&lt;&gt;0,INDEX(Tabla18[],MATCH(V88,Tabla18[Nombre],0),6),"")</f>
        <v/>
      </c>
      <c r="AG88" s="598"/>
      <c r="AH88" s="527"/>
      <c r="AI88" s="527"/>
      <c r="AJ88" s="527"/>
      <c r="AK88" s="527"/>
      <c r="AL88" s="600"/>
      <c r="AM88" s="608"/>
      <c r="AQ88" s="606" t="s">
        <v>6970</v>
      </c>
      <c r="AR88" s="556"/>
      <c r="AS88" s="527" t="str">
        <f>IF(AR88&lt;&gt;0,INDEX(Tabla16[],MATCH(AQ87&amp;AQ88&amp;AR88,Tabla16[Concatenado],0),IF(BH88="Si",4,5)),"")</f>
        <v/>
      </c>
      <c r="AT88" s="527" t="str">
        <f>IF(AR88&lt;&gt;0,INDEX(Tabla16[],MATCH(AQ87&amp;AQ88&amp;AR88,Tabla16[Concatenado],0),6),"")</f>
        <v/>
      </c>
      <c r="AU88" s="527" t="str">
        <f>IFERROR(IF(AR88&lt;&gt;0,INDEX(Tabla16[],MATCH(AQ87&amp;AQ88&amp;AR88,Tabla16[Concatenado],0),IF(AV$3=TS!$O$2,7,IF(AV$3=TS!$O$3,8,IF(AV$3=TS!$O$4,9,"")))),""),"")</f>
        <v/>
      </c>
      <c r="AV88" s="527" t="str">
        <f>IF(AR88&lt;&gt;0,INDEX(Tabla16[],MATCH(AQ87&amp;AQ88&amp;AR88,Tabla16[Concatenado],0),10),"")</f>
        <v/>
      </c>
      <c r="AW88" s="527" t="str">
        <f>IF(AR88&lt;&gt;0,INDEX(Tabla18[],MATCH(AQ88,Tabla18[Nombre],0),2),"")</f>
        <v/>
      </c>
      <c r="AX88" s="527" t="str">
        <f>IF(AR88&lt;&gt;0,INDEX(Tabla18[],MATCH(AQ88,Tabla18[Nombre],0),3),"")</f>
        <v/>
      </c>
      <c r="AY88" s="527" t="str">
        <f>IF(AR88&lt;&gt;0,INDEX(Tabla18[],MATCH(AQ88,Tabla18[Nombre],0),4),"")</f>
        <v/>
      </c>
      <c r="AZ88" s="527" t="str">
        <f>IF(AR88&lt;&gt;0,INDEX(Tabla18[],MATCH(AQ88,Tabla18[Nombre],0),5),"")</f>
        <v/>
      </c>
      <c r="BA88" s="596" t="str">
        <f>IF(AR88&lt;&gt;0,INDEX(Tabla18[],MATCH(AQ88,Tabla18[Nombre],0),6),"")</f>
        <v/>
      </c>
      <c r="BB88" s="598"/>
      <c r="BC88" s="527"/>
      <c r="BD88" s="527"/>
      <c r="BE88" s="527"/>
      <c r="BF88" s="527"/>
      <c r="BG88" s="600"/>
      <c r="BH88" s="608"/>
      <c r="BL88" s="606" t="s">
        <v>6970</v>
      </c>
      <c r="BM88" s="556"/>
      <c r="BN88" s="527" t="str">
        <f>IF(BM88&lt;&gt;0,INDEX(Tabla16[],MATCH(BL87&amp;BL88&amp;BM88,Tabla16[Concatenado],0),IF(CC88="Si",4,5)),"")</f>
        <v/>
      </c>
      <c r="BO88" s="527" t="str">
        <f>IF(BM88&lt;&gt;0,INDEX(Tabla16[],MATCH(BL87&amp;BL88&amp;BM88,Tabla16[Concatenado],0),6),"")</f>
        <v/>
      </c>
      <c r="BP88" s="527" t="str">
        <f>IFERROR(IF(BM88&lt;&gt;0,INDEX(Tabla16[],MATCH(BL87&amp;BL88&amp;BM88,Tabla16[Concatenado],0),IF(BQ$3=TS!$O$2,7,IF(BQ$3=TS!$O$3,8,IF(BQ$3=TS!$O$4,9,"")))),""),"")</f>
        <v/>
      </c>
      <c r="BQ88" s="527" t="str">
        <f>IF(BM88&lt;&gt;0,INDEX(Tabla16[],MATCH(BL87&amp;BL88&amp;BM88,Tabla16[Concatenado],0),10),"")</f>
        <v/>
      </c>
      <c r="BR88" s="527" t="str">
        <f>IF(BM88&lt;&gt;0,INDEX(Tabla18[],MATCH(BL88,Tabla18[Nombre],0),2),"")</f>
        <v/>
      </c>
      <c r="BS88" s="527" t="str">
        <f>IF(BM88&lt;&gt;0,INDEX(Tabla18[],MATCH(BL88,Tabla18[Nombre],0),3),"")</f>
        <v/>
      </c>
      <c r="BT88" s="527" t="str">
        <f>IF(BM88&lt;&gt;0,INDEX(Tabla18[],MATCH(BL88,Tabla18[Nombre],0),4),"")</f>
        <v/>
      </c>
      <c r="BU88" s="527" t="str">
        <f>IF(BM88&lt;&gt;0,INDEX(Tabla18[],MATCH(BL88,Tabla18[Nombre],0),5),"")</f>
        <v/>
      </c>
      <c r="BV88" s="596" t="str">
        <f>IF(BM88&lt;&gt;0,INDEX(Tabla18[],MATCH(BL88,Tabla18[Nombre],0),6),"")</f>
        <v/>
      </c>
      <c r="BW88" s="598"/>
      <c r="BX88" s="527"/>
      <c r="BY88" s="527"/>
      <c r="BZ88" s="527"/>
      <c r="CA88" s="527"/>
      <c r="CB88" s="600"/>
      <c r="CC88" s="608"/>
    </row>
    <row r="89" spans="1:81" x14ac:dyDescent="0.2">
      <c r="A89" s="606" t="s">
        <v>6971</v>
      </c>
      <c r="B89" s="556"/>
      <c r="C89" s="527" t="str">
        <f>IF(B89&lt;&gt;0,INDEX(Tabla16[],MATCH(A87&amp;A89&amp;B89,Tabla16[Concatenado],0),IF(R89="Si",4,5)),"")</f>
        <v/>
      </c>
      <c r="D89" s="527" t="str">
        <f>IF(B89&lt;&gt;0,INDEX(Tabla16[],MATCH(A87&amp;A89&amp;B89,Tabla16[Concatenado],0),6),"")</f>
        <v/>
      </c>
      <c r="E89" s="527" t="str">
        <f>IFERROR(IF(B89&lt;&gt;0,INDEX(Tabla16[],MATCH(A87&amp;A89&amp;B89,Tabla16[Concatenado],0),IF(F$3=TS!$O$2,7,IF(F$3=TS!$O$3,8,IF(F$3=TS!$O$4,9,"")))),""),"")</f>
        <v/>
      </c>
      <c r="F89" s="527" t="str">
        <f>IF(B89&lt;&gt;0,INDEX(Tabla16[],MATCH(A87&amp;A89&amp;B89,Tabla16[Concatenado],0),10),"")</f>
        <v/>
      </c>
      <c r="G89" s="527" t="str">
        <f>IF(B89&lt;&gt;0,INDEX(Tabla18[],MATCH(A89,Tabla18[Nombre],0),2),"")</f>
        <v/>
      </c>
      <c r="H89" s="527" t="str">
        <f>IF(B89&lt;&gt;0,INDEX(Tabla18[],MATCH(A89,Tabla18[Nombre],0),3),"")</f>
        <v/>
      </c>
      <c r="I89" s="527" t="str">
        <f>IF(B89&lt;&gt;0,INDEX(Tabla18[],MATCH(A89,Tabla18[Nombre],0),4),"")</f>
        <v/>
      </c>
      <c r="J89" s="527" t="str">
        <f>IF(B89&lt;&gt;0,INDEX(Tabla18[],MATCH(A89,Tabla18[Nombre],0),5),"")</f>
        <v/>
      </c>
      <c r="K89" s="596" t="str">
        <f>IF(B89&lt;&gt;0,INDEX(Tabla18[],MATCH(A89,Tabla18[Nombre],0),6),"")</f>
        <v/>
      </c>
      <c r="L89" s="598"/>
      <c r="M89" s="527"/>
      <c r="N89" s="527"/>
      <c r="O89" s="527"/>
      <c r="P89" s="527"/>
      <c r="Q89" s="600"/>
      <c r="R89" s="608"/>
      <c r="V89" s="606" t="s">
        <v>6971</v>
      </c>
      <c r="W89" s="556"/>
      <c r="X89" s="527" t="str">
        <f>IF(W89&lt;&gt;0,INDEX(Tabla16[],MATCH(V87&amp;V89&amp;W89,Tabla16[Concatenado],0),IF(AM89="Si",4,5)),"")</f>
        <v/>
      </c>
      <c r="Y89" s="527" t="str">
        <f>IF(W89&lt;&gt;0,INDEX(Tabla16[],MATCH(V87&amp;V89&amp;W89,Tabla16[Concatenado],0),6),"")</f>
        <v/>
      </c>
      <c r="Z89" s="527" t="str">
        <f>IFERROR(IF(W89&lt;&gt;0,INDEX(Tabla16[],MATCH(V87&amp;V89&amp;W89,Tabla16[Concatenado],0),IF(AA$3=TS!$O$2,7,IF(AA$3=TS!$O$3,8,IF(AA$3=TS!$O$4,9,"")))),""),"")</f>
        <v/>
      </c>
      <c r="AA89" s="527" t="str">
        <f>IF(W89&lt;&gt;0,INDEX(Tabla16[],MATCH(V87&amp;V89&amp;W89,Tabla16[Concatenado],0),10),"")</f>
        <v/>
      </c>
      <c r="AB89" s="527" t="str">
        <f>IF(W89&lt;&gt;0,INDEX(Tabla18[],MATCH(V89,Tabla18[Nombre],0),2),"")</f>
        <v/>
      </c>
      <c r="AC89" s="527" t="str">
        <f>IF(W89&lt;&gt;0,INDEX(Tabla18[],MATCH(V89,Tabla18[Nombre],0),3),"")</f>
        <v/>
      </c>
      <c r="AD89" s="527" t="str">
        <f>IF(W89&lt;&gt;0,INDEX(Tabla18[],MATCH(V89,Tabla18[Nombre],0),4),"")</f>
        <v/>
      </c>
      <c r="AE89" s="527" t="str">
        <f>IF(W89&lt;&gt;0,INDEX(Tabla18[],MATCH(V89,Tabla18[Nombre],0),5),"")</f>
        <v/>
      </c>
      <c r="AF89" s="596" t="str">
        <f>IF(W89&lt;&gt;0,INDEX(Tabla18[],MATCH(V89,Tabla18[Nombre],0),6),"")</f>
        <v/>
      </c>
      <c r="AG89" s="598"/>
      <c r="AH89" s="527"/>
      <c r="AI89" s="527"/>
      <c r="AJ89" s="527"/>
      <c r="AK89" s="527"/>
      <c r="AL89" s="600"/>
      <c r="AM89" s="608"/>
      <c r="AQ89" s="606" t="s">
        <v>6971</v>
      </c>
      <c r="AR89" s="556"/>
      <c r="AS89" s="527" t="str">
        <f>IF(AR89&lt;&gt;0,INDEX(Tabla16[],MATCH(AQ87&amp;AQ89&amp;AR89,Tabla16[Concatenado],0),IF(BH89="Si",4,5)),"")</f>
        <v/>
      </c>
      <c r="AT89" s="527" t="str">
        <f>IF(AR89&lt;&gt;0,INDEX(Tabla16[],MATCH(AQ87&amp;AQ89&amp;AR89,Tabla16[Concatenado],0),6),"")</f>
        <v/>
      </c>
      <c r="AU89" s="527" t="str">
        <f>IFERROR(IF(AR89&lt;&gt;0,INDEX(Tabla16[],MATCH(AQ87&amp;AQ89&amp;AR89,Tabla16[Concatenado],0),IF(AV$3=TS!$O$2,7,IF(AV$3=TS!$O$3,8,IF(AV$3=TS!$O$4,9,"")))),""),"")</f>
        <v/>
      </c>
      <c r="AV89" s="527" t="str">
        <f>IF(AR89&lt;&gt;0,INDEX(Tabla16[],MATCH(AQ87&amp;AQ89&amp;AR89,Tabla16[Concatenado],0),10),"")</f>
        <v/>
      </c>
      <c r="AW89" s="527" t="str">
        <f>IF(AR89&lt;&gt;0,INDEX(Tabla18[],MATCH(AQ89,Tabla18[Nombre],0),2),"")</f>
        <v/>
      </c>
      <c r="AX89" s="527" t="str">
        <f>IF(AR89&lt;&gt;0,INDEX(Tabla18[],MATCH(AQ89,Tabla18[Nombre],0),3),"")</f>
        <v/>
      </c>
      <c r="AY89" s="527" t="str">
        <f>IF(AR89&lt;&gt;0,INDEX(Tabla18[],MATCH(AQ89,Tabla18[Nombre],0),4),"")</f>
        <v/>
      </c>
      <c r="AZ89" s="527" t="str">
        <f>IF(AR89&lt;&gt;0,INDEX(Tabla18[],MATCH(AQ89,Tabla18[Nombre],0),5),"")</f>
        <v/>
      </c>
      <c r="BA89" s="596" t="str">
        <f>IF(AR89&lt;&gt;0,INDEX(Tabla18[],MATCH(AQ89,Tabla18[Nombre],0),6),"")</f>
        <v/>
      </c>
      <c r="BB89" s="598"/>
      <c r="BC89" s="527"/>
      <c r="BD89" s="527"/>
      <c r="BE89" s="527"/>
      <c r="BF89" s="527"/>
      <c r="BG89" s="600"/>
      <c r="BH89" s="608"/>
      <c r="BL89" s="606" t="s">
        <v>6971</v>
      </c>
      <c r="BM89" s="556"/>
      <c r="BN89" s="527" t="str">
        <f>IF(BM89&lt;&gt;0,INDEX(Tabla16[],MATCH(BL87&amp;BL89&amp;BM89,Tabla16[Concatenado],0),IF(CC89="Si",4,5)),"")</f>
        <v/>
      </c>
      <c r="BO89" s="527" t="str">
        <f>IF(BM89&lt;&gt;0,INDEX(Tabla16[],MATCH(BL87&amp;BL89&amp;BM89,Tabla16[Concatenado],0),6),"")</f>
        <v/>
      </c>
      <c r="BP89" s="527" t="str">
        <f>IFERROR(IF(BM89&lt;&gt;0,INDEX(Tabla16[],MATCH(BL87&amp;BL89&amp;BM89,Tabla16[Concatenado],0),IF(BQ$3=TS!$O$2,7,IF(BQ$3=TS!$O$3,8,IF(BQ$3=TS!$O$4,9,"")))),""),"")</f>
        <v/>
      </c>
      <c r="BQ89" s="527" t="str">
        <f>IF(BM89&lt;&gt;0,INDEX(Tabla16[],MATCH(BL87&amp;BL89&amp;BM89,Tabla16[Concatenado],0),10),"")</f>
        <v/>
      </c>
      <c r="BR89" s="527" t="str">
        <f>IF(BM89&lt;&gt;0,INDEX(Tabla18[],MATCH(BL89,Tabla18[Nombre],0),2),"")</f>
        <v/>
      </c>
      <c r="BS89" s="527" t="str">
        <f>IF(BM89&lt;&gt;0,INDEX(Tabla18[],MATCH(BL89,Tabla18[Nombre],0),3),"")</f>
        <v/>
      </c>
      <c r="BT89" s="527" t="str">
        <f>IF(BM89&lt;&gt;0,INDEX(Tabla18[],MATCH(BL89,Tabla18[Nombre],0),4),"")</f>
        <v/>
      </c>
      <c r="BU89" s="527" t="str">
        <f>IF(BM89&lt;&gt;0,INDEX(Tabla18[],MATCH(BL89,Tabla18[Nombre],0),5),"")</f>
        <v/>
      </c>
      <c r="BV89" s="596" t="str">
        <f>IF(BM89&lt;&gt;0,INDEX(Tabla18[],MATCH(BL89,Tabla18[Nombre],0),6),"")</f>
        <v/>
      </c>
      <c r="BW89" s="598"/>
      <c r="BX89" s="527"/>
      <c r="BY89" s="527"/>
      <c r="BZ89" s="527"/>
      <c r="CA89" s="527"/>
      <c r="CB89" s="600"/>
      <c r="CC89" s="608"/>
    </row>
    <row r="90" spans="1:81" x14ac:dyDescent="0.2">
      <c r="A90" s="606" t="s">
        <v>6972</v>
      </c>
      <c r="B90" s="556"/>
      <c r="C90" s="527" t="str">
        <f>IF(B90&lt;&gt;0,INDEX(Tabla16[],MATCH(A90&amp;B90,Tabla16[Concatenado],0),IF(R90="Si",4,5)),"")</f>
        <v/>
      </c>
      <c r="D90" s="527" t="str">
        <f>IF(B90&lt;&gt;0,INDEX(Tabla16[],MATCH(A90&amp;B90,Tabla16[Concatenado],0),6),"")</f>
        <v/>
      </c>
      <c r="E90" s="527" t="str">
        <f>IFERROR(IF(B90&lt;&gt;0,INDEX(Tabla16[],MATCH(A90&amp;B90,Tabla16[Concatenado],0),IF(F$3=TS!$O$2,7,IF(F$3=TS!$O$3,8,IF(F$3=TS!$O$4,9,"")))),""),"")</f>
        <v/>
      </c>
      <c r="F90" s="527" t="str">
        <f>IF(B90&lt;&gt;0,INDEX(Tabla16[],MATCH(A90&amp;B90,Tabla16[Concatenado],0),10),"")</f>
        <v/>
      </c>
      <c r="G90" s="527" t="str">
        <f>IF(B90&lt;&gt;0,INDEX(Tabla18[],MATCH(A90,Tabla18[Nombre],0),2),"")</f>
        <v/>
      </c>
      <c r="H90" s="527" t="str">
        <f>IF(B90&lt;&gt;0,INDEX(Tabla18[],MATCH(A90,Tabla18[Nombre],0),3),"")</f>
        <v/>
      </c>
      <c r="I90" s="527" t="str">
        <f>IF(B90&lt;&gt;0,INDEX(Tabla18[],MATCH(A90,Tabla18[Nombre],0),4),"")</f>
        <v/>
      </c>
      <c r="J90" s="527" t="str">
        <f>IF(B90&lt;&gt;0,INDEX(Tabla18[],MATCH(A90,Tabla18[Nombre],0),5),"")</f>
        <v/>
      </c>
      <c r="K90" s="596" t="str">
        <f>IF(B90&lt;&gt;0,INDEX(Tabla18[],MATCH(A90,Tabla18[Nombre],0),6),"")</f>
        <v/>
      </c>
      <c r="L90" s="598"/>
      <c r="M90" s="527"/>
      <c r="N90" s="527"/>
      <c r="O90" s="527"/>
      <c r="P90" s="527"/>
      <c r="Q90" s="600"/>
      <c r="R90" s="608"/>
      <c r="V90" s="606" t="s">
        <v>6972</v>
      </c>
      <c r="W90" s="556"/>
      <c r="X90" s="527" t="str">
        <f>IF(W90&lt;&gt;0,INDEX(Tabla16[],MATCH(V90&amp;W90,Tabla16[Concatenado],0),IF(AM90="Si",4,5)),"")</f>
        <v/>
      </c>
      <c r="Y90" s="527" t="str">
        <f>IF(W90&lt;&gt;0,INDEX(Tabla16[],MATCH(V90&amp;W90,Tabla16[Concatenado],0),6),"")</f>
        <v/>
      </c>
      <c r="Z90" s="527" t="str">
        <f>IFERROR(IF(W90&lt;&gt;0,INDEX(Tabla16[],MATCH(V90&amp;W90,Tabla16[Concatenado],0),IF(AA$3=TS!$O$2,7,IF(AA$3=TS!$O$3,8,IF(AA$3=TS!$O$4,9,"")))),""),"")</f>
        <v/>
      </c>
      <c r="AA90" s="527" t="str">
        <f>IF(W90&lt;&gt;0,INDEX(Tabla16[],MATCH(V90&amp;W90,Tabla16[Concatenado],0),10),"")</f>
        <v/>
      </c>
      <c r="AB90" s="527" t="str">
        <f>IF(W90&lt;&gt;0,INDEX(Tabla18[],MATCH(V90,Tabla18[Nombre],0),2),"")</f>
        <v/>
      </c>
      <c r="AC90" s="527" t="str">
        <f>IF(W90&lt;&gt;0,INDEX(Tabla18[],MATCH(V90,Tabla18[Nombre],0),3),"")</f>
        <v/>
      </c>
      <c r="AD90" s="527" t="str">
        <f>IF(W90&lt;&gt;0,INDEX(Tabla18[],MATCH(V90,Tabla18[Nombre],0),4),"")</f>
        <v/>
      </c>
      <c r="AE90" s="527" t="str">
        <f>IF(W90&lt;&gt;0,INDEX(Tabla18[],MATCH(V90,Tabla18[Nombre],0),5),"")</f>
        <v/>
      </c>
      <c r="AF90" s="596" t="str">
        <f>IF(W90&lt;&gt;0,INDEX(Tabla18[],MATCH(V90,Tabla18[Nombre],0),6),"")</f>
        <v/>
      </c>
      <c r="AG90" s="598"/>
      <c r="AH90" s="527"/>
      <c r="AI90" s="527"/>
      <c r="AJ90" s="527"/>
      <c r="AK90" s="527"/>
      <c r="AL90" s="600"/>
      <c r="AM90" s="608"/>
      <c r="AQ90" s="606" t="s">
        <v>6972</v>
      </c>
      <c r="AR90" s="556"/>
      <c r="AS90" s="527" t="str">
        <f>IF(AR90&lt;&gt;0,INDEX(Tabla16[],MATCH(AQ90&amp;AR90,Tabla16[Concatenado],0),IF(BH90="Si",4,5)),"")</f>
        <v/>
      </c>
      <c r="AT90" s="527" t="str">
        <f>IF(AR90&lt;&gt;0,INDEX(Tabla16[],MATCH(AQ90&amp;AR90,Tabla16[Concatenado],0),6),"")</f>
        <v/>
      </c>
      <c r="AU90" s="527" t="str">
        <f>IFERROR(IF(AR90&lt;&gt;0,INDEX(Tabla16[],MATCH(AQ90&amp;AR90,Tabla16[Concatenado],0),IF(AV$3=TS!$O$2,7,IF(AV$3=TS!$O$3,8,IF(AV$3=TS!$O$4,9,"")))),""),"")</f>
        <v/>
      </c>
      <c r="AV90" s="527" t="str">
        <f>IF(AR90&lt;&gt;0,INDEX(Tabla16[],MATCH(AQ90&amp;AR90,Tabla16[Concatenado],0),10),"")</f>
        <v/>
      </c>
      <c r="AW90" s="527" t="str">
        <f>IF(AR90&lt;&gt;0,INDEX(Tabla18[],MATCH(AQ90,Tabla18[Nombre],0),2),"")</f>
        <v/>
      </c>
      <c r="AX90" s="527" t="str">
        <f>IF(AR90&lt;&gt;0,INDEX(Tabla18[],MATCH(AQ90,Tabla18[Nombre],0),3),"")</f>
        <v/>
      </c>
      <c r="AY90" s="527" t="str">
        <f>IF(AR90&lt;&gt;0,INDEX(Tabla18[],MATCH(AQ90,Tabla18[Nombre],0),4),"")</f>
        <v/>
      </c>
      <c r="AZ90" s="527" t="str">
        <f>IF(AR90&lt;&gt;0,INDEX(Tabla18[],MATCH(AQ90,Tabla18[Nombre],0),5),"")</f>
        <v/>
      </c>
      <c r="BA90" s="596" t="str">
        <f>IF(AR90&lt;&gt;0,INDEX(Tabla18[],MATCH(AQ90,Tabla18[Nombre],0),6),"")</f>
        <v/>
      </c>
      <c r="BB90" s="598"/>
      <c r="BC90" s="527"/>
      <c r="BD90" s="527"/>
      <c r="BE90" s="527"/>
      <c r="BF90" s="527"/>
      <c r="BG90" s="600"/>
      <c r="BH90" s="608"/>
      <c r="BL90" s="606" t="s">
        <v>6972</v>
      </c>
      <c r="BM90" s="556"/>
      <c r="BN90" s="527" t="str">
        <f>IF(BM90&lt;&gt;0,INDEX(Tabla16[],MATCH(BL90&amp;BM90,Tabla16[Concatenado],0),IF(CC90="Si",4,5)),"")</f>
        <v/>
      </c>
      <c r="BO90" s="527" t="str">
        <f>IF(BM90&lt;&gt;0,INDEX(Tabla16[],MATCH(BL90&amp;BM90,Tabla16[Concatenado],0),6),"")</f>
        <v/>
      </c>
      <c r="BP90" s="527" t="str">
        <f>IFERROR(IF(BM90&lt;&gt;0,INDEX(Tabla16[],MATCH(BL90&amp;BM90,Tabla16[Concatenado],0),IF(BQ$3=TS!$O$2,7,IF(BQ$3=TS!$O$3,8,IF(BQ$3=TS!$O$4,9,"")))),""),"")</f>
        <v/>
      </c>
      <c r="BQ90" s="527" t="str">
        <f>IF(BM90&lt;&gt;0,INDEX(Tabla16[],MATCH(BL90&amp;BM90,Tabla16[Concatenado],0),10),"")</f>
        <v/>
      </c>
      <c r="BR90" s="527" t="str">
        <f>IF(BM90&lt;&gt;0,INDEX(Tabla18[],MATCH(BL90,Tabla18[Nombre],0),2),"")</f>
        <v/>
      </c>
      <c r="BS90" s="527" t="str">
        <f>IF(BM90&lt;&gt;0,INDEX(Tabla18[],MATCH(BL90,Tabla18[Nombre],0),3),"")</f>
        <v/>
      </c>
      <c r="BT90" s="527" t="str">
        <f>IF(BM90&lt;&gt;0,INDEX(Tabla18[],MATCH(BL90,Tabla18[Nombre],0),4),"")</f>
        <v/>
      </c>
      <c r="BU90" s="527" t="str">
        <f>IF(BM90&lt;&gt;0,INDEX(Tabla18[],MATCH(BL90,Tabla18[Nombre],0),5),"")</f>
        <v/>
      </c>
      <c r="BV90" s="596" t="str">
        <f>IF(BM90&lt;&gt;0,INDEX(Tabla18[],MATCH(BL90,Tabla18[Nombre],0),6),"")</f>
        <v/>
      </c>
      <c r="BW90" s="598"/>
      <c r="BX90" s="527"/>
      <c r="BY90" s="527"/>
      <c r="BZ90" s="527"/>
      <c r="CA90" s="527"/>
      <c r="CB90" s="600"/>
      <c r="CC90" s="608"/>
    </row>
    <row r="91" spans="1:81" x14ac:dyDescent="0.2">
      <c r="A91" s="606" t="s">
        <v>6973</v>
      </c>
      <c r="B91" s="556"/>
      <c r="C91" s="527" t="str">
        <f>IF(B91&lt;&gt;0,INDEX(Tabla16[],MATCH(A91&amp;B91,Tabla16[Concatenado],0),IF(R91="Si",4,5)),"")</f>
        <v/>
      </c>
      <c r="D91" s="527" t="str">
        <f>IF(B91&lt;&gt;0,INDEX(Tabla16[],MATCH(A91&amp;B91,Tabla16[Concatenado],0),6),"")</f>
        <v/>
      </c>
      <c r="E91" s="527" t="str">
        <f>IFERROR(IF(B91&lt;&gt;0,INDEX(Tabla16[],MATCH(A91&amp;B91,Tabla16[Concatenado],0),IF(F$3=TS!$O$2,7,IF(F$3=TS!$O$3,8,IF(F$3=TS!$O$4,9,"")))),""),"")</f>
        <v/>
      </c>
      <c r="F91" s="527" t="str">
        <f>IF(B91&lt;&gt;0,INDEX(Tabla16[],MATCH(A91&amp;B91,Tabla16[Concatenado],0),10),"")</f>
        <v/>
      </c>
      <c r="G91" s="527" t="str">
        <f>IF(B91&lt;&gt;0,INDEX(Tabla18[],MATCH(A91,Tabla18[Nombre],0),2),"")</f>
        <v/>
      </c>
      <c r="H91" s="527" t="str">
        <f>IF(B91&lt;&gt;0,INDEX(Tabla18[],MATCH(A91,Tabla18[Nombre],0),3),"")</f>
        <v/>
      </c>
      <c r="I91" s="527" t="str">
        <f>IF(B91&lt;&gt;0,INDEX(Tabla18[],MATCH(A91,Tabla18[Nombre],0),4),"")</f>
        <v/>
      </c>
      <c r="J91" s="527" t="str">
        <f>IF(B91&lt;&gt;0,INDEX(Tabla18[],MATCH(A91,Tabla18[Nombre],0),5),"")</f>
        <v/>
      </c>
      <c r="K91" s="596" t="str">
        <f>IF(B91&lt;&gt;0,INDEX(Tabla18[],MATCH(A91,Tabla18[Nombre],0),6),"")</f>
        <v/>
      </c>
      <c r="L91" s="598"/>
      <c r="M91" s="527"/>
      <c r="N91" s="527"/>
      <c r="O91" s="527"/>
      <c r="P91" s="527"/>
      <c r="Q91" s="600"/>
      <c r="R91" s="608"/>
      <c r="V91" s="606" t="s">
        <v>6973</v>
      </c>
      <c r="W91" s="556"/>
      <c r="X91" s="527" t="str">
        <f>IF(W91&lt;&gt;0,INDEX(Tabla16[],MATCH(V91&amp;W91,Tabla16[Concatenado],0),IF(AM91="Si",4,5)),"")</f>
        <v/>
      </c>
      <c r="Y91" s="527" t="str">
        <f>IF(W91&lt;&gt;0,INDEX(Tabla16[],MATCH(V91&amp;W91,Tabla16[Concatenado],0),6),"")</f>
        <v/>
      </c>
      <c r="Z91" s="527" t="str">
        <f>IFERROR(IF(W91&lt;&gt;0,INDEX(Tabla16[],MATCH(V91&amp;W91,Tabla16[Concatenado],0),IF(AA$3=TS!$O$2,7,IF(AA$3=TS!$O$3,8,IF(AA$3=TS!$O$4,9,"")))),""),"")</f>
        <v/>
      </c>
      <c r="AA91" s="527" t="str">
        <f>IF(W91&lt;&gt;0,INDEX(Tabla16[],MATCH(V91&amp;W91,Tabla16[Concatenado],0),10),"")</f>
        <v/>
      </c>
      <c r="AB91" s="527" t="str">
        <f>IF(W91&lt;&gt;0,INDEX(Tabla18[],MATCH(V91,Tabla18[Nombre],0),2),"")</f>
        <v/>
      </c>
      <c r="AC91" s="527" t="str">
        <f>IF(W91&lt;&gt;0,INDEX(Tabla18[],MATCH(V91,Tabla18[Nombre],0),3),"")</f>
        <v/>
      </c>
      <c r="AD91" s="527" t="str">
        <f>IF(W91&lt;&gt;0,INDEX(Tabla18[],MATCH(V91,Tabla18[Nombre],0),4),"")</f>
        <v/>
      </c>
      <c r="AE91" s="527" t="str">
        <f>IF(W91&lt;&gt;0,INDEX(Tabla18[],MATCH(V91,Tabla18[Nombre],0),5),"")</f>
        <v/>
      </c>
      <c r="AF91" s="596" t="str">
        <f>IF(W91&lt;&gt;0,INDEX(Tabla18[],MATCH(V91,Tabla18[Nombre],0),6),"")</f>
        <v/>
      </c>
      <c r="AG91" s="598"/>
      <c r="AH91" s="527"/>
      <c r="AI91" s="527"/>
      <c r="AJ91" s="527"/>
      <c r="AK91" s="527"/>
      <c r="AL91" s="600"/>
      <c r="AM91" s="608"/>
      <c r="AQ91" s="606" t="s">
        <v>6973</v>
      </c>
      <c r="AR91" s="556"/>
      <c r="AS91" s="527" t="str">
        <f>IF(AR91&lt;&gt;0,INDEX(Tabla16[],MATCH(AQ91&amp;AR91,Tabla16[Concatenado],0),IF(BH91="Si",4,5)),"")</f>
        <v/>
      </c>
      <c r="AT91" s="527" t="str">
        <f>IF(AR91&lt;&gt;0,INDEX(Tabla16[],MATCH(AQ91&amp;AR91,Tabla16[Concatenado],0),6),"")</f>
        <v/>
      </c>
      <c r="AU91" s="527" t="str">
        <f>IFERROR(IF(AR91&lt;&gt;0,INDEX(Tabla16[],MATCH(AQ91&amp;AR91,Tabla16[Concatenado],0),IF(AV$3=TS!$O$2,7,IF(AV$3=TS!$O$3,8,IF(AV$3=TS!$O$4,9,"")))),""),"")</f>
        <v/>
      </c>
      <c r="AV91" s="527" t="str">
        <f>IF(AR91&lt;&gt;0,INDEX(Tabla16[],MATCH(AQ91&amp;AR91,Tabla16[Concatenado],0),10),"")</f>
        <v/>
      </c>
      <c r="AW91" s="527" t="str">
        <f>IF(AR91&lt;&gt;0,INDEX(Tabla18[],MATCH(AQ91,Tabla18[Nombre],0),2),"")</f>
        <v/>
      </c>
      <c r="AX91" s="527" t="str">
        <f>IF(AR91&lt;&gt;0,INDEX(Tabla18[],MATCH(AQ91,Tabla18[Nombre],0),3),"")</f>
        <v/>
      </c>
      <c r="AY91" s="527" t="str">
        <f>IF(AR91&lt;&gt;0,INDEX(Tabla18[],MATCH(AQ91,Tabla18[Nombre],0),4),"")</f>
        <v/>
      </c>
      <c r="AZ91" s="527" t="str">
        <f>IF(AR91&lt;&gt;0,INDEX(Tabla18[],MATCH(AQ91,Tabla18[Nombre],0),5),"")</f>
        <v/>
      </c>
      <c r="BA91" s="596" t="str">
        <f>IF(AR91&lt;&gt;0,INDEX(Tabla18[],MATCH(AQ91,Tabla18[Nombre],0),6),"")</f>
        <v/>
      </c>
      <c r="BB91" s="598"/>
      <c r="BC91" s="527"/>
      <c r="BD91" s="527"/>
      <c r="BE91" s="527"/>
      <c r="BF91" s="527"/>
      <c r="BG91" s="600"/>
      <c r="BH91" s="608"/>
      <c r="BL91" s="606" t="s">
        <v>6973</v>
      </c>
      <c r="BM91" s="556"/>
      <c r="BN91" s="527" t="str">
        <f>IF(BM91&lt;&gt;0,INDEX(Tabla16[],MATCH(BL91&amp;BM91,Tabla16[Concatenado],0),IF(CC91="Si",4,5)),"")</f>
        <v/>
      </c>
      <c r="BO91" s="527" t="str">
        <f>IF(BM91&lt;&gt;0,INDEX(Tabla16[],MATCH(BL91&amp;BM91,Tabla16[Concatenado],0),6),"")</f>
        <v/>
      </c>
      <c r="BP91" s="527" t="str">
        <f>IFERROR(IF(BM91&lt;&gt;0,INDEX(Tabla16[],MATCH(BL91&amp;BM91,Tabla16[Concatenado],0),IF(BQ$3=TS!$O$2,7,IF(BQ$3=TS!$O$3,8,IF(BQ$3=TS!$O$4,9,"")))),""),"")</f>
        <v/>
      </c>
      <c r="BQ91" s="527" t="str">
        <f>IF(BM91&lt;&gt;0,INDEX(Tabla16[],MATCH(BL91&amp;BM91,Tabla16[Concatenado],0),10),"")</f>
        <v/>
      </c>
      <c r="BR91" s="527" t="str">
        <f>IF(BM91&lt;&gt;0,INDEX(Tabla18[],MATCH(BL91,Tabla18[Nombre],0),2),"")</f>
        <v/>
      </c>
      <c r="BS91" s="527" t="str">
        <f>IF(BM91&lt;&gt;0,INDEX(Tabla18[],MATCH(BL91,Tabla18[Nombre],0),3),"")</f>
        <v/>
      </c>
      <c r="BT91" s="527" t="str">
        <f>IF(BM91&lt;&gt;0,INDEX(Tabla18[],MATCH(BL91,Tabla18[Nombre],0),4),"")</f>
        <v/>
      </c>
      <c r="BU91" s="527" t="str">
        <f>IF(BM91&lt;&gt;0,INDEX(Tabla18[],MATCH(BL91,Tabla18[Nombre],0),5),"")</f>
        <v/>
      </c>
      <c r="BV91" s="596" t="str">
        <f>IF(BM91&lt;&gt;0,INDEX(Tabla18[],MATCH(BL91,Tabla18[Nombre],0),6),"")</f>
        <v/>
      </c>
      <c r="BW91" s="598"/>
      <c r="BX91" s="527"/>
      <c r="BY91" s="527"/>
      <c r="BZ91" s="527"/>
      <c r="CA91" s="527"/>
      <c r="CB91" s="600"/>
      <c r="CC91" s="608"/>
    </row>
    <row r="92" spans="1:81" x14ac:dyDescent="0.2">
      <c r="A92" s="606" t="s">
        <v>6974</v>
      </c>
      <c r="B92" s="556"/>
      <c r="C92" s="527" t="str">
        <f>IF(B92&lt;&gt;0,INDEX(Tabla16[],MATCH(A92&amp;B92,Tabla16[Concatenado],0),IF(R92="Si",4,5)),"")</f>
        <v/>
      </c>
      <c r="D92" s="527" t="str">
        <f>IF(B92&lt;&gt;0,INDEX(Tabla16[],MATCH(A92&amp;B92,Tabla16[Concatenado],0),6),"")</f>
        <v/>
      </c>
      <c r="E92" s="527" t="str">
        <f>IFERROR(IF(B92&lt;&gt;0,INDEX(Tabla16[],MATCH(A92&amp;B92,Tabla16[Concatenado],0),IF(F$3=TS!$O$2,7,IF(F$3=TS!$O$3,8,IF(F$3=TS!$O$4,9,"")))),""),"")</f>
        <v/>
      </c>
      <c r="F92" s="527" t="str">
        <f>IF(B92&lt;&gt;0,INDEX(Tabla16[],MATCH(A92&amp;B92,Tabla16[Concatenado],0),10),"")</f>
        <v/>
      </c>
      <c r="G92" s="527" t="str">
        <f>IF(B92&lt;&gt;0,INDEX(Tabla18[],MATCH(A92,Tabla18[Nombre],0),2),"")</f>
        <v/>
      </c>
      <c r="H92" s="527" t="str">
        <f>IF(B92&lt;&gt;0,INDEX(Tabla18[],MATCH(A92,Tabla18[Nombre],0),3),"")</f>
        <v/>
      </c>
      <c r="I92" s="527" t="str">
        <f>IF(B92&lt;&gt;0,INDEX(Tabla18[],MATCH(A92,Tabla18[Nombre],0),4),"")</f>
        <v/>
      </c>
      <c r="J92" s="527" t="str">
        <f>IF(B92&lt;&gt;0,INDEX(Tabla18[],MATCH(A92,Tabla18[Nombre],0),5),"")</f>
        <v/>
      </c>
      <c r="K92" s="596" t="str">
        <f>IF(B92&lt;&gt;0,INDEX(Tabla18[],MATCH(A92,Tabla18[Nombre],0),6),"")</f>
        <v/>
      </c>
      <c r="L92" s="598"/>
      <c r="M92" s="527"/>
      <c r="N92" s="527"/>
      <c r="O92" s="527"/>
      <c r="P92" s="527"/>
      <c r="Q92" s="600"/>
      <c r="R92" s="608"/>
      <c r="V92" s="606" t="s">
        <v>6974</v>
      </c>
      <c r="W92" s="556"/>
      <c r="X92" s="527" t="str">
        <f>IF(W92&lt;&gt;0,INDEX(Tabla16[],MATCH(V92&amp;W92,Tabla16[Concatenado],0),IF(AM92="Si",4,5)),"")</f>
        <v/>
      </c>
      <c r="Y92" s="527" t="str">
        <f>IF(W92&lt;&gt;0,INDEX(Tabla16[],MATCH(V92&amp;W92,Tabla16[Concatenado],0),6),"")</f>
        <v/>
      </c>
      <c r="Z92" s="527" t="str">
        <f>IFERROR(IF(W92&lt;&gt;0,INDEX(Tabla16[],MATCH(V92&amp;W92,Tabla16[Concatenado],0),IF(AA$3=TS!$O$2,7,IF(AA$3=TS!$O$3,8,IF(AA$3=TS!$O$4,9,"")))),""),"")</f>
        <v/>
      </c>
      <c r="AA92" s="527" t="str">
        <f>IF(W92&lt;&gt;0,INDEX(Tabla16[],MATCH(V92&amp;W92,Tabla16[Concatenado],0),10),"")</f>
        <v/>
      </c>
      <c r="AB92" s="527" t="str">
        <f>IF(W92&lt;&gt;0,INDEX(Tabla18[],MATCH(V92,Tabla18[Nombre],0),2),"")</f>
        <v/>
      </c>
      <c r="AC92" s="527" t="str">
        <f>IF(W92&lt;&gt;0,INDEX(Tabla18[],MATCH(V92,Tabla18[Nombre],0),3),"")</f>
        <v/>
      </c>
      <c r="AD92" s="527" t="str">
        <f>IF(W92&lt;&gt;0,INDEX(Tabla18[],MATCH(V92,Tabla18[Nombre],0),4),"")</f>
        <v/>
      </c>
      <c r="AE92" s="527" t="str">
        <f>IF(W92&lt;&gt;0,INDEX(Tabla18[],MATCH(V92,Tabla18[Nombre],0),5),"")</f>
        <v/>
      </c>
      <c r="AF92" s="596" t="str">
        <f>IF(W92&lt;&gt;0,INDEX(Tabla18[],MATCH(V92,Tabla18[Nombre],0),6),"")</f>
        <v/>
      </c>
      <c r="AG92" s="598"/>
      <c r="AH92" s="527"/>
      <c r="AI92" s="527"/>
      <c r="AJ92" s="527"/>
      <c r="AK92" s="527"/>
      <c r="AL92" s="600"/>
      <c r="AM92" s="608"/>
      <c r="AQ92" s="606" t="s">
        <v>6974</v>
      </c>
      <c r="AR92" s="556"/>
      <c r="AS92" s="527" t="str">
        <f>IF(AR92&lt;&gt;0,INDEX(Tabla16[],MATCH(AQ92&amp;AR92,Tabla16[Concatenado],0),IF(BH92="Si",4,5)),"")</f>
        <v/>
      </c>
      <c r="AT92" s="527" t="str">
        <f>IF(AR92&lt;&gt;0,INDEX(Tabla16[],MATCH(AQ92&amp;AR92,Tabla16[Concatenado],0),6),"")</f>
        <v/>
      </c>
      <c r="AU92" s="527" t="str">
        <f>IFERROR(IF(AR92&lt;&gt;0,INDEX(Tabla16[],MATCH(AQ92&amp;AR92,Tabla16[Concatenado],0),IF(AV$3=TS!$O$2,7,IF(AV$3=TS!$O$3,8,IF(AV$3=TS!$O$4,9,"")))),""),"")</f>
        <v/>
      </c>
      <c r="AV92" s="527" t="str">
        <f>IF(AR92&lt;&gt;0,INDEX(Tabla16[],MATCH(AQ92&amp;AR92,Tabla16[Concatenado],0),10),"")</f>
        <v/>
      </c>
      <c r="AW92" s="527" t="str">
        <f>IF(AR92&lt;&gt;0,INDEX(Tabla18[],MATCH(AQ92,Tabla18[Nombre],0),2),"")</f>
        <v/>
      </c>
      <c r="AX92" s="527" t="str">
        <f>IF(AR92&lt;&gt;0,INDEX(Tabla18[],MATCH(AQ92,Tabla18[Nombre],0),3),"")</f>
        <v/>
      </c>
      <c r="AY92" s="527" t="str">
        <f>IF(AR92&lt;&gt;0,INDEX(Tabla18[],MATCH(AQ92,Tabla18[Nombre],0),4),"")</f>
        <v/>
      </c>
      <c r="AZ92" s="527" t="str">
        <f>IF(AR92&lt;&gt;0,INDEX(Tabla18[],MATCH(AQ92,Tabla18[Nombre],0),5),"")</f>
        <v/>
      </c>
      <c r="BA92" s="596" t="str">
        <f>IF(AR92&lt;&gt;0,INDEX(Tabla18[],MATCH(AQ92,Tabla18[Nombre],0),6),"")</f>
        <v/>
      </c>
      <c r="BB92" s="598"/>
      <c r="BC92" s="527"/>
      <c r="BD92" s="527"/>
      <c r="BE92" s="527"/>
      <c r="BF92" s="527"/>
      <c r="BG92" s="600"/>
      <c r="BH92" s="608"/>
      <c r="BL92" s="606" t="s">
        <v>6974</v>
      </c>
      <c r="BM92" s="556"/>
      <c r="BN92" s="527" t="str">
        <f>IF(BM92&lt;&gt;0,INDEX(Tabla16[],MATCH(BL92&amp;BM92,Tabla16[Concatenado],0),IF(CC92="Si",4,5)),"")</f>
        <v/>
      </c>
      <c r="BO92" s="527" t="str">
        <f>IF(BM92&lt;&gt;0,INDEX(Tabla16[],MATCH(BL92&amp;BM92,Tabla16[Concatenado],0),6),"")</f>
        <v/>
      </c>
      <c r="BP92" s="527" t="str">
        <f>IFERROR(IF(BM92&lt;&gt;0,INDEX(Tabla16[],MATCH(BL92&amp;BM92,Tabla16[Concatenado],0),IF(BQ$3=TS!$O$2,7,IF(BQ$3=TS!$O$3,8,IF(BQ$3=TS!$O$4,9,"")))),""),"")</f>
        <v/>
      </c>
      <c r="BQ92" s="527" t="str">
        <f>IF(BM92&lt;&gt;0,INDEX(Tabla16[],MATCH(BL92&amp;BM92,Tabla16[Concatenado],0),10),"")</f>
        <v/>
      </c>
      <c r="BR92" s="527" t="str">
        <f>IF(BM92&lt;&gt;0,INDEX(Tabla18[],MATCH(BL92,Tabla18[Nombre],0),2),"")</f>
        <v/>
      </c>
      <c r="BS92" s="527" t="str">
        <f>IF(BM92&lt;&gt;0,INDEX(Tabla18[],MATCH(BL92,Tabla18[Nombre],0),3),"")</f>
        <v/>
      </c>
      <c r="BT92" s="527" t="str">
        <f>IF(BM92&lt;&gt;0,INDEX(Tabla18[],MATCH(BL92,Tabla18[Nombre],0),4),"")</f>
        <v/>
      </c>
      <c r="BU92" s="527" t="str">
        <f>IF(BM92&lt;&gt;0,INDEX(Tabla18[],MATCH(BL92,Tabla18[Nombre],0),5),"")</f>
        <v/>
      </c>
      <c r="BV92" s="596" t="str">
        <f>IF(BM92&lt;&gt;0,INDEX(Tabla18[],MATCH(BL92,Tabla18[Nombre],0),6),"")</f>
        <v/>
      </c>
      <c r="BW92" s="598"/>
      <c r="BX92" s="527"/>
      <c r="BY92" s="527"/>
      <c r="BZ92" s="527"/>
      <c r="CA92" s="527"/>
      <c r="CB92" s="600"/>
      <c r="CC92" s="608"/>
    </row>
    <row r="93" spans="1:81" x14ac:dyDescent="0.2">
      <c r="A93" s="606" t="s">
        <v>6975</v>
      </c>
      <c r="B93" s="556"/>
      <c r="C93" s="527" t="str">
        <f>IF(B93&lt;&gt;0,INDEX(Tabla16[],MATCH(A92&amp;A93&amp;B93,Tabla16[Concatenado],0),IF(R93="Si",4,5)),"")</f>
        <v/>
      </c>
      <c r="D93" s="527" t="str">
        <f>IF(B93&lt;&gt;0,INDEX(Tabla16[],MATCH(A92&amp;A93&amp;B93,Tabla16[Concatenado],0),6),"")</f>
        <v/>
      </c>
      <c r="E93" s="527" t="str">
        <f>IFERROR(IF(B93&lt;&gt;0,INDEX(Tabla16[],MATCH(A92&amp;A93&amp;B93,Tabla16[Concatenado],0),IF(F$3=TS!$O$2,7,IF(F$3=TS!$O$3,8,IF(F$3=TS!$O$4,9,"")))),""),"")</f>
        <v/>
      </c>
      <c r="F93" s="527" t="str">
        <f>IF(B93&lt;&gt;0,INDEX(Tabla16[],MATCH(A92&amp;A93&amp;B93,Tabla16[Concatenado],0),10),"")</f>
        <v/>
      </c>
      <c r="G93" s="527" t="str">
        <f>IF(B93&lt;&gt;0,INDEX(Tabla18[],MATCH(A93,Tabla18[Nombre],0),2),"")</f>
        <v/>
      </c>
      <c r="H93" s="527" t="str">
        <f>IF(B93&lt;&gt;0,INDEX(Tabla18[],MATCH(A93,Tabla18[Nombre],0),3),"")</f>
        <v/>
      </c>
      <c r="I93" s="527" t="str">
        <f>IF(B93&lt;&gt;0,INDEX(Tabla18[],MATCH(A93,Tabla18[Nombre],0),4),"")</f>
        <v/>
      </c>
      <c r="J93" s="527" t="str">
        <f>IF(B93&lt;&gt;0,INDEX(Tabla18[],MATCH(A93,Tabla18[Nombre],0),5),"")</f>
        <v/>
      </c>
      <c r="K93" s="596" t="str">
        <f>IF(B93&lt;&gt;0,INDEX(Tabla18[],MATCH(A93,Tabla18[Nombre],0),6),"")</f>
        <v/>
      </c>
      <c r="L93" s="598"/>
      <c r="M93" s="527"/>
      <c r="N93" s="527"/>
      <c r="O93" s="527"/>
      <c r="P93" s="527"/>
      <c r="Q93" s="600"/>
      <c r="R93" s="608"/>
      <c r="V93" s="606" t="s">
        <v>6975</v>
      </c>
      <c r="W93" s="556"/>
      <c r="X93" s="527" t="str">
        <f>IF(W93&lt;&gt;0,INDEX(Tabla16[],MATCH(V92&amp;V93&amp;W93,Tabla16[Concatenado],0),IF(AM93="Si",4,5)),"")</f>
        <v/>
      </c>
      <c r="Y93" s="527" t="str">
        <f>IF(W93&lt;&gt;0,INDEX(Tabla16[],MATCH(V92&amp;V93&amp;W93,Tabla16[Concatenado],0),6),"")</f>
        <v/>
      </c>
      <c r="Z93" s="527" t="str">
        <f>IFERROR(IF(W93&lt;&gt;0,INDEX(Tabla16[],MATCH(V92&amp;V93&amp;W93,Tabla16[Concatenado],0),IF(AA$3=TS!$O$2,7,IF(AA$3=TS!$O$3,8,IF(AA$3=TS!$O$4,9,"")))),""),"")</f>
        <v/>
      </c>
      <c r="AA93" s="527" t="str">
        <f>IF(W93&lt;&gt;0,INDEX(Tabla16[],MATCH(V92&amp;V93&amp;W93,Tabla16[Concatenado],0),10),"")</f>
        <v/>
      </c>
      <c r="AB93" s="527" t="str">
        <f>IF(W93&lt;&gt;0,INDEX(Tabla18[],MATCH(V93,Tabla18[Nombre],0),2),"")</f>
        <v/>
      </c>
      <c r="AC93" s="527" t="str">
        <f>IF(W93&lt;&gt;0,INDEX(Tabla18[],MATCH(V93,Tabla18[Nombre],0),3),"")</f>
        <v/>
      </c>
      <c r="AD93" s="527" t="str">
        <f>IF(W93&lt;&gt;0,INDEX(Tabla18[],MATCH(V93,Tabla18[Nombre],0),4),"")</f>
        <v/>
      </c>
      <c r="AE93" s="527" t="str">
        <f>IF(W93&lt;&gt;0,INDEX(Tabla18[],MATCH(V93,Tabla18[Nombre],0),5),"")</f>
        <v/>
      </c>
      <c r="AF93" s="596" t="str">
        <f>IF(W93&lt;&gt;0,INDEX(Tabla18[],MATCH(V93,Tabla18[Nombre],0),6),"")</f>
        <v/>
      </c>
      <c r="AG93" s="598"/>
      <c r="AH93" s="527"/>
      <c r="AI93" s="527"/>
      <c r="AJ93" s="527"/>
      <c r="AK93" s="527"/>
      <c r="AL93" s="600"/>
      <c r="AM93" s="608"/>
      <c r="AQ93" s="606" t="s">
        <v>6975</v>
      </c>
      <c r="AR93" s="556"/>
      <c r="AS93" s="527" t="str">
        <f>IF(AR93&lt;&gt;0,INDEX(Tabla16[],MATCH(AQ92&amp;AQ93&amp;AR93,Tabla16[Concatenado],0),IF(BH93="Si",4,5)),"")</f>
        <v/>
      </c>
      <c r="AT93" s="527" t="str">
        <f>IF(AR93&lt;&gt;0,INDEX(Tabla16[],MATCH(AQ92&amp;AQ93&amp;AR93,Tabla16[Concatenado],0),6),"")</f>
        <v/>
      </c>
      <c r="AU93" s="527" t="str">
        <f>IFERROR(IF(AR93&lt;&gt;0,INDEX(Tabla16[],MATCH(AQ92&amp;AQ93&amp;AR93,Tabla16[Concatenado],0),IF(AV$3=TS!$O$2,7,IF(AV$3=TS!$O$3,8,IF(AV$3=TS!$O$4,9,"")))),""),"")</f>
        <v/>
      </c>
      <c r="AV93" s="527" t="str">
        <f>IF(AR93&lt;&gt;0,INDEX(Tabla16[],MATCH(AQ92&amp;AQ93&amp;AR93,Tabla16[Concatenado],0),10),"")</f>
        <v/>
      </c>
      <c r="AW93" s="527" t="str">
        <f>IF(AR93&lt;&gt;0,INDEX(Tabla18[],MATCH(AQ93,Tabla18[Nombre],0),2),"")</f>
        <v/>
      </c>
      <c r="AX93" s="527" t="str">
        <f>IF(AR93&lt;&gt;0,INDEX(Tabla18[],MATCH(AQ93,Tabla18[Nombre],0),3),"")</f>
        <v/>
      </c>
      <c r="AY93" s="527" t="str">
        <f>IF(AR93&lt;&gt;0,INDEX(Tabla18[],MATCH(AQ93,Tabla18[Nombre],0),4),"")</f>
        <v/>
      </c>
      <c r="AZ93" s="527" t="str">
        <f>IF(AR93&lt;&gt;0,INDEX(Tabla18[],MATCH(AQ93,Tabla18[Nombre],0),5),"")</f>
        <v/>
      </c>
      <c r="BA93" s="596" t="str">
        <f>IF(AR93&lt;&gt;0,INDEX(Tabla18[],MATCH(AQ93,Tabla18[Nombre],0),6),"")</f>
        <v/>
      </c>
      <c r="BB93" s="598"/>
      <c r="BC93" s="527"/>
      <c r="BD93" s="527"/>
      <c r="BE93" s="527"/>
      <c r="BF93" s="527"/>
      <c r="BG93" s="600"/>
      <c r="BH93" s="608"/>
      <c r="BL93" s="606" t="s">
        <v>6975</v>
      </c>
      <c r="BM93" s="556"/>
      <c r="BN93" s="527" t="str">
        <f>IF(BM93&lt;&gt;0,INDEX(Tabla16[],MATCH(BL92&amp;BL93&amp;BM93,Tabla16[Concatenado],0),IF(CC93="Si",4,5)),"")</f>
        <v/>
      </c>
      <c r="BO93" s="527" t="str">
        <f>IF(BM93&lt;&gt;0,INDEX(Tabla16[],MATCH(BL92&amp;BL93&amp;BM93,Tabla16[Concatenado],0),6),"")</f>
        <v/>
      </c>
      <c r="BP93" s="527" t="str">
        <f>IFERROR(IF(BM93&lt;&gt;0,INDEX(Tabla16[],MATCH(BL92&amp;BL93&amp;BM93,Tabla16[Concatenado],0),IF(BQ$3=TS!$O$2,7,IF(BQ$3=TS!$O$3,8,IF(BQ$3=TS!$O$4,9,"")))),""),"")</f>
        <v/>
      </c>
      <c r="BQ93" s="527" t="str">
        <f>IF(BM93&lt;&gt;0,INDEX(Tabla16[],MATCH(BL92&amp;BL93&amp;BM93,Tabla16[Concatenado],0),10),"")</f>
        <v/>
      </c>
      <c r="BR93" s="527" t="str">
        <f>IF(BM93&lt;&gt;0,INDEX(Tabla18[],MATCH(BL93,Tabla18[Nombre],0),2),"")</f>
        <v/>
      </c>
      <c r="BS93" s="527" t="str">
        <f>IF(BM93&lt;&gt;0,INDEX(Tabla18[],MATCH(BL93,Tabla18[Nombre],0),3),"")</f>
        <v/>
      </c>
      <c r="BT93" s="527" t="str">
        <f>IF(BM93&lt;&gt;0,INDEX(Tabla18[],MATCH(BL93,Tabla18[Nombre],0),4),"")</f>
        <v/>
      </c>
      <c r="BU93" s="527" t="str">
        <f>IF(BM93&lt;&gt;0,INDEX(Tabla18[],MATCH(BL93,Tabla18[Nombre],0),5),"")</f>
        <v/>
      </c>
      <c r="BV93" s="596" t="str">
        <f>IF(BM93&lt;&gt;0,INDEX(Tabla18[],MATCH(BL93,Tabla18[Nombre],0),6),"")</f>
        <v/>
      </c>
      <c r="BW93" s="598"/>
      <c r="BX93" s="527"/>
      <c r="BY93" s="527"/>
      <c r="BZ93" s="527"/>
      <c r="CA93" s="527"/>
      <c r="CB93" s="600"/>
      <c r="CC93" s="608"/>
    </row>
    <row r="94" spans="1:81" x14ac:dyDescent="0.2">
      <c r="A94" s="606" t="s">
        <v>6976</v>
      </c>
      <c r="B94" s="556"/>
      <c r="C94" s="527" t="str">
        <f>IF(B94&lt;&gt;0,INDEX(Tabla16[],MATCH(A94&amp;B94,Tabla16[Concatenado],0),IF(R94="Si",4,5)),"")</f>
        <v/>
      </c>
      <c r="D94" s="527" t="str">
        <f>IF(B94&lt;&gt;0,INDEX(Tabla16[],MATCH(A94&amp;B94,Tabla16[Concatenado],0),6),"")</f>
        <v/>
      </c>
      <c r="E94" s="527" t="str">
        <f>IFERROR(IF(B94&lt;&gt;0,INDEX(Tabla16[],MATCH(A94&amp;B94,Tabla16[Concatenado],0),IF(F$3=TS!$O$2,7,IF(F$3=TS!$O$3,8,IF(F$3=TS!$O$4,9,"")))),""),"")</f>
        <v/>
      </c>
      <c r="F94" s="527" t="str">
        <f>IF(B94&lt;&gt;0,INDEX(Tabla16[],MATCH(A94&amp;B94,Tabla16[Concatenado],0),10),"")</f>
        <v/>
      </c>
      <c r="G94" s="527" t="str">
        <f>IF(B94&lt;&gt;0,INDEX(Tabla18[],MATCH(A94,Tabla18[Nombre],0),2),"")</f>
        <v/>
      </c>
      <c r="H94" s="527" t="str">
        <f>IF(B94&lt;&gt;0,INDEX(Tabla18[],MATCH(A94,Tabla18[Nombre],0),3),"")</f>
        <v/>
      </c>
      <c r="I94" s="527" t="str">
        <f>IF(B94&lt;&gt;0,INDEX(Tabla18[],MATCH(A94,Tabla18[Nombre],0),4),"")</f>
        <v/>
      </c>
      <c r="J94" s="527" t="str">
        <f>IF(B94&lt;&gt;0,INDEX(Tabla18[],MATCH(A94,Tabla18[Nombre],0),5),"")</f>
        <v/>
      </c>
      <c r="K94" s="596" t="str">
        <f>IF(B94&lt;&gt;0,INDEX(Tabla18[],MATCH(A94,Tabla18[Nombre],0),6),"")</f>
        <v/>
      </c>
      <c r="L94" s="598"/>
      <c r="M94" s="527"/>
      <c r="N94" s="527"/>
      <c r="O94" s="527"/>
      <c r="P94" s="527"/>
      <c r="Q94" s="600"/>
      <c r="R94" s="608"/>
      <c r="V94" s="606" t="s">
        <v>6976</v>
      </c>
      <c r="W94" s="556"/>
      <c r="X94" s="527" t="str">
        <f>IF(W94&lt;&gt;0,INDEX(Tabla16[],MATCH(V94&amp;W94,Tabla16[Concatenado],0),IF(AM94="Si",4,5)),"")</f>
        <v/>
      </c>
      <c r="Y94" s="527" t="str">
        <f>IF(W94&lt;&gt;0,INDEX(Tabla16[],MATCH(V94&amp;W94,Tabla16[Concatenado],0),6),"")</f>
        <v/>
      </c>
      <c r="Z94" s="527" t="str">
        <f>IFERROR(IF(W94&lt;&gt;0,INDEX(Tabla16[],MATCH(V94&amp;W94,Tabla16[Concatenado],0),IF(AA$3=TS!$O$2,7,IF(AA$3=TS!$O$3,8,IF(AA$3=TS!$O$4,9,"")))),""),"")</f>
        <v/>
      </c>
      <c r="AA94" s="527" t="str">
        <f>IF(W94&lt;&gt;0,INDEX(Tabla16[],MATCH(V94&amp;W94,Tabla16[Concatenado],0),10),"")</f>
        <v/>
      </c>
      <c r="AB94" s="527" t="str">
        <f>IF(W94&lt;&gt;0,INDEX(Tabla18[],MATCH(V94,Tabla18[Nombre],0),2),"")</f>
        <v/>
      </c>
      <c r="AC94" s="527" t="str">
        <f>IF(W94&lt;&gt;0,INDEX(Tabla18[],MATCH(V94,Tabla18[Nombre],0),3),"")</f>
        <v/>
      </c>
      <c r="AD94" s="527" t="str">
        <f>IF(W94&lt;&gt;0,INDEX(Tabla18[],MATCH(V94,Tabla18[Nombre],0),4),"")</f>
        <v/>
      </c>
      <c r="AE94" s="527" t="str">
        <f>IF(W94&lt;&gt;0,INDEX(Tabla18[],MATCH(V94,Tabla18[Nombre],0),5),"")</f>
        <v/>
      </c>
      <c r="AF94" s="596" t="str">
        <f>IF(W94&lt;&gt;0,INDEX(Tabla18[],MATCH(V94,Tabla18[Nombre],0),6),"")</f>
        <v/>
      </c>
      <c r="AG94" s="598"/>
      <c r="AH94" s="527"/>
      <c r="AI94" s="527"/>
      <c r="AJ94" s="527"/>
      <c r="AK94" s="527"/>
      <c r="AL94" s="600"/>
      <c r="AM94" s="608"/>
      <c r="AQ94" s="606" t="s">
        <v>6976</v>
      </c>
      <c r="AR94" s="556"/>
      <c r="AS94" s="527" t="str">
        <f>IF(AR94&lt;&gt;0,INDEX(Tabla16[],MATCH(AQ94&amp;AR94,Tabla16[Concatenado],0),IF(BH94="Si",4,5)),"")</f>
        <v/>
      </c>
      <c r="AT94" s="527" t="str">
        <f>IF(AR94&lt;&gt;0,INDEX(Tabla16[],MATCH(AQ94&amp;AR94,Tabla16[Concatenado],0),6),"")</f>
        <v/>
      </c>
      <c r="AU94" s="527" t="str">
        <f>IFERROR(IF(AR94&lt;&gt;0,INDEX(Tabla16[],MATCH(AQ94&amp;AR94,Tabla16[Concatenado],0),IF(AV$3=TS!$O$2,7,IF(AV$3=TS!$O$3,8,IF(AV$3=TS!$O$4,9,"")))),""),"")</f>
        <v/>
      </c>
      <c r="AV94" s="527" t="str">
        <f>IF(AR94&lt;&gt;0,INDEX(Tabla16[],MATCH(AQ94&amp;AR94,Tabla16[Concatenado],0),10),"")</f>
        <v/>
      </c>
      <c r="AW94" s="527" t="str">
        <f>IF(AR94&lt;&gt;0,INDEX(Tabla18[],MATCH(AQ94,Tabla18[Nombre],0),2),"")</f>
        <v/>
      </c>
      <c r="AX94" s="527" t="str">
        <f>IF(AR94&lt;&gt;0,INDEX(Tabla18[],MATCH(AQ94,Tabla18[Nombre],0),3),"")</f>
        <v/>
      </c>
      <c r="AY94" s="527" t="str">
        <f>IF(AR94&lt;&gt;0,INDEX(Tabla18[],MATCH(AQ94,Tabla18[Nombre],0),4),"")</f>
        <v/>
      </c>
      <c r="AZ94" s="527" t="str">
        <f>IF(AR94&lt;&gt;0,INDEX(Tabla18[],MATCH(AQ94,Tabla18[Nombre],0),5),"")</f>
        <v/>
      </c>
      <c r="BA94" s="596" t="str">
        <f>IF(AR94&lt;&gt;0,INDEX(Tabla18[],MATCH(AQ94,Tabla18[Nombre],0),6),"")</f>
        <v/>
      </c>
      <c r="BB94" s="598"/>
      <c r="BC94" s="527"/>
      <c r="BD94" s="527"/>
      <c r="BE94" s="527"/>
      <c r="BF94" s="527"/>
      <c r="BG94" s="600"/>
      <c r="BH94" s="608"/>
      <c r="BL94" s="606" t="s">
        <v>6976</v>
      </c>
      <c r="BM94" s="556"/>
      <c r="BN94" s="527" t="str">
        <f>IF(BM94&lt;&gt;0,INDEX(Tabla16[],MATCH(BL94&amp;BM94,Tabla16[Concatenado],0),IF(CC94="Si",4,5)),"")</f>
        <v/>
      </c>
      <c r="BO94" s="527" t="str">
        <f>IF(BM94&lt;&gt;0,INDEX(Tabla16[],MATCH(BL94&amp;BM94,Tabla16[Concatenado],0),6),"")</f>
        <v/>
      </c>
      <c r="BP94" s="527" t="str">
        <f>IFERROR(IF(BM94&lt;&gt;0,INDEX(Tabla16[],MATCH(BL94&amp;BM94,Tabla16[Concatenado],0),IF(BQ$3=TS!$O$2,7,IF(BQ$3=TS!$O$3,8,IF(BQ$3=TS!$O$4,9,"")))),""),"")</f>
        <v/>
      </c>
      <c r="BQ94" s="527" t="str">
        <f>IF(BM94&lt;&gt;0,INDEX(Tabla16[],MATCH(BL94&amp;BM94,Tabla16[Concatenado],0),10),"")</f>
        <v/>
      </c>
      <c r="BR94" s="527" t="str">
        <f>IF(BM94&lt;&gt;0,INDEX(Tabla18[],MATCH(BL94,Tabla18[Nombre],0),2),"")</f>
        <v/>
      </c>
      <c r="BS94" s="527" t="str">
        <f>IF(BM94&lt;&gt;0,INDEX(Tabla18[],MATCH(BL94,Tabla18[Nombre],0),3),"")</f>
        <v/>
      </c>
      <c r="BT94" s="527" t="str">
        <f>IF(BM94&lt;&gt;0,INDEX(Tabla18[],MATCH(BL94,Tabla18[Nombre],0),4),"")</f>
        <v/>
      </c>
      <c r="BU94" s="527" t="str">
        <f>IF(BM94&lt;&gt;0,INDEX(Tabla18[],MATCH(BL94,Tabla18[Nombre],0),5),"")</f>
        <v/>
      </c>
      <c r="BV94" s="596" t="str">
        <f>IF(BM94&lt;&gt;0,INDEX(Tabla18[],MATCH(BL94,Tabla18[Nombre],0),6),"")</f>
        <v/>
      </c>
      <c r="BW94" s="598"/>
      <c r="BX94" s="527"/>
      <c r="BY94" s="527"/>
      <c r="BZ94" s="527"/>
      <c r="CA94" s="527"/>
      <c r="CB94" s="600"/>
      <c r="CC94" s="608"/>
    </row>
    <row r="95" spans="1:81" x14ac:dyDescent="0.2">
      <c r="A95" s="606" t="s">
        <v>28</v>
      </c>
      <c r="B95" s="556"/>
      <c r="C95" s="527" t="str">
        <f>IF(B95&lt;&gt;0,INDEX(Tabla16[],MATCH(A95&amp;B95,Tabla16[Concatenado],0),IF(R95="Si",4,5)),"")</f>
        <v/>
      </c>
      <c r="D95" s="527" t="str">
        <f>IF(B95&lt;&gt;0,INDEX(Tabla16[],MATCH(A95&amp;B95,Tabla16[Concatenado],0),6),"")</f>
        <v/>
      </c>
      <c r="E95" s="527" t="str">
        <f>IFERROR(IF(B95&lt;&gt;0,INDEX(Tabla16[],MATCH(A95&amp;B95,Tabla16[Concatenado],0),IF(F$3=TS!$O$2,7,IF(F$3=TS!$O$3,8,IF(F$3=TS!$O$4,9,"")))),""),"")</f>
        <v/>
      </c>
      <c r="F95" s="527" t="str">
        <f>IF(B95&lt;&gt;0,INDEX(Tabla16[],MATCH(A95&amp;B95,Tabla16[Concatenado],0),10),"")</f>
        <v/>
      </c>
      <c r="G95" s="527" t="str">
        <f>IF(B95&lt;&gt;0,INDEX(Tabla18[],MATCH(A95,Tabla18[Nombre],0),2),"")</f>
        <v/>
      </c>
      <c r="H95" s="527" t="str">
        <f>IF(B95&lt;&gt;0,INDEX(Tabla18[],MATCH(A95,Tabla18[Nombre],0),3),"")</f>
        <v/>
      </c>
      <c r="I95" s="527" t="str">
        <f>IF(B95&lt;&gt;0,INDEX(Tabla18[],MATCH(A95,Tabla18[Nombre],0),4),"")</f>
        <v/>
      </c>
      <c r="J95" s="527" t="str">
        <f>IF(B95&lt;&gt;0,INDEX(Tabla18[],MATCH(A95,Tabla18[Nombre],0),5),"")</f>
        <v/>
      </c>
      <c r="K95" s="596" t="str">
        <f>IF(B95&lt;&gt;0,INDEX(Tabla18[],MATCH(A95,Tabla18[Nombre],0),6),"")</f>
        <v/>
      </c>
      <c r="L95" s="598"/>
      <c r="M95" s="527"/>
      <c r="N95" s="527"/>
      <c r="O95" s="527"/>
      <c r="P95" s="527"/>
      <c r="Q95" s="600"/>
      <c r="R95" s="608"/>
      <c r="V95" s="606" t="s">
        <v>28</v>
      </c>
      <c r="W95" s="556"/>
      <c r="X95" s="527" t="str">
        <f>IF(W95&lt;&gt;0,INDEX(Tabla16[],MATCH(V95&amp;W95,Tabla16[Concatenado],0),IF(AM95="Si",4,5)),"")</f>
        <v/>
      </c>
      <c r="Y95" s="527" t="str">
        <f>IF(W95&lt;&gt;0,INDEX(Tabla16[],MATCH(V95&amp;W95,Tabla16[Concatenado],0),6),"")</f>
        <v/>
      </c>
      <c r="Z95" s="527" t="str">
        <f>IFERROR(IF(W95&lt;&gt;0,INDEX(Tabla16[],MATCH(V95&amp;W95,Tabla16[Concatenado],0),IF(AA$3=TS!$O$2,7,IF(AA$3=TS!$O$3,8,IF(AA$3=TS!$O$4,9,"")))),""),"")</f>
        <v/>
      </c>
      <c r="AA95" s="527" t="str">
        <f>IF(W95&lt;&gt;0,INDEX(Tabla16[],MATCH(V95&amp;W95,Tabla16[Concatenado],0),10),"")</f>
        <v/>
      </c>
      <c r="AB95" s="527" t="str">
        <f>IF(W95&lt;&gt;0,INDEX(Tabla18[],MATCH(V95,Tabla18[Nombre],0),2),"")</f>
        <v/>
      </c>
      <c r="AC95" s="527" t="str">
        <f>IF(W95&lt;&gt;0,INDEX(Tabla18[],MATCH(V95,Tabla18[Nombre],0),3),"")</f>
        <v/>
      </c>
      <c r="AD95" s="527" t="str">
        <f>IF(W95&lt;&gt;0,INDEX(Tabla18[],MATCH(V95,Tabla18[Nombre],0),4),"")</f>
        <v/>
      </c>
      <c r="AE95" s="527" t="str">
        <f>IF(W95&lt;&gt;0,INDEX(Tabla18[],MATCH(V95,Tabla18[Nombre],0),5),"")</f>
        <v/>
      </c>
      <c r="AF95" s="596" t="str">
        <f>IF(W95&lt;&gt;0,INDEX(Tabla18[],MATCH(V95,Tabla18[Nombre],0),6),"")</f>
        <v/>
      </c>
      <c r="AG95" s="598"/>
      <c r="AH95" s="527"/>
      <c r="AI95" s="527"/>
      <c r="AJ95" s="527"/>
      <c r="AK95" s="527"/>
      <c r="AL95" s="600"/>
      <c r="AM95" s="608"/>
      <c r="AQ95" s="606" t="s">
        <v>28</v>
      </c>
      <c r="AR95" s="556"/>
      <c r="AS95" s="527" t="str">
        <f>IF(AR95&lt;&gt;0,INDEX(Tabla16[],MATCH(AQ95&amp;AR95,Tabla16[Concatenado],0),IF(BH95="Si",4,5)),"")</f>
        <v/>
      </c>
      <c r="AT95" s="527" t="str">
        <f>IF(AR95&lt;&gt;0,INDEX(Tabla16[],MATCH(AQ95&amp;AR95,Tabla16[Concatenado],0),6),"")</f>
        <v/>
      </c>
      <c r="AU95" s="527" t="str">
        <f>IFERROR(IF(AR95&lt;&gt;0,INDEX(Tabla16[],MATCH(AQ95&amp;AR95,Tabla16[Concatenado],0),IF(AV$3=TS!$O$2,7,IF(AV$3=TS!$O$3,8,IF(AV$3=TS!$O$4,9,"")))),""),"")</f>
        <v/>
      </c>
      <c r="AV95" s="527" t="str">
        <f>IF(AR95&lt;&gt;0,INDEX(Tabla16[],MATCH(AQ95&amp;AR95,Tabla16[Concatenado],0),10),"")</f>
        <v/>
      </c>
      <c r="AW95" s="527" t="str">
        <f>IF(AR95&lt;&gt;0,INDEX(Tabla18[],MATCH(AQ95,Tabla18[Nombre],0),2),"")</f>
        <v/>
      </c>
      <c r="AX95" s="527" t="str">
        <f>IF(AR95&lt;&gt;0,INDEX(Tabla18[],MATCH(AQ95,Tabla18[Nombre],0),3),"")</f>
        <v/>
      </c>
      <c r="AY95" s="527" t="str">
        <f>IF(AR95&lt;&gt;0,INDEX(Tabla18[],MATCH(AQ95,Tabla18[Nombre],0),4),"")</f>
        <v/>
      </c>
      <c r="AZ95" s="527" t="str">
        <f>IF(AR95&lt;&gt;0,INDEX(Tabla18[],MATCH(AQ95,Tabla18[Nombre],0),5),"")</f>
        <v/>
      </c>
      <c r="BA95" s="596" t="str">
        <f>IF(AR95&lt;&gt;0,INDEX(Tabla18[],MATCH(AQ95,Tabla18[Nombre],0),6),"")</f>
        <v/>
      </c>
      <c r="BB95" s="598"/>
      <c r="BC95" s="527"/>
      <c r="BD95" s="527"/>
      <c r="BE95" s="527"/>
      <c r="BF95" s="527"/>
      <c r="BG95" s="600"/>
      <c r="BH95" s="608"/>
      <c r="BL95" s="606" t="s">
        <v>28</v>
      </c>
      <c r="BM95" s="556"/>
      <c r="BN95" s="527" t="str">
        <f>IF(BM95&lt;&gt;0,INDEX(Tabla16[],MATCH(BL95&amp;BM95,Tabla16[Concatenado],0),IF(CC95="Si",4,5)),"")</f>
        <v/>
      </c>
      <c r="BO95" s="527" t="str">
        <f>IF(BM95&lt;&gt;0,INDEX(Tabla16[],MATCH(BL95&amp;BM95,Tabla16[Concatenado],0),6),"")</f>
        <v/>
      </c>
      <c r="BP95" s="527" t="str">
        <f>IFERROR(IF(BM95&lt;&gt;0,INDEX(Tabla16[],MATCH(BL95&amp;BM95,Tabla16[Concatenado],0),IF(BQ$3=TS!$O$2,7,IF(BQ$3=TS!$O$3,8,IF(BQ$3=TS!$O$4,9,"")))),""),"")</f>
        <v/>
      </c>
      <c r="BQ95" s="527" t="str">
        <f>IF(BM95&lt;&gt;0,INDEX(Tabla16[],MATCH(BL95&amp;BM95,Tabla16[Concatenado],0),10),"")</f>
        <v/>
      </c>
      <c r="BR95" s="527" t="str">
        <f>IF(BM95&lt;&gt;0,INDEX(Tabla18[],MATCH(BL95,Tabla18[Nombre],0),2),"")</f>
        <v/>
      </c>
      <c r="BS95" s="527" t="str">
        <f>IF(BM95&lt;&gt;0,INDEX(Tabla18[],MATCH(BL95,Tabla18[Nombre],0),3),"")</f>
        <v/>
      </c>
      <c r="BT95" s="527" t="str">
        <f>IF(BM95&lt;&gt;0,INDEX(Tabla18[],MATCH(BL95,Tabla18[Nombre],0),4),"")</f>
        <v/>
      </c>
      <c r="BU95" s="527" t="str">
        <f>IF(BM95&lt;&gt;0,INDEX(Tabla18[],MATCH(BL95,Tabla18[Nombre],0),5),"")</f>
        <v/>
      </c>
      <c r="BV95" s="596" t="str">
        <f>IF(BM95&lt;&gt;0,INDEX(Tabla18[],MATCH(BL95,Tabla18[Nombre],0),6),"")</f>
        <v/>
      </c>
      <c r="BW95" s="598"/>
      <c r="BX95" s="527"/>
      <c r="BY95" s="527"/>
      <c r="BZ95" s="527"/>
      <c r="CA95" s="527"/>
      <c r="CB95" s="600"/>
      <c r="CC95" s="608"/>
    </row>
    <row r="96" spans="1:81" x14ac:dyDescent="0.2">
      <c r="A96" s="606" t="s">
        <v>6977</v>
      </c>
      <c r="B96" s="556"/>
      <c r="C96" s="527" t="str">
        <f>IF(B96&lt;&gt;0,INDEX(Tabla16[],MATCH(A95&amp;A96&amp;B96,Tabla16[Concatenado],0),IF(R96="Si",4,5)),"")</f>
        <v/>
      </c>
      <c r="D96" s="527" t="str">
        <f>IF(B96&lt;&gt;0,INDEX(Tabla16[],MATCH(A95&amp;A96&amp;B96,Tabla16[Concatenado],0),6),"")</f>
        <v/>
      </c>
      <c r="E96" s="527" t="str">
        <f>IFERROR(IF(B96&lt;&gt;0,INDEX(Tabla16[],MATCH(A95&amp;A96&amp;B96,Tabla16[Concatenado],0),IF(F$3=TS!$O$2,7,IF(F$3=TS!$O$3,8,IF(F$3=TS!$O$4,9,"")))),""),"")</f>
        <v/>
      </c>
      <c r="F96" s="527" t="str">
        <f>IF(B96&lt;&gt;0,INDEX(Tabla16[],MATCH(A95&amp;A96&amp;B96,Tabla16[Concatenado],0),10),"")</f>
        <v/>
      </c>
      <c r="G96" s="527" t="str">
        <f>IF(B96&lt;&gt;0,INDEX(Tabla18[],MATCH(A96,Tabla18[Nombre],0),2),"")</f>
        <v/>
      </c>
      <c r="H96" s="527" t="str">
        <f>IF(B96&lt;&gt;0,INDEX(Tabla18[],MATCH(A96,Tabla18[Nombre],0),3),"")</f>
        <v/>
      </c>
      <c r="I96" s="527" t="str">
        <f>IF(B96&lt;&gt;0,INDEX(Tabla18[],MATCH(A96,Tabla18[Nombre],0),4),"")</f>
        <v/>
      </c>
      <c r="J96" s="527" t="str">
        <f>IF(B96&lt;&gt;0,INDEX(Tabla18[],MATCH(A96,Tabla18[Nombre],0),5),"")</f>
        <v/>
      </c>
      <c r="K96" s="596" t="str">
        <f>IF(B96&lt;&gt;0,INDEX(Tabla18[],MATCH(A96,Tabla18[Nombre],0),6),"")</f>
        <v/>
      </c>
      <c r="L96" s="598"/>
      <c r="M96" s="527"/>
      <c r="N96" s="527"/>
      <c r="O96" s="527"/>
      <c r="P96" s="527"/>
      <c r="Q96" s="600"/>
      <c r="R96" s="608"/>
      <c r="V96" s="606" t="s">
        <v>6977</v>
      </c>
      <c r="W96" s="556"/>
      <c r="X96" s="527" t="str">
        <f>IF(W96&lt;&gt;0,INDEX(Tabla16[],MATCH(V95&amp;V96&amp;W96,Tabla16[Concatenado],0),IF(AM96="Si",4,5)),"")</f>
        <v/>
      </c>
      <c r="Y96" s="527" t="str">
        <f>IF(W96&lt;&gt;0,INDEX(Tabla16[],MATCH(V95&amp;V96&amp;W96,Tabla16[Concatenado],0),6),"")</f>
        <v/>
      </c>
      <c r="Z96" s="527" t="str">
        <f>IFERROR(IF(W96&lt;&gt;0,INDEX(Tabla16[],MATCH(V95&amp;V96&amp;W96,Tabla16[Concatenado],0),IF(AA$3=TS!$O$2,7,IF(AA$3=TS!$O$3,8,IF(AA$3=TS!$O$4,9,"")))),""),"")</f>
        <v/>
      </c>
      <c r="AA96" s="527" t="str">
        <f>IF(W96&lt;&gt;0,INDEX(Tabla16[],MATCH(V95&amp;V96&amp;W96,Tabla16[Concatenado],0),10),"")</f>
        <v/>
      </c>
      <c r="AB96" s="527" t="str">
        <f>IF(W96&lt;&gt;0,INDEX(Tabla18[],MATCH(V96,Tabla18[Nombre],0),2),"")</f>
        <v/>
      </c>
      <c r="AC96" s="527" t="str">
        <f>IF(W96&lt;&gt;0,INDEX(Tabla18[],MATCH(V96,Tabla18[Nombre],0),3),"")</f>
        <v/>
      </c>
      <c r="AD96" s="527" t="str">
        <f>IF(W96&lt;&gt;0,INDEX(Tabla18[],MATCH(V96,Tabla18[Nombre],0),4),"")</f>
        <v/>
      </c>
      <c r="AE96" s="527" t="str">
        <f>IF(W96&lt;&gt;0,INDEX(Tabla18[],MATCH(V96,Tabla18[Nombre],0),5),"")</f>
        <v/>
      </c>
      <c r="AF96" s="596" t="str">
        <f>IF(W96&lt;&gt;0,INDEX(Tabla18[],MATCH(V96,Tabla18[Nombre],0),6),"")</f>
        <v/>
      </c>
      <c r="AG96" s="598"/>
      <c r="AH96" s="527"/>
      <c r="AI96" s="527"/>
      <c r="AJ96" s="527"/>
      <c r="AK96" s="527"/>
      <c r="AL96" s="600"/>
      <c r="AM96" s="608"/>
      <c r="AQ96" s="606" t="s">
        <v>6977</v>
      </c>
      <c r="AR96" s="556"/>
      <c r="AS96" s="527" t="str">
        <f>IF(AR96&lt;&gt;0,INDEX(Tabla16[],MATCH(AQ95&amp;AQ96&amp;AR96,Tabla16[Concatenado],0),IF(BH96="Si",4,5)),"")</f>
        <v/>
      </c>
      <c r="AT96" s="527" t="str">
        <f>IF(AR96&lt;&gt;0,INDEX(Tabla16[],MATCH(AQ95&amp;AQ96&amp;AR96,Tabla16[Concatenado],0),6),"")</f>
        <v/>
      </c>
      <c r="AU96" s="527" t="str">
        <f>IFERROR(IF(AR96&lt;&gt;0,INDEX(Tabla16[],MATCH(AQ95&amp;AQ96&amp;AR96,Tabla16[Concatenado],0),IF(AV$3=TS!$O$2,7,IF(AV$3=TS!$O$3,8,IF(AV$3=TS!$O$4,9,"")))),""),"")</f>
        <v/>
      </c>
      <c r="AV96" s="527" t="str">
        <f>IF(AR96&lt;&gt;0,INDEX(Tabla16[],MATCH(AQ95&amp;AQ96&amp;AR96,Tabla16[Concatenado],0),10),"")</f>
        <v/>
      </c>
      <c r="AW96" s="527" t="str">
        <f>IF(AR96&lt;&gt;0,INDEX(Tabla18[],MATCH(AQ96,Tabla18[Nombre],0),2),"")</f>
        <v/>
      </c>
      <c r="AX96" s="527" t="str">
        <f>IF(AR96&lt;&gt;0,INDEX(Tabla18[],MATCH(AQ96,Tabla18[Nombre],0),3),"")</f>
        <v/>
      </c>
      <c r="AY96" s="527" t="str">
        <f>IF(AR96&lt;&gt;0,INDEX(Tabla18[],MATCH(AQ96,Tabla18[Nombre],0),4),"")</f>
        <v/>
      </c>
      <c r="AZ96" s="527" t="str">
        <f>IF(AR96&lt;&gt;0,INDEX(Tabla18[],MATCH(AQ96,Tabla18[Nombre],0),5),"")</f>
        <v/>
      </c>
      <c r="BA96" s="596" t="str">
        <f>IF(AR96&lt;&gt;0,INDEX(Tabla18[],MATCH(AQ96,Tabla18[Nombre],0),6),"")</f>
        <v/>
      </c>
      <c r="BB96" s="598"/>
      <c r="BC96" s="527"/>
      <c r="BD96" s="527"/>
      <c r="BE96" s="527"/>
      <c r="BF96" s="527"/>
      <c r="BG96" s="600"/>
      <c r="BH96" s="608"/>
      <c r="BL96" s="606" t="s">
        <v>6977</v>
      </c>
      <c r="BM96" s="556"/>
      <c r="BN96" s="527" t="str">
        <f>IF(BM96&lt;&gt;0,INDEX(Tabla16[],MATCH(BL95&amp;BL96&amp;BM96,Tabla16[Concatenado],0),IF(CC96="Si",4,5)),"")</f>
        <v/>
      </c>
      <c r="BO96" s="527" t="str">
        <f>IF(BM96&lt;&gt;0,INDEX(Tabla16[],MATCH(BL95&amp;BL96&amp;BM96,Tabla16[Concatenado],0),6),"")</f>
        <v/>
      </c>
      <c r="BP96" s="527" t="str">
        <f>IFERROR(IF(BM96&lt;&gt;0,INDEX(Tabla16[],MATCH(BL95&amp;BL96&amp;BM96,Tabla16[Concatenado],0),IF(BQ$3=TS!$O$2,7,IF(BQ$3=TS!$O$3,8,IF(BQ$3=TS!$O$4,9,"")))),""),"")</f>
        <v/>
      </c>
      <c r="BQ96" s="527" t="str">
        <f>IF(BM96&lt;&gt;0,INDEX(Tabla16[],MATCH(BL95&amp;BL96&amp;BM96,Tabla16[Concatenado],0),10),"")</f>
        <v/>
      </c>
      <c r="BR96" s="527" t="str">
        <f>IF(BM96&lt;&gt;0,INDEX(Tabla18[],MATCH(BL96,Tabla18[Nombre],0),2),"")</f>
        <v/>
      </c>
      <c r="BS96" s="527" t="str">
        <f>IF(BM96&lt;&gt;0,INDEX(Tabla18[],MATCH(BL96,Tabla18[Nombre],0),3),"")</f>
        <v/>
      </c>
      <c r="BT96" s="527" t="str">
        <f>IF(BM96&lt;&gt;0,INDEX(Tabla18[],MATCH(BL96,Tabla18[Nombre],0),4),"")</f>
        <v/>
      </c>
      <c r="BU96" s="527" t="str">
        <f>IF(BM96&lt;&gt;0,INDEX(Tabla18[],MATCH(BL96,Tabla18[Nombre],0),5),"")</f>
        <v/>
      </c>
      <c r="BV96" s="596" t="str">
        <f>IF(BM96&lt;&gt;0,INDEX(Tabla18[],MATCH(BL96,Tabla18[Nombre],0),6),"")</f>
        <v/>
      </c>
      <c r="BW96" s="598"/>
      <c r="BX96" s="527"/>
      <c r="BY96" s="527"/>
      <c r="BZ96" s="527"/>
      <c r="CA96" s="527"/>
      <c r="CB96" s="600"/>
      <c r="CC96" s="608"/>
    </row>
    <row r="97" spans="1:81" x14ac:dyDescent="0.2">
      <c r="A97" s="606" t="s">
        <v>6978</v>
      </c>
      <c r="B97" s="556"/>
      <c r="C97" s="527" t="str">
        <f>IF(B97&lt;&gt;0,INDEX(Tabla16[],MATCH(A97&amp;B97,Tabla16[Concatenado],0),IF(R97="Si",4,5)),"")</f>
        <v/>
      </c>
      <c r="D97" s="527" t="str">
        <f>IF(B97&lt;&gt;0,INDEX(Tabla16[],MATCH(A97&amp;B97,Tabla16[Concatenado],0),6),"")</f>
        <v/>
      </c>
      <c r="E97" s="527" t="str">
        <f>IFERROR(IF(B97&lt;&gt;0,INDEX(Tabla16[],MATCH(A97&amp;B97,Tabla16[Concatenado],0),IF(F$3=TS!$O$2,7,IF(F$3=TS!$O$3,8,IF(F$3=TS!$O$4,9,"")))),""),"")</f>
        <v/>
      </c>
      <c r="F97" s="527" t="str">
        <f>IF(B97&lt;&gt;0,INDEX(Tabla16[],MATCH(A97&amp;B97,Tabla16[Concatenado],0),10),"")</f>
        <v/>
      </c>
      <c r="G97" s="527" t="str">
        <f>IF(B97&lt;&gt;0,INDEX(Tabla18[],MATCH(A97,Tabla18[Nombre],0),2),"")</f>
        <v/>
      </c>
      <c r="H97" s="527" t="str">
        <f>IF(B97&lt;&gt;0,INDEX(Tabla18[],MATCH(A97,Tabla18[Nombre],0),3),"")</f>
        <v/>
      </c>
      <c r="I97" s="527" t="str">
        <f>IF(B97&lt;&gt;0,INDEX(Tabla18[],MATCH(A97,Tabla18[Nombre],0),4),"")</f>
        <v/>
      </c>
      <c r="J97" s="527" t="str">
        <f>IF(B97&lt;&gt;0,INDEX(Tabla18[],MATCH(A97,Tabla18[Nombre],0),5),"")</f>
        <v/>
      </c>
      <c r="K97" s="596" t="str">
        <f>IF(B97&lt;&gt;0,INDEX(Tabla18[],MATCH(A97,Tabla18[Nombre],0),6),"")</f>
        <v/>
      </c>
      <c r="L97" s="598"/>
      <c r="M97" s="527"/>
      <c r="N97" s="527"/>
      <c r="O97" s="527"/>
      <c r="P97" s="527"/>
      <c r="Q97" s="600"/>
      <c r="R97" s="608"/>
      <c r="V97" s="606" t="s">
        <v>6978</v>
      </c>
      <c r="W97" s="556"/>
      <c r="X97" s="527" t="str">
        <f>IF(W97&lt;&gt;0,INDEX(Tabla16[],MATCH(V97&amp;W97,Tabla16[Concatenado],0),IF(AM97="Si",4,5)),"")</f>
        <v/>
      </c>
      <c r="Y97" s="527" t="str">
        <f>IF(W97&lt;&gt;0,INDEX(Tabla16[],MATCH(V97&amp;W97,Tabla16[Concatenado],0),6),"")</f>
        <v/>
      </c>
      <c r="Z97" s="527" t="str">
        <f>IFERROR(IF(W97&lt;&gt;0,INDEX(Tabla16[],MATCH(V97&amp;W97,Tabla16[Concatenado],0),IF(AA$3=TS!$O$2,7,IF(AA$3=TS!$O$3,8,IF(AA$3=TS!$O$4,9,"")))),""),"")</f>
        <v/>
      </c>
      <c r="AA97" s="527" t="str">
        <f>IF(W97&lt;&gt;0,INDEX(Tabla16[],MATCH(V97&amp;W97,Tabla16[Concatenado],0),10),"")</f>
        <v/>
      </c>
      <c r="AB97" s="527" t="str">
        <f>IF(W97&lt;&gt;0,INDEX(Tabla18[],MATCH(V97,Tabla18[Nombre],0),2),"")</f>
        <v/>
      </c>
      <c r="AC97" s="527" t="str">
        <f>IF(W97&lt;&gt;0,INDEX(Tabla18[],MATCH(V97,Tabla18[Nombre],0),3),"")</f>
        <v/>
      </c>
      <c r="AD97" s="527" t="str">
        <f>IF(W97&lt;&gt;0,INDEX(Tabla18[],MATCH(V97,Tabla18[Nombre],0),4),"")</f>
        <v/>
      </c>
      <c r="AE97" s="527" t="str">
        <f>IF(W97&lt;&gt;0,INDEX(Tabla18[],MATCH(V97,Tabla18[Nombre],0),5),"")</f>
        <v/>
      </c>
      <c r="AF97" s="596" t="str">
        <f>IF(W97&lt;&gt;0,INDEX(Tabla18[],MATCH(V97,Tabla18[Nombre],0),6),"")</f>
        <v/>
      </c>
      <c r="AG97" s="598"/>
      <c r="AH97" s="527"/>
      <c r="AI97" s="527"/>
      <c r="AJ97" s="527"/>
      <c r="AK97" s="527"/>
      <c r="AL97" s="600"/>
      <c r="AM97" s="608"/>
      <c r="AQ97" s="606" t="s">
        <v>6978</v>
      </c>
      <c r="AR97" s="556"/>
      <c r="AS97" s="527" t="str">
        <f>IF(AR97&lt;&gt;0,INDEX(Tabla16[],MATCH(AQ97&amp;AR97,Tabla16[Concatenado],0),IF(BH97="Si",4,5)),"")</f>
        <v/>
      </c>
      <c r="AT97" s="527" t="str">
        <f>IF(AR97&lt;&gt;0,INDEX(Tabla16[],MATCH(AQ97&amp;AR97,Tabla16[Concatenado],0),6),"")</f>
        <v/>
      </c>
      <c r="AU97" s="527" t="str">
        <f>IFERROR(IF(AR97&lt;&gt;0,INDEX(Tabla16[],MATCH(AQ97&amp;AR97,Tabla16[Concatenado],0),IF(AV$3=TS!$O$2,7,IF(AV$3=TS!$O$3,8,IF(AV$3=TS!$O$4,9,"")))),""),"")</f>
        <v/>
      </c>
      <c r="AV97" s="527" t="str">
        <f>IF(AR97&lt;&gt;0,INDEX(Tabla16[],MATCH(AQ97&amp;AR97,Tabla16[Concatenado],0),10),"")</f>
        <v/>
      </c>
      <c r="AW97" s="527" t="str">
        <f>IF(AR97&lt;&gt;0,INDEX(Tabla18[],MATCH(AQ97,Tabla18[Nombre],0),2),"")</f>
        <v/>
      </c>
      <c r="AX97" s="527" t="str">
        <f>IF(AR97&lt;&gt;0,INDEX(Tabla18[],MATCH(AQ97,Tabla18[Nombre],0),3),"")</f>
        <v/>
      </c>
      <c r="AY97" s="527" t="str">
        <f>IF(AR97&lt;&gt;0,INDEX(Tabla18[],MATCH(AQ97,Tabla18[Nombre],0),4),"")</f>
        <v/>
      </c>
      <c r="AZ97" s="527" t="str">
        <f>IF(AR97&lt;&gt;0,INDEX(Tabla18[],MATCH(AQ97,Tabla18[Nombre],0),5),"")</f>
        <v/>
      </c>
      <c r="BA97" s="596" t="str">
        <f>IF(AR97&lt;&gt;0,INDEX(Tabla18[],MATCH(AQ97,Tabla18[Nombre],0),6),"")</f>
        <v/>
      </c>
      <c r="BB97" s="598"/>
      <c r="BC97" s="527"/>
      <c r="BD97" s="527"/>
      <c r="BE97" s="527"/>
      <c r="BF97" s="527"/>
      <c r="BG97" s="600"/>
      <c r="BH97" s="608"/>
      <c r="BL97" s="606" t="s">
        <v>6978</v>
      </c>
      <c r="BM97" s="556"/>
      <c r="BN97" s="527" t="str">
        <f>IF(BM97&lt;&gt;0,INDEX(Tabla16[],MATCH(BL97&amp;BM97,Tabla16[Concatenado],0),IF(CC97="Si",4,5)),"")</f>
        <v/>
      </c>
      <c r="BO97" s="527" t="str">
        <f>IF(BM97&lt;&gt;0,INDEX(Tabla16[],MATCH(BL97&amp;BM97,Tabla16[Concatenado],0),6),"")</f>
        <v/>
      </c>
      <c r="BP97" s="527" t="str">
        <f>IFERROR(IF(BM97&lt;&gt;0,INDEX(Tabla16[],MATCH(BL97&amp;BM97,Tabla16[Concatenado],0),IF(BQ$3=TS!$O$2,7,IF(BQ$3=TS!$O$3,8,IF(BQ$3=TS!$O$4,9,"")))),""),"")</f>
        <v/>
      </c>
      <c r="BQ97" s="527" t="str">
        <f>IF(BM97&lt;&gt;0,INDEX(Tabla16[],MATCH(BL97&amp;BM97,Tabla16[Concatenado],0),10),"")</f>
        <v/>
      </c>
      <c r="BR97" s="527" t="str">
        <f>IF(BM97&lt;&gt;0,INDEX(Tabla18[],MATCH(BL97,Tabla18[Nombre],0),2),"")</f>
        <v/>
      </c>
      <c r="BS97" s="527" t="str">
        <f>IF(BM97&lt;&gt;0,INDEX(Tabla18[],MATCH(BL97,Tabla18[Nombre],0),3),"")</f>
        <v/>
      </c>
      <c r="BT97" s="527" t="str">
        <f>IF(BM97&lt;&gt;0,INDEX(Tabla18[],MATCH(BL97,Tabla18[Nombre],0),4),"")</f>
        <v/>
      </c>
      <c r="BU97" s="527" t="str">
        <f>IF(BM97&lt;&gt;0,INDEX(Tabla18[],MATCH(BL97,Tabla18[Nombre],0),5),"")</f>
        <v/>
      </c>
      <c r="BV97" s="596" t="str">
        <f>IF(BM97&lt;&gt;0,INDEX(Tabla18[],MATCH(BL97,Tabla18[Nombre],0),6),"")</f>
        <v/>
      </c>
      <c r="BW97" s="598"/>
      <c r="BX97" s="527"/>
      <c r="BY97" s="527"/>
      <c r="BZ97" s="527"/>
      <c r="CA97" s="527"/>
      <c r="CB97" s="600"/>
      <c r="CC97" s="608"/>
    </row>
    <row r="98" spans="1:81" x14ac:dyDescent="0.2">
      <c r="A98" s="606" t="s">
        <v>6979</v>
      </c>
      <c r="B98" s="556"/>
      <c r="C98" s="527" t="str">
        <f>IF(B98&lt;&gt;0,INDEX(Tabla16[],MATCH(A97&amp;A98&amp;B98,Tabla16[Concatenado],0),IF(R98="Si",4,5)),"")</f>
        <v/>
      </c>
      <c r="D98" s="527" t="str">
        <f>IF(B98&lt;&gt;0,INDEX(Tabla16[],MATCH(A97&amp;A98&amp;B98,Tabla16[Concatenado],0),6),"")</f>
        <v/>
      </c>
      <c r="E98" s="527" t="str">
        <f>IFERROR(IF(B98&lt;&gt;0,INDEX(Tabla16[],MATCH(A97&amp;A98&amp;B98,Tabla16[Concatenado],0),IF(F$3=TS!$O$2,7,IF(F$3=TS!$O$3,8,IF(F$3=TS!$O$4,9,"")))),""),"")</f>
        <v/>
      </c>
      <c r="F98" s="527" t="str">
        <f>IF(B98&lt;&gt;0,INDEX(Tabla16[],MATCH(A97&amp;A98&amp;B98,Tabla16[Concatenado],0),10),"")</f>
        <v/>
      </c>
      <c r="G98" s="527" t="str">
        <f>IF(B98&lt;&gt;0,INDEX(Tabla18[],MATCH(A98,Tabla18[Nombre],0),2),"")</f>
        <v/>
      </c>
      <c r="H98" s="527" t="str">
        <f>IF(B98&lt;&gt;0,INDEX(Tabla18[],MATCH(A98,Tabla18[Nombre],0),3),"")</f>
        <v/>
      </c>
      <c r="I98" s="527" t="str">
        <f>IF(B98&lt;&gt;0,INDEX(Tabla18[],MATCH(A98,Tabla18[Nombre],0),4),"")</f>
        <v/>
      </c>
      <c r="J98" s="527" t="str">
        <f>IF(B98&lt;&gt;0,INDEX(Tabla18[],MATCH(A98,Tabla18[Nombre],0),5),"")</f>
        <v/>
      </c>
      <c r="K98" s="596" t="str">
        <f>IF(B98&lt;&gt;0,INDEX(Tabla18[],MATCH(A98,Tabla18[Nombre],0),6),"")</f>
        <v/>
      </c>
      <c r="L98" s="598"/>
      <c r="M98" s="527"/>
      <c r="N98" s="527"/>
      <c r="O98" s="527"/>
      <c r="P98" s="527"/>
      <c r="Q98" s="600"/>
      <c r="R98" s="608"/>
      <c r="V98" s="606" t="s">
        <v>6979</v>
      </c>
      <c r="W98" s="556"/>
      <c r="X98" s="527" t="str">
        <f>IF(W98&lt;&gt;0,INDEX(Tabla16[],MATCH(V97&amp;V98&amp;W98,Tabla16[Concatenado],0),IF(AM98="Si",4,5)),"")</f>
        <v/>
      </c>
      <c r="Y98" s="527" t="str">
        <f>IF(W98&lt;&gt;0,INDEX(Tabla16[],MATCH(V97&amp;V98&amp;W98,Tabla16[Concatenado],0),6),"")</f>
        <v/>
      </c>
      <c r="Z98" s="527" t="str">
        <f>IFERROR(IF(W98&lt;&gt;0,INDEX(Tabla16[],MATCH(V97&amp;V98&amp;W98,Tabla16[Concatenado],0),IF(AA$3=TS!$O$2,7,IF(AA$3=TS!$O$3,8,IF(AA$3=TS!$O$4,9,"")))),""),"")</f>
        <v/>
      </c>
      <c r="AA98" s="527" t="str">
        <f>IF(W98&lt;&gt;0,INDEX(Tabla16[],MATCH(V97&amp;V98&amp;W98,Tabla16[Concatenado],0),10),"")</f>
        <v/>
      </c>
      <c r="AB98" s="527" t="str">
        <f>IF(W98&lt;&gt;0,INDEX(Tabla18[],MATCH(V98,Tabla18[Nombre],0),2),"")</f>
        <v/>
      </c>
      <c r="AC98" s="527" t="str">
        <f>IF(W98&lt;&gt;0,INDEX(Tabla18[],MATCH(V98,Tabla18[Nombre],0),3),"")</f>
        <v/>
      </c>
      <c r="AD98" s="527" t="str">
        <f>IF(W98&lt;&gt;0,INDEX(Tabla18[],MATCH(V98,Tabla18[Nombre],0),4),"")</f>
        <v/>
      </c>
      <c r="AE98" s="527" t="str">
        <f>IF(W98&lt;&gt;0,INDEX(Tabla18[],MATCH(V98,Tabla18[Nombre],0),5),"")</f>
        <v/>
      </c>
      <c r="AF98" s="596" t="str">
        <f>IF(W98&lt;&gt;0,INDEX(Tabla18[],MATCH(V98,Tabla18[Nombre],0),6),"")</f>
        <v/>
      </c>
      <c r="AG98" s="598"/>
      <c r="AH98" s="527"/>
      <c r="AI98" s="527"/>
      <c r="AJ98" s="527"/>
      <c r="AK98" s="527"/>
      <c r="AL98" s="600"/>
      <c r="AM98" s="608"/>
      <c r="AQ98" s="606" t="s">
        <v>6979</v>
      </c>
      <c r="AR98" s="556"/>
      <c r="AS98" s="527" t="str">
        <f>IF(AR98&lt;&gt;0,INDEX(Tabla16[],MATCH(AQ97&amp;AQ98&amp;AR98,Tabla16[Concatenado],0),IF(BH98="Si",4,5)),"")</f>
        <v/>
      </c>
      <c r="AT98" s="527" t="str">
        <f>IF(AR98&lt;&gt;0,INDEX(Tabla16[],MATCH(AQ97&amp;AQ98&amp;AR98,Tabla16[Concatenado],0),6),"")</f>
        <v/>
      </c>
      <c r="AU98" s="527" t="str">
        <f>IFERROR(IF(AR98&lt;&gt;0,INDEX(Tabla16[],MATCH(AQ97&amp;AQ98&amp;AR98,Tabla16[Concatenado],0),IF(AV$3=TS!$O$2,7,IF(AV$3=TS!$O$3,8,IF(AV$3=TS!$O$4,9,"")))),""),"")</f>
        <v/>
      </c>
      <c r="AV98" s="527" t="str">
        <f>IF(AR98&lt;&gt;0,INDEX(Tabla16[],MATCH(AQ97&amp;AQ98&amp;AR98,Tabla16[Concatenado],0),10),"")</f>
        <v/>
      </c>
      <c r="AW98" s="527" t="str">
        <f>IF(AR98&lt;&gt;0,INDEX(Tabla18[],MATCH(AQ98,Tabla18[Nombre],0),2),"")</f>
        <v/>
      </c>
      <c r="AX98" s="527" t="str">
        <f>IF(AR98&lt;&gt;0,INDEX(Tabla18[],MATCH(AQ98,Tabla18[Nombre],0),3),"")</f>
        <v/>
      </c>
      <c r="AY98" s="527" t="str">
        <f>IF(AR98&lt;&gt;0,INDEX(Tabla18[],MATCH(AQ98,Tabla18[Nombre],0),4),"")</f>
        <v/>
      </c>
      <c r="AZ98" s="527" t="str">
        <f>IF(AR98&lt;&gt;0,INDEX(Tabla18[],MATCH(AQ98,Tabla18[Nombre],0),5),"")</f>
        <v/>
      </c>
      <c r="BA98" s="596" t="str">
        <f>IF(AR98&lt;&gt;0,INDEX(Tabla18[],MATCH(AQ98,Tabla18[Nombre],0),6),"")</f>
        <v/>
      </c>
      <c r="BB98" s="598"/>
      <c r="BC98" s="527"/>
      <c r="BD98" s="527"/>
      <c r="BE98" s="527"/>
      <c r="BF98" s="527"/>
      <c r="BG98" s="600"/>
      <c r="BH98" s="608"/>
      <c r="BL98" s="606" t="s">
        <v>6979</v>
      </c>
      <c r="BM98" s="556"/>
      <c r="BN98" s="527" t="str">
        <f>IF(BM98&lt;&gt;0,INDEX(Tabla16[],MATCH(BL97&amp;BL98&amp;BM98,Tabla16[Concatenado],0),IF(CC98="Si",4,5)),"")</f>
        <v/>
      </c>
      <c r="BO98" s="527" t="str">
        <f>IF(BM98&lt;&gt;0,INDEX(Tabla16[],MATCH(BL97&amp;BL98&amp;BM98,Tabla16[Concatenado],0),6),"")</f>
        <v/>
      </c>
      <c r="BP98" s="527" t="str">
        <f>IFERROR(IF(BM98&lt;&gt;0,INDEX(Tabla16[],MATCH(BL97&amp;BL98&amp;BM98,Tabla16[Concatenado],0),IF(BQ$3=TS!$O$2,7,IF(BQ$3=TS!$O$3,8,IF(BQ$3=TS!$O$4,9,"")))),""),"")</f>
        <v/>
      </c>
      <c r="BQ98" s="527" t="str">
        <f>IF(BM98&lt;&gt;0,INDEX(Tabla16[],MATCH(BL97&amp;BL98&amp;BM98,Tabla16[Concatenado],0),10),"")</f>
        <v/>
      </c>
      <c r="BR98" s="527" t="str">
        <f>IF(BM98&lt;&gt;0,INDEX(Tabla18[],MATCH(BL98,Tabla18[Nombre],0),2),"")</f>
        <v/>
      </c>
      <c r="BS98" s="527" t="str">
        <f>IF(BM98&lt;&gt;0,INDEX(Tabla18[],MATCH(BL98,Tabla18[Nombre],0),3),"")</f>
        <v/>
      </c>
      <c r="BT98" s="527" t="str">
        <f>IF(BM98&lt;&gt;0,INDEX(Tabla18[],MATCH(BL98,Tabla18[Nombre],0),4),"")</f>
        <v/>
      </c>
      <c r="BU98" s="527" t="str">
        <f>IF(BM98&lt;&gt;0,INDEX(Tabla18[],MATCH(BL98,Tabla18[Nombre],0),5),"")</f>
        <v/>
      </c>
      <c r="BV98" s="596" t="str">
        <f>IF(BM98&lt;&gt;0,INDEX(Tabla18[],MATCH(BL98,Tabla18[Nombre],0),6),"")</f>
        <v/>
      </c>
      <c r="BW98" s="598"/>
      <c r="BX98" s="527"/>
      <c r="BY98" s="527"/>
      <c r="BZ98" s="527"/>
      <c r="CA98" s="527"/>
      <c r="CB98" s="600"/>
      <c r="CC98" s="608"/>
    </row>
    <row r="99" spans="1:81" x14ac:dyDescent="0.2">
      <c r="A99" s="606" t="s">
        <v>6980</v>
      </c>
      <c r="B99" s="556"/>
      <c r="C99" s="527" t="str">
        <f>IF(B99&lt;&gt;0,INDEX(Tabla16[],MATCH(A97&amp;A99&amp;B99,Tabla16[Concatenado],0),IF(R99="Si",4,5)),"")</f>
        <v/>
      </c>
      <c r="D99" s="527" t="str">
        <f>IF(B99&lt;&gt;0,INDEX(Tabla16[],MATCH(A97&amp;A99&amp;B99,Tabla16[Concatenado],0),6),"")</f>
        <v/>
      </c>
      <c r="E99" s="527" t="str">
        <f>IFERROR(IF(B99&lt;&gt;0,INDEX(Tabla16[],MATCH(A97&amp;A99&amp;B99,Tabla16[Concatenado],0),IF(F$3=TS!$O$2,7,IF(F$3=TS!$O$3,8,IF(F$3=TS!$O$4,9,"")))),""),"")</f>
        <v/>
      </c>
      <c r="F99" s="527" t="str">
        <f>IF(B99&lt;&gt;0,INDEX(Tabla16[],MATCH(A97&amp;A99&amp;B99,Tabla16[Concatenado],0),10),"")</f>
        <v/>
      </c>
      <c r="G99" s="527" t="str">
        <f>IF(B99&lt;&gt;0,INDEX(Tabla18[],MATCH(A99,Tabla18[Nombre],0),2),"")</f>
        <v/>
      </c>
      <c r="H99" s="527" t="str">
        <f>IF(B99&lt;&gt;0,INDEX(Tabla18[],MATCH(A99,Tabla18[Nombre],0),3),"")</f>
        <v/>
      </c>
      <c r="I99" s="527" t="str">
        <f>IF(B99&lt;&gt;0,INDEX(Tabla18[],MATCH(A99,Tabla18[Nombre],0),4),"")</f>
        <v/>
      </c>
      <c r="J99" s="527" t="str">
        <f>IF(B99&lt;&gt;0,INDEX(Tabla18[],MATCH(A99,Tabla18[Nombre],0),5),"")</f>
        <v/>
      </c>
      <c r="K99" s="596" t="str">
        <f>IF(B99&lt;&gt;0,INDEX(Tabla18[],MATCH(A99,Tabla18[Nombre],0),6),"")</f>
        <v/>
      </c>
      <c r="L99" s="598"/>
      <c r="M99" s="527"/>
      <c r="N99" s="527"/>
      <c r="O99" s="527"/>
      <c r="P99" s="527"/>
      <c r="Q99" s="600"/>
      <c r="R99" s="608"/>
      <c r="V99" s="606" t="s">
        <v>6980</v>
      </c>
      <c r="W99" s="556"/>
      <c r="X99" s="527" t="str">
        <f>IF(W99&lt;&gt;0,INDEX(Tabla16[],MATCH(V97&amp;V99&amp;W99,Tabla16[Concatenado],0),IF(AM99="Si",4,5)),"")</f>
        <v/>
      </c>
      <c r="Y99" s="527" t="str">
        <f>IF(W99&lt;&gt;0,INDEX(Tabla16[],MATCH(V97&amp;V99&amp;W99,Tabla16[Concatenado],0),6),"")</f>
        <v/>
      </c>
      <c r="Z99" s="527" t="str">
        <f>IFERROR(IF(W99&lt;&gt;0,INDEX(Tabla16[],MATCH(V97&amp;V99&amp;W99,Tabla16[Concatenado],0),IF(AA$3=TS!$O$2,7,IF(AA$3=TS!$O$3,8,IF(AA$3=TS!$O$4,9,"")))),""),"")</f>
        <v/>
      </c>
      <c r="AA99" s="527" t="str">
        <f>IF(W99&lt;&gt;0,INDEX(Tabla16[],MATCH(V97&amp;V99&amp;W99,Tabla16[Concatenado],0),10),"")</f>
        <v/>
      </c>
      <c r="AB99" s="527" t="str">
        <f>IF(W99&lt;&gt;0,INDEX(Tabla18[],MATCH(V99,Tabla18[Nombre],0),2),"")</f>
        <v/>
      </c>
      <c r="AC99" s="527" t="str">
        <f>IF(W99&lt;&gt;0,INDEX(Tabla18[],MATCH(V99,Tabla18[Nombre],0),3),"")</f>
        <v/>
      </c>
      <c r="AD99" s="527" t="str">
        <f>IF(W99&lt;&gt;0,INDEX(Tabla18[],MATCH(V99,Tabla18[Nombre],0),4),"")</f>
        <v/>
      </c>
      <c r="AE99" s="527" t="str">
        <f>IF(W99&lt;&gt;0,INDEX(Tabla18[],MATCH(V99,Tabla18[Nombre],0),5),"")</f>
        <v/>
      </c>
      <c r="AF99" s="596" t="str">
        <f>IF(W99&lt;&gt;0,INDEX(Tabla18[],MATCH(V99,Tabla18[Nombre],0),6),"")</f>
        <v/>
      </c>
      <c r="AG99" s="598"/>
      <c r="AH99" s="527"/>
      <c r="AI99" s="527"/>
      <c r="AJ99" s="527"/>
      <c r="AK99" s="527"/>
      <c r="AL99" s="600"/>
      <c r="AM99" s="608"/>
      <c r="AQ99" s="606" t="s">
        <v>6980</v>
      </c>
      <c r="AR99" s="556"/>
      <c r="AS99" s="527" t="str">
        <f>IF(AR99&lt;&gt;0,INDEX(Tabla16[],MATCH(AQ97&amp;AQ99&amp;AR99,Tabla16[Concatenado],0),IF(BH99="Si",4,5)),"")</f>
        <v/>
      </c>
      <c r="AT99" s="527" t="str">
        <f>IF(AR99&lt;&gt;0,INDEX(Tabla16[],MATCH(AQ97&amp;AQ99&amp;AR99,Tabla16[Concatenado],0),6),"")</f>
        <v/>
      </c>
      <c r="AU99" s="527" t="str">
        <f>IFERROR(IF(AR99&lt;&gt;0,INDEX(Tabla16[],MATCH(AQ97&amp;AQ99&amp;AR99,Tabla16[Concatenado],0),IF(AV$3=TS!$O$2,7,IF(AV$3=TS!$O$3,8,IF(AV$3=TS!$O$4,9,"")))),""),"")</f>
        <v/>
      </c>
      <c r="AV99" s="527" t="str">
        <f>IF(AR99&lt;&gt;0,INDEX(Tabla16[],MATCH(AQ97&amp;AQ99&amp;AR99,Tabla16[Concatenado],0),10),"")</f>
        <v/>
      </c>
      <c r="AW99" s="527" t="str">
        <f>IF(AR99&lt;&gt;0,INDEX(Tabla18[],MATCH(AQ99,Tabla18[Nombre],0),2),"")</f>
        <v/>
      </c>
      <c r="AX99" s="527" t="str">
        <f>IF(AR99&lt;&gt;0,INDEX(Tabla18[],MATCH(AQ99,Tabla18[Nombre],0),3),"")</f>
        <v/>
      </c>
      <c r="AY99" s="527" t="str">
        <f>IF(AR99&lt;&gt;0,INDEX(Tabla18[],MATCH(AQ99,Tabla18[Nombre],0),4),"")</f>
        <v/>
      </c>
      <c r="AZ99" s="527" t="str">
        <f>IF(AR99&lt;&gt;0,INDEX(Tabla18[],MATCH(AQ99,Tabla18[Nombre],0),5),"")</f>
        <v/>
      </c>
      <c r="BA99" s="596" t="str">
        <f>IF(AR99&lt;&gt;0,INDEX(Tabla18[],MATCH(AQ99,Tabla18[Nombre],0),6),"")</f>
        <v/>
      </c>
      <c r="BB99" s="598"/>
      <c r="BC99" s="527"/>
      <c r="BD99" s="527"/>
      <c r="BE99" s="527"/>
      <c r="BF99" s="527"/>
      <c r="BG99" s="600"/>
      <c r="BH99" s="608"/>
      <c r="BL99" s="606" t="s">
        <v>6980</v>
      </c>
      <c r="BM99" s="556"/>
      <c r="BN99" s="527" t="str">
        <f>IF(BM99&lt;&gt;0,INDEX(Tabla16[],MATCH(BL97&amp;BL99&amp;BM99,Tabla16[Concatenado],0),IF(CC99="Si",4,5)),"")</f>
        <v/>
      </c>
      <c r="BO99" s="527" t="str">
        <f>IF(BM99&lt;&gt;0,INDEX(Tabla16[],MATCH(BL97&amp;BL99&amp;BM99,Tabla16[Concatenado],0),6),"")</f>
        <v/>
      </c>
      <c r="BP99" s="527" t="str">
        <f>IFERROR(IF(BM99&lt;&gt;0,INDEX(Tabla16[],MATCH(BL97&amp;BL99&amp;BM99,Tabla16[Concatenado],0),IF(BQ$3=TS!$O$2,7,IF(BQ$3=TS!$O$3,8,IF(BQ$3=TS!$O$4,9,"")))),""),"")</f>
        <v/>
      </c>
      <c r="BQ99" s="527" t="str">
        <f>IF(BM99&lt;&gt;0,INDEX(Tabla16[],MATCH(BL97&amp;BL99&amp;BM99,Tabla16[Concatenado],0),10),"")</f>
        <v/>
      </c>
      <c r="BR99" s="527" t="str">
        <f>IF(BM99&lt;&gt;0,INDEX(Tabla18[],MATCH(BL99,Tabla18[Nombre],0),2),"")</f>
        <v/>
      </c>
      <c r="BS99" s="527" t="str">
        <f>IF(BM99&lt;&gt;0,INDEX(Tabla18[],MATCH(BL99,Tabla18[Nombre],0),3),"")</f>
        <v/>
      </c>
      <c r="BT99" s="527" t="str">
        <f>IF(BM99&lt;&gt;0,INDEX(Tabla18[],MATCH(BL99,Tabla18[Nombre],0),4),"")</f>
        <v/>
      </c>
      <c r="BU99" s="527" t="str">
        <f>IF(BM99&lt;&gt;0,INDEX(Tabla18[],MATCH(BL99,Tabla18[Nombre],0),5),"")</f>
        <v/>
      </c>
      <c r="BV99" s="596" t="str">
        <f>IF(BM99&lt;&gt;0,INDEX(Tabla18[],MATCH(BL99,Tabla18[Nombre],0),6),"")</f>
        <v/>
      </c>
      <c r="BW99" s="598"/>
      <c r="BX99" s="527"/>
      <c r="BY99" s="527"/>
      <c r="BZ99" s="527"/>
      <c r="CA99" s="527"/>
      <c r="CB99" s="600"/>
      <c r="CC99" s="608"/>
    </row>
    <row r="100" spans="1:81" x14ac:dyDescent="0.2">
      <c r="A100" s="606" t="s">
        <v>6981</v>
      </c>
      <c r="B100" s="556"/>
      <c r="C100" s="527" t="str">
        <f>IF(B100&lt;&gt;0,INDEX(Tabla16[],MATCH(A97&amp;A100&amp;B100,Tabla16[Concatenado],0),IF(R100="Si",4,5)),"")</f>
        <v/>
      </c>
      <c r="D100" s="527" t="str">
        <f>IF(B100&lt;&gt;0,INDEX(Tabla16[],MATCH(A97&amp;A100&amp;B100,Tabla16[Concatenado],0),6),"")</f>
        <v/>
      </c>
      <c r="E100" s="527" t="str">
        <f>IFERROR(IF(B100&lt;&gt;0,INDEX(Tabla16[],MATCH(A97&amp;A100&amp;B100,Tabla16[Concatenado],0),IF(F$3=TS!$O$2,7,IF(F$3=TS!$O$3,8,IF(F$3=TS!$O$4,9,"")))),""),"")</f>
        <v/>
      </c>
      <c r="F100" s="527" t="str">
        <f>IF(B100&lt;&gt;0,INDEX(Tabla16[],MATCH(A97&amp;A100&amp;B100,Tabla16[Concatenado],0),10),"")</f>
        <v/>
      </c>
      <c r="G100" s="527" t="str">
        <f>IF(B100&lt;&gt;0,INDEX(Tabla18[],MATCH(A100,Tabla18[Nombre],0),2),"")</f>
        <v/>
      </c>
      <c r="H100" s="527" t="str">
        <f>IF(B100&lt;&gt;0,INDEX(Tabla18[],MATCH(A100,Tabla18[Nombre],0),3),"")</f>
        <v/>
      </c>
      <c r="I100" s="527" t="str">
        <f>IF(B100&lt;&gt;0,INDEX(Tabla18[],MATCH(A100,Tabla18[Nombre],0),4),"")</f>
        <v/>
      </c>
      <c r="J100" s="527" t="str">
        <f>IF(B100&lt;&gt;0,INDEX(Tabla18[],MATCH(A100,Tabla18[Nombre],0),5),"")</f>
        <v/>
      </c>
      <c r="K100" s="596" t="str">
        <f>IF(B100&lt;&gt;0,INDEX(Tabla18[],MATCH(A100,Tabla18[Nombre],0),6),"")</f>
        <v/>
      </c>
      <c r="L100" s="598"/>
      <c r="M100" s="527"/>
      <c r="N100" s="527"/>
      <c r="O100" s="527"/>
      <c r="P100" s="527"/>
      <c r="Q100" s="600"/>
      <c r="R100" s="608"/>
      <c r="V100" s="606" t="s">
        <v>6981</v>
      </c>
      <c r="W100" s="556"/>
      <c r="X100" s="527" t="str">
        <f>IF(W100&lt;&gt;0,INDEX(Tabla16[],MATCH(V97&amp;V100&amp;W100,Tabla16[Concatenado],0),IF(AM100="Si",4,5)),"")</f>
        <v/>
      </c>
      <c r="Y100" s="527" t="str">
        <f>IF(W100&lt;&gt;0,INDEX(Tabla16[],MATCH(V97&amp;V100&amp;W100,Tabla16[Concatenado],0),6),"")</f>
        <v/>
      </c>
      <c r="Z100" s="527" t="str">
        <f>IFERROR(IF(W100&lt;&gt;0,INDEX(Tabla16[],MATCH(V97&amp;V100&amp;W100,Tabla16[Concatenado],0),IF(AA$3=TS!$O$2,7,IF(AA$3=TS!$O$3,8,IF(AA$3=TS!$O$4,9,"")))),""),"")</f>
        <v/>
      </c>
      <c r="AA100" s="527" t="str">
        <f>IF(W100&lt;&gt;0,INDEX(Tabla16[],MATCH(V97&amp;V100&amp;W100,Tabla16[Concatenado],0),10),"")</f>
        <v/>
      </c>
      <c r="AB100" s="527" t="str">
        <f>IF(W100&lt;&gt;0,INDEX(Tabla18[],MATCH(V100,Tabla18[Nombre],0),2),"")</f>
        <v/>
      </c>
      <c r="AC100" s="527" t="str">
        <f>IF(W100&lt;&gt;0,INDEX(Tabla18[],MATCH(V100,Tabla18[Nombre],0),3),"")</f>
        <v/>
      </c>
      <c r="AD100" s="527" t="str">
        <f>IF(W100&lt;&gt;0,INDEX(Tabla18[],MATCH(V100,Tabla18[Nombre],0),4),"")</f>
        <v/>
      </c>
      <c r="AE100" s="527" t="str">
        <f>IF(W100&lt;&gt;0,INDEX(Tabla18[],MATCH(V100,Tabla18[Nombre],0),5),"")</f>
        <v/>
      </c>
      <c r="AF100" s="596" t="str">
        <f>IF(W100&lt;&gt;0,INDEX(Tabla18[],MATCH(V100,Tabla18[Nombre],0),6),"")</f>
        <v/>
      </c>
      <c r="AG100" s="598"/>
      <c r="AH100" s="527"/>
      <c r="AI100" s="527"/>
      <c r="AJ100" s="527"/>
      <c r="AK100" s="527"/>
      <c r="AL100" s="600"/>
      <c r="AM100" s="608"/>
      <c r="AQ100" s="606" t="s">
        <v>6981</v>
      </c>
      <c r="AR100" s="556"/>
      <c r="AS100" s="527" t="str">
        <f>IF(AR100&lt;&gt;0,INDEX(Tabla16[],MATCH(AQ97&amp;AQ100&amp;AR100,Tabla16[Concatenado],0),IF(BH100="Si",4,5)),"")</f>
        <v/>
      </c>
      <c r="AT100" s="527" t="str">
        <f>IF(AR100&lt;&gt;0,INDEX(Tabla16[],MATCH(AQ97&amp;AQ100&amp;AR100,Tabla16[Concatenado],0),6),"")</f>
        <v/>
      </c>
      <c r="AU100" s="527" t="str">
        <f>IFERROR(IF(AR100&lt;&gt;0,INDEX(Tabla16[],MATCH(AQ97&amp;AQ100&amp;AR100,Tabla16[Concatenado],0),IF(AV$3=TS!$O$2,7,IF(AV$3=TS!$O$3,8,IF(AV$3=TS!$O$4,9,"")))),""),"")</f>
        <v/>
      </c>
      <c r="AV100" s="527" t="str">
        <f>IF(AR100&lt;&gt;0,INDEX(Tabla16[],MATCH(AQ97&amp;AQ100&amp;AR100,Tabla16[Concatenado],0),10),"")</f>
        <v/>
      </c>
      <c r="AW100" s="527" t="str">
        <f>IF(AR100&lt;&gt;0,INDEX(Tabla18[],MATCH(AQ100,Tabla18[Nombre],0),2),"")</f>
        <v/>
      </c>
      <c r="AX100" s="527" t="str">
        <f>IF(AR100&lt;&gt;0,INDEX(Tabla18[],MATCH(AQ100,Tabla18[Nombre],0),3),"")</f>
        <v/>
      </c>
      <c r="AY100" s="527" t="str">
        <f>IF(AR100&lt;&gt;0,INDEX(Tabla18[],MATCH(AQ100,Tabla18[Nombre],0),4),"")</f>
        <v/>
      </c>
      <c r="AZ100" s="527" t="str">
        <f>IF(AR100&lt;&gt;0,INDEX(Tabla18[],MATCH(AQ100,Tabla18[Nombre],0),5),"")</f>
        <v/>
      </c>
      <c r="BA100" s="596" t="str">
        <f>IF(AR100&lt;&gt;0,INDEX(Tabla18[],MATCH(AQ100,Tabla18[Nombre],0),6),"")</f>
        <v/>
      </c>
      <c r="BB100" s="598"/>
      <c r="BC100" s="527"/>
      <c r="BD100" s="527"/>
      <c r="BE100" s="527"/>
      <c r="BF100" s="527"/>
      <c r="BG100" s="600"/>
      <c r="BH100" s="608"/>
      <c r="BL100" s="606" t="s">
        <v>6981</v>
      </c>
      <c r="BM100" s="556"/>
      <c r="BN100" s="527" t="str">
        <f>IF(BM100&lt;&gt;0,INDEX(Tabla16[],MATCH(BL97&amp;BL100&amp;BM100,Tabla16[Concatenado],0),IF(CC100="Si",4,5)),"")</f>
        <v/>
      </c>
      <c r="BO100" s="527" t="str">
        <f>IF(BM100&lt;&gt;0,INDEX(Tabla16[],MATCH(BL97&amp;BL100&amp;BM100,Tabla16[Concatenado],0),6),"")</f>
        <v/>
      </c>
      <c r="BP100" s="527" t="str">
        <f>IFERROR(IF(BM100&lt;&gt;0,INDEX(Tabla16[],MATCH(BL97&amp;BL100&amp;BM100,Tabla16[Concatenado],0),IF(BQ$3=TS!$O$2,7,IF(BQ$3=TS!$O$3,8,IF(BQ$3=TS!$O$4,9,"")))),""),"")</f>
        <v/>
      </c>
      <c r="BQ100" s="527" t="str">
        <f>IF(BM100&lt;&gt;0,INDEX(Tabla16[],MATCH(BL97&amp;BL100&amp;BM100,Tabla16[Concatenado],0),10),"")</f>
        <v/>
      </c>
      <c r="BR100" s="527" t="str">
        <f>IF(BM100&lt;&gt;0,INDEX(Tabla18[],MATCH(BL100,Tabla18[Nombre],0),2),"")</f>
        <v/>
      </c>
      <c r="BS100" s="527" t="str">
        <f>IF(BM100&lt;&gt;0,INDEX(Tabla18[],MATCH(BL100,Tabla18[Nombre],0),3),"")</f>
        <v/>
      </c>
      <c r="BT100" s="527" t="str">
        <f>IF(BM100&lt;&gt;0,INDEX(Tabla18[],MATCH(BL100,Tabla18[Nombre],0),4),"")</f>
        <v/>
      </c>
      <c r="BU100" s="527" t="str">
        <f>IF(BM100&lt;&gt;0,INDEX(Tabla18[],MATCH(BL100,Tabla18[Nombre],0),5),"")</f>
        <v/>
      </c>
      <c r="BV100" s="596" t="str">
        <f>IF(BM100&lt;&gt;0,INDEX(Tabla18[],MATCH(BL100,Tabla18[Nombre],0),6),"")</f>
        <v/>
      </c>
      <c r="BW100" s="598"/>
      <c r="BX100" s="527"/>
      <c r="BY100" s="527"/>
      <c r="BZ100" s="527"/>
      <c r="CA100" s="527"/>
      <c r="CB100" s="600"/>
      <c r="CC100" s="608"/>
    </row>
    <row r="101" spans="1:81" x14ac:dyDescent="0.2">
      <c r="A101" s="606" t="s">
        <v>4741</v>
      </c>
      <c r="B101" s="556"/>
      <c r="C101" s="527" t="str">
        <f>IF(B101&lt;&gt;0,INDEX(Tabla16[],MATCH(A101&amp;B101,Tabla16[Concatenado],0),IF(R101="Si",4,5)),"")</f>
        <v/>
      </c>
      <c r="D101" s="527" t="str">
        <f>IF(B101&lt;&gt;0,INDEX(Tabla16[],MATCH(A101&amp;B101,Tabla16[Concatenado],0),6),"")</f>
        <v/>
      </c>
      <c r="E101" s="527" t="str">
        <f>IFERROR(IF(B101&lt;&gt;0,INDEX(Tabla16[],MATCH(A101&amp;B101,Tabla16[Concatenado],0),IF(F$3=TS!$O$2,7,IF(F$3=TS!$O$3,8,IF(F$3=TS!$O$4,9,"")))),""),"")</f>
        <v/>
      </c>
      <c r="F101" s="527" t="str">
        <f>IF(B101&lt;&gt;0,INDEX(Tabla16[],MATCH(A101&amp;B101,Tabla16[Concatenado],0),10),"")</f>
        <v/>
      </c>
      <c r="G101" s="527" t="str">
        <f>IF(B101&lt;&gt;0,INDEX(Tabla18[],MATCH(A101,Tabla18[Nombre],0),2),"")</f>
        <v/>
      </c>
      <c r="H101" s="527" t="str">
        <f>IF(B101&lt;&gt;0,INDEX(Tabla18[],MATCH(A101,Tabla18[Nombre],0),3),"")</f>
        <v/>
      </c>
      <c r="I101" s="527" t="str">
        <f>IF(B101&lt;&gt;0,INDEX(Tabla18[],MATCH(A101,Tabla18[Nombre],0),4),"")</f>
        <v/>
      </c>
      <c r="J101" s="527" t="str">
        <f>IF(B101&lt;&gt;0,INDEX(Tabla18[],MATCH(A101,Tabla18[Nombre],0),5),"")</f>
        <v/>
      </c>
      <c r="K101" s="596" t="str">
        <f>IF(B101&lt;&gt;0,INDEX(Tabla18[],MATCH(A101,Tabla18[Nombre],0),6),"")</f>
        <v/>
      </c>
      <c r="L101" s="598"/>
      <c r="M101" s="527"/>
      <c r="N101" s="527"/>
      <c r="O101" s="527"/>
      <c r="P101" s="527"/>
      <c r="Q101" s="600"/>
      <c r="R101" s="608"/>
      <c r="V101" s="606" t="s">
        <v>4741</v>
      </c>
      <c r="W101" s="556"/>
      <c r="X101" s="527" t="str">
        <f>IF(W101&lt;&gt;0,INDEX(Tabla16[],MATCH(V101&amp;W101,Tabla16[Concatenado],0),IF(AM101="Si",4,5)),"")</f>
        <v/>
      </c>
      <c r="Y101" s="527" t="str">
        <f>IF(W101&lt;&gt;0,INDEX(Tabla16[],MATCH(V101&amp;W101,Tabla16[Concatenado],0),6),"")</f>
        <v/>
      </c>
      <c r="Z101" s="527" t="str">
        <f>IFERROR(IF(W101&lt;&gt;0,INDEX(Tabla16[],MATCH(V101&amp;W101,Tabla16[Concatenado],0),IF(AA$3=TS!$O$2,7,IF(AA$3=TS!$O$3,8,IF(AA$3=TS!$O$4,9,"")))),""),"")</f>
        <v/>
      </c>
      <c r="AA101" s="527" t="str">
        <f>IF(W101&lt;&gt;0,INDEX(Tabla16[],MATCH(V101&amp;W101,Tabla16[Concatenado],0),10),"")</f>
        <v/>
      </c>
      <c r="AB101" s="527" t="str">
        <f>IF(W101&lt;&gt;0,INDEX(Tabla18[],MATCH(V101,Tabla18[Nombre],0),2),"")</f>
        <v/>
      </c>
      <c r="AC101" s="527" t="str">
        <f>IF(W101&lt;&gt;0,INDEX(Tabla18[],MATCH(V101,Tabla18[Nombre],0),3),"")</f>
        <v/>
      </c>
      <c r="AD101" s="527" t="str">
        <f>IF(W101&lt;&gt;0,INDEX(Tabla18[],MATCH(V101,Tabla18[Nombre],0),4),"")</f>
        <v/>
      </c>
      <c r="AE101" s="527" t="str">
        <f>IF(W101&lt;&gt;0,INDEX(Tabla18[],MATCH(V101,Tabla18[Nombre],0),5),"")</f>
        <v/>
      </c>
      <c r="AF101" s="596" t="str">
        <f>IF(W101&lt;&gt;0,INDEX(Tabla18[],MATCH(V101,Tabla18[Nombre],0),6),"")</f>
        <v/>
      </c>
      <c r="AG101" s="598"/>
      <c r="AH101" s="527"/>
      <c r="AI101" s="527"/>
      <c r="AJ101" s="527"/>
      <c r="AK101" s="527"/>
      <c r="AL101" s="600"/>
      <c r="AM101" s="608"/>
      <c r="AQ101" s="606" t="s">
        <v>4741</v>
      </c>
      <c r="AR101" s="556"/>
      <c r="AS101" s="527" t="str">
        <f>IF(AR101&lt;&gt;0,INDEX(Tabla16[],MATCH(AQ101&amp;AR101,Tabla16[Concatenado],0),IF(BH101="Si",4,5)),"")</f>
        <v/>
      </c>
      <c r="AT101" s="527" t="str">
        <f>IF(AR101&lt;&gt;0,INDEX(Tabla16[],MATCH(AQ101&amp;AR101,Tabla16[Concatenado],0),6),"")</f>
        <v/>
      </c>
      <c r="AU101" s="527" t="str">
        <f>IFERROR(IF(AR101&lt;&gt;0,INDEX(Tabla16[],MATCH(AQ101&amp;AR101,Tabla16[Concatenado],0),IF(AV$3=TS!$O$2,7,IF(AV$3=TS!$O$3,8,IF(AV$3=TS!$O$4,9,"")))),""),"")</f>
        <v/>
      </c>
      <c r="AV101" s="527" t="str">
        <f>IF(AR101&lt;&gt;0,INDEX(Tabla16[],MATCH(AQ101&amp;AR101,Tabla16[Concatenado],0),10),"")</f>
        <v/>
      </c>
      <c r="AW101" s="527" t="str">
        <f>IF(AR101&lt;&gt;0,INDEX(Tabla18[],MATCH(AQ101,Tabla18[Nombre],0),2),"")</f>
        <v/>
      </c>
      <c r="AX101" s="527" t="str">
        <f>IF(AR101&lt;&gt;0,INDEX(Tabla18[],MATCH(AQ101,Tabla18[Nombre],0),3),"")</f>
        <v/>
      </c>
      <c r="AY101" s="527" t="str">
        <f>IF(AR101&lt;&gt;0,INDEX(Tabla18[],MATCH(AQ101,Tabla18[Nombre],0),4),"")</f>
        <v/>
      </c>
      <c r="AZ101" s="527" t="str">
        <f>IF(AR101&lt;&gt;0,INDEX(Tabla18[],MATCH(AQ101,Tabla18[Nombre],0),5),"")</f>
        <v/>
      </c>
      <c r="BA101" s="596" t="str">
        <f>IF(AR101&lt;&gt;0,INDEX(Tabla18[],MATCH(AQ101,Tabla18[Nombre],0),6),"")</f>
        <v/>
      </c>
      <c r="BB101" s="598"/>
      <c r="BC101" s="527"/>
      <c r="BD101" s="527"/>
      <c r="BE101" s="527"/>
      <c r="BF101" s="527"/>
      <c r="BG101" s="600"/>
      <c r="BH101" s="608"/>
      <c r="BL101" s="606" t="s">
        <v>4741</v>
      </c>
      <c r="BM101" s="556"/>
      <c r="BN101" s="527" t="str">
        <f>IF(BM101&lt;&gt;0,INDEX(Tabla16[],MATCH(BL101&amp;BM101,Tabla16[Concatenado],0),IF(CC101="Si",4,5)),"")</f>
        <v/>
      </c>
      <c r="BO101" s="527" t="str">
        <f>IF(BM101&lt;&gt;0,INDEX(Tabla16[],MATCH(BL101&amp;BM101,Tabla16[Concatenado],0),6),"")</f>
        <v/>
      </c>
      <c r="BP101" s="527" t="str">
        <f>IFERROR(IF(BM101&lt;&gt;0,INDEX(Tabla16[],MATCH(BL101&amp;BM101,Tabla16[Concatenado],0),IF(BQ$3=TS!$O$2,7,IF(BQ$3=TS!$O$3,8,IF(BQ$3=TS!$O$4,9,"")))),""),"")</f>
        <v/>
      </c>
      <c r="BQ101" s="527" t="str">
        <f>IF(BM101&lt;&gt;0,INDEX(Tabla16[],MATCH(BL101&amp;BM101,Tabla16[Concatenado],0),10),"")</f>
        <v/>
      </c>
      <c r="BR101" s="527" t="str">
        <f>IF(BM101&lt;&gt;0,INDEX(Tabla18[],MATCH(BL101,Tabla18[Nombre],0),2),"")</f>
        <v/>
      </c>
      <c r="BS101" s="527" t="str">
        <f>IF(BM101&lt;&gt;0,INDEX(Tabla18[],MATCH(BL101,Tabla18[Nombre],0),3),"")</f>
        <v/>
      </c>
      <c r="BT101" s="527" t="str">
        <f>IF(BM101&lt;&gt;0,INDEX(Tabla18[],MATCH(BL101,Tabla18[Nombre],0),4),"")</f>
        <v/>
      </c>
      <c r="BU101" s="527" t="str">
        <f>IF(BM101&lt;&gt;0,INDEX(Tabla18[],MATCH(BL101,Tabla18[Nombre],0),5),"")</f>
        <v/>
      </c>
      <c r="BV101" s="596" t="str">
        <f>IF(BM101&lt;&gt;0,INDEX(Tabla18[],MATCH(BL101,Tabla18[Nombre],0),6),"")</f>
        <v/>
      </c>
      <c r="BW101" s="598"/>
      <c r="BX101" s="527"/>
      <c r="BY101" s="527"/>
      <c r="BZ101" s="527"/>
      <c r="CA101" s="527"/>
      <c r="CB101" s="600"/>
      <c r="CC101" s="608"/>
    </row>
    <row r="102" spans="1:81" x14ac:dyDescent="0.2">
      <c r="A102" s="606" t="s">
        <v>6977</v>
      </c>
      <c r="B102" s="556"/>
      <c r="C102" s="527" t="str">
        <f>IF(B102&lt;&gt;0,INDEX(Tabla16[],MATCH(A101&amp;A102&amp;B102,Tabla16[Concatenado],0),IF(R102="Si",4,5)),"")</f>
        <v/>
      </c>
      <c r="D102" s="527" t="str">
        <f>IF(B102&lt;&gt;0,INDEX(Tabla16[],MATCH(A101&amp;A102&amp;B102,Tabla16[Concatenado],0),6),"")</f>
        <v/>
      </c>
      <c r="E102" s="527" t="str">
        <f>IFERROR(IF(B102&lt;&gt;0,INDEX(Tabla16[],MATCH(A101&amp;A102&amp;B102,Tabla16[Concatenado],0),IF(F$3=TS!$O$2,7,IF(F$3=TS!$O$3,8,IF(F$3=TS!$O$4,9,"")))),""),"")</f>
        <v/>
      </c>
      <c r="F102" s="527" t="str">
        <f>IF(B102&lt;&gt;0,INDEX(Tabla16[],MATCH(A101&amp;A102&amp;B102,Tabla16[Concatenado],0),10),"")</f>
        <v/>
      </c>
      <c r="G102" s="527" t="str">
        <f>IF(B102&lt;&gt;0,INDEX(Tabla18[],MATCH(A102,Tabla18[Nombre],0),2),"")</f>
        <v/>
      </c>
      <c r="H102" s="527" t="str">
        <f>IF(B102&lt;&gt;0,INDEX(Tabla18[],MATCH(A102,Tabla18[Nombre],0),3),"")</f>
        <v/>
      </c>
      <c r="I102" s="527" t="str">
        <f>IF(B102&lt;&gt;0,INDEX(Tabla18[],MATCH(A102,Tabla18[Nombre],0),4),"")</f>
        <v/>
      </c>
      <c r="J102" s="527" t="str">
        <f>IF(B102&lt;&gt;0,INDEX(Tabla18[],MATCH(A102,Tabla18[Nombre],0),5),"")</f>
        <v/>
      </c>
      <c r="K102" s="596" t="str">
        <f>IF(B102&lt;&gt;0,INDEX(Tabla18[],MATCH(A102,Tabla18[Nombre],0),6),"")</f>
        <v/>
      </c>
      <c r="L102" s="598"/>
      <c r="M102" s="527"/>
      <c r="N102" s="527"/>
      <c r="O102" s="527"/>
      <c r="P102" s="527"/>
      <c r="Q102" s="600"/>
      <c r="R102" s="608"/>
      <c r="V102" s="606" t="s">
        <v>6977</v>
      </c>
      <c r="W102" s="556"/>
      <c r="X102" s="527" t="str">
        <f>IF(W102&lt;&gt;0,INDEX(Tabla16[],MATCH(V101&amp;V102&amp;W102,Tabla16[Concatenado],0),IF(AM102="Si",4,5)),"")</f>
        <v/>
      </c>
      <c r="Y102" s="527" t="str">
        <f>IF(W102&lt;&gt;0,INDEX(Tabla16[],MATCH(V101&amp;V102&amp;W102,Tabla16[Concatenado],0),6),"")</f>
        <v/>
      </c>
      <c r="Z102" s="527" t="str">
        <f>IFERROR(IF(W102&lt;&gt;0,INDEX(Tabla16[],MATCH(V101&amp;V102&amp;W102,Tabla16[Concatenado],0),IF(AA$3=TS!$O$2,7,IF(AA$3=TS!$O$3,8,IF(AA$3=TS!$O$4,9,"")))),""),"")</f>
        <v/>
      </c>
      <c r="AA102" s="527" t="str">
        <f>IF(W102&lt;&gt;0,INDEX(Tabla16[],MATCH(V101&amp;V102&amp;W102,Tabla16[Concatenado],0),10),"")</f>
        <v/>
      </c>
      <c r="AB102" s="527" t="str">
        <f>IF(W102&lt;&gt;0,INDEX(Tabla18[],MATCH(V102,Tabla18[Nombre],0),2),"")</f>
        <v/>
      </c>
      <c r="AC102" s="527" t="str">
        <f>IF(W102&lt;&gt;0,INDEX(Tabla18[],MATCH(V102,Tabla18[Nombre],0),3),"")</f>
        <v/>
      </c>
      <c r="AD102" s="527" t="str">
        <f>IF(W102&lt;&gt;0,INDEX(Tabla18[],MATCH(V102,Tabla18[Nombre],0),4),"")</f>
        <v/>
      </c>
      <c r="AE102" s="527" t="str">
        <f>IF(W102&lt;&gt;0,INDEX(Tabla18[],MATCH(V102,Tabla18[Nombre],0),5),"")</f>
        <v/>
      </c>
      <c r="AF102" s="596" t="str">
        <f>IF(W102&lt;&gt;0,INDEX(Tabla18[],MATCH(V102,Tabla18[Nombre],0),6),"")</f>
        <v/>
      </c>
      <c r="AG102" s="598"/>
      <c r="AH102" s="527"/>
      <c r="AI102" s="527"/>
      <c r="AJ102" s="527"/>
      <c r="AK102" s="527"/>
      <c r="AL102" s="600"/>
      <c r="AM102" s="608"/>
      <c r="AQ102" s="606" t="s">
        <v>6977</v>
      </c>
      <c r="AR102" s="556"/>
      <c r="AS102" s="527" t="str">
        <f>IF(AR102&lt;&gt;0,INDEX(Tabla16[],MATCH(AQ101&amp;AQ102&amp;AR102,Tabla16[Concatenado],0),IF(BH102="Si",4,5)),"")</f>
        <v/>
      </c>
      <c r="AT102" s="527" t="str">
        <f>IF(AR102&lt;&gt;0,INDEX(Tabla16[],MATCH(AQ101&amp;AQ102&amp;AR102,Tabla16[Concatenado],0),6),"")</f>
        <v/>
      </c>
      <c r="AU102" s="527" t="str">
        <f>IFERROR(IF(AR102&lt;&gt;0,INDEX(Tabla16[],MATCH(AQ101&amp;AQ102&amp;AR102,Tabla16[Concatenado],0),IF(AV$3=TS!$O$2,7,IF(AV$3=TS!$O$3,8,IF(AV$3=TS!$O$4,9,"")))),""),"")</f>
        <v/>
      </c>
      <c r="AV102" s="527" t="str">
        <f>IF(AR102&lt;&gt;0,INDEX(Tabla16[],MATCH(AQ101&amp;AQ102&amp;AR102,Tabla16[Concatenado],0),10),"")</f>
        <v/>
      </c>
      <c r="AW102" s="527" t="str">
        <f>IF(AR102&lt;&gt;0,INDEX(Tabla18[],MATCH(AQ102,Tabla18[Nombre],0),2),"")</f>
        <v/>
      </c>
      <c r="AX102" s="527" t="str">
        <f>IF(AR102&lt;&gt;0,INDEX(Tabla18[],MATCH(AQ102,Tabla18[Nombre],0),3),"")</f>
        <v/>
      </c>
      <c r="AY102" s="527" t="str">
        <f>IF(AR102&lt;&gt;0,INDEX(Tabla18[],MATCH(AQ102,Tabla18[Nombre],0),4),"")</f>
        <v/>
      </c>
      <c r="AZ102" s="527" t="str">
        <f>IF(AR102&lt;&gt;0,INDEX(Tabla18[],MATCH(AQ102,Tabla18[Nombre],0),5),"")</f>
        <v/>
      </c>
      <c r="BA102" s="596" t="str">
        <f>IF(AR102&lt;&gt;0,INDEX(Tabla18[],MATCH(AQ102,Tabla18[Nombre],0),6),"")</f>
        <v/>
      </c>
      <c r="BB102" s="598"/>
      <c r="BC102" s="527"/>
      <c r="BD102" s="527"/>
      <c r="BE102" s="527"/>
      <c r="BF102" s="527"/>
      <c r="BG102" s="600"/>
      <c r="BH102" s="608"/>
      <c r="BL102" s="606" t="s">
        <v>6977</v>
      </c>
      <c r="BM102" s="556"/>
      <c r="BN102" s="527" t="str">
        <f>IF(BM102&lt;&gt;0,INDEX(Tabla16[],MATCH(BL101&amp;BL102&amp;BM102,Tabla16[Concatenado],0),IF(CC102="Si",4,5)),"")</f>
        <v/>
      </c>
      <c r="BO102" s="527" t="str">
        <f>IF(BM102&lt;&gt;0,INDEX(Tabla16[],MATCH(BL101&amp;BL102&amp;BM102,Tabla16[Concatenado],0),6),"")</f>
        <v/>
      </c>
      <c r="BP102" s="527" t="str">
        <f>IFERROR(IF(BM102&lt;&gt;0,INDEX(Tabla16[],MATCH(BL101&amp;BL102&amp;BM102,Tabla16[Concatenado],0),IF(BQ$3=TS!$O$2,7,IF(BQ$3=TS!$O$3,8,IF(BQ$3=TS!$O$4,9,"")))),""),"")</f>
        <v/>
      </c>
      <c r="BQ102" s="527" t="str">
        <f>IF(BM102&lt;&gt;0,INDEX(Tabla16[],MATCH(BL101&amp;BL102&amp;BM102,Tabla16[Concatenado],0),10),"")</f>
        <v/>
      </c>
      <c r="BR102" s="527" t="str">
        <f>IF(BM102&lt;&gt;0,INDEX(Tabla18[],MATCH(BL102,Tabla18[Nombre],0),2),"")</f>
        <v/>
      </c>
      <c r="BS102" s="527" t="str">
        <f>IF(BM102&lt;&gt;0,INDEX(Tabla18[],MATCH(BL102,Tabla18[Nombre],0),3),"")</f>
        <v/>
      </c>
      <c r="BT102" s="527" t="str">
        <f>IF(BM102&lt;&gt;0,INDEX(Tabla18[],MATCH(BL102,Tabla18[Nombre],0),4),"")</f>
        <v/>
      </c>
      <c r="BU102" s="527" t="str">
        <f>IF(BM102&lt;&gt;0,INDEX(Tabla18[],MATCH(BL102,Tabla18[Nombre],0),5),"")</f>
        <v/>
      </c>
      <c r="BV102" s="596" t="str">
        <f>IF(BM102&lt;&gt;0,INDEX(Tabla18[],MATCH(BL102,Tabla18[Nombre],0),6),"")</f>
        <v/>
      </c>
      <c r="BW102" s="598"/>
      <c r="BX102" s="527"/>
      <c r="BY102" s="527"/>
      <c r="BZ102" s="527"/>
      <c r="CA102" s="527"/>
      <c r="CB102" s="600"/>
      <c r="CC102" s="608"/>
    </row>
    <row r="103" spans="1:81" x14ac:dyDescent="0.2">
      <c r="A103" s="606" t="s">
        <v>6982</v>
      </c>
      <c r="B103" s="556"/>
      <c r="C103" s="527" t="str">
        <f>IF(B103&lt;&gt;0,INDEX(Tabla16[],MATCH(A103&amp;B103,Tabla16[Concatenado],0),IF(R103="Si",4,5)),"")</f>
        <v/>
      </c>
      <c r="D103" s="527" t="str">
        <f>IF(B103&lt;&gt;0,INDEX(Tabla16[],MATCH(A103&amp;B103,Tabla16[Concatenado],0),6),"")</f>
        <v/>
      </c>
      <c r="E103" s="527" t="str">
        <f>IFERROR(IF(B103&lt;&gt;0,INDEX(Tabla16[],MATCH(A103&amp;B103,Tabla16[Concatenado],0),IF(F$3=TS!$O$2,7,IF(F$3=TS!$O$3,8,IF(F$3=TS!$O$4,9,"")))),""),"")</f>
        <v/>
      </c>
      <c r="F103" s="527" t="str">
        <f>IF(B103&lt;&gt;0,INDEX(Tabla16[],MATCH(A103&amp;B103,Tabla16[Concatenado],0),10),"")</f>
        <v/>
      </c>
      <c r="G103" s="527" t="str">
        <f>IF(B103&lt;&gt;0,INDEX(Tabla18[],MATCH(A103,Tabla18[Nombre],0),2),"")</f>
        <v/>
      </c>
      <c r="H103" s="527" t="str">
        <f>IF(B103&lt;&gt;0,INDEX(Tabla18[],MATCH(A103,Tabla18[Nombre],0),3),"")</f>
        <v/>
      </c>
      <c r="I103" s="527" t="str">
        <f>IF(B103&lt;&gt;0,INDEX(Tabla18[],MATCH(A103,Tabla18[Nombre],0),4),"")</f>
        <v/>
      </c>
      <c r="J103" s="527" t="str">
        <f>IF(B103&lt;&gt;0,INDEX(Tabla18[],MATCH(A103,Tabla18[Nombre],0),5),"")</f>
        <v/>
      </c>
      <c r="K103" s="596" t="str">
        <f>IF(B103&lt;&gt;0,INDEX(Tabla18[],MATCH(A103,Tabla18[Nombre],0),6),"")</f>
        <v/>
      </c>
      <c r="L103" s="598"/>
      <c r="M103" s="527"/>
      <c r="N103" s="527"/>
      <c r="O103" s="527"/>
      <c r="P103" s="527"/>
      <c r="Q103" s="600"/>
      <c r="R103" s="608"/>
      <c r="V103" s="606" t="s">
        <v>6982</v>
      </c>
      <c r="W103" s="556"/>
      <c r="X103" s="527" t="str">
        <f>IF(W103&lt;&gt;0,INDEX(Tabla16[],MATCH(V103&amp;W103,Tabla16[Concatenado],0),IF(AM103="Si",4,5)),"")</f>
        <v/>
      </c>
      <c r="Y103" s="527" t="str">
        <f>IF(W103&lt;&gt;0,INDEX(Tabla16[],MATCH(V103&amp;W103,Tabla16[Concatenado],0),6),"")</f>
        <v/>
      </c>
      <c r="Z103" s="527" t="str">
        <f>IFERROR(IF(W103&lt;&gt;0,INDEX(Tabla16[],MATCH(V103&amp;W103,Tabla16[Concatenado],0),IF(AA$3=TS!$O$2,7,IF(AA$3=TS!$O$3,8,IF(AA$3=TS!$O$4,9,"")))),""),"")</f>
        <v/>
      </c>
      <c r="AA103" s="527" t="str">
        <f>IF(W103&lt;&gt;0,INDEX(Tabla16[],MATCH(V103&amp;W103,Tabla16[Concatenado],0),10),"")</f>
        <v/>
      </c>
      <c r="AB103" s="527" t="str">
        <f>IF(W103&lt;&gt;0,INDEX(Tabla18[],MATCH(V103,Tabla18[Nombre],0),2),"")</f>
        <v/>
      </c>
      <c r="AC103" s="527" t="str">
        <f>IF(W103&lt;&gt;0,INDEX(Tabla18[],MATCH(V103,Tabla18[Nombre],0),3),"")</f>
        <v/>
      </c>
      <c r="AD103" s="527" t="str">
        <f>IF(W103&lt;&gt;0,INDEX(Tabla18[],MATCH(V103,Tabla18[Nombre],0),4),"")</f>
        <v/>
      </c>
      <c r="AE103" s="527" t="str">
        <f>IF(W103&lt;&gt;0,INDEX(Tabla18[],MATCH(V103,Tabla18[Nombre],0),5),"")</f>
        <v/>
      </c>
      <c r="AF103" s="596" t="str">
        <f>IF(W103&lt;&gt;0,INDEX(Tabla18[],MATCH(V103,Tabla18[Nombre],0),6),"")</f>
        <v/>
      </c>
      <c r="AG103" s="598"/>
      <c r="AH103" s="527"/>
      <c r="AI103" s="527"/>
      <c r="AJ103" s="527"/>
      <c r="AK103" s="527"/>
      <c r="AL103" s="600"/>
      <c r="AM103" s="608"/>
      <c r="AQ103" s="606" t="s">
        <v>6982</v>
      </c>
      <c r="AR103" s="556"/>
      <c r="AS103" s="527" t="str">
        <f>IF(AR103&lt;&gt;0,INDEX(Tabla16[],MATCH(AQ103&amp;AR103,Tabla16[Concatenado],0),IF(BH103="Si",4,5)),"")</f>
        <v/>
      </c>
      <c r="AT103" s="527" t="str">
        <f>IF(AR103&lt;&gt;0,INDEX(Tabla16[],MATCH(AQ103&amp;AR103,Tabla16[Concatenado],0),6),"")</f>
        <v/>
      </c>
      <c r="AU103" s="527" t="str">
        <f>IFERROR(IF(AR103&lt;&gt;0,INDEX(Tabla16[],MATCH(AQ103&amp;AR103,Tabla16[Concatenado],0),IF(AV$3=TS!$O$2,7,IF(AV$3=TS!$O$3,8,IF(AV$3=TS!$O$4,9,"")))),""),"")</f>
        <v/>
      </c>
      <c r="AV103" s="527" t="str">
        <f>IF(AR103&lt;&gt;0,INDEX(Tabla16[],MATCH(AQ103&amp;AR103,Tabla16[Concatenado],0),10),"")</f>
        <v/>
      </c>
      <c r="AW103" s="527" t="str">
        <f>IF(AR103&lt;&gt;0,INDEX(Tabla18[],MATCH(AQ103,Tabla18[Nombre],0),2),"")</f>
        <v/>
      </c>
      <c r="AX103" s="527" t="str">
        <f>IF(AR103&lt;&gt;0,INDEX(Tabla18[],MATCH(AQ103,Tabla18[Nombre],0),3),"")</f>
        <v/>
      </c>
      <c r="AY103" s="527" t="str">
        <f>IF(AR103&lt;&gt;0,INDEX(Tabla18[],MATCH(AQ103,Tabla18[Nombre],0),4),"")</f>
        <v/>
      </c>
      <c r="AZ103" s="527" t="str">
        <f>IF(AR103&lt;&gt;0,INDEX(Tabla18[],MATCH(AQ103,Tabla18[Nombre],0),5),"")</f>
        <v/>
      </c>
      <c r="BA103" s="596" t="str">
        <f>IF(AR103&lt;&gt;0,INDEX(Tabla18[],MATCH(AQ103,Tabla18[Nombre],0),6),"")</f>
        <v/>
      </c>
      <c r="BB103" s="598"/>
      <c r="BC103" s="527"/>
      <c r="BD103" s="527"/>
      <c r="BE103" s="527"/>
      <c r="BF103" s="527"/>
      <c r="BG103" s="600"/>
      <c r="BH103" s="608"/>
      <c r="BL103" s="606" t="s">
        <v>6982</v>
      </c>
      <c r="BM103" s="556"/>
      <c r="BN103" s="527" t="str">
        <f>IF(BM103&lt;&gt;0,INDEX(Tabla16[],MATCH(BL103&amp;BM103,Tabla16[Concatenado],0),IF(CC103="Si",4,5)),"")</f>
        <v/>
      </c>
      <c r="BO103" s="527" t="str">
        <f>IF(BM103&lt;&gt;0,INDEX(Tabla16[],MATCH(BL103&amp;BM103,Tabla16[Concatenado],0),6),"")</f>
        <v/>
      </c>
      <c r="BP103" s="527" t="str">
        <f>IFERROR(IF(BM103&lt;&gt;0,INDEX(Tabla16[],MATCH(BL103&amp;BM103,Tabla16[Concatenado],0),IF(BQ$3=TS!$O$2,7,IF(BQ$3=TS!$O$3,8,IF(BQ$3=TS!$O$4,9,"")))),""),"")</f>
        <v/>
      </c>
      <c r="BQ103" s="527" t="str">
        <f>IF(BM103&lt;&gt;0,INDEX(Tabla16[],MATCH(BL103&amp;BM103,Tabla16[Concatenado],0),10),"")</f>
        <v/>
      </c>
      <c r="BR103" s="527" t="str">
        <f>IF(BM103&lt;&gt;0,INDEX(Tabla18[],MATCH(BL103,Tabla18[Nombre],0),2),"")</f>
        <v/>
      </c>
      <c r="BS103" s="527" t="str">
        <f>IF(BM103&lt;&gt;0,INDEX(Tabla18[],MATCH(BL103,Tabla18[Nombre],0),3),"")</f>
        <v/>
      </c>
      <c r="BT103" s="527" t="str">
        <f>IF(BM103&lt;&gt;0,INDEX(Tabla18[],MATCH(BL103,Tabla18[Nombre],0),4),"")</f>
        <v/>
      </c>
      <c r="BU103" s="527" t="str">
        <f>IF(BM103&lt;&gt;0,INDEX(Tabla18[],MATCH(BL103,Tabla18[Nombre],0),5),"")</f>
        <v/>
      </c>
      <c r="BV103" s="596" t="str">
        <f>IF(BM103&lt;&gt;0,INDEX(Tabla18[],MATCH(BL103,Tabla18[Nombre],0),6),"")</f>
        <v/>
      </c>
      <c r="BW103" s="598"/>
      <c r="BX103" s="527"/>
      <c r="BY103" s="527"/>
      <c r="BZ103" s="527"/>
      <c r="CA103" s="527"/>
      <c r="CB103" s="600"/>
      <c r="CC103" s="608"/>
    </row>
    <row r="104" spans="1:81" x14ac:dyDescent="0.2">
      <c r="A104" s="606" t="s">
        <v>6983</v>
      </c>
      <c r="B104" s="556"/>
      <c r="C104" s="527" t="str">
        <f>IF(B104&lt;&gt;0,INDEX(Tabla16[],MATCH(A103&amp;A104&amp;B104,Tabla16[Concatenado],0),IF(R104="Si",4,5)),"")</f>
        <v/>
      </c>
      <c r="D104" s="527" t="str">
        <f>IF(B104&lt;&gt;0,INDEX(Tabla16[],MATCH(A103&amp;A104&amp;B104,Tabla16[Concatenado],0),6),"")</f>
        <v/>
      </c>
      <c r="E104" s="527" t="str">
        <f>IFERROR(IF(B104&lt;&gt;0,INDEX(Tabla16[],MATCH(A103&amp;A104&amp;B104,Tabla16[Concatenado],0),IF(F$3=TS!$O$2,7,IF(F$3=TS!$O$3,8,IF(F$3=TS!$O$4,9,"")))),""),"")</f>
        <v/>
      </c>
      <c r="F104" s="527" t="str">
        <f>IF(B104&lt;&gt;0,INDEX(Tabla16[],MATCH(A103&amp;A104&amp;B104,Tabla16[Concatenado],0),10),"")</f>
        <v/>
      </c>
      <c r="G104" s="527" t="str">
        <f>IF(B104&lt;&gt;0,INDEX(Tabla18[],MATCH(A104,Tabla18[Nombre],0),2),"")</f>
        <v/>
      </c>
      <c r="H104" s="527" t="str">
        <f>IF(B104&lt;&gt;0,INDEX(Tabla18[],MATCH(A104,Tabla18[Nombre],0),3),"")</f>
        <v/>
      </c>
      <c r="I104" s="527" t="str">
        <f>IF(B104&lt;&gt;0,INDEX(Tabla18[],MATCH(A104,Tabla18[Nombre],0),4),"")</f>
        <v/>
      </c>
      <c r="J104" s="527" t="str">
        <f>IF(B104&lt;&gt;0,INDEX(Tabla18[],MATCH(A104,Tabla18[Nombre],0),5),"")</f>
        <v/>
      </c>
      <c r="K104" s="596" t="str">
        <f>IF(B104&lt;&gt;0,INDEX(Tabla18[],MATCH(A104,Tabla18[Nombre],0),6),"")</f>
        <v/>
      </c>
      <c r="L104" s="598"/>
      <c r="M104" s="527"/>
      <c r="N104" s="527"/>
      <c r="O104" s="527"/>
      <c r="P104" s="527"/>
      <c r="Q104" s="600"/>
      <c r="R104" s="608"/>
      <c r="V104" s="606" t="s">
        <v>6983</v>
      </c>
      <c r="W104" s="556"/>
      <c r="X104" s="527" t="str">
        <f>IF(W104&lt;&gt;0,INDEX(Tabla16[],MATCH(V103&amp;V104&amp;W104,Tabla16[Concatenado],0),IF(AM104="Si",4,5)),"")</f>
        <v/>
      </c>
      <c r="Y104" s="527" t="str">
        <f>IF(W104&lt;&gt;0,INDEX(Tabla16[],MATCH(V103&amp;V104&amp;W104,Tabla16[Concatenado],0),6),"")</f>
        <v/>
      </c>
      <c r="Z104" s="527" t="str">
        <f>IFERROR(IF(W104&lt;&gt;0,INDEX(Tabla16[],MATCH(V103&amp;V104&amp;W104,Tabla16[Concatenado],0),IF(AA$3=TS!$O$2,7,IF(AA$3=TS!$O$3,8,IF(AA$3=TS!$O$4,9,"")))),""),"")</f>
        <v/>
      </c>
      <c r="AA104" s="527" t="str">
        <f>IF(W104&lt;&gt;0,INDEX(Tabla16[],MATCH(V103&amp;V104&amp;W104,Tabla16[Concatenado],0),10),"")</f>
        <v/>
      </c>
      <c r="AB104" s="527" t="str">
        <f>IF(W104&lt;&gt;0,INDEX(Tabla18[],MATCH(V104,Tabla18[Nombre],0),2),"")</f>
        <v/>
      </c>
      <c r="AC104" s="527" t="str">
        <f>IF(W104&lt;&gt;0,INDEX(Tabla18[],MATCH(V104,Tabla18[Nombre],0),3),"")</f>
        <v/>
      </c>
      <c r="AD104" s="527" t="str">
        <f>IF(W104&lt;&gt;0,INDEX(Tabla18[],MATCH(V104,Tabla18[Nombre],0),4),"")</f>
        <v/>
      </c>
      <c r="AE104" s="527" t="str">
        <f>IF(W104&lt;&gt;0,INDEX(Tabla18[],MATCH(V104,Tabla18[Nombre],0),5),"")</f>
        <v/>
      </c>
      <c r="AF104" s="596" t="str">
        <f>IF(W104&lt;&gt;0,INDEX(Tabla18[],MATCH(V104,Tabla18[Nombre],0),6),"")</f>
        <v/>
      </c>
      <c r="AG104" s="598"/>
      <c r="AH104" s="527"/>
      <c r="AI104" s="527"/>
      <c r="AJ104" s="527"/>
      <c r="AK104" s="527"/>
      <c r="AL104" s="600"/>
      <c r="AM104" s="608"/>
      <c r="AQ104" s="606" t="s">
        <v>6983</v>
      </c>
      <c r="AR104" s="556"/>
      <c r="AS104" s="527" t="str">
        <f>IF(AR104&lt;&gt;0,INDEX(Tabla16[],MATCH(AQ103&amp;AQ104&amp;AR104,Tabla16[Concatenado],0),IF(BH104="Si",4,5)),"")</f>
        <v/>
      </c>
      <c r="AT104" s="527" t="str">
        <f>IF(AR104&lt;&gt;0,INDEX(Tabla16[],MATCH(AQ103&amp;AQ104&amp;AR104,Tabla16[Concatenado],0),6),"")</f>
        <v/>
      </c>
      <c r="AU104" s="527" t="str">
        <f>IFERROR(IF(AR104&lt;&gt;0,INDEX(Tabla16[],MATCH(AQ103&amp;AQ104&amp;AR104,Tabla16[Concatenado],0),IF(AV$3=TS!$O$2,7,IF(AV$3=TS!$O$3,8,IF(AV$3=TS!$O$4,9,"")))),""),"")</f>
        <v/>
      </c>
      <c r="AV104" s="527" t="str">
        <f>IF(AR104&lt;&gt;0,INDEX(Tabla16[],MATCH(AQ103&amp;AQ104&amp;AR104,Tabla16[Concatenado],0),10),"")</f>
        <v/>
      </c>
      <c r="AW104" s="527" t="str">
        <f>IF(AR104&lt;&gt;0,INDEX(Tabla18[],MATCH(AQ104,Tabla18[Nombre],0),2),"")</f>
        <v/>
      </c>
      <c r="AX104" s="527" t="str">
        <f>IF(AR104&lt;&gt;0,INDEX(Tabla18[],MATCH(AQ104,Tabla18[Nombre],0),3),"")</f>
        <v/>
      </c>
      <c r="AY104" s="527" t="str">
        <f>IF(AR104&lt;&gt;0,INDEX(Tabla18[],MATCH(AQ104,Tabla18[Nombre],0),4),"")</f>
        <v/>
      </c>
      <c r="AZ104" s="527" t="str">
        <f>IF(AR104&lt;&gt;0,INDEX(Tabla18[],MATCH(AQ104,Tabla18[Nombre],0),5),"")</f>
        <v/>
      </c>
      <c r="BA104" s="596" t="str">
        <f>IF(AR104&lt;&gt;0,INDEX(Tabla18[],MATCH(AQ104,Tabla18[Nombre],0),6),"")</f>
        <v/>
      </c>
      <c r="BB104" s="598"/>
      <c r="BC104" s="527"/>
      <c r="BD104" s="527"/>
      <c r="BE104" s="527"/>
      <c r="BF104" s="527"/>
      <c r="BG104" s="600"/>
      <c r="BH104" s="608"/>
      <c r="BL104" s="606" t="s">
        <v>6983</v>
      </c>
      <c r="BM104" s="556"/>
      <c r="BN104" s="527" t="str">
        <f>IF(BM104&lt;&gt;0,INDEX(Tabla16[],MATCH(BL103&amp;BL104&amp;BM104,Tabla16[Concatenado],0),IF(CC104="Si",4,5)),"")</f>
        <v/>
      </c>
      <c r="BO104" s="527" t="str">
        <f>IF(BM104&lt;&gt;0,INDEX(Tabla16[],MATCH(BL103&amp;BL104&amp;BM104,Tabla16[Concatenado],0),6),"")</f>
        <v/>
      </c>
      <c r="BP104" s="527" t="str">
        <f>IFERROR(IF(BM104&lt;&gt;0,INDEX(Tabla16[],MATCH(BL103&amp;BL104&amp;BM104,Tabla16[Concatenado],0),IF(BQ$3=TS!$O$2,7,IF(BQ$3=TS!$O$3,8,IF(BQ$3=TS!$O$4,9,"")))),""),"")</f>
        <v/>
      </c>
      <c r="BQ104" s="527" t="str">
        <f>IF(BM104&lt;&gt;0,INDEX(Tabla16[],MATCH(BL103&amp;BL104&amp;BM104,Tabla16[Concatenado],0),10),"")</f>
        <v/>
      </c>
      <c r="BR104" s="527" t="str">
        <f>IF(BM104&lt;&gt;0,INDEX(Tabla18[],MATCH(BL104,Tabla18[Nombre],0),2),"")</f>
        <v/>
      </c>
      <c r="BS104" s="527" t="str">
        <f>IF(BM104&lt;&gt;0,INDEX(Tabla18[],MATCH(BL104,Tabla18[Nombre],0),3),"")</f>
        <v/>
      </c>
      <c r="BT104" s="527" t="str">
        <f>IF(BM104&lt;&gt;0,INDEX(Tabla18[],MATCH(BL104,Tabla18[Nombre],0),4),"")</f>
        <v/>
      </c>
      <c r="BU104" s="527" t="str">
        <f>IF(BM104&lt;&gt;0,INDEX(Tabla18[],MATCH(BL104,Tabla18[Nombre],0),5),"")</f>
        <v/>
      </c>
      <c r="BV104" s="596" t="str">
        <f>IF(BM104&lt;&gt;0,INDEX(Tabla18[],MATCH(BL104,Tabla18[Nombre],0),6),"")</f>
        <v/>
      </c>
      <c r="BW104" s="598"/>
      <c r="BX104" s="527"/>
      <c r="BY104" s="527"/>
      <c r="BZ104" s="527"/>
      <c r="CA104" s="527"/>
      <c r="CB104" s="600"/>
      <c r="CC104" s="608"/>
    </row>
    <row r="105" spans="1:81" x14ac:dyDescent="0.2">
      <c r="A105" s="606" t="s">
        <v>6984</v>
      </c>
      <c r="B105" s="556"/>
      <c r="C105" s="527" t="str">
        <f>IF(B105&lt;&gt;0,INDEX(Tabla16[],MATCH(A103&amp;A105&amp;B105,Tabla16[Concatenado],0),IF(R105="Si",4,5)),"")</f>
        <v/>
      </c>
      <c r="D105" s="527" t="str">
        <f>IF(B105&lt;&gt;0,INDEX(Tabla16[],MATCH(A103&amp;A105&amp;B105,Tabla16[Concatenado],0),6),"")</f>
        <v/>
      </c>
      <c r="E105" s="527" t="str">
        <f>IFERROR(IF(B105&lt;&gt;0,INDEX(Tabla16[],MATCH(A103&amp;A105&amp;B105,Tabla16[Concatenado],0),IF(F$3=TS!$O$2,7,IF(F$3=TS!$O$3,8,IF(F$3=TS!$O$4,9,"")))),""),"")</f>
        <v/>
      </c>
      <c r="F105" s="527" t="str">
        <f>IF(B105&lt;&gt;0,INDEX(Tabla16[],MATCH(A103&amp;A105&amp;B105,Tabla16[Concatenado],0),10),"")</f>
        <v/>
      </c>
      <c r="G105" s="527" t="str">
        <f>IF(B105&lt;&gt;0,INDEX(Tabla18[],MATCH(A105,Tabla18[Nombre],0),2),"")</f>
        <v/>
      </c>
      <c r="H105" s="527" t="str">
        <f>IF(B105&lt;&gt;0,INDEX(Tabla18[],MATCH(A105,Tabla18[Nombre],0),3),"")</f>
        <v/>
      </c>
      <c r="I105" s="527" t="str">
        <f>IF(B105&lt;&gt;0,INDEX(Tabla18[],MATCH(A105,Tabla18[Nombre],0),4),"")</f>
        <v/>
      </c>
      <c r="J105" s="527" t="str">
        <f>IF(B105&lt;&gt;0,INDEX(Tabla18[],MATCH(A105,Tabla18[Nombre],0),5),"")</f>
        <v/>
      </c>
      <c r="K105" s="596" t="str">
        <f>IF(B105&lt;&gt;0,INDEX(Tabla18[],MATCH(A105,Tabla18[Nombre],0),6),"")</f>
        <v/>
      </c>
      <c r="L105" s="598"/>
      <c r="M105" s="527"/>
      <c r="N105" s="527"/>
      <c r="O105" s="527"/>
      <c r="P105" s="527"/>
      <c r="Q105" s="600"/>
      <c r="R105" s="608"/>
      <c r="V105" s="606" t="s">
        <v>6984</v>
      </c>
      <c r="W105" s="556"/>
      <c r="X105" s="527" t="str">
        <f>IF(W105&lt;&gt;0,INDEX(Tabla16[],MATCH(V103&amp;V105&amp;W105,Tabla16[Concatenado],0),IF(AM105="Si",4,5)),"")</f>
        <v/>
      </c>
      <c r="Y105" s="527" t="str">
        <f>IF(W105&lt;&gt;0,INDEX(Tabla16[],MATCH(V103&amp;V105&amp;W105,Tabla16[Concatenado],0),6),"")</f>
        <v/>
      </c>
      <c r="Z105" s="527" t="str">
        <f>IFERROR(IF(W105&lt;&gt;0,INDEX(Tabla16[],MATCH(V103&amp;V105&amp;W105,Tabla16[Concatenado],0),IF(AA$3=TS!$O$2,7,IF(AA$3=TS!$O$3,8,IF(AA$3=TS!$O$4,9,"")))),""),"")</f>
        <v/>
      </c>
      <c r="AA105" s="527" t="str">
        <f>IF(W105&lt;&gt;0,INDEX(Tabla16[],MATCH(V103&amp;V105&amp;W105,Tabla16[Concatenado],0),10),"")</f>
        <v/>
      </c>
      <c r="AB105" s="527" t="str">
        <f>IF(W105&lt;&gt;0,INDEX(Tabla18[],MATCH(V105,Tabla18[Nombre],0),2),"")</f>
        <v/>
      </c>
      <c r="AC105" s="527" t="str">
        <f>IF(W105&lt;&gt;0,INDEX(Tabla18[],MATCH(V105,Tabla18[Nombre],0),3),"")</f>
        <v/>
      </c>
      <c r="AD105" s="527" t="str">
        <f>IF(W105&lt;&gt;0,INDEX(Tabla18[],MATCH(V105,Tabla18[Nombre],0),4),"")</f>
        <v/>
      </c>
      <c r="AE105" s="527" t="str">
        <f>IF(W105&lt;&gt;0,INDEX(Tabla18[],MATCH(V105,Tabla18[Nombre],0),5),"")</f>
        <v/>
      </c>
      <c r="AF105" s="596" t="str">
        <f>IF(W105&lt;&gt;0,INDEX(Tabla18[],MATCH(V105,Tabla18[Nombre],0),6),"")</f>
        <v/>
      </c>
      <c r="AG105" s="598"/>
      <c r="AH105" s="527"/>
      <c r="AI105" s="527"/>
      <c r="AJ105" s="527"/>
      <c r="AK105" s="527"/>
      <c r="AL105" s="600"/>
      <c r="AM105" s="608"/>
      <c r="AQ105" s="606" t="s">
        <v>6984</v>
      </c>
      <c r="AR105" s="556"/>
      <c r="AS105" s="527" t="str">
        <f>IF(AR105&lt;&gt;0,INDEX(Tabla16[],MATCH(AQ103&amp;AQ105&amp;AR105,Tabla16[Concatenado],0),IF(BH105="Si",4,5)),"")</f>
        <v/>
      </c>
      <c r="AT105" s="527" t="str">
        <f>IF(AR105&lt;&gt;0,INDEX(Tabla16[],MATCH(AQ103&amp;AQ105&amp;AR105,Tabla16[Concatenado],0),6),"")</f>
        <v/>
      </c>
      <c r="AU105" s="527" t="str">
        <f>IFERROR(IF(AR105&lt;&gt;0,INDEX(Tabla16[],MATCH(AQ103&amp;AQ105&amp;AR105,Tabla16[Concatenado],0),IF(AV$3=TS!$O$2,7,IF(AV$3=TS!$O$3,8,IF(AV$3=TS!$O$4,9,"")))),""),"")</f>
        <v/>
      </c>
      <c r="AV105" s="527" t="str">
        <f>IF(AR105&lt;&gt;0,INDEX(Tabla16[],MATCH(AQ103&amp;AQ105&amp;AR105,Tabla16[Concatenado],0),10),"")</f>
        <v/>
      </c>
      <c r="AW105" s="527" t="str">
        <f>IF(AR105&lt;&gt;0,INDEX(Tabla18[],MATCH(AQ105,Tabla18[Nombre],0),2),"")</f>
        <v/>
      </c>
      <c r="AX105" s="527" t="str">
        <f>IF(AR105&lt;&gt;0,INDEX(Tabla18[],MATCH(AQ105,Tabla18[Nombre],0),3),"")</f>
        <v/>
      </c>
      <c r="AY105" s="527" t="str">
        <f>IF(AR105&lt;&gt;0,INDEX(Tabla18[],MATCH(AQ105,Tabla18[Nombre],0),4),"")</f>
        <v/>
      </c>
      <c r="AZ105" s="527" t="str">
        <f>IF(AR105&lt;&gt;0,INDEX(Tabla18[],MATCH(AQ105,Tabla18[Nombre],0),5),"")</f>
        <v/>
      </c>
      <c r="BA105" s="596" t="str">
        <f>IF(AR105&lt;&gt;0,INDEX(Tabla18[],MATCH(AQ105,Tabla18[Nombre],0),6),"")</f>
        <v/>
      </c>
      <c r="BB105" s="598"/>
      <c r="BC105" s="527"/>
      <c r="BD105" s="527"/>
      <c r="BE105" s="527"/>
      <c r="BF105" s="527"/>
      <c r="BG105" s="600"/>
      <c r="BH105" s="608"/>
      <c r="BL105" s="606" t="s">
        <v>6984</v>
      </c>
      <c r="BM105" s="556"/>
      <c r="BN105" s="527" t="str">
        <f>IF(BM105&lt;&gt;0,INDEX(Tabla16[],MATCH(BL103&amp;BL105&amp;BM105,Tabla16[Concatenado],0),IF(CC105="Si",4,5)),"")</f>
        <v/>
      </c>
      <c r="BO105" s="527" t="str">
        <f>IF(BM105&lt;&gt;0,INDEX(Tabla16[],MATCH(BL103&amp;BL105&amp;BM105,Tabla16[Concatenado],0),6),"")</f>
        <v/>
      </c>
      <c r="BP105" s="527" t="str">
        <f>IFERROR(IF(BM105&lt;&gt;0,INDEX(Tabla16[],MATCH(BL103&amp;BL105&amp;BM105,Tabla16[Concatenado],0),IF(BQ$3=TS!$O$2,7,IF(BQ$3=TS!$O$3,8,IF(BQ$3=TS!$O$4,9,"")))),""),"")</f>
        <v/>
      </c>
      <c r="BQ105" s="527" t="str">
        <f>IF(BM105&lt;&gt;0,INDEX(Tabla16[],MATCH(BL103&amp;BL105&amp;BM105,Tabla16[Concatenado],0),10),"")</f>
        <v/>
      </c>
      <c r="BR105" s="527" t="str">
        <f>IF(BM105&lt;&gt;0,INDEX(Tabla18[],MATCH(BL105,Tabla18[Nombre],0),2),"")</f>
        <v/>
      </c>
      <c r="BS105" s="527" t="str">
        <f>IF(BM105&lt;&gt;0,INDEX(Tabla18[],MATCH(BL105,Tabla18[Nombre],0),3),"")</f>
        <v/>
      </c>
      <c r="BT105" s="527" t="str">
        <f>IF(BM105&lt;&gt;0,INDEX(Tabla18[],MATCH(BL105,Tabla18[Nombre],0),4),"")</f>
        <v/>
      </c>
      <c r="BU105" s="527" t="str">
        <f>IF(BM105&lt;&gt;0,INDEX(Tabla18[],MATCH(BL105,Tabla18[Nombre],0),5),"")</f>
        <v/>
      </c>
      <c r="BV105" s="596" t="str">
        <f>IF(BM105&lt;&gt;0,INDEX(Tabla18[],MATCH(BL105,Tabla18[Nombre],0),6),"")</f>
        <v/>
      </c>
      <c r="BW105" s="598"/>
      <c r="BX105" s="527"/>
      <c r="BY105" s="527"/>
      <c r="BZ105" s="527"/>
      <c r="CA105" s="527"/>
      <c r="CB105" s="600"/>
      <c r="CC105" s="608"/>
    </row>
    <row r="106" spans="1:81" x14ac:dyDescent="0.2">
      <c r="A106" s="606" t="s">
        <v>6985</v>
      </c>
      <c r="B106" s="556"/>
      <c r="C106" s="527" t="str">
        <f>IF(B106&lt;&gt;0,INDEX(Tabla16[],MATCH(A103&amp;A106&amp;B106,Tabla16[Concatenado],0),IF(R106="Si",4,5)),"")</f>
        <v/>
      </c>
      <c r="D106" s="527" t="str">
        <f>IF(B106&lt;&gt;0,INDEX(Tabla16[],MATCH(A103&amp;A106&amp;B106,Tabla16[Concatenado],0),6),"")</f>
        <v/>
      </c>
      <c r="E106" s="527" t="str">
        <f>IFERROR(IF(B106&lt;&gt;0,INDEX(Tabla16[],MATCH(A103&amp;A106&amp;B106,Tabla16[Concatenado],0),IF(F$3=TS!$O$2,7,IF(F$3=TS!$O$3,8,IF(F$3=TS!$O$4,9,"")))),""),"")</f>
        <v/>
      </c>
      <c r="F106" s="527" t="str">
        <f>IF(B106&lt;&gt;0,INDEX(Tabla16[],MATCH(A103&amp;A106&amp;B106,Tabla16[Concatenado],0),10),"")</f>
        <v/>
      </c>
      <c r="G106" s="527" t="str">
        <f>IF(B106&lt;&gt;0,INDEX(Tabla18[],MATCH(A106,Tabla18[Nombre],0),2),"")</f>
        <v/>
      </c>
      <c r="H106" s="527" t="str">
        <f>IF(B106&lt;&gt;0,INDEX(Tabla18[],MATCH(A106,Tabla18[Nombre],0),3),"")</f>
        <v/>
      </c>
      <c r="I106" s="527" t="str">
        <f>IF(B106&lt;&gt;0,INDEX(Tabla18[],MATCH(A106,Tabla18[Nombre],0),4),"")</f>
        <v/>
      </c>
      <c r="J106" s="527" t="str">
        <f>IF(B106&lt;&gt;0,INDEX(Tabla18[],MATCH(A106,Tabla18[Nombre],0),5),"")</f>
        <v/>
      </c>
      <c r="K106" s="596" t="str">
        <f>IF(B106&lt;&gt;0,INDEX(Tabla18[],MATCH(A106,Tabla18[Nombre],0),6),"")</f>
        <v/>
      </c>
      <c r="L106" s="598"/>
      <c r="M106" s="527"/>
      <c r="N106" s="527"/>
      <c r="O106" s="527"/>
      <c r="P106" s="527"/>
      <c r="Q106" s="600"/>
      <c r="R106" s="608"/>
      <c r="V106" s="606" t="s">
        <v>6985</v>
      </c>
      <c r="W106" s="556"/>
      <c r="X106" s="527" t="str">
        <f>IF(W106&lt;&gt;0,INDEX(Tabla16[],MATCH(V103&amp;V106&amp;W106,Tabla16[Concatenado],0),IF(AM106="Si",4,5)),"")</f>
        <v/>
      </c>
      <c r="Y106" s="527" t="str">
        <f>IF(W106&lt;&gt;0,INDEX(Tabla16[],MATCH(V103&amp;V106&amp;W106,Tabla16[Concatenado],0),6),"")</f>
        <v/>
      </c>
      <c r="Z106" s="527" t="str">
        <f>IFERROR(IF(W106&lt;&gt;0,INDEX(Tabla16[],MATCH(V103&amp;V106&amp;W106,Tabla16[Concatenado],0),IF(AA$3=TS!$O$2,7,IF(AA$3=TS!$O$3,8,IF(AA$3=TS!$O$4,9,"")))),""),"")</f>
        <v/>
      </c>
      <c r="AA106" s="527" t="str">
        <f>IF(W106&lt;&gt;0,INDEX(Tabla16[],MATCH(V103&amp;V106&amp;W106,Tabla16[Concatenado],0),10),"")</f>
        <v/>
      </c>
      <c r="AB106" s="527" t="str">
        <f>IF(W106&lt;&gt;0,INDEX(Tabla18[],MATCH(V106,Tabla18[Nombre],0),2),"")</f>
        <v/>
      </c>
      <c r="AC106" s="527" t="str">
        <f>IF(W106&lt;&gt;0,INDEX(Tabla18[],MATCH(V106,Tabla18[Nombre],0),3),"")</f>
        <v/>
      </c>
      <c r="AD106" s="527" t="str">
        <f>IF(W106&lt;&gt;0,INDEX(Tabla18[],MATCH(V106,Tabla18[Nombre],0),4),"")</f>
        <v/>
      </c>
      <c r="AE106" s="527" t="str">
        <f>IF(W106&lt;&gt;0,INDEX(Tabla18[],MATCH(V106,Tabla18[Nombre],0),5),"")</f>
        <v/>
      </c>
      <c r="AF106" s="596" t="str">
        <f>IF(W106&lt;&gt;0,INDEX(Tabla18[],MATCH(V106,Tabla18[Nombre],0),6),"")</f>
        <v/>
      </c>
      <c r="AG106" s="598"/>
      <c r="AH106" s="527"/>
      <c r="AI106" s="527"/>
      <c r="AJ106" s="527"/>
      <c r="AK106" s="527"/>
      <c r="AL106" s="600"/>
      <c r="AM106" s="608"/>
      <c r="AQ106" s="606" t="s">
        <v>6985</v>
      </c>
      <c r="AR106" s="556"/>
      <c r="AS106" s="527" t="str">
        <f>IF(AR106&lt;&gt;0,INDEX(Tabla16[],MATCH(AQ103&amp;AQ106&amp;AR106,Tabla16[Concatenado],0),IF(BH106="Si",4,5)),"")</f>
        <v/>
      </c>
      <c r="AT106" s="527" t="str">
        <f>IF(AR106&lt;&gt;0,INDEX(Tabla16[],MATCH(AQ103&amp;AQ106&amp;AR106,Tabla16[Concatenado],0),6),"")</f>
        <v/>
      </c>
      <c r="AU106" s="527" t="str">
        <f>IFERROR(IF(AR106&lt;&gt;0,INDEX(Tabla16[],MATCH(AQ103&amp;AQ106&amp;AR106,Tabla16[Concatenado],0),IF(AV$3=TS!$O$2,7,IF(AV$3=TS!$O$3,8,IF(AV$3=TS!$O$4,9,"")))),""),"")</f>
        <v/>
      </c>
      <c r="AV106" s="527" t="str">
        <f>IF(AR106&lt;&gt;0,INDEX(Tabla16[],MATCH(AQ103&amp;AQ106&amp;AR106,Tabla16[Concatenado],0),10),"")</f>
        <v/>
      </c>
      <c r="AW106" s="527" t="str">
        <f>IF(AR106&lt;&gt;0,INDEX(Tabla18[],MATCH(AQ106,Tabla18[Nombre],0),2),"")</f>
        <v/>
      </c>
      <c r="AX106" s="527" t="str">
        <f>IF(AR106&lt;&gt;0,INDEX(Tabla18[],MATCH(AQ106,Tabla18[Nombre],0),3),"")</f>
        <v/>
      </c>
      <c r="AY106" s="527" t="str">
        <f>IF(AR106&lt;&gt;0,INDEX(Tabla18[],MATCH(AQ106,Tabla18[Nombre],0),4),"")</f>
        <v/>
      </c>
      <c r="AZ106" s="527" t="str">
        <f>IF(AR106&lt;&gt;0,INDEX(Tabla18[],MATCH(AQ106,Tabla18[Nombre],0),5),"")</f>
        <v/>
      </c>
      <c r="BA106" s="596" t="str">
        <f>IF(AR106&lt;&gt;0,INDEX(Tabla18[],MATCH(AQ106,Tabla18[Nombre],0),6),"")</f>
        <v/>
      </c>
      <c r="BB106" s="598"/>
      <c r="BC106" s="527"/>
      <c r="BD106" s="527"/>
      <c r="BE106" s="527"/>
      <c r="BF106" s="527"/>
      <c r="BG106" s="600"/>
      <c r="BH106" s="608"/>
      <c r="BL106" s="606" t="s">
        <v>6985</v>
      </c>
      <c r="BM106" s="556"/>
      <c r="BN106" s="527" t="str">
        <f>IF(BM106&lt;&gt;0,INDEX(Tabla16[],MATCH(BL103&amp;BL106&amp;BM106,Tabla16[Concatenado],0),IF(CC106="Si",4,5)),"")</f>
        <v/>
      </c>
      <c r="BO106" s="527" t="str">
        <f>IF(BM106&lt;&gt;0,INDEX(Tabla16[],MATCH(BL103&amp;BL106&amp;BM106,Tabla16[Concatenado],0),6),"")</f>
        <v/>
      </c>
      <c r="BP106" s="527" t="str">
        <f>IFERROR(IF(BM106&lt;&gt;0,INDEX(Tabla16[],MATCH(BL103&amp;BL106&amp;BM106,Tabla16[Concatenado],0),IF(BQ$3=TS!$O$2,7,IF(BQ$3=TS!$O$3,8,IF(BQ$3=TS!$O$4,9,"")))),""),"")</f>
        <v/>
      </c>
      <c r="BQ106" s="527" t="str">
        <f>IF(BM106&lt;&gt;0,INDEX(Tabla16[],MATCH(BL103&amp;BL106&amp;BM106,Tabla16[Concatenado],0),10),"")</f>
        <v/>
      </c>
      <c r="BR106" s="527" t="str">
        <f>IF(BM106&lt;&gt;0,INDEX(Tabla18[],MATCH(BL106,Tabla18[Nombre],0),2),"")</f>
        <v/>
      </c>
      <c r="BS106" s="527" t="str">
        <f>IF(BM106&lt;&gt;0,INDEX(Tabla18[],MATCH(BL106,Tabla18[Nombre],0),3),"")</f>
        <v/>
      </c>
      <c r="BT106" s="527" t="str">
        <f>IF(BM106&lt;&gt;0,INDEX(Tabla18[],MATCH(BL106,Tabla18[Nombre],0),4),"")</f>
        <v/>
      </c>
      <c r="BU106" s="527" t="str">
        <f>IF(BM106&lt;&gt;0,INDEX(Tabla18[],MATCH(BL106,Tabla18[Nombre],0),5),"")</f>
        <v/>
      </c>
      <c r="BV106" s="596" t="str">
        <f>IF(BM106&lt;&gt;0,INDEX(Tabla18[],MATCH(BL106,Tabla18[Nombre],0),6),"")</f>
        <v/>
      </c>
      <c r="BW106" s="598"/>
      <c r="BX106" s="527"/>
      <c r="BY106" s="527"/>
      <c r="BZ106" s="527"/>
      <c r="CA106" s="527"/>
      <c r="CB106" s="600"/>
      <c r="CC106" s="608"/>
    </row>
    <row r="107" spans="1:81" x14ac:dyDescent="0.2">
      <c r="A107" s="606" t="s">
        <v>6986</v>
      </c>
      <c r="B107" s="556"/>
      <c r="C107" s="527" t="str">
        <f>IF(B107&lt;&gt;0,INDEX(Tabla16[],MATCH(A107&amp;B107,Tabla16[Concatenado],0),IF(R107="Si",4,5)),"")</f>
        <v/>
      </c>
      <c r="D107" s="527" t="str">
        <f>IF(B107&lt;&gt;0,INDEX(Tabla16[],MATCH(A107&amp;B107,Tabla16[Concatenado],0),6),"")</f>
        <v/>
      </c>
      <c r="E107" s="527" t="str">
        <f>IFERROR(IF(B107&lt;&gt;0,INDEX(Tabla16[],MATCH(A107&amp;B107,Tabla16[Concatenado],0),IF(F$3=TS!$O$2,7,IF(F$3=TS!$O$3,8,IF(F$3=TS!$O$4,9,"")))),""),"")</f>
        <v/>
      </c>
      <c r="F107" s="527" t="str">
        <f>IF(B107&lt;&gt;0,INDEX(Tabla16[],MATCH(A107&amp;B107,Tabla16[Concatenado],0),10),"")</f>
        <v/>
      </c>
      <c r="G107" s="527" t="str">
        <f>IF(B107&lt;&gt;0,INDEX(Tabla18[],MATCH(A107,Tabla18[Nombre],0),2),"")</f>
        <v/>
      </c>
      <c r="H107" s="527" t="str">
        <f>IF(B107&lt;&gt;0,INDEX(Tabla18[],MATCH(A107,Tabla18[Nombre],0),3),"")</f>
        <v/>
      </c>
      <c r="I107" s="527" t="str">
        <f>IF(B107&lt;&gt;0,INDEX(Tabla18[],MATCH(A107,Tabla18[Nombre],0),4),"")</f>
        <v/>
      </c>
      <c r="J107" s="527" t="str">
        <f>IF(B107&lt;&gt;0,INDEX(Tabla18[],MATCH(A107,Tabla18[Nombre],0),5),"")</f>
        <v/>
      </c>
      <c r="K107" s="596" t="str">
        <f>IF(B107&lt;&gt;0,INDEX(Tabla18[],MATCH(A107,Tabla18[Nombre],0),6),"")</f>
        <v/>
      </c>
      <c r="L107" s="598"/>
      <c r="M107" s="527"/>
      <c r="N107" s="527"/>
      <c r="O107" s="527"/>
      <c r="P107" s="527"/>
      <c r="Q107" s="600"/>
      <c r="R107" s="608"/>
      <c r="V107" s="606" t="s">
        <v>6986</v>
      </c>
      <c r="W107" s="556"/>
      <c r="X107" s="527" t="str">
        <f>IF(W107&lt;&gt;0,INDEX(Tabla16[],MATCH(V107&amp;W107,Tabla16[Concatenado],0),IF(AM107="Si",4,5)),"")</f>
        <v/>
      </c>
      <c r="Y107" s="527" t="str">
        <f>IF(W107&lt;&gt;0,INDEX(Tabla16[],MATCH(V107&amp;W107,Tabla16[Concatenado],0),6),"")</f>
        <v/>
      </c>
      <c r="Z107" s="527" t="str">
        <f>IFERROR(IF(W107&lt;&gt;0,INDEX(Tabla16[],MATCH(V107&amp;W107,Tabla16[Concatenado],0),IF(AA$3=TS!$O$2,7,IF(AA$3=TS!$O$3,8,IF(AA$3=TS!$O$4,9,"")))),""),"")</f>
        <v/>
      </c>
      <c r="AA107" s="527" t="str">
        <f>IF(W107&lt;&gt;0,INDEX(Tabla16[],MATCH(V107&amp;W107,Tabla16[Concatenado],0),10),"")</f>
        <v/>
      </c>
      <c r="AB107" s="527" t="str">
        <f>IF(W107&lt;&gt;0,INDEX(Tabla18[],MATCH(V107,Tabla18[Nombre],0),2),"")</f>
        <v/>
      </c>
      <c r="AC107" s="527" t="str">
        <f>IF(W107&lt;&gt;0,INDEX(Tabla18[],MATCH(V107,Tabla18[Nombre],0),3),"")</f>
        <v/>
      </c>
      <c r="AD107" s="527" t="str">
        <f>IF(W107&lt;&gt;0,INDEX(Tabla18[],MATCH(V107,Tabla18[Nombre],0),4),"")</f>
        <v/>
      </c>
      <c r="AE107" s="527" t="str">
        <f>IF(W107&lt;&gt;0,INDEX(Tabla18[],MATCH(V107,Tabla18[Nombre],0),5),"")</f>
        <v/>
      </c>
      <c r="AF107" s="596" t="str">
        <f>IF(W107&lt;&gt;0,INDEX(Tabla18[],MATCH(V107,Tabla18[Nombre],0),6),"")</f>
        <v/>
      </c>
      <c r="AG107" s="598"/>
      <c r="AH107" s="527"/>
      <c r="AI107" s="527"/>
      <c r="AJ107" s="527"/>
      <c r="AK107" s="527"/>
      <c r="AL107" s="600"/>
      <c r="AM107" s="608"/>
      <c r="AQ107" s="606" t="s">
        <v>6986</v>
      </c>
      <c r="AR107" s="556"/>
      <c r="AS107" s="527" t="str">
        <f>IF(AR107&lt;&gt;0,INDEX(Tabla16[],MATCH(AQ107&amp;AR107,Tabla16[Concatenado],0),IF(BH107="Si",4,5)),"")</f>
        <v/>
      </c>
      <c r="AT107" s="527" t="str">
        <f>IF(AR107&lt;&gt;0,INDEX(Tabla16[],MATCH(AQ107&amp;AR107,Tabla16[Concatenado],0),6),"")</f>
        <v/>
      </c>
      <c r="AU107" s="527" t="str">
        <f>IFERROR(IF(AR107&lt;&gt;0,INDEX(Tabla16[],MATCH(AQ107&amp;AR107,Tabla16[Concatenado],0),IF(AV$3=TS!$O$2,7,IF(AV$3=TS!$O$3,8,IF(AV$3=TS!$O$4,9,"")))),""),"")</f>
        <v/>
      </c>
      <c r="AV107" s="527" t="str">
        <f>IF(AR107&lt;&gt;0,INDEX(Tabla16[],MATCH(AQ107&amp;AR107,Tabla16[Concatenado],0),10),"")</f>
        <v/>
      </c>
      <c r="AW107" s="527" t="str">
        <f>IF(AR107&lt;&gt;0,INDEX(Tabla18[],MATCH(AQ107,Tabla18[Nombre],0),2),"")</f>
        <v/>
      </c>
      <c r="AX107" s="527" t="str">
        <f>IF(AR107&lt;&gt;0,INDEX(Tabla18[],MATCH(AQ107,Tabla18[Nombre],0),3),"")</f>
        <v/>
      </c>
      <c r="AY107" s="527" t="str">
        <f>IF(AR107&lt;&gt;0,INDEX(Tabla18[],MATCH(AQ107,Tabla18[Nombre],0),4),"")</f>
        <v/>
      </c>
      <c r="AZ107" s="527" t="str">
        <f>IF(AR107&lt;&gt;0,INDEX(Tabla18[],MATCH(AQ107,Tabla18[Nombre],0),5),"")</f>
        <v/>
      </c>
      <c r="BA107" s="596" t="str">
        <f>IF(AR107&lt;&gt;0,INDEX(Tabla18[],MATCH(AQ107,Tabla18[Nombre],0),6),"")</f>
        <v/>
      </c>
      <c r="BB107" s="598"/>
      <c r="BC107" s="527"/>
      <c r="BD107" s="527"/>
      <c r="BE107" s="527"/>
      <c r="BF107" s="527"/>
      <c r="BG107" s="600"/>
      <c r="BH107" s="608"/>
      <c r="BL107" s="606" t="s">
        <v>6986</v>
      </c>
      <c r="BM107" s="556"/>
      <c r="BN107" s="527" t="str">
        <f>IF(BM107&lt;&gt;0,INDEX(Tabla16[],MATCH(BL107&amp;BM107,Tabla16[Concatenado],0),IF(CC107="Si",4,5)),"")</f>
        <v/>
      </c>
      <c r="BO107" s="527" t="str">
        <f>IF(BM107&lt;&gt;0,INDEX(Tabla16[],MATCH(BL107&amp;BM107,Tabla16[Concatenado],0),6),"")</f>
        <v/>
      </c>
      <c r="BP107" s="527" t="str">
        <f>IFERROR(IF(BM107&lt;&gt;0,INDEX(Tabla16[],MATCH(BL107&amp;BM107,Tabla16[Concatenado],0),IF(BQ$3=TS!$O$2,7,IF(BQ$3=TS!$O$3,8,IF(BQ$3=TS!$O$4,9,"")))),""),"")</f>
        <v/>
      </c>
      <c r="BQ107" s="527" t="str">
        <f>IF(BM107&lt;&gt;0,INDEX(Tabla16[],MATCH(BL107&amp;BM107,Tabla16[Concatenado],0),10),"")</f>
        <v/>
      </c>
      <c r="BR107" s="527" t="str">
        <f>IF(BM107&lt;&gt;0,INDEX(Tabla18[],MATCH(BL107,Tabla18[Nombre],0),2),"")</f>
        <v/>
      </c>
      <c r="BS107" s="527" t="str">
        <f>IF(BM107&lt;&gt;0,INDEX(Tabla18[],MATCH(BL107,Tabla18[Nombre],0),3),"")</f>
        <v/>
      </c>
      <c r="BT107" s="527" t="str">
        <f>IF(BM107&lt;&gt;0,INDEX(Tabla18[],MATCH(BL107,Tabla18[Nombre],0),4),"")</f>
        <v/>
      </c>
      <c r="BU107" s="527" t="str">
        <f>IF(BM107&lt;&gt;0,INDEX(Tabla18[],MATCH(BL107,Tabla18[Nombre],0),5),"")</f>
        <v/>
      </c>
      <c r="BV107" s="596" t="str">
        <f>IF(BM107&lt;&gt;0,INDEX(Tabla18[],MATCH(BL107,Tabla18[Nombre],0),6),"")</f>
        <v/>
      </c>
      <c r="BW107" s="598"/>
      <c r="BX107" s="527"/>
      <c r="BY107" s="527"/>
      <c r="BZ107" s="527"/>
      <c r="CA107" s="527"/>
      <c r="CB107" s="600"/>
      <c r="CC107" s="608"/>
    </row>
    <row r="108" spans="1:81" x14ac:dyDescent="0.2">
      <c r="A108" s="606" t="s">
        <v>6989</v>
      </c>
      <c r="B108" s="556"/>
      <c r="C108" s="527" t="str">
        <f>IF(B108&lt;&gt;0,INDEX(Tabla16[],MATCH(A107&amp;A108&amp;B108,Tabla16[Concatenado],0),IF(R108="Si",4,5)),"")</f>
        <v/>
      </c>
      <c r="D108" s="527" t="str">
        <f>IF(B108&lt;&gt;0,INDEX(Tabla16[],MATCH(A107&amp;A108&amp;B108,Tabla16[Concatenado],0),6),"")</f>
        <v/>
      </c>
      <c r="E108" s="527" t="str">
        <f>IFERROR(IF(B108&lt;&gt;0,INDEX(Tabla16[],MATCH(A107&amp;A108&amp;B108,Tabla16[Concatenado],0),IF(F$3=TS!$O$2,7,IF(F$3=TS!$O$3,8,IF(F$3=TS!$O$4,9,"")))),""),"")</f>
        <v/>
      </c>
      <c r="F108" s="527" t="str">
        <f>IF(B108&lt;&gt;0,INDEX(Tabla16[],MATCH(A107&amp;A108&amp;B108,Tabla16[Concatenado],0),10),"")</f>
        <v/>
      </c>
      <c r="G108" s="527" t="str">
        <f>IF(B108&lt;&gt;0,INDEX(Tabla18[],MATCH(A108,Tabla18[Nombre],0),2),"")</f>
        <v/>
      </c>
      <c r="H108" s="527" t="str">
        <f>IF(B108&lt;&gt;0,INDEX(Tabla18[],MATCH(A108,Tabla18[Nombre],0),3),"")</f>
        <v/>
      </c>
      <c r="I108" s="527" t="str">
        <f>IF(B108&lt;&gt;0,INDEX(Tabla18[],MATCH(A108,Tabla18[Nombre],0),4),"")</f>
        <v/>
      </c>
      <c r="J108" s="527" t="str">
        <f>IF(B108&lt;&gt;0,INDEX(Tabla18[],MATCH(A108,Tabla18[Nombre],0),5),"")</f>
        <v/>
      </c>
      <c r="K108" s="596" t="str">
        <f>IF(B108&lt;&gt;0,INDEX(Tabla18[],MATCH(A108,Tabla18[Nombre],0),6),"")</f>
        <v/>
      </c>
      <c r="L108" s="598"/>
      <c r="M108" s="527"/>
      <c r="N108" s="527"/>
      <c r="O108" s="527"/>
      <c r="P108" s="527"/>
      <c r="Q108" s="600"/>
      <c r="R108" s="608"/>
      <c r="V108" s="606" t="s">
        <v>6989</v>
      </c>
      <c r="W108" s="556"/>
      <c r="X108" s="527" t="str">
        <f>IF(W108&lt;&gt;0,INDEX(Tabla16[],MATCH(V107&amp;V108&amp;W108,Tabla16[Concatenado],0),IF(AM108="Si",4,5)),"")</f>
        <v/>
      </c>
      <c r="Y108" s="527" t="str">
        <f>IF(W108&lt;&gt;0,INDEX(Tabla16[],MATCH(V107&amp;V108&amp;W108,Tabla16[Concatenado],0),6),"")</f>
        <v/>
      </c>
      <c r="Z108" s="527" t="str">
        <f>IFERROR(IF(W108&lt;&gt;0,INDEX(Tabla16[],MATCH(V107&amp;V108&amp;W108,Tabla16[Concatenado],0),IF(AA$3=TS!$O$2,7,IF(AA$3=TS!$O$3,8,IF(AA$3=TS!$O$4,9,"")))),""),"")</f>
        <v/>
      </c>
      <c r="AA108" s="527" t="str">
        <f>IF(W108&lt;&gt;0,INDEX(Tabla16[],MATCH(V107&amp;V108&amp;W108,Tabla16[Concatenado],0),10),"")</f>
        <v/>
      </c>
      <c r="AB108" s="527" t="str">
        <f>IF(W108&lt;&gt;0,INDEX(Tabla18[],MATCH(V108,Tabla18[Nombre],0),2),"")</f>
        <v/>
      </c>
      <c r="AC108" s="527" t="str">
        <f>IF(W108&lt;&gt;0,INDEX(Tabla18[],MATCH(V108,Tabla18[Nombre],0),3),"")</f>
        <v/>
      </c>
      <c r="AD108" s="527" t="str">
        <f>IF(W108&lt;&gt;0,INDEX(Tabla18[],MATCH(V108,Tabla18[Nombre],0),4),"")</f>
        <v/>
      </c>
      <c r="AE108" s="527" t="str">
        <f>IF(W108&lt;&gt;0,INDEX(Tabla18[],MATCH(V108,Tabla18[Nombre],0),5),"")</f>
        <v/>
      </c>
      <c r="AF108" s="596" t="str">
        <f>IF(W108&lt;&gt;0,INDEX(Tabla18[],MATCH(V108,Tabla18[Nombre],0),6),"")</f>
        <v/>
      </c>
      <c r="AG108" s="598"/>
      <c r="AH108" s="527"/>
      <c r="AI108" s="527"/>
      <c r="AJ108" s="527"/>
      <c r="AK108" s="527"/>
      <c r="AL108" s="600"/>
      <c r="AM108" s="608"/>
      <c r="AQ108" s="606" t="s">
        <v>6989</v>
      </c>
      <c r="AR108" s="556"/>
      <c r="AS108" s="527" t="str">
        <f>IF(AR108&lt;&gt;0,INDEX(Tabla16[],MATCH(AQ107&amp;AQ108&amp;AR108,Tabla16[Concatenado],0),IF(BH108="Si",4,5)),"")</f>
        <v/>
      </c>
      <c r="AT108" s="527" t="str">
        <f>IF(AR108&lt;&gt;0,INDEX(Tabla16[],MATCH(AQ107&amp;AQ108&amp;AR108,Tabla16[Concatenado],0),6),"")</f>
        <v/>
      </c>
      <c r="AU108" s="527" t="str">
        <f>IFERROR(IF(AR108&lt;&gt;0,INDEX(Tabla16[],MATCH(AQ107&amp;AQ108&amp;AR108,Tabla16[Concatenado],0),IF(AV$3=TS!$O$2,7,IF(AV$3=TS!$O$3,8,IF(AV$3=TS!$O$4,9,"")))),""),"")</f>
        <v/>
      </c>
      <c r="AV108" s="527" t="str">
        <f>IF(AR108&lt;&gt;0,INDEX(Tabla16[],MATCH(AQ107&amp;AQ108&amp;AR108,Tabla16[Concatenado],0),10),"")</f>
        <v/>
      </c>
      <c r="AW108" s="527" t="str">
        <f>IF(AR108&lt;&gt;0,INDEX(Tabla18[],MATCH(AQ108,Tabla18[Nombre],0),2),"")</f>
        <v/>
      </c>
      <c r="AX108" s="527" t="str">
        <f>IF(AR108&lt;&gt;0,INDEX(Tabla18[],MATCH(AQ108,Tabla18[Nombre],0),3),"")</f>
        <v/>
      </c>
      <c r="AY108" s="527" t="str">
        <f>IF(AR108&lt;&gt;0,INDEX(Tabla18[],MATCH(AQ108,Tabla18[Nombre],0),4),"")</f>
        <v/>
      </c>
      <c r="AZ108" s="527" t="str">
        <f>IF(AR108&lt;&gt;0,INDEX(Tabla18[],MATCH(AQ108,Tabla18[Nombre],0),5),"")</f>
        <v/>
      </c>
      <c r="BA108" s="596" t="str">
        <f>IF(AR108&lt;&gt;0,INDEX(Tabla18[],MATCH(AQ108,Tabla18[Nombre],0),6),"")</f>
        <v/>
      </c>
      <c r="BB108" s="598"/>
      <c r="BC108" s="527"/>
      <c r="BD108" s="527"/>
      <c r="BE108" s="527"/>
      <c r="BF108" s="527"/>
      <c r="BG108" s="600"/>
      <c r="BH108" s="608"/>
      <c r="BL108" s="606" t="s">
        <v>6989</v>
      </c>
      <c r="BM108" s="556"/>
      <c r="BN108" s="527" t="str">
        <f>IF(BM108&lt;&gt;0,INDEX(Tabla16[],MATCH(BL107&amp;BL108&amp;BM108,Tabla16[Concatenado],0),IF(CC108="Si",4,5)),"")</f>
        <v/>
      </c>
      <c r="BO108" s="527" t="str">
        <f>IF(BM108&lt;&gt;0,INDEX(Tabla16[],MATCH(BL107&amp;BL108&amp;BM108,Tabla16[Concatenado],0),6),"")</f>
        <v/>
      </c>
      <c r="BP108" s="527" t="str">
        <f>IFERROR(IF(BM108&lt;&gt;0,INDEX(Tabla16[],MATCH(BL107&amp;BL108&amp;BM108,Tabla16[Concatenado],0),IF(BQ$3=TS!$O$2,7,IF(BQ$3=TS!$O$3,8,IF(BQ$3=TS!$O$4,9,"")))),""),"")</f>
        <v/>
      </c>
      <c r="BQ108" s="527" t="str">
        <f>IF(BM108&lt;&gt;0,INDEX(Tabla16[],MATCH(BL107&amp;BL108&amp;BM108,Tabla16[Concatenado],0),10),"")</f>
        <v/>
      </c>
      <c r="BR108" s="527" t="str">
        <f>IF(BM108&lt;&gt;0,INDEX(Tabla18[],MATCH(BL108,Tabla18[Nombre],0),2),"")</f>
        <v/>
      </c>
      <c r="BS108" s="527" t="str">
        <f>IF(BM108&lt;&gt;0,INDEX(Tabla18[],MATCH(BL108,Tabla18[Nombre],0),3),"")</f>
        <v/>
      </c>
      <c r="BT108" s="527" t="str">
        <f>IF(BM108&lt;&gt;0,INDEX(Tabla18[],MATCH(BL108,Tabla18[Nombre],0),4),"")</f>
        <v/>
      </c>
      <c r="BU108" s="527" t="str">
        <f>IF(BM108&lt;&gt;0,INDEX(Tabla18[],MATCH(BL108,Tabla18[Nombre],0),5),"")</f>
        <v/>
      </c>
      <c r="BV108" s="596" t="str">
        <f>IF(BM108&lt;&gt;0,INDEX(Tabla18[],MATCH(BL108,Tabla18[Nombre],0),6),"")</f>
        <v/>
      </c>
      <c r="BW108" s="598"/>
      <c r="BX108" s="527"/>
      <c r="BY108" s="527"/>
      <c r="BZ108" s="527"/>
      <c r="CA108" s="527"/>
      <c r="CB108" s="600"/>
      <c r="CC108" s="608"/>
    </row>
    <row r="109" spans="1:81" x14ac:dyDescent="0.2">
      <c r="A109" s="606" t="s">
        <v>6987</v>
      </c>
      <c r="B109" s="556"/>
      <c r="C109" s="527" t="str">
        <f>IF(B109&lt;&gt;0,INDEX(Tabla16[],MATCH(A109&amp;B109,Tabla16[Concatenado],0),IF(R109="Si",4,5)),"")</f>
        <v/>
      </c>
      <c r="D109" s="527" t="str">
        <f>IF(B109&lt;&gt;0,INDEX(Tabla16[],MATCH(A109&amp;B109,Tabla16[Concatenado],0),6),"")</f>
        <v/>
      </c>
      <c r="E109" s="527" t="str">
        <f>IFERROR(IF(B109&lt;&gt;0,INDEX(Tabla16[],MATCH(A109&amp;B109,Tabla16[Concatenado],0),IF(F$3=TS!$O$2,7,IF(F$3=TS!$O$3,8,IF(F$3=TS!$O$4,9,"")))),""),"")</f>
        <v/>
      </c>
      <c r="F109" s="527" t="str">
        <f>IF(B109&lt;&gt;0,INDEX(Tabla16[],MATCH(A109&amp;B109,Tabla16[Concatenado],0),10),"")</f>
        <v/>
      </c>
      <c r="G109" s="527" t="str">
        <f>IF(B109&lt;&gt;0,INDEX(Tabla18[],MATCH(A109,Tabla18[Nombre],0),2),"")</f>
        <v/>
      </c>
      <c r="H109" s="527" t="str">
        <f>IF(B109&lt;&gt;0,INDEX(Tabla18[],MATCH(A109,Tabla18[Nombre],0),3),"")</f>
        <v/>
      </c>
      <c r="I109" s="527" t="str">
        <f>IF(B109&lt;&gt;0,INDEX(Tabla18[],MATCH(A109,Tabla18[Nombre],0),4),"")</f>
        <v/>
      </c>
      <c r="J109" s="527" t="str">
        <f>IF(B109&lt;&gt;0,INDEX(Tabla18[],MATCH(A109,Tabla18[Nombre],0),5),"")</f>
        <v/>
      </c>
      <c r="K109" s="596" t="str">
        <f>IF(B109&lt;&gt;0,INDEX(Tabla18[],MATCH(A109,Tabla18[Nombre],0),6),"")</f>
        <v/>
      </c>
      <c r="L109" s="598"/>
      <c r="M109" s="527"/>
      <c r="N109" s="527"/>
      <c r="O109" s="527"/>
      <c r="P109" s="527"/>
      <c r="Q109" s="600"/>
      <c r="R109" s="608"/>
      <c r="V109" s="606" t="s">
        <v>6987</v>
      </c>
      <c r="W109" s="556"/>
      <c r="X109" s="527" t="str">
        <f>IF(W109&lt;&gt;0,INDEX(Tabla16[],MATCH(V109&amp;W109,Tabla16[Concatenado],0),IF(AM109="Si",4,5)),"")</f>
        <v/>
      </c>
      <c r="Y109" s="527" t="str">
        <f>IF(W109&lt;&gt;0,INDEX(Tabla16[],MATCH(V109&amp;W109,Tabla16[Concatenado],0),6),"")</f>
        <v/>
      </c>
      <c r="Z109" s="527" t="str">
        <f>IFERROR(IF(W109&lt;&gt;0,INDEX(Tabla16[],MATCH(V109&amp;W109,Tabla16[Concatenado],0),IF(AA$3=TS!$O$2,7,IF(AA$3=TS!$O$3,8,IF(AA$3=TS!$O$4,9,"")))),""),"")</f>
        <v/>
      </c>
      <c r="AA109" s="527" t="str">
        <f>IF(W109&lt;&gt;0,INDEX(Tabla16[],MATCH(V109&amp;W109,Tabla16[Concatenado],0),10),"")</f>
        <v/>
      </c>
      <c r="AB109" s="527" t="str">
        <f>IF(W109&lt;&gt;0,INDEX(Tabla18[],MATCH(V109,Tabla18[Nombre],0),2),"")</f>
        <v/>
      </c>
      <c r="AC109" s="527" t="str">
        <f>IF(W109&lt;&gt;0,INDEX(Tabla18[],MATCH(V109,Tabla18[Nombre],0),3),"")</f>
        <v/>
      </c>
      <c r="AD109" s="527" t="str">
        <f>IF(W109&lt;&gt;0,INDEX(Tabla18[],MATCH(V109,Tabla18[Nombre],0),4),"")</f>
        <v/>
      </c>
      <c r="AE109" s="527" t="str">
        <f>IF(W109&lt;&gt;0,INDEX(Tabla18[],MATCH(V109,Tabla18[Nombre],0),5),"")</f>
        <v/>
      </c>
      <c r="AF109" s="596" t="str">
        <f>IF(W109&lt;&gt;0,INDEX(Tabla18[],MATCH(V109,Tabla18[Nombre],0),6),"")</f>
        <v/>
      </c>
      <c r="AG109" s="598"/>
      <c r="AH109" s="527"/>
      <c r="AI109" s="527"/>
      <c r="AJ109" s="527"/>
      <c r="AK109" s="527"/>
      <c r="AL109" s="600"/>
      <c r="AM109" s="608"/>
      <c r="AQ109" s="606" t="s">
        <v>6987</v>
      </c>
      <c r="AR109" s="556"/>
      <c r="AS109" s="527" t="str">
        <f>IF(AR109&lt;&gt;0,INDEX(Tabla16[],MATCH(AQ109&amp;AR109,Tabla16[Concatenado],0),IF(BH109="Si",4,5)),"")</f>
        <v/>
      </c>
      <c r="AT109" s="527" t="str">
        <f>IF(AR109&lt;&gt;0,INDEX(Tabla16[],MATCH(AQ109&amp;AR109,Tabla16[Concatenado],0),6),"")</f>
        <v/>
      </c>
      <c r="AU109" s="527" t="str">
        <f>IFERROR(IF(AR109&lt;&gt;0,INDEX(Tabla16[],MATCH(AQ109&amp;AR109,Tabla16[Concatenado],0),IF(AV$3=TS!$O$2,7,IF(AV$3=TS!$O$3,8,IF(AV$3=TS!$O$4,9,"")))),""),"")</f>
        <v/>
      </c>
      <c r="AV109" s="527" t="str">
        <f>IF(AR109&lt;&gt;0,INDEX(Tabla16[],MATCH(AQ109&amp;AR109,Tabla16[Concatenado],0),10),"")</f>
        <v/>
      </c>
      <c r="AW109" s="527" t="str">
        <f>IF(AR109&lt;&gt;0,INDEX(Tabla18[],MATCH(AQ109,Tabla18[Nombre],0),2),"")</f>
        <v/>
      </c>
      <c r="AX109" s="527" t="str">
        <f>IF(AR109&lt;&gt;0,INDEX(Tabla18[],MATCH(AQ109,Tabla18[Nombre],0),3),"")</f>
        <v/>
      </c>
      <c r="AY109" s="527" t="str">
        <f>IF(AR109&lt;&gt;0,INDEX(Tabla18[],MATCH(AQ109,Tabla18[Nombre],0),4),"")</f>
        <v/>
      </c>
      <c r="AZ109" s="527" t="str">
        <f>IF(AR109&lt;&gt;0,INDEX(Tabla18[],MATCH(AQ109,Tabla18[Nombre],0),5),"")</f>
        <v/>
      </c>
      <c r="BA109" s="596" t="str">
        <f>IF(AR109&lt;&gt;0,INDEX(Tabla18[],MATCH(AQ109,Tabla18[Nombre],0),6),"")</f>
        <v/>
      </c>
      <c r="BB109" s="598"/>
      <c r="BC109" s="527"/>
      <c r="BD109" s="527"/>
      <c r="BE109" s="527"/>
      <c r="BF109" s="527"/>
      <c r="BG109" s="600"/>
      <c r="BH109" s="608"/>
      <c r="BL109" s="606" t="s">
        <v>6987</v>
      </c>
      <c r="BM109" s="556"/>
      <c r="BN109" s="527" t="str">
        <f>IF(BM109&lt;&gt;0,INDEX(Tabla16[],MATCH(BL109&amp;BM109,Tabla16[Concatenado],0),IF(CC109="Si",4,5)),"")</f>
        <v/>
      </c>
      <c r="BO109" s="527" t="str">
        <f>IF(BM109&lt;&gt;0,INDEX(Tabla16[],MATCH(BL109&amp;BM109,Tabla16[Concatenado],0),6),"")</f>
        <v/>
      </c>
      <c r="BP109" s="527" t="str">
        <f>IFERROR(IF(BM109&lt;&gt;0,INDEX(Tabla16[],MATCH(BL109&amp;BM109,Tabla16[Concatenado],0),IF(BQ$3=TS!$O$2,7,IF(BQ$3=TS!$O$3,8,IF(BQ$3=TS!$O$4,9,"")))),""),"")</f>
        <v/>
      </c>
      <c r="BQ109" s="527" t="str">
        <f>IF(BM109&lt;&gt;0,INDEX(Tabla16[],MATCH(BL109&amp;BM109,Tabla16[Concatenado],0),10),"")</f>
        <v/>
      </c>
      <c r="BR109" s="527" t="str">
        <f>IF(BM109&lt;&gt;0,INDEX(Tabla18[],MATCH(BL109,Tabla18[Nombre],0),2),"")</f>
        <v/>
      </c>
      <c r="BS109" s="527" t="str">
        <f>IF(BM109&lt;&gt;0,INDEX(Tabla18[],MATCH(BL109,Tabla18[Nombre],0),3),"")</f>
        <v/>
      </c>
      <c r="BT109" s="527" t="str">
        <f>IF(BM109&lt;&gt;0,INDEX(Tabla18[],MATCH(BL109,Tabla18[Nombre],0),4),"")</f>
        <v/>
      </c>
      <c r="BU109" s="527" t="str">
        <f>IF(BM109&lt;&gt;0,INDEX(Tabla18[],MATCH(BL109,Tabla18[Nombre],0),5),"")</f>
        <v/>
      </c>
      <c r="BV109" s="596" t="str">
        <f>IF(BM109&lt;&gt;0,INDEX(Tabla18[],MATCH(BL109,Tabla18[Nombre],0),6),"")</f>
        <v/>
      </c>
      <c r="BW109" s="598"/>
      <c r="BX109" s="527"/>
      <c r="BY109" s="527"/>
      <c r="BZ109" s="527"/>
      <c r="CA109" s="527"/>
      <c r="CB109" s="600"/>
      <c r="CC109" s="608"/>
    </row>
    <row r="110" spans="1:81" x14ac:dyDescent="0.2">
      <c r="A110" s="606" t="s">
        <v>6988</v>
      </c>
      <c r="B110" s="556"/>
      <c r="C110" s="527" t="str">
        <f>IF(B110&lt;&gt;0,INDEX(Tabla16[],MATCH(A109&amp;A110&amp;B110,Tabla16[Concatenado],0),IF(R110="Si",4,5)),"")</f>
        <v/>
      </c>
      <c r="D110" s="527" t="str">
        <f>IF(B110&lt;&gt;0,INDEX(Tabla16[],MATCH(A109&amp;A110&amp;B110,Tabla16[Concatenado],0),6),"")</f>
        <v/>
      </c>
      <c r="E110" s="527" t="str">
        <f>IFERROR(IF(B110&lt;&gt;0,INDEX(Tabla16[],MATCH(A109&amp;A110&amp;B110,Tabla16[Concatenado],0),IF(F$3=TS!$O$2,7,IF(F$3=TS!$O$3,8,IF(F$3=TS!$O$4,9,"")))),""),"")</f>
        <v/>
      </c>
      <c r="F110" s="527" t="str">
        <f>IF(B110&lt;&gt;0,INDEX(Tabla16[],MATCH(A109&amp;A110&amp;B110,Tabla16[Concatenado],0),10),"")</f>
        <v/>
      </c>
      <c r="G110" s="527" t="str">
        <f>IF(B110&lt;&gt;0,INDEX(Tabla18[],MATCH(A110,Tabla18[Nombre],0),2),"")</f>
        <v/>
      </c>
      <c r="H110" s="527" t="str">
        <f>IF(B110&lt;&gt;0,INDEX(Tabla18[],MATCH(A110,Tabla18[Nombre],0),3),"")</f>
        <v/>
      </c>
      <c r="I110" s="527" t="str">
        <f>IF(B110&lt;&gt;0,INDEX(Tabla18[],MATCH(A110,Tabla18[Nombre],0),4),"")</f>
        <v/>
      </c>
      <c r="J110" s="527" t="str">
        <f>IF(B110&lt;&gt;0,INDEX(Tabla18[],MATCH(A110,Tabla18[Nombre],0),5),"")</f>
        <v/>
      </c>
      <c r="K110" s="596" t="str">
        <f>IF(B110&lt;&gt;0,INDEX(Tabla18[],MATCH(A110,Tabla18[Nombre],0),6),"")</f>
        <v/>
      </c>
      <c r="L110" s="598"/>
      <c r="M110" s="527"/>
      <c r="N110" s="527"/>
      <c r="O110" s="527"/>
      <c r="P110" s="527"/>
      <c r="Q110" s="600"/>
      <c r="R110" s="608"/>
      <c r="V110" s="606" t="s">
        <v>6988</v>
      </c>
      <c r="W110" s="556"/>
      <c r="X110" s="527" t="str">
        <f>IF(W110&lt;&gt;0,INDEX(Tabla16[],MATCH(V109&amp;V110&amp;W110,Tabla16[Concatenado],0),IF(AM110="Si",4,5)),"")</f>
        <v/>
      </c>
      <c r="Y110" s="527" t="str">
        <f>IF(W110&lt;&gt;0,INDEX(Tabla16[],MATCH(V109&amp;V110&amp;W110,Tabla16[Concatenado],0),6),"")</f>
        <v/>
      </c>
      <c r="Z110" s="527" t="str">
        <f>IFERROR(IF(W110&lt;&gt;0,INDEX(Tabla16[],MATCH(V109&amp;V110&amp;W110,Tabla16[Concatenado],0),IF(AA$3=TS!$O$2,7,IF(AA$3=TS!$O$3,8,IF(AA$3=TS!$O$4,9,"")))),""),"")</f>
        <v/>
      </c>
      <c r="AA110" s="527" t="str">
        <f>IF(W110&lt;&gt;0,INDEX(Tabla16[],MATCH(V109&amp;V110&amp;W110,Tabla16[Concatenado],0),10),"")</f>
        <v/>
      </c>
      <c r="AB110" s="527" t="str">
        <f>IF(W110&lt;&gt;0,INDEX(Tabla18[],MATCH(V110,Tabla18[Nombre],0),2),"")</f>
        <v/>
      </c>
      <c r="AC110" s="527" t="str">
        <f>IF(W110&lt;&gt;0,INDEX(Tabla18[],MATCH(V110,Tabla18[Nombre],0),3),"")</f>
        <v/>
      </c>
      <c r="AD110" s="527" t="str">
        <f>IF(W110&lt;&gt;0,INDEX(Tabla18[],MATCH(V110,Tabla18[Nombre],0),4),"")</f>
        <v/>
      </c>
      <c r="AE110" s="527" t="str">
        <f>IF(W110&lt;&gt;0,INDEX(Tabla18[],MATCH(V110,Tabla18[Nombre],0),5),"")</f>
        <v/>
      </c>
      <c r="AF110" s="596" t="str">
        <f>IF(W110&lt;&gt;0,INDEX(Tabla18[],MATCH(V110,Tabla18[Nombre],0),6),"")</f>
        <v/>
      </c>
      <c r="AG110" s="598"/>
      <c r="AH110" s="527"/>
      <c r="AI110" s="527"/>
      <c r="AJ110" s="527"/>
      <c r="AK110" s="527"/>
      <c r="AL110" s="600"/>
      <c r="AM110" s="608"/>
      <c r="AQ110" s="606" t="s">
        <v>6988</v>
      </c>
      <c r="AR110" s="556"/>
      <c r="AS110" s="527" t="str">
        <f>IF(AR110&lt;&gt;0,INDEX(Tabla16[],MATCH(AQ109&amp;AQ110&amp;AR110,Tabla16[Concatenado],0),IF(BH110="Si",4,5)),"")</f>
        <v/>
      </c>
      <c r="AT110" s="527" t="str">
        <f>IF(AR110&lt;&gt;0,INDEX(Tabla16[],MATCH(AQ109&amp;AQ110&amp;AR110,Tabla16[Concatenado],0),6),"")</f>
        <v/>
      </c>
      <c r="AU110" s="527" t="str">
        <f>IFERROR(IF(AR110&lt;&gt;0,INDEX(Tabla16[],MATCH(AQ109&amp;AQ110&amp;AR110,Tabla16[Concatenado],0),IF(AV$3=TS!$O$2,7,IF(AV$3=TS!$O$3,8,IF(AV$3=TS!$O$4,9,"")))),""),"")</f>
        <v/>
      </c>
      <c r="AV110" s="527" t="str">
        <f>IF(AR110&lt;&gt;0,INDEX(Tabla16[],MATCH(AQ109&amp;AQ110&amp;AR110,Tabla16[Concatenado],0),10),"")</f>
        <v/>
      </c>
      <c r="AW110" s="527" t="str">
        <f>IF(AR110&lt;&gt;0,INDEX(Tabla18[],MATCH(AQ110,Tabla18[Nombre],0),2),"")</f>
        <v/>
      </c>
      <c r="AX110" s="527" t="str">
        <f>IF(AR110&lt;&gt;0,INDEX(Tabla18[],MATCH(AQ110,Tabla18[Nombre],0),3),"")</f>
        <v/>
      </c>
      <c r="AY110" s="527" t="str">
        <f>IF(AR110&lt;&gt;0,INDEX(Tabla18[],MATCH(AQ110,Tabla18[Nombre],0),4),"")</f>
        <v/>
      </c>
      <c r="AZ110" s="527" t="str">
        <f>IF(AR110&lt;&gt;0,INDEX(Tabla18[],MATCH(AQ110,Tabla18[Nombre],0),5),"")</f>
        <v/>
      </c>
      <c r="BA110" s="596" t="str">
        <f>IF(AR110&lt;&gt;0,INDEX(Tabla18[],MATCH(AQ110,Tabla18[Nombre],0),6),"")</f>
        <v/>
      </c>
      <c r="BB110" s="598"/>
      <c r="BC110" s="527"/>
      <c r="BD110" s="527"/>
      <c r="BE110" s="527"/>
      <c r="BF110" s="527"/>
      <c r="BG110" s="600"/>
      <c r="BH110" s="608"/>
      <c r="BL110" s="606" t="s">
        <v>6988</v>
      </c>
      <c r="BM110" s="556"/>
      <c r="BN110" s="527" t="str">
        <f>IF(BM110&lt;&gt;0,INDEX(Tabla16[],MATCH(BL109&amp;BL110&amp;BM110,Tabla16[Concatenado],0),IF(CC110="Si",4,5)),"")</f>
        <v/>
      </c>
      <c r="BO110" s="527" t="str">
        <f>IF(BM110&lt;&gt;0,INDEX(Tabla16[],MATCH(BL109&amp;BL110&amp;BM110,Tabla16[Concatenado],0),6),"")</f>
        <v/>
      </c>
      <c r="BP110" s="527" t="str">
        <f>IFERROR(IF(BM110&lt;&gt;0,INDEX(Tabla16[],MATCH(BL109&amp;BL110&amp;BM110,Tabla16[Concatenado],0),IF(BQ$3=TS!$O$2,7,IF(BQ$3=TS!$O$3,8,IF(BQ$3=TS!$O$4,9,"")))),""),"")</f>
        <v/>
      </c>
      <c r="BQ110" s="527" t="str">
        <f>IF(BM110&lt;&gt;0,INDEX(Tabla16[],MATCH(BL109&amp;BL110&amp;BM110,Tabla16[Concatenado],0),10),"")</f>
        <v/>
      </c>
      <c r="BR110" s="527" t="str">
        <f>IF(BM110&lt;&gt;0,INDEX(Tabla18[],MATCH(BL110,Tabla18[Nombre],0),2),"")</f>
        <v/>
      </c>
      <c r="BS110" s="527" t="str">
        <f>IF(BM110&lt;&gt;0,INDEX(Tabla18[],MATCH(BL110,Tabla18[Nombre],0),3),"")</f>
        <v/>
      </c>
      <c r="BT110" s="527" t="str">
        <f>IF(BM110&lt;&gt;0,INDEX(Tabla18[],MATCH(BL110,Tabla18[Nombre],0),4),"")</f>
        <v/>
      </c>
      <c r="BU110" s="527" t="str">
        <f>IF(BM110&lt;&gt;0,INDEX(Tabla18[],MATCH(BL110,Tabla18[Nombre],0),5),"")</f>
        <v/>
      </c>
      <c r="BV110" s="596" t="str">
        <f>IF(BM110&lt;&gt;0,INDEX(Tabla18[],MATCH(BL110,Tabla18[Nombre],0),6),"")</f>
        <v/>
      </c>
      <c r="BW110" s="598"/>
      <c r="BX110" s="527"/>
      <c r="BY110" s="527"/>
      <c r="BZ110" s="527"/>
      <c r="CA110" s="527"/>
      <c r="CB110" s="600"/>
      <c r="CC110" s="608"/>
    </row>
    <row r="111" spans="1:81" x14ac:dyDescent="0.2">
      <c r="A111" s="606" t="s">
        <v>6990</v>
      </c>
      <c r="B111" s="556"/>
      <c r="C111" s="527" t="str">
        <f>IF(B111&lt;&gt;0,INDEX(Tabla16[],MATCH(A111&amp;B111,Tabla16[Concatenado],0),IF(R111="Si",4,5)),"")</f>
        <v/>
      </c>
      <c r="D111" s="527" t="str">
        <f>IF(B111&lt;&gt;0,INDEX(Tabla16[],MATCH(A111&amp;B111,Tabla16[Concatenado],0),6),"")</f>
        <v/>
      </c>
      <c r="E111" s="527" t="str">
        <f>IFERROR(IF(B111&lt;&gt;0,INDEX(Tabla16[],MATCH(A111&amp;B111,Tabla16[Concatenado],0),IF(F$3=TS!$O$2,7,IF(F$3=TS!$O$3,8,IF(F$3=TS!$O$4,9,"")))),""),"")</f>
        <v/>
      </c>
      <c r="F111" s="527" t="str">
        <f>IF(B111&lt;&gt;0,INDEX(Tabla16[],MATCH(A111&amp;B111,Tabla16[Concatenado],0),10),"")</f>
        <v/>
      </c>
      <c r="G111" s="527" t="str">
        <f>IF(B111&lt;&gt;0,INDEX(Tabla18[],MATCH(A111,Tabla18[Nombre],0),2),"")</f>
        <v/>
      </c>
      <c r="H111" s="527" t="str">
        <f>IF(B111&lt;&gt;0,INDEX(Tabla18[],MATCH(A111,Tabla18[Nombre],0),3),"")</f>
        <v/>
      </c>
      <c r="I111" s="527" t="str">
        <f>IF(B111&lt;&gt;0,INDEX(Tabla18[],MATCH(A111,Tabla18[Nombre],0),4),"")</f>
        <v/>
      </c>
      <c r="J111" s="527" t="str">
        <f>IF(B111&lt;&gt;0,INDEX(Tabla18[],MATCH(A111,Tabla18[Nombre],0),5),"")</f>
        <v/>
      </c>
      <c r="K111" s="596" t="str">
        <f>IF(B111&lt;&gt;0,INDEX(Tabla18[],MATCH(A111,Tabla18[Nombre],0),6),"")</f>
        <v/>
      </c>
      <c r="L111" s="598"/>
      <c r="M111" s="527"/>
      <c r="N111" s="527"/>
      <c r="O111" s="527"/>
      <c r="P111" s="527"/>
      <c r="Q111" s="600"/>
      <c r="R111" s="608"/>
      <c r="V111" s="606" t="s">
        <v>6990</v>
      </c>
      <c r="W111" s="556"/>
      <c r="X111" s="527" t="str">
        <f>IF(W111&lt;&gt;0,INDEX(Tabla16[],MATCH(V111&amp;W111,Tabla16[Concatenado],0),IF(AM111="Si",4,5)),"")</f>
        <v/>
      </c>
      <c r="Y111" s="527" t="str">
        <f>IF(W111&lt;&gt;0,INDEX(Tabla16[],MATCH(V111&amp;W111,Tabla16[Concatenado],0),6),"")</f>
        <v/>
      </c>
      <c r="Z111" s="527" t="str">
        <f>IFERROR(IF(W111&lt;&gt;0,INDEX(Tabla16[],MATCH(V111&amp;W111,Tabla16[Concatenado],0),IF(AA$3=TS!$O$2,7,IF(AA$3=TS!$O$3,8,IF(AA$3=TS!$O$4,9,"")))),""),"")</f>
        <v/>
      </c>
      <c r="AA111" s="527" t="str">
        <f>IF(W111&lt;&gt;0,INDEX(Tabla16[],MATCH(V111&amp;W111,Tabla16[Concatenado],0),10),"")</f>
        <v/>
      </c>
      <c r="AB111" s="527" t="str">
        <f>IF(W111&lt;&gt;0,INDEX(Tabla18[],MATCH(V111,Tabla18[Nombre],0),2),"")</f>
        <v/>
      </c>
      <c r="AC111" s="527" t="str">
        <f>IF(W111&lt;&gt;0,INDEX(Tabla18[],MATCH(V111,Tabla18[Nombre],0),3),"")</f>
        <v/>
      </c>
      <c r="AD111" s="527" t="str">
        <f>IF(W111&lt;&gt;0,INDEX(Tabla18[],MATCH(V111,Tabla18[Nombre],0),4),"")</f>
        <v/>
      </c>
      <c r="AE111" s="527" t="str">
        <f>IF(W111&lt;&gt;0,INDEX(Tabla18[],MATCH(V111,Tabla18[Nombre],0),5),"")</f>
        <v/>
      </c>
      <c r="AF111" s="596" t="str">
        <f>IF(W111&lt;&gt;0,INDEX(Tabla18[],MATCH(V111,Tabla18[Nombre],0),6),"")</f>
        <v/>
      </c>
      <c r="AG111" s="598"/>
      <c r="AH111" s="527"/>
      <c r="AI111" s="527"/>
      <c r="AJ111" s="527"/>
      <c r="AK111" s="527"/>
      <c r="AL111" s="600"/>
      <c r="AM111" s="608"/>
      <c r="AQ111" s="606" t="s">
        <v>6990</v>
      </c>
      <c r="AR111" s="556"/>
      <c r="AS111" s="527" t="str">
        <f>IF(AR111&lt;&gt;0,INDEX(Tabla16[],MATCH(AQ111&amp;AR111,Tabla16[Concatenado],0),IF(BH111="Si",4,5)),"")</f>
        <v/>
      </c>
      <c r="AT111" s="527" t="str">
        <f>IF(AR111&lt;&gt;0,INDEX(Tabla16[],MATCH(AQ111&amp;AR111,Tabla16[Concatenado],0),6),"")</f>
        <v/>
      </c>
      <c r="AU111" s="527" t="str">
        <f>IFERROR(IF(AR111&lt;&gt;0,INDEX(Tabla16[],MATCH(AQ111&amp;AR111,Tabla16[Concatenado],0),IF(AV$3=TS!$O$2,7,IF(AV$3=TS!$O$3,8,IF(AV$3=TS!$O$4,9,"")))),""),"")</f>
        <v/>
      </c>
      <c r="AV111" s="527" t="str">
        <f>IF(AR111&lt;&gt;0,INDEX(Tabla16[],MATCH(AQ111&amp;AR111,Tabla16[Concatenado],0),10),"")</f>
        <v/>
      </c>
      <c r="AW111" s="527" t="str">
        <f>IF(AR111&lt;&gt;0,INDEX(Tabla18[],MATCH(AQ111,Tabla18[Nombre],0),2),"")</f>
        <v/>
      </c>
      <c r="AX111" s="527" t="str">
        <f>IF(AR111&lt;&gt;0,INDEX(Tabla18[],MATCH(AQ111,Tabla18[Nombre],0),3),"")</f>
        <v/>
      </c>
      <c r="AY111" s="527" t="str">
        <f>IF(AR111&lt;&gt;0,INDEX(Tabla18[],MATCH(AQ111,Tabla18[Nombre],0),4),"")</f>
        <v/>
      </c>
      <c r="AZ111" s="527" t="str">
        <f>IF(AR111&lt;&gt;0,INDEX(Tabla18[],MATCH(AQ111,Tabla18[Nombre],0),5),"")</f>
        <v/>
      </c>
      <c r="BA111" s="596" t="str">
        <f>IF(AR111&lt;&gt;0,INDEX(Tabla18[],MATCH(AQ111,Tabla18[Nombre],0),6),"")</f>
        <v/>
      </c>
      <c r="BB111" s="598"/>
      <c r="BC111" s="527"/>
      <c r="BD111" s="527"/>
      <c r="BE111" s="527"/>
      <c r="BF111" s="527"/>
      <c r="BG111" s="600"/>
      <c r="BH111" s="608"/>
      <c r="BL111" s="606" t="s">
        <v>6990</v>
      </c>
      <c r="BM111" s="556"/>
      <c r="BN111" s="527" t="str">
        <f>IF(BM111&lt;&gt;0,INDEX(Tabla16[],MATCH(BL111&amp;BM111,Tabla16[Concatenado],0),IF(CC111="Si",4,5)),"")</f>
        <v/>
      </c>
      <c r="BO111" s="527" t="str">
        <f>IF(BM111&lt;&gt;0,INDEX(Tabla16[],MATCH(BL111&amp;BM111,Tabla16[Concatenado],0),6),"")</f>
        <v/>
      </c>
      <c r="BP111" s="527" t="str">
        <f>IFERROR(IF(BM111&lt;&gt;0,INDEX(Tabla16[],MATCH(BL111&amp;BM111,Tabla16[Concatenado],0),IF(BQ$3=TS!$O$2,7,IF(BQ$3=TS!$O$3,8,IF(BQ$3=TS!$O$4,9,"")))),""),"")</f>
        <v/>
      </c>
      <c r="BQ111" s="527" t="str">
        <f>IF(BM111&lt;&gt;0,INDEX(Tabla16[],MATCH(BL111&amp;BM111,Tabla16[Concatenado],0),10),"")</f>
        <v/>
      </c>
      <c r="BR111" s="527" t="str">
        <f>IF(BM111&lt;&gt;0,INDEX(Tabla18[],MATCH(BL111,Tabla18[Nombre],0),2),"")</f>
        <v/>
      </c>
      <c r="BS111" s="527" t="str">
        <f>IF(BM111&lt;&gt;0,INDEX(Tabla18[],MATCH(BL111,Tabla18[Nombre],0),3),"")</f>
        <v/>
      </c>
      <c r="BT111" s="527" t="str">
        <f>IF(BM111&lt;&gt;0,INDEX(Tabla18[],MATCH(BL111,Tabla18[Nombre],0),4),"")</f>
        <v/>
      </c>
      <c r="BU111" s="527" t="str">
        <f>IF(BM111&lt;&gt;0,INDEX(Tabla18[],MATCH(BL111,Tabla18[Nombre],0),5),"")</f>
        <v/>
      </c>
      <c r="BV111" s="596" t="str">
        <f>IF(BM111&lt;&gt;0,INDEX(Tabla18[],MATCH(BL111,Tabla18[Nombre],0),6),"")</f>
        <v/>
      </c>
      <c r="BW111" s="598"/>
      <c r="BX111" s="527"/>
      <c r="BY111" s="527"/>
      <c r="BZ111" s="527"/>
      <c r="CA111" s="527"/>
      <c r="CB111" s="600"/>
      <c r="CC111" s="608"/>
    </row>
    <row r="112" spans="1:81" x14ac:dyDescent="0.2">
      <c r="A112" s="606" t="s">
        <v>6991</v>
      </c>
      <c r="B112" s="556"/>
      <c r="C112" s="527" t="str">
        <f>IF(B112&lt;&gt;0,INDEX(Tabla16[],MATCH(A111&amp;A112&amp;B112,Tabla16[Concatenado],0),IF(R112="Si",4,5)),"")</f>
        <v/>
      </c>
      <c r="D112" s="527" t="str">
        <f>IF(B112&lt;&gt;0,INDEX(Tabla16[],MATCH(A111&amp;A112&amp;B112,Tabla16[Concatenado],0),6),"")</f>
        <v/>
      </c>
      <c r="E112" s="527" t="str">
        <f>IFERROR(IF(B112&lt;&gt;0,INDEX(Tabla16[],MATCH(A111&amp;A112&amp;B112,Tabla16[Concatenado],0),IF(F$3=TS!$O$2,7,IF(F$3=TS!$O$3,8,IF(F$3=TS!$O$4,9,"")))),""),"")</f>
        <v/>
      </c>
      <c r="F112" s="527" t="str">
        <f>IF(B112&lt;&gt;0,INDEX(Tabla16[],MATCH(A111&amp;A112&amp;B112,Tabla16[Concatenado],0),10),"")</f>
        <v/>
      </c>
      <c r="G112" s="527" t="str">
        <f>IF(B112&lt;&gt;0,INDEX(Tabla18[],MATCH(A112,Tabla18[Nombre],0),2),"")</f>
        <v/>
      </c>
      <c r="H112" s="527" t="str">
        <f>IF(B112&lt;&gt;0,INDEX(Tabla18[],MATCH(A112,Tabla18[Nombre],0),3),"")</f>
        <v/>
      </c>
      <c r="I112" s="527" t="str">
        <f>IF(B112&lt;&gt;0,INDEX(Tabla18[],MATCH(A112,Tabla18[Nombre],0),4),"")</f>
        <v/>
      </c>
      <c r="J112" s="527" t="str">
        <f>IF(B112&lt;&gt;0,INDEX(Tabla18[],MATCH(A112,Tabla18[Nombre],0),5),"")</f>
        <v/>
      </c>
      <c r="K112" s="596" t="str">
        <f>IF(B112&lt;&gt;0,INDEX(Tabla18[],MATCH(A112,Tabla18[Nombre],0),6),"")</f>
        <v/>
      </c>
      <c r="L112" s="598"/>
      <c r="M112" s="527"/>
      <c r="N112" s="527"/>
      <c r="O112" s="527"/>
      <c r="P112" s="527"/>
      <c r="Q112" s="600"/>
      <c r="R112" s="608"/>
      <c r="V112" s="606" t="s">
        <v>6991</v>
      </c>
      <c r="W112" s="556"/>
      <c r="X112" s="527" t="str">
        <f>IF(W112&lt;&gt;0,INDEX(Tabla16[],MATCH(V111&amp;V112&amp;W112,Tabla16[Concatenado],0),IF(AM112="Si",4,5)),"")</f>
        <v/>
      </c>
      <c r="Y112" s="527" t="str">
        <f>IF(W112&lt;&gt;0,INDEX(Tabla16[],MATCH(V111&amp;V112&amp;W112,Tabla16[Concatenado],0),6),"")</f>
        <v/>
      </c>
      <c r="Z112" s="527" t="str">
        <f>IFERROR(IF(W112&lt;&gt;0,INDEX(Tabla16[],MATCH(V111&amp;V112&amp;W112,Tabla16[Concatenado],0),IF(AA$3=TS!$O$2,7,IF(AA$3=TS!$O$3,8,IF(AA$3=TS!$O$4,9,"")))),""),"")</f>
        <v/>
      </c>
      <c r="AA112" s="527" t="str">
        <f>IF(W112&lt;&gt;0,INDEX(Tabla16[],MATCH(V111&amp;V112&amp;W112,Tabla16[Concatenado],0),10),"")</f>
        <v/>
      </c>
      <c r="AB112" s="527" t="str">
        <f>IF(W112&lt;&gt;0,INDEX(Tabla18[],MATCH(V112,Tabla18[Nombre],0),2),"")</f>
        <v/>
      </c>
      <c r="AC112" s="527" t="str">
        <f>IF(W112&lt;&gt;0,INDEX(Tabla18[],MATCH(V112,Tabla18[Nombre],0),3),"")</f>
        <v/>
      </c>
      <c r="AD112" s="527" t="str">
        <f>IF(W112&lt;&gt;0,INDEX(Tabla18[],MATCH(V112,Tabla18[Nombre],0),4),"")</f>
        <v/>
      </c>
      <c r="AE112" s="527" t="str">
        <f>IF(W112&lt;&gt;0,INDEX(Tabla18[],MATCH(V112,Tabla18[Nombre],0),5),"")</f>
        <v/>
      </c>
      <c r="AF112" s="596" t="str">
        <f>IF(W112&lt;&gt;0,INDEX(Tabla18[],MATCH(V112,Tabla18[Nombre],0),6),"")</f>
        <v/>
      </c>
      <c r="AG112" s="598"/>
      <c r="AH112" s="527"/>
      <c r="AI112" s="527"/>
      <c r="AJ112" s="527"/>
      <c r="AK112" s="527"/>
      <c r="AL112" s="600"/>
      <c r="AM112" s="608"/>
      <c r="AQ112" s="606" t="s">
        <v>6991</v>
      </c>
      <c r="AR112" s="556"/>
      <c r="AS112" s="527" t="str">
        <f>IF(AR112&lt;&gt;0,INDEX(Tabla16[],MATCH(AQ111&amp;AQ112&amp;AR112,Tabla16[Concatenado],0),IF(BH112="Si",4,5)),"")</f>
        <v/>
      </c>
      <c r="AT112" s="527" t="str">
        <f>IF(AR112&lt;&gt;0,INDEX(Tabla16[],MATCH(AQ111&amp;AQ112&amp;AR112,Tabla16[Concatenado],0),6),"")</f>
        <v/>
      </c>
      <c r="AU112" s="527" t="str">
        <f>IFERROR(IF(AR112&lt;&gt;0,INDEX(Tabla16[],MATCH(AQ111&amp;AQ112&amp;AR112,Tabla16[Concatenado],0),IF(AV$3=TS!$O$2,7,IF(AV$3=TS!$O$3,8,IF(AV$3=TS!$O$4,9,"")))),""),"")</f>
        <v/>
      </c>
      <c r="AV112" s="527" t="str">
        <f>IF(AR112&lt;&gt;0,INDEX(Tabla16[],MATCH(AQ111&amp;AQ112&amp;AR112,Tabla16[Concatenado],0),10),"")</f>
        <v/>
      </c>
      <c r="AW112" s="527" t="str">
        <f>IF(AR112&lt;&gt;0,INDEX(Tabla18[],MATCH(AQ112,Tabla18[Nombre],0),2),"")</f>
        <v/>
      </c>
      <c r="AX112" s="527" t="str">
        <f>IF(AR112&lt;&gt;0,INDEX(Tabla18[],MATCH(AQ112,Tabla18[Nombre],0),3),"")</f>
        <v/>
      </c>
      <c r="AY112" s="527" t="str">
        <f>IF(AR112&lt;&gt;0,INDEX(Tabla18[],MATCH(AQ112,Tabla18[Nombre],0),4),"")</f>
        <v/>
      </c>
      <c r="AZ112" s="527" t="str">
        <f>IF(AR112&lt;&gt;0,INDEX(Tabla18[],MATCH(AQ112,Tabla18[Nombre],0),5),"")</f>
        <v/>
      </c>
      <c r="BA112" s="596" t="str">
        <f>IF(AR112&lt;&gt;0,INDEX(Tabla18[],MATCH(AQ112,Tabla18[Nombre],0),6),"")</f>
        <v/>
      </c>
      <c r="BB112" s="598"/>
      <c r="BC112" s="527"/>
      <c r="BD112" s="527"/>
      <c r="BE112" s="527"/>
      <c r="BF112" s="527"/>
      <c r="BG112" s="600"/>
      <c r="BH112" s="608"/>
      <c r="BL112" s="606" t="s">
        <v>6991</v>
      </c>
      <c r="BM112" s="556"/>
      <c r="BN112" s="527" t="str">
        <f>IF(BM112&lt;&gt;0,INDEX(Tabla16[],MATCH(BL111&amp;BL112&amp;BM112,Tabla16[Concatenado],0),IF(CC112="Si",4,5)),"")</f>
        <v/>
      </c>
      <c r="BO112" s="527" t="str">
        <f>IF(BM112&lt;&gt;0,INDEX(Tabla16[],MATCH(BL111&amp;BL112&amp;BM112,Tabla16[Concatenado],0),6),"")</f>
        <v/>
      </c>
      <c r="BP112" s="527" t="str">
        <f>IFERROR(IF(BM112&lt;&gt;0,INDEX(Tabla16[],MATCH(BL111&amp;BL112&amp;BM112,Tabla16[Concatenado],0),IF(BQ$3=TS!$O$2,7,IF(BQ$3=TS!$O$3,8,IF(BQ$3=TS!$O$4,9,"")))),""),"")</f>
        <v/>
      </c>
      <c r="BQ112" s="527" t="str">
        <f>IF(BM112&lt;&gt;0,INDEX(Tabla16[],MATCH(BL111&amp;BL112&amp;BM112,Tabla16[Concatenado],0),10),"")</f>
        <v/>
      </c>
      <c r="BR112" s="527" t="str">
        <f>IF(BM112&lt;&gt;0,INDEX(Tabla18[],MATCH(BL112,Tabla18[Nombre],0),2),"")</f>
        <v/>
      </c>
      <c r="BS112" s="527" t="str">
        <f>IF(BM112&lt;&gt;0,INDEX(Tabla18[],MATCH(BL112,Tabla18[Nombre],0),3),"")</f>
        <v/>
      </c>
      <c r="BT112" s="527" t="str">
        <f>IF(BM112&lt;&gt;0,INDEX(Tabla18[],MATCH(BL112,Tabla18[Nombre],0),4),"")</f>
        <v/>
      </c>
      <c r="BU112" s="527" t="str">
        <f>IF(BM112&lt;&gt;0,INDEX(Tabla18[],MATCH(BL112,Tabla18[Nombre],0),5),"")</f>
        <v/>
      </c>
      <c r="BV112" s="596" t="str">
        <f>IF(BM112&lt;&gt;0,INDEX(Tabla18[],MATCH(BL112,Tabla18[Nombre],0),6),"")</f>
        <v/>
      </c>
      <c r="BW112" s="598"/>
      <c r="BX112" s="527"/>
      <c r="BY112" s="527"/>
      <c r="BZ112" s="527"/>
      <c r="CA112" s="527"/>
      <c r="CB112" s="600"/>
      <c r="CC112" s="608"/>
    </row>
    <row r="113" spans="1:81" x14ac:dyDescent="0.2">
      <c r="A113" s="606" t="s">
        <v>6992</v>
      </c>
      <c r="B113" s="556"/>
      <c r="C113" s="527" t="str">
        <f>IF(B113&lt;&gt;0,INDEX(Tabla16[],MATCH(A111&amp;A113&amp;B113,Tabla16[Concatenado],0),IF(R113="Si",4,5)),"")</f>
        <v/>
      </c>
      <c r="D113" s="527" t="str">
        <f>IF(B113&lt;&gt;0,INDEX(Tabla16[],MATCH(A111&amp;A113&amp;B113,Tabla16[Concatenado],0),6),"")</f>
        <v/>
      </c>
      <c r="E113" s="527" t="str">
        <f>IFERROR(IF(B113&lt;&gt;0,INDEX(Tabla16[],MATCH(A111&amp;A113&amp;B113,Tabla16[Concatenado],0),IF(F$3=TS!$O$2,7,IF(F$3=TS!$O$3,8,IF(F$3=TS!$O$4,9,"")))),""),"")</f>
        <v/>
      </c>
      <c r="F113" s="527" t="str">
        <f>IF(B113&lt;&gt;0,INDEX(Tabla16[],MATCH(A111&amp;A113&amp;B113,Tabla16[Concatenado],0),10),"")</f>
        <v/>
      </c>
      <c r="G113" s="527" t="str">
        <f>IF(B113&lt;&gt;0,INDEX(Tabla18[],MATCH(A113,Tabla18[Nombre],0),2),"")</f>
        <v/>
      </c>
      <c r="H113" s="527" t="str">
        <f>IF(B113&lt;&gt;0,INDEX(Tabla18[],MATCH(A113,Tabla18[Nombre],0),3),"")</f>
        <v/>
      </c>
      <c r="I113" s="527" t="str">
        <f>IF(B113&lt;&gt;0,INDEX(Tabla18[],MATCH(A113,Tabla18[Nombre],0),4),"")</f>
        <v/>
      </c>
      <c r="J113" s="527" t="str">
        <f>IF(B113&lt;&gt;0,INDEX(Tabla18[],MATCH(A113,Tabla18[Nombre],0),5),"")</f>
        <v/>
      </c>
      <c r="K113" s="596" t="str">
        <f>IF(B113&lt;&gt;0,INDEX(Tabla18[],MATCH(A113,Tabla18[Nombre],0),6),"")</f>
        <v/>
      </c>
      <c r="L113" s="598"/>
      <c r="M113" s="527"/>
      <c r="N113" s="527"/>
      <c r="O113" s="527"/>
      <c r="P113" s="527"/>
      <c r="Q113" s="600"/>
      <c r="R113" s="608"/>
      <c r="V113" s="606" t="s">
        <v>6992</v>
      </c>
      <c r="W113" s="556"/>
      <c r="X113" s="527" t="str">
        <f>IF(W113&lt;&gt;0,INDEX(Tabla16[],MATCH(V111&amp;V113&amp;W113,Tabla16[Concatenado],0),IF(AM113="Si",4,5)),"")</f>
        <v/>
      </c>
      <c r="Y113" s="527" t="str">
        <f>IF(W113&lt;&gt;0,INDEX(Tabla16[],MATCH(V111&amp;V113&amp;W113,Tabla16[Concatenado],0),6),"")</f>
        <v/>
      </c>
      <c r="Z113" s="527" t="str">
        <f>IFERROR(IF(W113&lt;&gt;0,INDEX(Tabla16[],MATCH(V111&amp;V113&amp;W113,Tabla16[Concatenado],0),IF(AA$3=TS!$O$2,7,IF(AA$3=TS!$O$3,8,IF(AA$3=TS!$O$4,9,"")))),""),"")</f>
        <v/>
      </c>
      <c r="AA113" s="527" t="str">
        <f>IF(W113&lt;&gt;0,INDEX(Tabla16[],MATCH(V111&amp;V113&amp;W113,Tabla16[Concatenado],0),10),"")</f>
        <v/>
      </c>
      <c r="AB113" s="527" t="str">
        <f>IF(W113&lt;&gt;0,INDEX(Tabla18[],MATCH(V113,Tabla18[Nombre],0),2),"")</f>
        <v/>
      </c>
      <c r="AC113" s="527" t="str">
        <f>IF(W113&lt;&gt;0,INDEX(Tabla18[],MATCH(V113,Tabla18[Nombre],0),3),"")</f>
        <v/>
      </c>
      <c r="AD113" s="527" t="str">
        <f>IF(W113&lt;&gt;0,INDEX(Tabla18[],MATCH(V113,Tabla18[Nombre],0),4),"")</f>
        <v/>
      </c>
      <c r="AE113" s="527" t="str">
        <f>IF(W113&lt;&gt;0,INDEX(Tabla18[],MATCH(V113,Tabla18[Nombre],0),5),"")</f>
        <v/>
      </c>
      <c r="AF113" s="596" t="str">
        <f>IF(W113&lt;&gt;0,INDEX(Tabla18[],MATCH(V113,Tabla18[Nombre],0),6),"")</f>
        <v/>
      </c>
      <c r="AG113" s="598"/>
      <c r="AH113" s="527"/>
      <c r="AI113" s="527"/>
      <c r="AJ113" s="527"/>
      <c r="AK113" s="527"/>
      <c r="AL113" s="600"/>
      <c r="AM113" s="608"/>
      <c r="AQ113" s="606" t="s">
        <v>6992</v>
      </c>
      <c r="AR113" s="556"/>
      <c r="AS113" s="527" t="str">
        <f>IF(AR113&lt;&gt;0,INDEX(Tabla16[],MATCH(AQ111&amp;AQ113&amp;AR113,Tabla16[Concatenado],0),IF(BH113="Si",4,5)),"")</f>
        <v/>
      </c>
      <c r="AT113" s="527" t="str">
        <f>IF(AR113&lt;&gt;0,INDEX(Tabla16[],MATCH(AQ111&amp;AQ113&amp;AR113,Tabla16[Concatenado],0),6),"")</f>
        <v/>
      </c>
      <c r="AU113" s="527" t="str">
        <f>IFERROR(IF(AR113&lt;&gt;0,INDEX(Tabla16[],MATCH(AQ111&amp;AQ113&amp;AR113,Tabla16[Concatenado],0),IF(AV$3=TS!$O$2,7,IF(AV$3=TS!$O$3,8,IF(AV$3=TS!$O$4,9,"")))),""),"")</f>
        <v/>
      </c>
      <c r="AV113" s="527" t="str">
        <f>IF(AR113&lt;&gt;0,INDEX(Tabla16[],MATCH(AQ111&amp;AQ113&amp;AR113,Tabla16[Concatenado],0),10),"")</f>
        <v/>
      </c>
      <c r="AW113" s="527" t="str">
        <f>IF(AR113&lt;&gt;0,INDEX(Tabla18[],MATCH(AQ113,Tabla18[Nombre],0),2),"")</f>
        <v/>
      </c>
      <c r="AX113" s="527" t="str">
        <f>IF(AR113&lt;&gt;0,INDEX(Tabla18[],MATCH(AQ113,Tabla18[Nombre],0),3),"")</f>
        <v/>
      </c>
      <c r="AY113" s="527" t="str">
        <f>IF(AR113&lt;&gt;0,INDEX(Tabla18[],MATCH(AQ113,Tabla18[Nombre],0),4),"")</f>
        <v/>
      </c>
      <c r="AZ113" s="527" t="str">
        <f>IF(AR113&lt;&gt;0,INDEX(Tabla18[],MATCH(AQ113,Tabla18[Nombre],0),5),"")</f>
        <v/>
      </c>
      <c r="BA113" s="596" t="str">
        <f>IF(AR113&lt;&gt;0,INDEX(Tabla18[],MATCH(AQ113,Tabla18[Nombre],0),6),"")</f>
        <v/>
      </c>
      <c r="BB113" s="598"/>
      <c r="BC113" s="527"/>
      <c r="BD113" s="527"/>
      <c r="BE113" s="527"/>
      <c r="BF113" s="527"/>
      <c r="BG113" s="600"/>
      <c r="BH113" s="608"/>
      <c r="BL113" s="606" t="s">
        <v>6992</v>
      </c>
      <c r="BM113" s="556"/>
      <c r="BN113" s="527" t="str">
        <f>IF(BM113&lt;&gt;0,INDEX(Tabla16[],MATCH(BL111&amp;BL113&amp;BM113,Tabla16[Concatenado],0),IF(CC113="Si",4,5)),"")</f>
        <v/>
      </c>
      <c r="BO113" s="527" t="str">
        <f>IF(BM113&lt;&gt;0,INDEX(Tabla16[],MATCH(BL111&amp;BL113&amp;BM113,Tabla16[Concatenado],0),6),"")</f>
        <v/>
      </c>
      <c r="BP113" s="527" t="str">
        <f>IFERROR(IF(BM113&lt;&gt;0,INDEX(Tabla16[],MATCH(BL111&amp;BL113&amp;BM113,Tabla16[Concatenado],0),IF(BQ$3=TS!$O$2,7,IF(BQ$3=TS!$O$3,8,IF(BQ$3=TS!$O$4,9,"")))),""),"")</f>
        <v/>
      </c>
      <c r="BQ113" s="527" t="str">
        <f>IF(BM113&lt;&gt;0,INDEX(Tabla16[],MATCH(BL111&amp;BL113&amp;BM113,Tabla16[Concatenado],0),10),"")</f>
        <v/>
      </c>
      <c r="BR113" s="527" t="str">
        <f>IF(BM113&lt;&gt;0,INDEX(Tabla18[],MATCH(BL113,Tabla18[Nombre],0),2),"")</f>
        <v/>
      </c>
      <c r="BS113" s="527" t="str">
        <f>IF(BM113&lt;&gt;0,INDEX(Tabla18[],MATCH(BL113,Tabla18[Nombre],0),3),"")</f>
        <v/>
      </c>
      <c r="BT113" s="527" t="str">
        <f>IF(BM113&lt;&gt;0,INDEX(Tabla18[],MATCH(BL113,Tabla18[Nombre],0),4),"")</f>
        <v/>
      </c>
      <c r="BU113" s="527" t="str">
        <f>IF(BM113&lt;&gt;0,INDEX(Tabla18[],MATCH(BL113,Tabla18[Nombre],0),5),"")</f>
        <v/>
      </c>
      <c r="BV113" s="596" t="str">
        <f>IF(BM113&lt;&gt;0,INDEX(Tabla18[],MATCH(BL113,Tabla18[Nombre],0),6),"")</f>
        <v/>
      </c>
      <c r="BW113" s="598"/>
      <c r="BX113" s="527"/>
      <c r="BY113" s="527"/>
      <c r="BZ113" s="527"/>
      <c r="CA113" s="527"/>
      <c r="CB113" s="600"/>
      <c r="CC113" s="608"/>
    </row>
    <row r="114" spans="1:81" x14ac:dyDescent="0.2">
      <c r="A114" s="606" t="s">
        <v>6993</v>
      </c>
      <c r="B114" s="556"/>
      <c r="C114" s="527" t="str">
        <f>IF(B114&lt;&gt;0,INDEX(Tabla16[],MATCH(A114&amp;B114,Tabla16[Concatenado],0),IF(R114="Si",4,5)),"")</f>
        <v/>
      </c>
      <c r="D114" s="527" t="str">
        <f>IF(B114&lt;&gt;0,INDEX(Tabla16[],MATCH(A114&amp;B114,Tabla16[Concatenado],0),6),"")</f>
        <v/>
      </c>
      <c r="E114" s="527" t="str">
        <f>IFERROR(IF(B114&lt;&gt;0,INDEX(Tabla16[],MATCH(A114&amp;B114,Tabla16[Concatenado],0),IF(F$3=TS!$O$2,7,IF(F$3=TS!$O$3,8,IF(F$3=TS!$O$4,9,"")))),""),"")</f>
        <v/>
      </c>
      <c r="F114" s="527" t="str">
        <f>IF(B114&lt;&gt;0,INDEX(Tabla16[],MATCH(A114&amp;B114,Tabla16[Concatenado],0),10),"")</f>
        <v/>
      </c>
      <c r="G114" s="527" t="str">
        <f>IF(B114&lt;&gt;0,INDEX(Tabla18[],MATCH(A114,Tabla18[Nombre],0),2),"")</f>
        <v/>
      </c>
      <c r="H114" s="527" t="str">
        <f>IF(B114&lt;&gt;0,INDEX(Tabla18[],MATCH(A114,Tabla18[Nombre],0),3),"")</f>
        <v/>
      </c>
      <c r="I114" s="527" t="str">
        <f>IF(B114&lt;&gt;0,INDEX(Tabla18[],MATCH(A114,Tabla18[Nombre],0),4),"")</f>
        <v/>
      </c>
      <c r="J114" s="527" t="str">
        <f>IF(B114&lt;&gt;0,INDEX(Tabla18[],MATCH(A114,Tabla18[Nombre],0),5),"")</f>
        <v/>
      </c>
      <c r="K114" s="596" t="str">
        <f>IF(B114&lt;&gt;0,INDEX(Tabla18[],MATCH(A114,Tabla18[Nombre],0),6),"")</f>
        <v/>
      </c>
      <c r="L114" s="598"/>
      <c r="M114" s="527"/>
      <c r="N114" s="527"/>
      <c r="O114" s="527"/>
      <c r="P114" s="527"/>
      <c r="Q114" s="600"/>
      <c r="R114" s="608"/>
      <c r="V114" s="606" t="s">
        <v>6993</v>
      </c>
      <c r="W114" s="556"/>
      <c r="X114" s="527" t="str">
        <f>IF(W114&lt;&gt;0,INDEX(Tabla16[],MATCH(V114&amp;W114,Tabla16[Concatenado],0),IF(AM114="Si",4,5)),"")</f>
        <v/>
      </c>
      <c r="Y114" s="527" t="str">
        <f>IF(W114&lt;&gt;0,INDEX(Tabla16[],MATCH(V114&amp;W114,Tabla16[Concatenado],0),6),"")</f>
        <v/>
      </c>
      <c r="Z114" s="527" t="str">
        <f>IFERROR(IF(W114&lt;&gt;0,INDEX(Tabla16[],MATCH(V114&amp;W114,Tabla16[Concatenado],0),IF(AA$3=TS!$O$2,7,IF(AA$3=TS!$O$3,8,IF(AA$3=TS!$O$4,9,"")))),""),"")</f>
        <v/>
      </c>
      <c r="AA114" s="527" t="str">
        <f>IF(W114&lt;&gt;0,INDEX(Tabla16[],MATCH(V114&amp;W114,Tabla16[Concatenado],0),10),"")</f>
        <v/>
      </c>
      <c r="AB114" s="527" t="str">
        <f>IF(W114&lt;&gt;0,INDEX(Tabla18[],MATCH(V114,Tabla18[Nombre],0),2),"")</f>
        <v/>
      </c>
      <c r="AC114" s="527" t="str">
        <f>IF(W114&lt;&gt;0,INDEX(Tabla18[],MATCH(V114,Tabla18[Nombre],0),3),"")</f>
        <v/>
      </c>
      <c r="AD114" s="527" t="str">
        <f>IF(W114&lt;&gt;0,INDEX(Tabla18[],MATCH(V114,Tabla18[Nombre],0),4),"")</f>
        <v/>
      </c>
      <c r="AE114" s="527" t="str">
        <f>IF(W114&lt;&gt;0,INDEX(Tabla18[],MATCH(V114,Tabla18[Nombre],0),5),"")</f>
        <v/>
      </c>
      <c r="AF114" s="596" t="str">
        <f>IF(W114&lt;&gt;0,INDEX(Tabla18[],MATCH(V114,Tabla18[Nombre],0),6),"")</f>
        <v/>
      </c>
      <c r="AG114" s="598"/>
      <c r="AH114" s="527"/>
      <c r="AI114" s="527"/>
      <c r="AJ114" s="527"/>
      <c r="AK114" s="527"/>
      <c r="AL114" s="600"/>
      <c r="AM114" s="608"/>
      <c r="AQ114" s="606" t="s">
        <v>6993</v>
      </c>
      <c r="AR114" s="556"/>
      <c r="AS114" s="527" t="str">
        <f>IF(AR114&lt;&gt;0,INDEX(Tabla16[],MATCH(AQ114&amp;AR114,Tabla16[Concatenado],0),IF(BH114="Si",4,5)),"")</f>
        <v/>
      </c>
      <c r="AT114" s="527" t="str">
        <f>IF(AR114&lt;&gt;0,INDEX(Tabla16[],MATCH(AQ114&amp;AR114,Tabla16[Concatenado],0),6),"")</f>
        <v/>
      </c>
      <c r="AU114" s="527" t="str">
        <f>IFERROR(IF(AR114&lt;&gt;0,INDEX(Tabla16[],MATCH(AQ114&amp;AR114,Tabla16[Concatenado],0),IF(AV$3=TS!$O$2,7,IF(AV$3=TS!$O$3,8,IF(AV$3=TS!$O$4,9,"")))),""),"")</f>
        <v/>
      </c>
      <c r="AV114" s="527" t="str">
        <f>IF(AR114&lt;&gt;0,INDEX(Tabla16[],MATCH(AQ114&amp;AR114,Tabla16[Concatenado],0),10),"")</f>
        <v/>
      </c>
      <c r="AW114" s="527" t="str">
        <f>IF(AR114&lt;&gt;0,INDEX(Tabla18[],MATCH(AQ114,Tabla18[Nombre],0),2),"")</f>
        <v/>
      </c>
      <c r="AX114" s="527" t="str">
        <f>IF(AR114&lt;&gt;0,INDEX(Tabla18[],MATCH(AQ114,Tabla18[Nombre],0),3),"")</f>
        <v/>
      </c>
      <c r="AY114" s="527" t="str">
        <f>IF(AR114&lt;&gt;0,INDEX(Tabla18[],MATCH(AQ114,Tabla18[Nombre],0),4),"")</f>
        <v/>
      </c>
      <c r="AZ114" s="527" t="str">
        <f>IF(AR114&lt;&gt;0,INDEX(Tabla18[],MATCH(AQ114,Tabla18[Nombre],0),5),"")</f>
        <v/>
      </c>
      <c r="BA114" s="596" t="str">
        <f>IF(AR114&lt;&gt;0,INDEX(Tabla18[],MATCH(AQ114,Tabla18[Nombre],0),6),"")</f>
        <v/>
      </c>
      <c r="BB114" s="598"/>
      <c r="BC114" s="527"/>
      <c r="BD114" s="527"/>
      <c r="BE114" s="527"/>
      <c r="BF114" s="527"/>
      <c r="BG114" s="600"/>
      <c r="BH114" s="608"/>
      <c r="BL114" s="606" t="s">
        <v>6993</v>
      </c>
      <c r="BM114" s="556"/>
      <c r="BN114" s="527" t="str">
        <f>IF(BM114&lt;&gt;0,INDEX(Tabla16[],MATCH(BL114&amp;BM114,Tabla16[Concatenado],0),IF(CC114="Si",4,5)),"")</f>
        <v/>
      </c>
      <c r="BO114" s="527" t="str">
        <f>IF(BM114&lt;&gt;0,INDEX(Tabla16[],MATCH(BL114&amp;BM114,Tabla16[Concatenado],0),6),"")</f>
        <v/>
      </c>
      <c r="BP114" s="527" t="str">
        <f>IFERROR(IF(BM114&lt;&gt;0,INDEX(Tabla16[],MATCH(BL114&amp;BM114,Tabla16[Concatenado],0),IF(BQ$3=TS!$O$2,7,IF(BQ$3=TS!$O$3,8,IF(BQ$3=TS!$O$4,9,"")))),""),"")</f>
        <v/>
      </c>
      <c r="BQ114" s="527" t="str">
        <f>IF(BM114&lt;&gt;0,INDEX(Tabla16[],MATCH(BL114&amp;BM114,Tabla16[Concatenado],0),10),"")</f>
        <v/>
      </c>
      <c r="BR114" s="527" t="str">
        <f>IF(BM114&lt;&gt;0,INDEX(Tabla18[],MATCH(BL114,Tabla18[Nombre],0),2),"")</f>
        <v/>
      </c>
      <c r="BS114" s="527" t="str">
        <f>IF(BM114&lt;&gt;0,INDEX(Tabla18[],MATCH(BL114,Tabla18[Nombre],0),3),"")</f>
        <v/>
      </c>
      <c r="BT114" s="527" t="str">
        <f>IF(BM114&lt;&gt;0,INDEX(Tabla18[],MATCH(BL114,Tabla18[Nombre],0),4),"")</f>
        <v/>
      </c>
      <c r="BU114" s="527" t="str">
        <f>IF(BM114&lt;&gt;0,INDEX(Tabla18[],MATCH(BL114,Tabla18[Nombre],0),5),"")</f>
        <v/>
      </c>
      <c r="BV114" s="596" t="str">
        <f>IF(BM114&lt;&gt;0,INDEX(Tabla18[],MATCH(BL114,Tabla18[Nombre],0),6),"")</f>
        <v/>
      </c>
      <c r="BW114" s="598"/>
      <c r="BX114" s="527"/>
      <c r="BY114" s="527"/>
      <c r="BZ114" s="527"/>
      <c r="CA114" s="527"/>
      <c r="CB114" s="600"/>
      <c r="CC114" s="608"/>
    </row>
    <row r="115" spans="1:81" x14ac:dyDescent="0.2">
      <c r="A115" s="606" t="s">
        <v>6994</v>
      </c>
      <c r="B115" s="556"/>
      <c r="C115" s="527" t="str">
        <f>IF(B115&lt;&gt;0,INDEX(Tabla16[],MATCH(A114&amp;A115&amp;B115,Tabla16[Concatenado],0),IF(R115="Si",4,5)),"")</f>
        <v/>
      </c>
      <c r="D115" s="527" t="str">
        <f>IF(B115&lt;&gt;0,INDEX(Tabla16[],MATCH(A114&amp;A115&amp;B115,Tabla16[Concatenado],0),6),"")</f>
        <v/>
      </c>
      <c r="E115" s="527" t="str">
        <f>IFERROR(IF(B115&lt;&gt;0,INDEX(Tabla16[],MATCH(A114&amp;A115&amp;B115,Tabla16[Concatenado],0),IF(F$3=TS!$O$2,7,IF(F$3=TS!$O$3,8,IF(F$3=TS!$O$4,9,"")))),""),"")</f>
        <v/>
      </c>
      <c r="F115" s="527" t="str">
        <f>IF(B115&lt;&gt;0,INDEX(Tabla16[],MATCH(A114&amp;A115&amp;B115,Tabla16[Concatenado],0),10),"")</f>
        <v/>
      </c>
      <c r="G115" s="527" t="str">
        <f>IF(B115&lt;&gt;0,INDEX(Tabla18[],MATCH(A115,Tabla18[Nombre],0),2),"")</f>
        <v/>
      </c>
      <c r="H115" s="527" t="str">
        <f>IF(B115&lt;&gt;0,INDEX(Tabla18[],MATCH(A115,Tabla18[Nombre],0),3),"")</f>
        <v/>
      </c>
      <c r="I115" s="527" t="str">
        <f>IF(B115&lt;&gt;0,INDEX(Tabla18[],MATCH(A115,Tabla18[Nombre],0),4),"")</f>
        <v/>
      </c>
      <c r="J115" s="527" t="str">
        <f>IF(B115&lt;&gt;0,INDEX(Tabla18[],MATCH(A115,Tabla18[Nombre],0),5),"")</f>
        <v/>
      </c>
      <c r="K115" s="596" t="str">
        <f>IF(B115&lt;&gt;0,INDEX(Tabla18[],MATCH(A115,Tabla18[Nombre],0),6),"")</f>
        <v/>
      </c>
      <c r="L115" s="598"/>
      <c r="M115" s="527"/>
      <c r="N115" s="527"/>
      <c r="O115" s="527"/>
      <c r="P115" s="527"/>
      <c r="Q115" s="600"/>
      <c r="R115" s="608"/>
      <c r="V115" s="606" t="s">
        <v>6994</v>
      </c>
      <c r="W115" s="556"/>
      <c r="X115" s="527" t="str">
        <f>IF(W115&lt;&gt;0,INDEX(Tabla16[],MATCH(V114&amp;V115&amp;W115,Tabla16[Concatenado],0),IF(AM115="Si",4,5)),"")</f>
        <v/>
      </c>
      <c r="Y115" s="527" t="str">
        <f>IF(W115&lt;&gt;0,INDEX(Tabla16[],MATCH(V114&amp;V115&amp;W115,Tabla16[Concatenado],0),6),"")</f>
        <v/>
      </c>
      <c r="Z115" s="527" t="str">
        <f>IFERROR(IF(W115&lt;&gt;0,INDEX(Tabla16[],MATCH(V114&amp;V115&amp;W115,Tabla16[Concatenado],0),IF(AA$3=TS!$O$2,7,IF(AA$3=TS!$O$3,8,IF(AA$3=TS!$O$4,9,"")))),""),"")</f>
        <v/>
      </c>
      <c r="AA115" s="527" t="str">
        <f>IF(W115&lt;&gt;0,INDEX(Tabla16[],MATCH(V114&amp;V115&amp;W115,Tabla16[Concatenado],0),10),"")</f>
        <v/>
      </c>
      <c r="AB115" s="527" t="str">
        <f>IF(W115&lt;&gt;0,INDEX(Tabla18[],MATCH(V115,Tabla18[Nombre],0),2),"")</f>
        <v/>
      </c>
      <c r="AC115" s="527" t="str">
        <f>IF(W115&lt;&gt;0,INDEX(Tabla18[],MATCH(V115,Tabla18[Nombre],0),3),"")</f>
        <v/>
      </c>
      <c r="AD115" s="527" t="str">
        <f>IF(W115&lt;&gt;0,INDEX(Tabla18[],MATCH(V115,Tabla18[Nombre],0),4),"")</f>
        <v/>
      </c>
      <c r="AE115" s="527" t="str">
        <f>IF(W115&lt;&gt;0,INDEX(Tabla18[],MATCH(V115,Tabla18[Nombre],0),5),"")</f>
        <v/>
      </c>
      <c r="AF115" s="596" t="str">
        <f>IF(W115&lt;&gt;0,INDEX(Tabla18[],MATCH(V115,Tabla18[Nombre],0),6),"")</f>
        <v/>
      </c>
      <c r="AG115" s="598"/>
      <c r="AH115" s="527"/>
      <c r="AI115" s="527"/>
      <c r="AJ115" s="527"/>
      <c r="AK115" s="527"/>
      <c r="AL115" s="600"/>
      <c r="AM115" s="608"/>
      <c r="AQ115" s="606" t="s">
        <v>6994</v>
      </c>
      <c r="AR115" s="556"/>
      <c r="AS115" s="527" t="str">
        <f>IF(AR115&lt;&gt;0,INDEX(Tabla16[],MATCH(AQ114&amp;AQ115&amp;AR115,Tabla16[Concatenado],0),IF(BH115="Si",4,5)),"")</f>
        <v/>
      </c>
      <c r="AT115" s="527" t="str">
        <f>IF(AR115&lt;&gt;0,INDEX(Tabla16[],MATCH(AQ114&amp;AQ115&amp;AR115,Tabla16[Concatenado],0),6),"")</f>
        <v/>
      </c>
      <c r="AU115" s="527" t="str">
        <f>IFERROR(IF(AR115&lt;&gt;0,INDEX(Tabla16[],MATCH(AQ114&amp;AQ115&amp;AR115,Tabla16[Concatenado],0),IF(AV$3=TS!$O$2,7,IF(AV$3=TS!$O$3,8,IF(AV$3=TS!$O$4,9,"")))),""),"")</f>
        <v/>
      </c>
      <c r="AV115" s="527" t="str">
        <f>IF(AR115&lt;&gt;0,INDEX(Tabla16[],MATCH(AQ114&amp;AQ115&amp;AR115,Tabla16[Concatenado],0),10),"")</f>
        <v/>
      </c>
      <c r="AW115" s="527" t="str">
        <f>IF(AR115&lt;&gt;0,INDEX(Tabla18[],MATCH(AQ115,Tabla18[Nombre],0),2),"")</f>
        <v/>
      </c>
      <c r="AX115" s="527" t="str">
        <f>IF(AR115&lt;&gt;0,INDEX(Tabla18[],MATCH(AQ115,Tabla18[Nombre],0),3),"")</f>
        <v/>
      </c>
      <c r="AY115" s="527" t="str">
        <f>IF(AR115&lt;&gt;0,INDEX(Tabla18[],MATCH(AQ115,Tabla18[Nombre],0),4),"")</f>
        <v/>
      </c>
      <c r="AZ115" s="527" t="str">
        <f>IF(AR115&lt;&gt;0,INDEX(Tabla18[],MATCH(AQ115,Tabla18[Nombre],0),5),"")</f>
        <v/>
      </c>
      <c r="BA115" s="596" t="str">
        <f>IF(AR115&lt;&gt;0,INDEX(Tabla18[],MATCH(AQ115,Tabla18[Nombre],0),6),"")</f>
        <v/>
      </c>
      <c r="BB115" s="598"/>
      <c r="BC115" s="527"/>
      <c r="BD115" s="527"/>
      <c r="BE115" s="527"/>
      <c r="BF115" s="527"/>
      <c r="BG115" s="600"/>
      <c r="BH115" s="608"/>
      <c r="BL115" s="606" t="s">
        <v>6994</v>
      </c>
      <c r="BM115" s="556"/>
      <c r="BN115" s="527" t="str">
        <f>IF(BM115&lt;&gt;0,INDEX(Tabla16[],MATCH(BL114&amp;BL115&amp;BM115,Tabla16[Concatenado],0),IF(CC115="Si",4,5)),"")</f>
        <v/>
      </c>
      <c r="BO115" s="527" t="str">
        <f>IF(BM115&lt;&gt;0,INDEX(Tabla16[],MATCH(BL114&amp;BL115&amp;BM115,Tabla16[Concatenado],0),6),"")</f>
        <v/>
      </c>
      <c r="BP115" s="527" t="str">
        <f>IFERROR(IF(BM115&lt;&gt;0,INDEX(Tabla16[],MATCH(BL114&amp;BL115&amp;BM115,Tabla16[Concatenado],0),IF(BQ$3=TS!$O$2,7,IF(BQ$3=TS!$O$3,8,IF(BQ$3=TS!$O$4,9,"")))),""),"")</f>
        <v/>
      </c>
      <c r="BQ115" s="527" t="str">
        <f>IF(BM115&lt;&gt;0,INDEX(Tabla16[],MATCH(BL114&amp;BL115&amp;BM115,Tabla16[Concatenado],0),10),"")</f>
        <v/>
      </c>
      <c r="BR115" s="527" t="str">
        <f>IF(BM115&lt;&gt;0,INDEX(Tabla18[],MATCH(BL115,Tabla18[Nombre],0),2),"")</f>
        <v/>
      </c>
      <c r="BS115" s="527" t="str">
        <f>IF(BM115&lt;&gt;0,INDEX(Tabla18[],MATCH(BL115,Tabla18[Nombre],0),3),"")</f>
        <v/>
      </c>
      <c r="BT115" s="527" t="str">
        <f>IF(BM115&lt;&gt;0,INDEX(Tabla18[],MATCH(BL115,Tabla18[Nombre],0),4),"")</f>
        <v/>
      </c>
      <c r="BU115" s="527" t="str">
        <f>IF(BM115&lt;&gt;0,INDEX(Tabla18[],MATCH(BL115,Tabla18[Nombre],0),5),"")</f>
        <v/>
      </c>
      <c r="BV115" s="596" t="str">
        <f>IF(BM115&lt;&gt;0,INDEX(Tabla18[],MATCH(BL115,Tabla18[Nombre],0),6),"")</f>
        <v/>
      </c>
      <c r="BW115" s="598"/>
      <c r="BX115" s="527"/>
      <c r="BY115" s="527"/>
      <c r="BZ115" s="527"/>
      <c r="CA115" s="527"/>
      <c r="CB115" s="600"/>
      <c r="CC115" s="608"/>
    </row>
    <row r="116" spans="1:81" x14ac:dyDescent="0.2">
      <c r="A116" s="606" t="s">
        <v>6995</v>
      </c>
      <c r="B116" s="556"/>
      <c r="C116" s="527" t="str">
        <f>IF(B116&lt;&gt;0,INDEX(Tabla16[],MATCH(A116&amp;B116,Tabla16[Concatenado],0),IF(R116="Si",4,5)),"")</f>
        <v/>
      </c>
      <c r="D116" s="527" t="str">
        <f>IF(B116&lt;&gt;0,INDEX(Tabla16[],MATCH(A116&amp;B116,Tabla16[Concatenado],0),6),"")</f>
        <v/>
      </c>
      <c r="E116" s="527" t="str">
        <f>IFERROR(IF(B116&lt;&gt;0,INDEX(Tabla16[],MATCH(A116&amp;B116,Tabla16[Concatenado],0),IF(F$3=TS!$O$2,7,IF(F$3=TS!$O$3,8,IF(F$3=TS!$O$4,9,"")))),""),"")</f>
        <v/>
      </c>
      <c r="F116" s="527" t="str">
        <f>IF(B116&lt;&gt;0,INDEX(Tabla16[],MATCH(A116&amp;B116,Tabla16[Concatenado],0),10),"")</f>
        <v/>
      </c>
      <c r="G116" s="527" t="str">
        <f>IF(B116&lt;&gt;0,INDEX(Tabla18[],MATCH(A116,Tabla18[Nombre],0),2),"")</f>
        <v/>
      </c>
      <c r="H116" s="527" t="str">
        <f>IF(B116&lt;&gt;0,INDEX(Tabla18[],MATCH(A116,Tabla18[Nombre],0),3),"")</f>
        <v/>
      </c>
      <c r="I116" s="527" t="str">
        <f>IF(B116&lt;&gt;0,INDEX(Tabla18[],MATCH(A116,Tabla18[Nombre],0),4),"")</f>
        <v/>
      </c>
      <c r="J116" s="527" t="str">
        <f>IF(B116&lt;&gt;0,INDEX(Tabla18[],MATCH(A116,Tabla18[Nombre],0),5),"")</f>
        <v/>
      </c>
      <c r="K116" s="596" t="str">
        <f>IF(B116&lt;&gt;0,INDEX(Tabla18[],MATCH(A116,Tabla18[Nombre],0),6),"")</f>
        <v/>
      </c>
      <c r="L116" s="598"/>
      <c r="M116" s="527"/>
      <c r="N116" s="527"/>
      <c r="O116" s="527"/>
      <c r="P116" s="527"/>
      <c r="Q116" s="600"/>
      <c r="R116" s="608"/>
      <c r="V116" s="606" t="s">
        <v>6995</v>
      </c>
      <c r="W116" s="556"/>
      <c r="X116" s="527" t="str">
        <f>IF(W116&lt;&gt;0,INDEX(Tabla16[],MATCH(V116&amp;W116,Tabla16[Concatenado],0),IF(AM116="Si",4,5)),"")</f>
        <v/>
      </c>
      <c r="Y116" s="527" t="str">
        <f>IF(W116&lt;&gt;0,INDEX(Tabla16[],MATCH(V116&amp;W116,Tabla16[Concatenado],0),6),"")</f>
        <v/>
      </c>
      <c r="Z116" s="527" t="str">
        <f>IFERROR(IF(W116&lt;&gt;0,INDEX(Tabla16[],MATCH(V116&amp;W116,Tabla16[Concatenado],0),IF(AA$3=TS!$O$2,7,IF(AA$3=TS!$O$3,8,IF(AA$3=TS!$O$4,9,"")))),""),"")</f>
        <v/>
      </c>
      <c r="AA116" s="527" t="str">
        <f>IF(W116&lt;&gt;0,INDEX(Tabla16[],MATCH(V116&amp;W116,Tabla16[Concatenado],0),10),"")</f>
        <v/>
      </c>
      <c r="AB116" s="527" t="str">
        <f>IF(W116&lt;&gt;0,INDEX(Tabla18[],MATCH(V116,Tabla18[Nombre],0),2),"")</f>
        <v/>
      </c>
      <c r="AC116" s="527" t="str">
        <f>IF(W116&lt;&gt;0,INDEX(Tabla18[],MATCH(V116,Tabla18[Nombre],0),3),"")</f>
        <v/>
      </c>
      <c r="AD116" s="527" t="str">
        <f>IF(W116&lt;&gt;0,INDEX(Tabla18[],MATCH(V116,Tabla18[Nombre],0),4),"")</f>
        <v/>
      </c>
      <c r="AE116" s="527" t="str">
        <f>IF(W116&lt;&gt;0,INDEX(Tabla18[],MATCH(V116,Tabla18[Nombre],0),5),"")</f>
        <v/>
      </c>
      <c r="AF116" s="596" t="str">
        <f>IF(W116&lt;&gt;0,INDEX(Tabla18[],MATCH(V116,Tabla18[Nombre],0),6),"")</f>
        <v/>
      </c>
      <c r="AG116" s="598"/>
      <c r="AH116" s="527"/>
      <c r="AI116" s="527"/>
      <c r="AJ116" s="527"/>
      <c r="AK116" s="527"/>
      <c r="AL116" s="600"/>
      <c r="AM116" s="608"/>
      <c r="AQ116" s="606" t="s">
        <v>6995</v>
      </c>
      <c r="AR116" s="556"/>
      <c r="AS116" s="527" t="str">
        <f>IF(AR116&lt;&gt;0,INDEX(Tabla16[],MATCH(AQ116&amp;AR116,Tabla16[Concatenado],0),IF(BH116="Si",4,5)),"")</f>
        <v/>
      </c>
      <c r="AT116" s="527" t="str">
        <f>IF(AR116&lt;&gt;0,INDEX(Tabla16[],MATCH(AQ116&amp;AR116,Tabla16[Concatenado],0),6),"")</f>
        <v/>
      </c>
      <c r="AU116" s="527" t="str">
        <f>IFERROR(IF(AR116&lt;&gt;0,INDEX(Tabla16[],MATCH(AQ116&amp;AR116,Tabla16[Concatenado],0),IF(AV$3=TS!$O$2,7,IF(AV$3=TS!$O$3,8,IF(AV$3=TS!$O$4,9,"")))),""),"")</f>
        <v/>
      </c>
      <c r="AV116" s="527" t="str">
        <f>IF(AR116&lt;&gt;0,INDEX(Tabla16[],MATCH(AQ116&amp;AR116,Tabla16[Concatenado],0),10),"")</f>
        <v/>
      </c>
      <c r="AW116" s="527" t="str">
        <f>IF(AR116&lt;&gt;0,INDEX(Tabla18[],MATCH(AQ116,Tabla18[Nombre],0),2),"")</f>
        <v/>
      </c>
      <c r="AX116" s="527" t="str">
        <f>IF(AR116&lt;&gt;0,INDEX(Tabla18[],MATCH(AQ116,Tabla18[Nombre],0),3),"")</f>
        <v/>
      </c>
      <c r="AY116" s="527" t="str">
        <f>IF(AR116&lt;&gt;0,INDEX(Tabla18[],MATCH(AQ116,Tabla18[Nombre],0),4),"")</f>
        <v/>
      </c>
      <c r="AZ116" s="527" t="str">
        <f>IF(AR116&lt;&gt;0,INDEX(Tabla18[],MATCH(AQ116,Tabla18[Nombre],0),5),"")</f>
        <v/>
      </c>
      <c r="BA116" s="596" t="str">
        <f>IF(AR116&lt;&gt;0,INDEX(Tabla18[],MATCH(AQ116,Tabla18[Nombre],0),6),"")</f>
        <v/>
      </c>
      <c r="BB116" s="598"/>
      <c r="BC116" s="527"/>
      <c r="BD116" s="527"/>
      <c r="BE116" s="527"/>
      <c r="BF116" s="527"/>
      <c r="BG116" s="600"/>
      <c r="BH116" s="608"/>
      <c r="BL116" s="606" t="s">
        <v>6995</v>
      </c>
      <c r="BM116" s="556"/>
      <c r="BN116" s="527" t="str">
        <f>IF(BM116&lt;&gt;0,INDEX(Tabla16[],MATCH(BL116&amp;BM116,Tabla16[Concatenado],0),IF(CC116="Si",4,5)),"")</f>
        <v/>
      </c>
      <c r="BO116" s="527" t="str">
        <f>IF(BM116&lt;&gt;0,INDEX(Tabla16[],MATCH(BL116&amp;BM116,Tabla16[Concatenado],0),6),"")</f>
        <v/>
      </c>
      <c r="BP116" s="527" t="str">
        <f>IFERROR(IF(BM116&lt;&gt;0,INDEX(Tabla16[],MATCH(BL116&amp;BM116,Tabla16[Concatenado],0),IF(BQ$3=TS!$O$2,7,IF(BQ$3=TS!$O$3,8,IF(BQ$3=TS!$O$4,9,"")))),""),"")</f>
        <v/>
      </c>
      <c r="BQ116" s="527" t="str">
        <f>IF(BM116&lt;&gt;0,INDEX(Tabla16[],MATCH(BL116&amp;BM116,Tabla16[Concatenado],0),10),"")</f>
        <v/>
      </c>
      <c r="BR116" s="527" t="str">
        <f>IF(BM116&lt;&gt;0,INDEX(Tabla18[],MATCH(BL116,Tabla18[Nombre],0),2),"")</f>
        <v/>
      </c>
      <c r="BS116" s="527" t="str">
        <f>IF(BM116&lt;&gt;0,INDEX(Tabla18[],MATCH(BL116,Tabla18[Nombre],0),3),"")</f>
        <v/>
      </c>
      <c r="BT116" s="527" t="str">
        <f>IF(BM116&lt;&gt;0,INDEX(Tabla18[],MATCH(BL116,Tabla18[Nombre],0),4),"")</f>
        <v/>
      </c>
      <c r="BU116" s="527" t="str">
        <f>IF(BM116&lt;&gt;0,INDEX(Tabla18[],MATCH(BL116,Tabla18[Nombre],0),5),"")</f>
        <v/>
      </c>
      <c r="BV116" s="596" t="str">
        <f>IF(BM116&lt;&gt;0,INDEX(Tabla18[],MATCH(BL116,Tabla18[Nombre],0),6),"")</f>
        <v/>
      </c>
      <c r="BW116" s="598"/>
      <c r="BX116" s="527"/>
      <c r="BY116" s="527"/>
      <c r="BZ116" s="527"/>
      <c r="CA116" s="527"/>
      <c r="CB116" s="600"/>
      <c r="CC116" s="608"/>
    </row>
    <row r="117" spans="1:81" x14ac:dyDescent="0.2">
      <c r="A117" s="606" t="s">
        <v>6996</v>
      </c>
      <c r="B117" s="556"/>
      <c r="C117" s="527" t="str">
        <f>IF(B117&lt;&gt;0,INDEX(Tabla16[],MATCH(A116&amp;A117&amp;B117,Tabla16[Concatenado],0),IF(R117="Si",4,5)),"")</f>
        <v/>
      </c>
      <c r="D117" s="527" t="str">
        <f>IF(B117&lt;&gt;0,INDEX(Tabla16[],MATCH(A116&amp;A117&amp;B117,Tabla16[Concatenado],0),6),"")</f>
        <v/>
      </c>
      <c r="E117" s="527" t="str">
        <f>IFERROR(IF(B117&lt;&gt;0,INDEX(Tabla16[],MATCH(A116&amp;A117&amp;B117,Tabla16[Concatenado],0),IF(F$3=TS!$O$2,7,IF(F$3=TS!$O$3,8,IF(F$3=TS!$O$4,9,"")))),""),"")</f>
        <v/>
      </c>
      <c r="F117" s="527" t="str">
        <f>IF(B117&lt;&gt;0,INDEX(Tabla16[],MATCH(A116&amp;A117&amp;B117,Tabla16[Concatenado],0),10),"")</f>
        <v/>
      </c>
      <c r="G117" s="527" t="str">
        <f>IF(B117&lt;&gt;0,INDEX(Tabla18[],MATCH(A117,Tabla18[Nombre],0),2),"")</f>
        <v/>
      </c>
      <c r="H117" s="527" t="str">
        <f>IF(B117&lt;&gt;0,INDEX(Tabla18[],MATCH(A117,Tabla18[Nombre],0),3),"")</f>
        <v/>
      </c>
      <c r="I117" s="527" t="str">
        <f>IF(B117&lt;&gt;0,INDEX(Tabla18[],MATCH(A117,Tabla18[Nombre],0),4),"")</f>
        <v/>
      </c>
      <c r="J117" s="527" t="str">
        <f>IF(B117&lt;&gt;0,INDEX(Tabla18[],MATCH(A117,Tabla18[Nombre],0),5),"")</f>
        <v/>
      </c>
      <c r="K117" s="596" t="str">
        <f>IF(B117&lt;&gt;0,INDEX(Tabla18[],MATCH(A117,Tabla18[Nombre],0),6),"")</f>
        <v/>
      </c>
      <c r="L117" s="598"/>
      <c r="M117" s="527"/>
      <c r="N117" s="527"/>
      <c r="O117" s="527"/>
      <c r="P117" s="527"/>
      <c r="Q117" s="600"/>
      <c r="R117" s="608"/>
      <c r="V117" s="606" t="s">
        <v>6996</v>
      </c>
      <c r="W117" s="556"/>
      <c r="X117" s="527" t="str">
        <f>IF(W117&lt;&gt;0,INDEX(Tabla16[],MATCH(V116&amp;V117&amp;W117,Tabla16[Concatenado],0),IF(AM117="Si",4,5)),"")</f>
        <v/>
      </c>
      <c r="Y117" s="527" t="str">
        <f>IF(W117&lt;&gt;0,INDEX(Tabla16[],MATCH(V116&amp;V117&amp;W117,Tabla16[Concatenado],0),6),"")</f>
        <v/>
      </c>
      <c r="Z117" s="527" t="str">
        <f>IFERROR(IF(W117&lt;&gt;0,INDEX(Tabla16[],MATCH(V116&amp;V117&amp;W117,Tabla16[Concatenado],0),IF(AA$3=TS!$O$2,7,IF(AA$3=TS!$O$3,8,IF(AA$3=TS!$O$4,9,"")))),""),"")</f>
        <v/>
      </c>
      <c r="AA117" s="527" t="str">
        <f>IF(W117&lt;&gt;0,INDEX(Tabla16[],MATCH(V116&amp;V117&amp;W117,Tabla16[Concatenado],0),10),"")</f>
        <v/>
      </c>
      <c r="AB117" s="527" t="str">
        <f>IF(W117&lt;&gt;0,INDEX(Tabla18[],MATCH(V117,Tabla18[Nombre],0),2),"")</f>
        <v/>
      </c>
      <c r="AC117" s="527" t="str">
        <f>IF(W117&lt;&gt;0,INDEX(Tabla18[],MATCH(V117,Tabla18[Nombre],0),3),"")</f>
        <v/>
      </c>
      <c r="AD117" s="527" t="str">
        <f>IF(W117&lt;&gt;0,INDEX(Tabla18[],MATCH(V117,Tabla18[Nombre],0),4),"")</f>
        <v/>
      </c>
      <c r="AE117" s="527" t="str">
        <f>IF(W117&lt;&gt;0,INDEX(Tabla18[],MATCH(V117,Tabla18[Nombre],0),5),"")</f>
        <v/>
      </c>
      <c r="AF117" s="596" t="str">
        <f>IF(W117&lt;&gt;0,INDEX(Tabla18[],MATCH(V117,Tabla18[Nombre],0),6),"")</f>
        <v/>
      </c>
      <c r="AG117" s="598"/>
      <c r="AH117" s="527"/>
      <c r="AI117" s="527"/>
      <c r="AJ117" s="527"/>
      <c r="AK117" s="527"/>
      <c r="AL117" s="600"/>
      <c r="AM117" s="608"/>
      <c r="AQ117" s="606" t="s">
        <v>6996</v>
      </c>
      <c r="AR117" s="556"/>
      <c r="AS117" s="527" t="str">
        <f>IF(AR117&lt;&gt;0,INDEX(Tabla16[],MATCH(AQ116&amp;AQ117&amp;AR117,Tabla16[Concatenado],0),IF(BH117="Si",4,5)),"")</f>
        <v/>
      </c>
      <c r="AT117" s="527" t="str">
        <f>IF(AR117&lt;&gt;0,INDEX(Tabla16[],MATCH(AQ116&amp;AQ117&amp;AR117,Tabla16[Concatenado],0),6),"")</f>
        <v/>
      </c>
      <c r="AU117" s="527" t="str">
        <f>IFERROR(IF(AR117&lt;&gt;0,INDEX(Tabla16[],MATCH(AQ116&amp;AQ117&amp;AR117,Tabla16[Concatenado],0),IF(AV$3=TS!$O$2,7,IF(AV$3=TS!$O$3,8,IF(AV$3=TS!$O$4,9,"")))),""),"")</f>
        <v/>
      </c>
      <c r="AV117" s="527" t="str">
        <f>IF(AR117&lt;&gt;0,INDEX(Tabla16[],MATCH(AQ116&amp;AQ117&amp;AR117,Tabla16[Concatenado],0),10),"")</f>
        <v/>
      </c>
      <c r="AW117" s="527" t="str">
        <f>IF(AR117&lt;&gt;0,INDEX(Tabla18[],MATCH(AQ117,Tabla18[Nombre],0),2),"")</f>
        <v/>
      </c>
      <c r="AX117" s="527" t="str">
        <f>IF(AR117&lt;&gt;0,INDEX(Tabla18[],MATCH(AQ117,Tabla18[Nombre],0),3),"")</f>
        <v/>
      </c>
      <c r="AY117" s="527" t="str">
        <f>IF(AR117&lt;&gt;0,INDEX(Tabla18[],MATCH(AQ117,Tabla18[Nombre],0),4),"")</f>
        <v/>
      </c>
      <c r="AZ117" s="527" t="str">
        <f>IF(AR117&lt;&gt;0,INDEX(Tabla18[],MATCH(AQ117,Tabla18[Nombre],0),5),"")</f>
        <v/>
      </c>
      <c r="BA117" s="596" t="str">
        <f>IF(AR117&lt;&gt;0,INDEX(Tabla18[],MATCH(AQ117,Tabla18[Nombre],0),6),"")</f>
        <v/>
      </c>
      <c r="BB117" s="598"/>
      <c r="BC117" s="527"/>
      <c r="BD117" s="527"/>
      <c r="BE117" s="527"/>
      <c r="BF117" s="527"/>
      <c r="BG117" s="600"/>
      <c r="BH117" s="608"/>
      <c r="BL117" s="606" t="s">
        <v>6996</v>
      </c>
      <c r="BM117" s="556"/>
      <c r="BN117" s="527" t="str">
        <f>IF(BM117&lt;&gt;0,INDEX(Tabla16[],MATCH(BL116&amp;BL117&amp;BM117,Tabla16[Concatenado],0),IF(CC117="Si",4,5)),"")</f>
        <v/>
      </c>
      <c r="BO117" s="527" t="str">
        <f>IF(BM117&lt;&gt;0,INDEX(Tabla16[],MATCH(BL116&amp;BL117&amp;BM117,Tabla16[Concatenado],0),6),"")</f>
        <v/>
      </c>
      <c r="BP117" s="527" t="str">
        <f>IFERROR(IF(BM117&lt;&gt;0,INDEX(Tabla16[],MATCH(BL116&amp;BL117&amp;BM117,Tabla16[Concatenado],0),IF(BQ$3=TS!$O$2,7,IF(BQ$3=TS!$O$3,8,IF(BQ$3=TS!$O$4,9,"")))),""),"")</f>
        <v/>
      </c>
      <c r="BQ117" s="527" t="str">
        <f>IF(BM117&lt;&gt;0,INDEX(Tabla16[],MATCH(BL116&amp;BL117&amp;BM117,Tabla16[Concatenado],0),10),"")</f>
        <v/>
      </c>
      <c r="BR117" s="527" t="str">
        <f>IF(BM117&lt;&gt;0,INDEX(Tabla18[],MATCH(BL117,Tabla18[Nombre],0),2),"")</f>
        <v/>
      </c>
      <c r="BS117" s="527" t="str">
        <f>IF(BM117&lt;&gt;0,INDEX(Tabla18[],MATCH(BL117,Tabla18[Nombre],0),3),"")</f>
        <v/>
      </c>
      <c r="BT117" s="527" t="str">
        <f>IF(BM117&lt;&gt;0,INDEX(Tabla18[],MATCH(BL117,Tabla18[Nombre],0),4),"")</f>
        <v/>
      </c>
      <c r="BU117" s="527" t="str">
        <f>IF(BM117&lt;&gt;0,INDEX(Tabla18[],MATCH(BL117,Tabla18[Nombre],0),5),"")</f>
        <v/>
      </c>
      <c r="BV117" s="596" t="str">
        <f>IF(BM117&lt;&gt;0,INDEX(Tabla18[],MATCH(BL117,Tabla18[Nombre],0),6),"")</f>
        <v/>
      </c>
      <c r="BW117" s="598"/>
      <c r="BX117" s="527"/>
      <c r="BY117" s="527"/>
      <c r="BZ117" s="527"/>
      <c r="CA117" s="527"/>
      <c r="CB117" s="600"/>
      <c r="CC117" s="608"/>
    </row>
    <row r="118" spans="1:81" x14ac:dyDescent="0.2">
      <c r="A118" s="606" t="s">
        <v>6997</v>
      </c>
      <c r="B118" s="556"/>
      <c r="C118" s="527" t="str">
        <f>IF(B118&lt;&gt;0,INDEX(Tabla16[],MATCH(A118&amp;B118,Tabla16[Concatenado],0),IF(R118="Si",4,5)),"")</f>
        <v/>
      </c>
      <c r="D118" s="527" t="str">
        <f>IF(B118&lt;&gt;0,INDEX(Tabla16[],MATCH(A118&amp;B118,Tabla16[Concatenado],0),6),"")</f>
        <v/>
      </c>
      <c r="E118" s="527" t="str">
        <f>IFERROR(IF(B118&lt;&gt;0,INDEX(Tabla16[],MATCH(A118&amp;B118,Tabla16[Concatenado],0),IF(F$3=TS!$O$2,7,IF(F$3=TS!$O$3,8,IF(F$3=TS!$O$4,9,"")))),""),"")</f>
        <v/>
      </c>
      <c r="F118" s="527" t="str">
        <f>IF(B118&lt;&gt;0,INDEX(Tabla16[],MATCH(A118&amp;B118,Tabla16[Concatenado],0),10),"")</f>
        <v/>
      </c>
      <c r="G118" s="527" t="str">
        <f>IF(B118&lt;&gt;0,INDEX(Tabla18[],MATCH(A118,Tabla18[Nombre],0),2),"")</f>
        <v/>
      </c>
      <c r="H118" s="527" t="str">
        <f>IF(B118&lt;&gt;0,INDEX(Tabla18[],MATCH(A118,Tabla18[Nombre],0),3),"")</f>
        <v/>
      </c>
      <c r="I118" s="527" t="str">
        <f>IF(B118&lt;&gt;0,INDEX(Tabla18[],MATCH(A118,Tabla18[Nombre],0),4),"")</f>
        <v/>
      </c>
      <c r="J118" s="527" t="str">
        <f>IF(B118&lt;&gt;0,INDEX(Tabla18[],MATCH(A118,Tabla18[Nombre],0),5),"")</f>
        <v/>
      </c>
      <c r="K118" s="596" t="str">
        <f>IF(B118&lt;&gt;0,INDEX(Tabla18[],MATCH(A118,Tabla18[Nombre],0),6),"")</f>
        <v/>
      </c>
      <c r="L118" s="598"/>
      <c r="M118" s="527"/>
      <c r="N118" s="527"/>
      <c r="O118" s="527"/>
      <c r="P118" s="527"/>
      <c r="Q118" s="600"/>
      <c r="R118" s="608"/>
      <c r="V118" s="606" t="s">
        <v>6997</v>
      </c>
      <c r="W118" s="556"/>
      <c r="X118" s="527" t="str">
        <f>IF(W118&lt;&gt;0,INDEX(Tabla16[],MATCH(V118&amp;W118,Tabla16[Concatenado],0),IF(AM118="Si",4,5)),"")</f>
        <v/>
      </c>
      <c r="Y118" s="527" t="str">
        <f>IF(W118&lt;&gt;0,INDEX(Tabla16[],MATCH(V118&amp;W118,Tabla16[Concatenado],0),6),"")</f>
        <v/>
      </c>
      <c r="Z118" s="527" t="str">
        <f>IFERROR(IF(W118&lt;&gt;0,INDEX(Tabla16[],MATCH(V118&amp;W118,Tabla16[Concatenado],0),IF(AA$3=TS!$O$2,7,IF(AA$3=TS!$O$3,8,IF(AA$3=TS!$O$4,9,"")))),""),"")</f>
        <v/>
      </c>
      <c r="AA118" s="527" t="str">
        <f>IF(W118&lt;&gt;0,INDEX(Tabla16[],MATCH(V118&amp;W118,Tabla16[Concatenado],0),10),"")</f>
        <v/>
      </c>
      <c r="AB118" s="527" t="str">
        <f>IF(W118&lt;&gt;0,INDEX(Tabla18[],MATCH(V118,Tabla18[Nombre],0),2),"")</f>
        <v/>
      </c>
      <c r="AC118" s="527" t="str">
        <f>IF(W118&lt;&gt;0,INDEX(Tabla18[],MATCH(V118,Tabla18[Nombre],0),3),"")</f>
        <v/>
      </c>
      <c r="AD118" s="527" t="str">
        <f>IF(W118&lt;&gt;0,INDEX(Tabla18[],MATCH(V118,Tabla18[Nombre],0),4),"")</f>
        <v/>
      </c>
      <c r="AE118" s="527" t="str">
        <f>IF(W118&lt;&gt;0,INDEX(Tabla18[],MATCH(V118,Tabla18[Nombre],0),5),"")</f>
        <v/>
      </c>
      <c r="AF118" s="596" t="str">
        <f>IF(W118&lt;&gt;0,INDEX(Tabla18[],MATCH(V118,Tabla18[Nombre],0),6),"")</f>
        <v/>
      </c>
      <c r="AG118" s="598"/>
      <c r="AH118" s="527"/>
      <c r="AI118" s="527"/>
      <c r="AJ118" s="527"/>
      <c r="AK118" s="527"/>
      <c r="AL118" s="600"/>
      <c r="AM118" s="608"/>
      <c r="AQ118" s="606" t="s">
        <v>6997</v>
      </c>
      <c r="AR118" s="556"/>
      <c r="AS118" s="527" t="str">
        <f>IF(AR118&lt;&gt;0,INDEX(Tabla16[],MATCH(AQ118&amp;AR118,Tabla16[Concatenado],0),IF(BH118="Si",4,5)),"")</f>
        <v/>
      </c>
      <c r="AT118" s="527" t="str">
        <f>IF(AR118&lt;&gt;0,INDEX(Tabla16[],MATCH(AQ118&amp;AR118,Tabla16[Concatenado],0),6),"")</f>
        <v/>
      </c>
      <c r="AU118" s="527" t="str">
        <f>IFERROR(IF(AR118&lt;&gt;0,INDEX(Tabla16[],MATCH(AQ118&amp;AR118,Tabla16[Concatenado],0),IF(AV$3=TS!$O$2,7,IF(AV$3=TS!$O$3,8,IF(AV$3=TS!$O$4,9,"")))),""),"")</f>
        <v/>
      </c>
      <c r="AV118" s="527" t="str">
        <f>IF(AR118&lt;&gt;0,INDEX(Tabla16[],MATCH(AQ118&amp;AR118,Tabla16[Concatenado],0),10),"")</f>
        <v/>
      </c>
      <c r="AW118" s="527" t="str">
        <f>IF(AR118&lt;&gt;0,INDEX(Tabla18[],MATCH(AQ118,Tabla18[Nombre],0),2),"")</f>
        <v/>
      </c>
      <c r="AX118" s="527" t="str">
        <f>IF(AR118&lt;&gt;0,INDEX(Tabla18[],MATCH(AQ118,Tabla18[Nombre],0),3),"")</f>
        <v/>
      </c>
      <c r="AY118" s="527" t="str">
        <f>IF(AR118&lt;&gt;0,INDEX(Tabla18[],MATCH(AQ118,Tabla18[Nombre],0),4),"")</f>
        <v/>
      </c>
      <c r="AZ118" s="527" t="str">
        <f>IF(AR118&lt;&gt;0,INDEX(Tabla18[],MATCH(AQ118,Tabla18[Nombre],0),5),"")</f>
        <v/>
      </c>
      <c r="BA118" s="596" t="str">
        <f>IF(AR118&lt;&gt;0,INDEX(Tabla18[],MATCH(AQ118,Tabla18[Nombre],0),6),"")</f>
        <v/>
      </c>
      <c r="BB118" s="598"/>
      <c r="BC118" s="527"/>
      <c r="BD118" s="527"/>
      <c r="BE118" s="527"/>
      <c r="BF118" s="527"/>
      <c r="BG118" s="600"/>
      <c r="BH118" s="608"/>
      <c r="BL118" s="606" t="s">
        <v>6997</v>
      </c>
      <c r="BM118" s="556"/>
      <c r="BN118" s="527" t="str">
        <f>IF(BM118&lt;&gt;0,INDEX(Tabla16[],MATCH(BL118&amp;BM118,Tabla16[Concatenado],0),IF(CC118="Si",4,5)),"")</f>
        <v/>
      </c>
      <c r="BO118" s="527" t="str">
        <f>IF(BM118&lt;&gt;0,INDEX(Tabla16[],MATCH(BL118&amp;BM118,Tabla16[Concatenado],0),6),"")</f>
        <v/>
      </c>
      <c r="BP118" s="527" t="str">
        <f>IFERROR(IF(BM118&lt;&gt;0,INDEX(Tabla16[],MATCH(BL118&amp;BM118,Tabla16[Concatenado],0),IF(BQ$3=TS!$O$2,7,IF(BQ$3=TS!$O$3,8,IF(BQ$3=TS!$O$4,9,"")))),""),"")</f>
        <v/>
      </c>
      <c r="BQ118" s="527" t="str">
        <f>IF(BM118&lt;&gt;0,INDEX(Tabla16[],MATCH(BL118&amp;BM118,Tabla16[Concatenado],0),10),"")</f>
        <v/>
      </c>
      <c r="BR118" s="527" t="str">
        <f>IF(BM118&lt;&gt;0,INDEX(Tabla18[],MATCH(BL118,Tabla18[Nombre],0),2),"")</f>
        <v/>
      </c>
      <c r="BS118" s="527" t="str">
        <f>IF(BM118&lt;&gt;0,INDEX(Tabla18[],MATCH(BL118,Tabla18[Nombre],0),3),"")</f>
        <v/>
      </c>
      <c r="BT118" s="527" t="str">
        <f>IF(BM118&lt;&gt;0,INDEX(Tabla18[],MATCH(BL118,Tabla18[Nombre],0),4),"")</f>
        <v/>
      </c>
      <c r="BU118" s="527" t="str">
        <f>IF(BM118&lt;&gt;0,INDEX(Tabla18[],MATCH(BL118,Tabla18[Nombre],0),5),"")</f>
        <v/>
      </c>
      <c r="BV118" s="596" t="str">
        <f>IF(BM118&lt;&gt;0,INDEX(Tabla18[],MATCH(BL118,Tabla18[Nombre],0),6),"")</f>
        <v/>
      </c>
      <c r="BW118" s="598"/>
      <c r="BX118" s="527"/>
      <c r="BY118" s="527"/>
      <c r="BZ118" s="527"/>
      <c r="CA118" s="527"/>
      <c r="CB118" s="600"/>
      <c r="CC118" s="608"/>
    </row>
    <row r="119" spans="1:81" x14ac:dyDescent="0.2">
      <c r="A119" s="606" t="s">
        <v>6996</v>
      </c>
      <c r="B119" s="556"/>
      <c r="C119" s="527" t="str">
        <f>IF(B119&lt;&gt;0,INDEX(Tabla16[],MATCH(A118&amp;A119&amp;B119,Tabla16[Concatenado],0),IF(R119="Si",4,5)),"")</f>
        <v/>
      </c>
      <c r="D119" s="527" t="str">
        <f>IF(B119&lt;&gt;0,INDEX(Tabla16[],MATCH(A118&amp;A119&amp;B119,Tabla16[Concatenado],0),6),"")</f>
        <v/>
      </c>
      <c r="E119" s="527" t="str">
        <f>IFERROR(IF(B119&lt;&gt;0,INDEX(Tabla16[],MATCH(A118&amp;A119&amp;B119,Tabla16[Concatenado],0),IF(F$3=TS!$O$2,7,IF(F$3=TS!$O$3,8,IF(F$3=TS!$O$4,9,"")))),""),"")</f>
        <v/>
      </c>
      <c r="F119" s="527" t="str">
        <f>IF(B119&lt;&gt;0,INDEX(Tabla16[],MATCH(A118&amp;A119&amp;B119,Tabla16[Concatenado],0),10),"")</f>
        <v/>
      </c>
      <c r="G119" s="527" t="str">
        <f>IF(B119&lt;&gt;0,INDEX(Tabla18[],MATCH(A119,Tabla18[Nombre],0),2),"")</f>
        <v/>
      </c>
      <c r="H119" s="527" t="str">
        <f>IF(B119&lt;&gt;0,INDEX(Tabla18[],MATCH(A119,Tabla18[Nombre],0),3),"")</f>
        <v/>
      </c>
      <c r="I119" s="527" t="str">
        <f>IF(B119&lt;&gt;0,INDEX(Tabla18[],MATCH(A119,Tabla18[Nombre],0),4),"")</f>
        <v/>
      </c>
      <c r="J119" s="527" t="str">
        <f>IF(B119&lt;&gt;0,INDEX(Tabla18[],MATCH(A119,Tabla18[Nombre],0),5),"")</f>
        <v/>
      </c>
      <c r="K119" s="596" t="str">
        <f>IF(B119&lt;&gt;0,INDEX(Tabla18[],MATCH(A119,Tabla18[Nombre],0),6),"")</f>
        <v/>
      </c>
      <c r="L119" s="598"/>
      <c r="M119" s="527"/>
      <c r="N119" s="527"/>
      <c r="O119" s="527"/>
      <c r="P119" s="527"/>
      <c r="Q119" s="600"/>
      <c r="R119" s="608"/>
      <c r="V119" s="606" t="s">
        <v>6996</v>
      </c>
      <c r="W119" s="556"/>
      <c r="X119" s="527" t="str">
        <f>IF(W119&lt;&gt;0,INDEX(Tabla16[],MATCH(V118&amp;V119&amp;W119,Tabla16[Concatenado],0),IF(AM119="Si",4,5)),"")</f>
        <v/>
      </c>
      <c r="Y119" s="527" t="str">
        <f>IF(W119&lt;&gt;0,INDEX(Tabla16[],MATCH(V118&amp;V119&amp;W119,Tabla16[Concatenado],0),6),"")</f>
        <v/>
      </c>
      <c r="Z119" s="527" t="str">
        <f>IFERROR(IF(W119&lt;&gt;0,INDEX(Tabla16[],MATCH(V118&amp;V119&amp;W119,Tabla16[Concatenado],0),IF(AA$3=TS!$O$2,7,IF(AA$3=TS!$O$3,8,IF(AA$3=TS!$O$4,9,"")))),""),"")</f>
        <v/>
      </c>
      <c r="AA119" s="527" t="str">
        <f>IF(W119&lt;&gt;0,INDEX(Tabla16[],MATCH(V118&amp;V119&amp;W119,Tabla16[Concatenado],0),10),"")</f>
        <v/>
      </c>
      <c r="AB119" s="527" t="str">
        <f>IF(W119&lt;&gt;0,INDEX(Tabla18[],MATCH(V119,Tabla18[Nombre],0),2),"")</f>
        <v/>
      </c>
      <c r="AC119" s="527" t="str">
        <f>IF(W119&lt;&gt;0,INDEX(Tabla18[],MATCH(V119,Tabla18[Nombre],0),3),"")</f>
        <v/>
      </c>
      <c r="AD119" s="527" t="str">
        <f>IF(W119&lt;&gt;0,INDEX(Tabla18[],MATCH(V119,Tabla18[Nombre],0),4),"")</f>
        <v/>
      </c>
      <c r="AE119" s="527" t="str">
        <f>IF(W119&lt;&gt;0,INDEX(Tabla18[],MATCH(V119,Tabla18[Nombre],0),5),"")</f>
        <v/>
      </c>
      <c r="AF119" s="596" t="str">
        <f>IF(W119&lt;&gt;0,INDEX(Tabla18[],MATCH(V119,Tabla18[Nombre],0),6),"")</f>
        <v/>
      </c>
      <c r="AG119" s="598"/>
      <c r="AH119" s="527"/>
      <c r="AI119" s="527"/>
      <c r="AJ119" s="527"/>
      <c r="AK119" s="527"/>
      <c r="AL119" s="600"/>
      <c r="AM119" s="608"/>
      <c r="AQ119" s="606" t="s">
        <v>6996</v>
      </c>
      <c r="AR119" s="556"/>
      <c r="AS119" s="527" t="str">
        <f>IF(AR119&lt;&gt;0,INDEX(Tabla16[],MATCH(AQ118&amp;AQ119&amp;AR119,Tabla16[Concatenado],0),IF(BH119="Si",4,5)),"")</f>
        <v/>
      </c>
      <c r="AT119" s="527" t="str">
        <f>IF(AR119&lt;&gt;0,INDEX(Tabla16[],MATCH(AQ118&amp;AQ119&amp;AR119,Tabla16[Concatenado],0),6),"")</f>
        <v/>
      </c>
      <c r="AU119" s="527" t="str">
        <f>IFERROR(IF(AR119&lt;&gt;0,INDEX(Tabla16[],MATCH(AQ118&amp;AQ119&amp;AR119,Tabla16[Concatenado],0),IF(AV$3=TS!$O$2,7,IF(AV$3=TS!$O$3,8,IF(AV$3=TS!$O$4,9,"")))),""),"")</f>
        <v/>
      </c>
      <c r="AV119" s="527" t="str">
        <f>IF(AR119&lt;&gt;0,INDEX(Tabla16[],MATCH(AQ118&amp;AQ119&amp;AR119,Tabla16[Concatenado],0),10),"")</f>
        <v/>
      </c>
      <c r="AW119" s="527" t="str">
        <f>IF(AR119&lt;&gt;0,INDEX(Tabla18[],MATCH(AQ119,Tabla18[Nombre],0),2),"")</f>
        <v/>
      </c>
      <c r="AX119" s="527" t="str">
        <f>IF(AR119&lt;&gt;0,INDEX(Tabla18[],MATCH(AQ119,Tabla18[Nombre],0),3),"")</f>
        <v/>
      </c>
      <c r="AY119" s="527" t="str">
        <f>IF(AR119&lt;&gt;0,INDEX(Tabla18[],MATCH(AQ119,Tabla18[Nombre],0),4),"")</f>
        <v/>
      </c>
      <c r="AZ119" s="527" t="str">
        <f>IF(AR119&lt;&gt;0,INDEX(Tabla18[],MATCH(AQ119,Tabla18[Nombre],0),5),"")</f>
        <v/>
      </c>
      <c r="BA119" s="596" t="str">
        <f>IF(AR119&lt;&gt;0,INDEX(Tabla18[],MATCH(AQ119,Tabla18[Nombre],0),6),"")</f>
        <v/>
      </c>
      <c r="BB119" s="598"/>
      <c r="BC119" s="527"/>
      <c r="BD119" s="527"/>
      <c r="BE119" s="527"/>
      <c r="BF119" s="527"/>
      <c r="BG119" s="600"/>
      <c r="BH119" s="608"/>
      <c r="BL119" s="606" t="s">
        <v>6996</v>
      </c>
      <c r="BM119" s="556"/>
      <c r="BN119" s="527" t="str">
        <f>IF(BM119&lt;&gt;0,INDEX(Tabla16[],MATCH(BL118&amp;BL119&amp;BM119,Tabla16[Concatenado],0),IF(CC119="Si",4,5)),"")</f>
        <v/>
      </c>
      <c r="BO119" s="527" t="str">
        <f>IF(BM119&lt;&gt;0,INDEX(Tabla16[],MATCH(BL118&amp;BL119&amp;BM119,Tabla16[Concatenado],0),6),"")</f>
        <v/>
      </c>
      <c r="BP119" s="527" t="str">
        <f>IFERROR(IF(BM119&lt;&gt;0,INDEX(Tabla16[],MATCH(BL118&amp;BL119&amp;BM119,Tabla16[Concatenado],0),IF(BQ$3=TS!$O$2,7,IF(BQ$3=TS!$O$3,8,IF(BQ$3=TS!$O$4,9,"")))),""),"")</f>
        <v/>
      </c>
      <c r="BQ119" s="527" t="str">
        <f>IF(BM119&lt;&gt;0,INDEX(Tabla16[],MATCH(BL118&amp;BL119&amp;BM119,Tabla16[Concatenado],0),10),"")</f>
        <v/>
      </c>
      <c r="BR119" s="527" t="str">
        <f>IF(BM119&lt;&gt;0,INDEX(Tabla18[],MATCH(BL119,Tabla18[Nombre],0),2),"")</f>
        <v/>
      </c>
      <c r="BS119" s="527" t="str">
        <f>IF(BM119&lt;&gt;0,INDEX(Tabla18[],MATCH(BL119,Tabla18[Nombre],0),3),"")</f>
        <v/>
      </c>
      <c r="BT119" s="527" t="str">
        <f>IF(BM119&lt;&gt;0,INDEX(Tabla18[],MATCH(BL119,Tabla18[Nombre],0),4),"")</f>
        <v/>
      </c>
      <c r="BU119" s="527" t="str">
        <f>IF(BM119&lt;&gt;0,INDEX(Tabla18[],MATCH(BL119,Tabla18[Nombre],0),5),"")</f>
        <v/>
      </c>
      <c r="BV119" s="596" t="str">
        <f>IF(BM119&lt;&gt;0,INDEX(Tabla18[],MATCH(BL119,Tabla18[Nombre],0),6),"")</f>
        <v/>
      </c>
      <c r="BW119" s="598"/>
      <c r="BX119" s="527"/>
      <c r="BY119" s="527"/>
      <c r="BZ119" s="527"/>
      <c r="CA119" s="527"/>
      <c r="CB119" s="600"/>
      <c r="CC119" s="608"/>
    </row>
    <row r="120" spans="1:81" x14ac:dyDescent="0.2">
      <c r="A120" s="606" t="s">
        <v>6998</v>
      </c>
      <c r="B120" s="556"/>
      <c r="C120" s="527" t="str">
        <f>IF(B120&lt;&gt;0,INDEX(Tabla16[],MATCH(A120&amp;B120,Tabla16[Concatenado],0),IF(R120="Si",4,5)),"")</f>
        <v/>
      </c>
      <c r="D120" s="527" t="str">
        <f>IF(B120&lt;&gt;0,INDEX(Tabla16[],MATCH(A120&amp;B120,Tabla16[Concatenado],0),6),"")</f>
        <v/>
      </c>
      <c r="E120" s="527" t="str">
        <f>IFERROR(IF(B120&lt;&gt;0,INDEX(Tabla16[],MATCH(A120&amp;B120,Tabla16[Concatenado],0),IF(F$3=TS!$O$2,7,IF(F$3=TS!$O$3,8,IF(F$3=TS!$O$4,9,"")))),""),"")</f>
        <v/>
      </c>
      <c r="F120" s="527" t="str">
        <f>IF(B120&lt;&gt;0,INDEX(Tabla16[],MATCH(A120&amp;B120,Tabla16[Concatenado],0),10),"")</f>
        <v/>
      </c>
      <c r="G120" s="527" t="str">
        <f>IF(B120&lt;&gt;0,INDEX(Tabla18[],MATCH(A120,Tabla18[Nombre],0),2),"")</f>
        <v/>
      </c>
      <c r="H120" s="527" t="str">
        <f>IF(B120&lt;&gt;0,INDEX(Tabla18[],MATCH(A120,Tabla18[Nombre],0),3),"")</f>
        <v/>
      </c>
      <c r="I120" s="527" t="str">
        <f>IF(B120&lt;&gt;0,INDEX(Tabla18[],MATCH(A120,Tabla18[Nombre],0),4),"")</f>
        <v/>
      </c>
      <c r="J120" s="527" t="str">
        <f>IF(B120&lt;&gt;0,INDEX(Tabla18[],MATCH(A120,Tabla18[Nombre],0),5),"")</f>
        <v/>
      </c>
      <c r="K120" s="596" t="str">
        <f>IF(B120&lt;&gt;0,INDEX(Tabla18[],MATCH(A120,Tabla18[Nombre],0),6),"")</f>
        <v/>
      </c>
      <c r="L120" s="598"/>
      <c r="M120" s="527"/>
      <c r="N120" s="527"/>
      <c r="O120" s="527"/>
      <c r="P120" s="527"/>
      <c r="Q120" s="600"/>
      <c r="R120" s="608"/>
      <c r="V120" s="606" t="s">
        <v>6998</v>
      </c>
      <c r="W120" s="556"/>
      <c r="X120" s="527" t="str">
        <f>IF(W120&lt;&gt;0,INDEX(Tabla16[],MATCH(V120&amp;W120,Tabla16[Concatenado],0),IF(AM120="Si",4,5)),"")</f>
        <v/>
      </c>
      <c r="Y120" s="527" t="str">
        <f>IF(W120&lt;&gt;0,INDEX(Tabla16[],MATCH(V120&amp;W120,Tabla16[Concatenado],0),6),"")</f>
        <v/>
      </c>
      <c r="Z120" s="527" t="str">
        <f>IFERROR(IF(W120&lt;&gt;0,INDEX(Tabla16[],MATCH(V120&amp;W120,Tabla16[Concatenado],0),IF(AA$3=TS!$O$2,7,IF(AA$3=TS!$O$3,8,IF(AA$3=TS!$O$4,9,"")))),""),"")</f>
        <v/>
      </c>
      <c r="AA120" s="527" t="str">
        <f>IF(W120&lt;&gt;0,INDEX(Tabla16[],MATCH(V120&amp;W120,Tabla16[Concatenado],0),10),"")</f>
        <v/>
      </c>
      <c r="AB120" s="527" t="str">
        <f>IF(W120&lt;&gt;0,INDEX(Tabla18[],MATCH(V120,Tabla18[Nombre],0),2),"")</f>
        <v/>
      </c>
      <c r="AC120" s="527" t="str">
        <f>IF(W120&lt;&gt;0,INDEX(Tabla18[],MATCH(V120,Tabla18[Nombre],0),3),"")</f>
        <v/>
      </c>
      <c r="AD120" s="527" t="str">
        <f>IF(W120&lt;&gt;0,INDEX(Tabla18[],MATCH(V120,Tabla18[Nombre],0),4),"")</f>
        <v/>
      </c>
      <c r="AE120" s="527" t="str">
        <f>IF(W120&lt;&gt;0,INDEX(Tabla18[],MATCH(V120,Tabla18[Nombre],0),5),"")</f>
        <v/>
      </c>
      <c r="AF120" s="596" t="str">
        <f>IF(W120&lt;&gt;0,INDEX(Tabla18[],MATCH(V120,Tabla18[Nombre],0),6),"")</f>
        <v/>
      </c>
      <c r="AG120" s="598"/>
      <c r="AH120" s="527"/>
      <c r="AI120" s="527"/>
      <c r="AJ120" s="527"/>
      <c r="AK120" s="527"/>
      <c r="AL120" s="600"/>
      <c r="AM120" s="608"/>
      <c r="AQ120" s="606" t="s">
        <v>6998</v>
      </c>
      <c r="AR120" s="556"/>
      <c r="AS120" s="527" t="str">
        <f>IF(AR120&lt;&gt;0,INDEX(Tabla16[],MATCH(AQ120&amp;AR120,Tabla16[Concatenado],0),IF(BH120="Si",4,5)),"")</f>
        <v/>
      </c>
      <c r="AT120" s="527" t="str">
        <f>IF(AR120&lt;&gt;0,INDEX(Tabla16[],MATCH(AQ120&amp;AR120,Tabla16[Concatenado],0),6),"")</f>
        <v/>
      </c>
      <c r="AU120" s="527" t="str">
        <f>IFERROR(IF(AR120&lt;&gt;0,INDEX(Tabla16[],MATCH(AQ120&amp;AR120,Tabla16[Concatenado],0),IF(AV$3=TS!$O$2,7,IF(AV$3=TS!$O$3,8,IF(AV$3=TS!$O$4,9,"")))),""),"")</f>
        <v/>
      </c>
      <c r="AV120" s="527" t="str">
        <f>IF(AR120&lt;&gt;0,INDEX(Tabla16[],MATCH(AQ120&amp;AR120,Tabla16[Concatenado],0),10),"")</f>
        <v/>
      </c>
      <c r="AW120" s="527" t="str">
        <f>IF(AR120&lt;&gt;0,INDEX(Tabla18[],MATCH(AQ120,Tabla18[Nombre],0),2),"")</f>
        <v/>
      </c>
      <c r="AX120" s="527" t="str">
        <f>IF(AR120&lt;&gt;0,INDEX(Tabla18[],MATCH(AQ120,Tabla18[Nombre],0),3),"")</f>
        <v/>
      </c>
      <c r="AY120" s="527" t="str">
        <f>IF(AR120&lt;&gt;0,INDEX(Tabla18[],MATCH(AQ120,Tabla18[Nombre],0),4),"")</f>
        <v/>
      </c>
      <c r="AZ120" s="527" t="str">
        <f>IF(AR120&lt;&gt;0,INDEX(Tabla18[],MATCH(AQ120,Tabla18[Nombre],0),5),"")</f>
        <v/>
      </c>
      <c r="BA120" s="596" t="str">
        <f>IF(AR120&lt;&gt;0,INDEX(Tabla18[],MATCH(AQ120,Tabla18[Nombre],0),6),"")</f>
        <v/>
      </c>
      <c r="BB120" s="598"/>
      <c r="BC120" s="527"/>
      <c r="BD120" s="527"/>
      <c r="BE120" s="527"/>
      <c r="BF120" s="527"/>
      <c r="BG120" s="600"/>
      <c r="BH120" s="608"/>
      <c r="BL120" s="606" t="s">
        <v>6998</v>
      </c>
      <c r="BM120" s="556"/>
      <c r="BN120" s="527" t="str">
        <f>IF(BM120&lt;&gt;0,INDEX(Tabla16[],MATCH(BL120&amp;BM120,Tabla16[Concatenado],0),IF(CC120="Si",4,5)),"")</f>
        <v/>
      </c>
      <c r="BO120" s="527" t="str">
        <f>IF(BM120&lt;&gt;0,INDEX(Tabla16[],MATCH(BL120&amp;BM120,Tabla16[Concatenado],0),6),"")</f>
        <v/>
      </c>
      <c r="BP120" s="527" t="str">
        <f>IFERROR(IF(BM120&lt;&gt;0,INDEX(Tabla16[],MATCH(BL120&amp;BM120,Tabla16[Concatenado],0),IF(BQ$3=TS!$O$2,7,IF(BQ$3=TS!$O$3,8,IF(BQ$3=TS!$O$4,9,"")))),""),"")</f>
        <v/>
      </c>
      <c r="BQ120" s="527" t="str">
        <f>IF(BM120&lt;&gt;0,INDEX(Tabla16[],MATCH(BL120&amp;BM120,Tabla16[Concatenado],0),10),"")</f>
        <v/>
      </c>
      <c r="BR120" s="527" t="str">
        <f>IF(BM120&lt;&gt;0,INDEX(Tabla18[],MATCH(BL120,Tabla18[Nombre],0),2),"")</f>
        <v/>
      </c>
      <c r="BS120" s="527" t="str">
        <f>IF(BM120&lt;&gt;0,INDEX(Tabla18[],MATCH(BL120,Tabla18[Nombre],0),3),"")</f>
        <v/>
      </c>
      <c r="BT120" s="527" t="str">
        <f>IF(BM120&lt;&gt;0,INDEX(Tabla18[],MATCH(BL120,Tabla18[Nombre],0),4),"")</f>
        <v/>
      </c>
      <c r="BU120" s="527" t="str">
        <f>IF(BM120&lt;&gt;0,INDEX(Tabla18[],MATCH(BL120,Tabla18[Nombre],0),5),"")</f>
        <v/>
      </c>
      <c r="BV120" s="596" t="str">
        <f>IF(BM120&lt;&gt;0,INDEX(Tabla18[],MATCH(BL120,Tabla18[Nombre],0),6),"")</f>
        <v/>
      </c>
      <c r="BW120" s="598"/>
      <c r="BX120" s="527"/>
      <c r="BY120" s="527"/>
      <c r="BZ120" s="527"/>
      <c r="CA120" s="527"/>
      <c r="CB120" s="600"/>
      <c r="CC120" s="608"/>
    </row>
    <row r="121" spans="1:81" x14ac:dyDescent="0.2">
      <c r="A121" s="606" t="s">
        <v>6899</v>
      </c>
      <c r="B121" s="556"/>
      <c r="C121" s="527" t="str">
        <f>IF(B121&lt;&gt;0,INDEX(Tabla16[],MATCH(A120&amp;A121&amp;B121,Tabla16[Concatenado],0),IF(R121="Si",4,5)),"")</f>
        <v/>
      </c>
      <c r="D121" s="527" t="str">
        <f>IF(B121&lt;&gt;0,INDEX(Tabla16[],MATCH(A120&amp;A121&amp;B121,Tabla16[Concatenado],0),6),"")</f>
        <v/>
      </c>
      <c r="E121" s="527" t="str">
        <f>IFERROR(IF(B121&lt;&gt;0,INDEX(Tabla16[],MATCH(A120&amp;A121&amp;B121,Tabla16[Concatenado],0),IF(F$3=TS!$O$2,7,IF(F$3=TS!$O$3,8,IF(F$3=TS!$O$4,9,"")))),""),"")</f>
        <v/>
      </c>
      <c r="F121" s="527" t="str">
        <f>IF(B121&lt;&gt;0,INDEX(Tabla16[],MATCH(A120&amp;A121&amp;B121,Tabla16[Concatenado],0),10),"")</f>
        <v/>
      </c>
      <c r="G121" s="527" t="str">
        <f>IF(B121&lt;&gt;0,INDEX(Tabla18[],MATCH(A121,Tabla18[Nombre],0),2),"")</f>
        <v/>
      </c>
      <c r="H121" s="527" t="str">
        <f>IF(B121&lt;&gt;0,INDEX(Tabla18[],MATCH(A121,Tabla18[Nombre],0),3),"")</f>
        <v/>
      </c>
      <c r="I121" s="527" t="str">
        <f>IF(B121&lt;&gt;0,INDEX(Tabla18[],MATCH(A121,Tabla18[Nombre],0),4),"")</f>
        <v/>
      </c>
      <c r="J121" s="527" t="str">
        <f>IF(B121&lt;&gt;0,INDEX(Tabla18[],MATCH(A121,Tabla18[Nombre],0),5),"")</f>
        <v/>
      </c>
      <c r="K121" s="596" t="str">
        <f>IF(B121&lt;&gt;0,INDEX(Tabla18[],MATCH(A121,Tabla18[Nombre],0),6),"")</f>
        <v/>
      </c>
      <c r="L121" s="598"/>
      <c r="M121" s="527"/>
      <c r="N121" s="527"/>
      <c r="O121" s="527"/>
      <c r="P121" s="527"/>
      <c r="Q121" s="600"/>
      <c r="R121" s="608"/>
      <c r="V121" s="606" t="s">
        <v>6899</v>
      </c>
      <c r="W121" s="556"/>
      <c r="X121" s="527" t="str">
        <f>IF(W121&lt;&gt;0,INDEX(Tabla16[],MATCH(V120&amp;V121&amp;W121,Tabla16[Concatenado],0),IF(AM121="Si",4,5)),"")</f>
        <v/>
      </c>
      <c r="Y121" s="527" t="str">
        <f>IF(W121&lt;&gt;0,INDEX(Tabla16[],MATCH(V120&amp;V121&amp;W121,Tabla16[Concatenado],0),6),"")</f>
        <v/>
      </c>
      <c r="Z121" s="527" t="str">
        <f>IFERROR(IF(W121&lt;&gt;0,INDEX(Tabla16[],MATCH(V120&amp;V121&amp;W121,Tabla16[Concatenado],0),IF(AA$3=TS!$O$2,7,IF(AA$3=TS!$O$3,8,IF(AA$3=TS!$O$4,9,"")))),""),"")</f>
        <v/>
      </c>
      <c r="AA121" s="527" t="str">
        <f>IF(W121&lt;&gt;0,INDEX(Tabla16[],MATCH(V120&amp;V121&amp;W121,Tabla16[Concatenado],0),10),"")</f>
        <v/>
      </c>
      <c r="AB121" s="527" t="str">
        <f>IF(W121&lt;&gt;0,INDEX(Tabla18[],MATCH(V121,Tabla18[Nombre],0),2),"")</f>
        <v/>
      </c>
      <c r="AC121" s="527" t="str">
        <f>IF(W121&lt;&gt;0,INDEX(Tabla18[],MATCH(V121,Tabla18[Nombre],0),3),"")</f>
        <v/>
      </c>
      <c r="AD121" s="527" t="str">
        <f>IF(W121&lt;&gt;0,INDEX(Tabla18[],MATCH(V121,Tabla18[Nombre],0),4),"")</f>
        <v/>
      </c>
      <c r="AE121" s="527" t="str">
        <f>IF(W121&lt;&gt;0,INDEX(Tabla18[],MATCH(V121,Tabla18[Nombre],0),5),"")</f>
        <v/>
      </c>
      <c r="AF121" s="596" t="str">
        <f>IF(W121&lt;&gt;0,INDEX(Tabla18[],MATCH(V121,Tabla18[Nombre],0),6),"")</f>
        <v/>
      </c>
      <c r="AG121" s="598"/>
      <c r="AH121" s="527"/>
      <c r="AI121" s="527"/>
      <c r="AJ121" s="527"/>
      <c r="AK121" s="527"/>
      <c r="AL121" s="600"/>
      <c r="AM121" s="608"/>
      <c r="AQ121" s="606" t="s">
        <v>6899</v>
      </c>
      <c r="AR121" s="556"/>
      <c r="AS121" s="527" t="str">
        <f>IF(AR121&lt;&gt;0,INDEX(Tabla16[],MATCH(AQ120&amp;AQ121&amp;AR121,Tabla16[Concatenado],0),IF(BH121="Si",4,5)),"")</f>
        <v/>
      </c>
      <c r="AT121" s="527" t="str">
        <f>IF(AR121&lt;&gt;0,INDEX(Tabla16[],MATCH(AQ120&amp;AQ121&amp;AR121,Tabla16[Concatenado],0),6),"")</f>
        <v/>
      </c>
      <c r="AU121" s="527" t="str">
        <f>IFERROR(IF(AR121&lt;&gt;0,INDEX(Tabla16[],MATCH(AQ120&amp;AQ121&amp;AR121,Tabla16[Concatenado],0),IF(AV$3=TS!$O$2,7,IF(AV$3=TS!$O$3,8,IF(AV$3=TS!$O$4,9,"")))),""),"")</f>
        <v/>
      </c>
      <c r="AV121" s="527" t="str">
        <f>IF(AR121&lt;&gt;0,INDEX(Tabla16[],MATCH(AQ120&amp;AQ121&amp;AR121,Tabla16[Concatenado],0),10),"")</f>
        <v/>
      </c>
      <c r="AW121" s="527" t="str">
        <f>IF(AR121&lt;&gt;0,INDEX(Tabla18[],MATCH(AQ121,Tabla18[Nombre],0),2),"")</f>
        <v/>
      </c>
      <c r="AX121" s="527" t="str">
        <f>IF(AR121&lt;&gt;0,INDEX(Tabla18[],MATCH(AQ121,Tabla18[Nombre],0),3),"")</f>
        <v/>
      </c>
      <c r="AY121" s="527" t="str">
        <f>IF(AR121&lt;&gt;0,INDEX(Tabla18[],MATCH(AQ121,Tabla18[Nombre],0),4),"")</f>
        <v/>
      </c>
      <c r="AZ121" s="527" t="str">
        <f>IF(AR121&lt;&gt;0,INDEX(Tabla18[],MATCH(AQ121,Tabla18[Nombre],0),5),"")</f>
        <v/>
      </c>
      <c r="BA121" s="596" t="str">
        <f>IF(AR121&lt;&gt;0,INDEX(Tabla18[],MATCH(AQ121,Tabla18[Nombre],0),6),"")</f>
        <v/>
      </c>
      <c r="BB121" s="598"/>
      <c r="BC121" s="527"/>
      <c r="BD121" s="527"/>
      <c r="BE121" s="527"/>
      <c r="BF121" s="527"/>
      <c r="BG121" s="600"/>
      <c r="BH121" s="608"/>
      <c r="BL121" s="606" t="s">
        <v>6899</v>
      </c>
      <c r="BM121" s="556"/>
      <c r="BN121" s="527" t="str">
        <f>IF(BM121&lt;&gt;0,INDEX(Tabla16[],MATCH(BL120&amp;BL121&amp;BM121,Tabla16[Concatenado],0),IF(CC121="Si",4,5)),"")</f>
        <v/>
      </c>
      <c r="BO121" s="527" t="str">
        <f>IF(BM121&lt;&gt;0,INDEX(Tabla16[],MATCH(BL120&amp;BL121&amp;BM121,Tabla16[Concatenado],0),6),"")</f>
        <v/>
      </c>
      <c r="BP121" s="527" t="str">
        <f>IFERROR(IF(BM121&lt;&gt;0,INDEX(Tabla16[],MATCH(BL120&amp;BL121&amp;BM121,Tabla16[Concatenado],0),IF(BQ$3=TS!$O$2,7,IF(BQ$3=TS!$O$3,8,IF(BQ$3=TS!$O$4,9,"")))),""),"")</f>
        <v/>
      </c>
      <c r="BQ121" s="527" t="str">
        <f>IF(BM121&lt;&gt;0,INDEX(Tabla16[],MATCH(BL120&amp;BL121&amp;BM121,Tabla16[Concatenado],0),10),"")</f>
        <v/>
      </c>
      <c r="BR121" s="527" t="str">
        <f>IF(BM121&lt;&gt;0,INDEX(Tabla18[],MATCH(BL121,Tabla18[Nombre],0),2),"")</f>
        <v/>
      </c>
      <c r="BS121" s="527" t="str">
        <f>IF(BM121&lt;&gt;0,INDEX(Tabla18[],MATCH(BL121,Tabla18[Nombre],0),3),"")</f>
        <v/>
      </c>
      <c r="BT121" s="527" t="str">
        <f>IF(BM121&lt;&gt;0,INDEX(Tabla18[],MATCH(BL121,Tabla18[Nombre],0),4),"")</f>
        <v/>
      </c>
      <c r="BU121" s="527" t="str">
        <f>IF(BM121&lt;&gt;0,INDEX(Tabla18[],MATCH(BL121,Tabla18[Nombre],0),5),"")</f>
        <v/>
      </c>
      <c r="BV121" s="596" t="str">
        <f>IF(BM121&lt;&gt;0,INDEX(Tabla18[],MATCH(BL121,Tabla18[Nombre],0),6),"")</f>
        <v/>
      </c>
      <c r="BW121" s="598"/>
      <c r="BX121" s="527"/>
      <c r="BY121" s="527"/>
      <c r="BZ121" s="527"/>
      <c r="CA121" s="527"/>
      <c r="CB121" s="600"/>
      <c r="CC121" s="608"/>
    </row>
    <row r="122" spans="1:81" ht="13.5" thickBot="1" x14ac:dyDescent="0.25">
      <c r="A122" s="612" t="s">
        <v>6999</v>
      </c>
      <c r="B122" s="613"/>
      <c r="C122" s="604" t="str">
        <f>IF(B122&lt;&gt;0,INDEX(Tabla16[],MATCH(A120&amp;A122&amp;B122,Tabla16[Concatenado],0),IF(R122="Si",4,5)),"")</f>
        <v/>
      </c>
      <c r="D122" s="604" t="str">
        <f>IF(B122&lt;&gt;0,INDEX(Tabla16[],MATCH(A120&amp;A122&amp;B122,Tabla16[Concatenado],0),6),"")</f>
        <v/>
      </c>
      <c r="E122" s="604" t="str">
        <f>IFERROR(IF(B122&lt;&gt;0,INDEX(Tabla16[],MATCH(A120&amp;A122&amp;B122,Tabla16[Concatenado],0),IF(F$3=TS!$O$2,7,IF(F$3=TS!$O$3,8,IF(F$3=TS!$O$4,9,"")))),""),"")</f>
        <v/>
      </c>
      <c r="F122" s="604" t="str">
        <f>IF(B122&lt;&gt;0,INDEX(Tabla16[],MATCH(A120&amp;A122&amp;B122,Tabla16[Concatenado],0),10),"")</f>
        <v/>
      </c>
      <c r="G122" s="604" t="str">
        <f>IF(B122&lt;&gt;0,INDEX(Tabla18[],MATCH(A122,Tabla18[Nombre],0),2),"")</f>
        <v/>
      </c>
      <c r="H122" s="604" t="str">
        <f>IF(B122&lt;&gt;0,INDEX(Tabla18[],MATCH(A122,Tabla18[Nombre],0),3),"")</f>
        <v/>
      </c>
      <c r="I122" s="604" t="str">
        <f>IF(B122&lt;&gt;0,INDEX(Tabla18[],MATCH(A122,Tabla18[Nombre],0),4),"")</f>
        <v/>
      </c>
      <c r="J122" s="604" t="str">
        <f>IF(B122&lt;&gt;0,INDEX(Tabla18[],MATCH(A122,Tabla18[Nombre],0),5),"")</f>
        <v/>
      </c>
      <c r="K122" s="605" t="str">
        <f>IF(B122&lt;&gt;0,INDEX(Tabla18[],MATCH(A122,Tabla18[Nombre],0),6),"")</f>
        <v/>
      </c>
      <c r="L122" s="603"/>
      <c r="M122" s="604"/>
      <c r="N122" s="604"/>
      <c r="O122" s="604"/>
      <c r="P122" s="604"/>
      <c r="Q122" s="605"/>
      <c r="R122" s="561"/>
      <c r="V122" s="612" t="s">
        <v>6999</v>
      </c>
      <c r="W122" s="613"/>
      <c r="X122" s="604" t="str">
        <f>IF(W122&lt;&gt;0,INDEX(Tabla16[],MATCH(V120&amp;V122&amp;W122,Tabla16[Concatenado],0),IF(AM122="Si",4,5)),"")</f>
        <v/>
      </c>
      <c r="Y122" s="604" t="str">
        <f>IF(W122&lt;&gt;0,INDEX(Tabla16[],MATCH(V120&amp;V122&amp;W122,Tabla16[Concatenado],0),6),"")</f>
        <v/>
      </c>
      <c r="Z122" s="604" t="str">
        <f>IFERROR(IF(W122&lt;&gt;0,INDEX(Tabla16[],MATCH(V120&amp;V122&amp;W122,Tabla16[Concatenado],0),IF(AA$3=TS!$O$2,7,IF(AA$3=TS!$O$3,8,IF(AA$3=TS!$O$4,9,"")))),""),"")</f>
        <v/>
      </c>
      <c r="AA122" s="604" t="str">
        <f>IF(W122&lt;&gt;0,INDEX(Tabla16[],MATCH(V120&amp;V122&amp;W122,Tabla16[Concatenado],0),10),"")</f>
        <v/>
      </c>
      <c r="AB122" s="604" t="str">
        <f>IF(W122&lt;&gt;0,INDEX(Tabla18[],MATCH(V122,Tabla18[Nombre],0),2),"")</f>
        <v/>
      </c>
      <c r="AC122" s="604" t="str">
        <f>IF(W122&lt;&gt;0,INDEX(Tabla18[],MATCH(V122,Tabla18[Nombre],0),3),"")</f>
        <v/>
      </c>
      <c r="AD122" s="604" t="str">
        <f>IF(W122&lt;&gt;0,INDEX(Tabla18[],MATCH(V122,Tabla18[Nombre],0),4),"")</f>
        <v/>
      </c>
      <c r="AE122" s="604" t="str">
        <f>IF(W122&lt;&gt;0,INDEX(Tabla18[],MATCH(V122,Tabla18[Nombre],0),5),"")</f>
        <v/>
      </c>
      <c r="AF122" s="605" t="str">
        <f>IF(W122&lt;&gt;0,INDEX(Tabla18[],MATCH(V122,Tabla18[Nombre],0),6),"")</f>
        <v/>
      </c>
      <c r="AG122" s="603"/>
      <c r="AH122" s="604"/>
      <c r="AI122" s="604"/>
      <c r="AJ122" s="604"/>
      <c r="AK122" s="604"/>
      <c r="AL122" s="605"/>
      <c r="AM122" s="561"/>
      <c r="AQ122" s="612" t="s">
        <v>6999</v>
      </c>
      <c r="AR122" s="613"/>
      <c r="AS122" s="604" t="str">
        <f>IF(AR122&lt;&gt;0,INDEX(Tabla16[],MATCH(AQ120&amp;AQ122&amp;AR122,Tabla16[Concatenado],0),IF(BH122="Si",4,5)),"")</f>
        <v/>
      </c>
      <c r="AT122" s="604" t="str">
        <f>IF(AR122&lt;&gt;0,INDEX(Tabla16[],MATCH(AQ120&amp;AQ122&amp;AR122,Tabla16[Concatenado],0),6),"")</f>
        <v/>
      </c>
      <c r="AU122" s="604" t="str">
        <f>IFERROR(IF(AR122&lt;&gt;0,INDEX(Tabla16[],MATCH(AQ120&amp;AQ122&amp;AR122,Tabla16[Concatenado],0),IF(AV$3=TS!$O$2,7,IF(AV$3=TS!$O$3,8,IF(AV$3=TS!$O$4,9,"")))),""),"")</f>
        <v/>
      </c>
      <c r="AV122" s="604" t="str">
        <f>IF(AR122&lt;&gt;0,INDEX(Tabla16[],MATCH(AQ120&amp;AQ122&amp;AR122,Tabla16[Concatenado],0),10),"")</f>
        <v/>
      </c>
      <c r="AW122" s="604" t="str">
        <f>IF(AR122&lt;&gt;0,INDEX(Tabla18[],MATCH(AQ122,Tabla18[Nombre],0),2),"")</f>
        <v/>
      </c>
      <c r="AX122" s="604" t="str">
        <f>IF(AR122&lt;&gt;0,INDEX(Tabla18[],MATCH(AQ122,Tabla18[Nombre],0),3),"")</f>
        <v/>
      </c>
      <c r="AY122" s="604" t="str">
        <f>IF(AR122&lt;&gt;0,INDEX(Tabla18[],MATCH(AQ122,Tabla18[Nombre],0),4),"")</f>
        <v/>
      </c>
      <c r="AZ122" s="604" t="str">
        <f>IF(AR122&lt;&gt;0,INDEX(Tabla18[],MATCH(AQ122,Tabla18[Nombre],0),5),"")</f>
        <v/>
      </c>
      <c r="BA122" s="605" t="str">
        <f>IF(AR122&lt;&gt;0,INDEX(Tabla18[],MATCH(AQ122,Tabla18[Nombre],0),6),"")</f>
        <v/>
      </c>
      <c r="BB122" s="603"/>
      <c r="BC122" s="604"/>
      <c r="BD122" s="604"/>
      <c r="BE122" s="604"/>
      <c r="BF122" s="604"/>
      <c r="BG122" s="605"/>
      <c r="BH122" s="561"/>
      <c r="BL122" s="612" t="s">
        <v>6999</v>
      </c>
      <c r="BM122" s="613"/>
      <c r="BN122" s="604" t="str">
        <f>IF(BM122&lt;&gt;0,INDEX(Tabla16[],MATCH(BL120&amp;BL122&amp;BM122,Tabla16[Concatenado],0),IF(CC122="Si",4,5)),"")</f>
        <v/>
      </c>
      <c r="BO122" s="604" t="str">
        <f>IF(BM122&lt;&gt;0,INDEX(Tabla16[],MATCH(BL120&amp;BL122&amp;BM122,Tabla16[Concatenado],0),6),"")</f>
        <v/>
      </c>
      <c r="BP122" s="604" t="str">
        <f>IFERROR(IF(BM122&lt;&gt;0,INDEX(Tabla16[],MATCH(BL120&amp;BL122&amp;BM122,Tabla16[Concatenado],0),IF(BQ$3=TS!$O$2,7,IF(BQ$3=TS!$O$3,8,IF(BQ$3=TS!$O$4,9,"")))),""),"")</f>
        <v/>
      </c>
      <c r="BQ122" s="604" t="str">
        <f>IF(BM122&lt;&gt;0,INDEX(Tabla16[],MATCH(BL120&amp;BL122&amp;BM122,Tabla16[Concatenado],0),10),"")</f>
        <v/>
      </c>
      <c r="BR122" s="604" t="str">
        <f>IF(BM122&lt;&gt;0,INDEX(Tabla18[],MATCH(BL122,Tabla18[Nombre],0),2),"")</f>
        <v/>
      </c>
      <c r="BS122" s="604" t="str">
        <f>IF(BM122&lt;&gt;0,INDEX(Tabla18[],MATCH(BL122,Tabla18[Nombre],0),3),"")</f>
        <v/>
      </c>
      <c r="BT122" s="604" t="str">
        <f>IF(BM122&lt;&gt;0,INDEX(Tabla18[],MATCH(BL122,Tabla18[Nombre],0),4),"")</f>
        <v/>
      </c>
      <c r="BU122" s="604" t="str">
        <f>IF(BM122&lt;&gt;0,INDEX(Tabla18[],MATCH(BL122,Tabla18[Nombre],0),5),"")</f>
        <v/>
      </c>
      <c r="BV122" s="605" t="str">
        <f>IF(BM122&lt;&gt;0,INDEX(Tabla18[],MATCH(BL122,Tabla18[Nombre],0),6),"")</f>
        <v/>
      </c>
      <c r="BW122" s="603"/>
      <c r="BX122" s="604"/>
      <c r="BY122" s="604"/>
      <c r="BZ122" s="604"/>
      <c r="CA122" s="604"/>
      <c r="CB122" s="605"/>
      <c r="CC122" s="561"/>
    </row>
    <row r="123" spans="1:81" x14ac:dyDescent="0.2">
      <c r="A123" s="554"/>
      <c r="B123" s="554"/>
      <c r="V123" s="554"/>
      <c r="W123" s="554"/>
      <c r="AQ123" s="554"/>
      <c r="AR123" s="554"/>
      <c r="BL123" s="554"/>
      <c r="BM123" s="554"/>
    </row>
    <row r="124" spans="1:81" x14ac:dyDescent="0.2">
      <c r="A124" s="555" t="s">
        <v>7083</v>
      </c>
      <c r="B124" s="555" t="s">
        <v>7107</v>
      </c>
      <c r="C124" s="306" t="s">
        <v>7108</v>
      </c>
      <c r="D124" s="306" t="s">
        <v>14</v>
      </c>
      <c r="E124" s="306" t="s">
        <v>277</v>
      </c>
      <c r="V124" s="555" t="s">
        <v>7083</v>
      </c>
      <c r="W124" s="555" t="s">
        <v>7107</v>
      </c>
      <c r="X124" s="306" t="s">
        <v>7108</v>
      </c>
      <c r="Y124" s="306" t="s">
        <v>14</v>
      </c>
      <c r="Z124" s="306" t="s">
        <v>277</v>
      </c>
      <c r="AQ124" s="555" t="s">
        <v>7083</v>
      </c>
      <c r="AR124" s="555" t="s">
        <v>7107</v>
      </c>
      <c r="AS124" s="306" t="s">
        <v>7108</v>
      </c>
      <c r="AT124" s="306" t="s">
        <v>14</v>
      </c>
      <c r="AU124" s="306" t="s">
        <v>277</v>
      </c>
      <c r="BL124" s="555" t="s">
        <v>7083</v>
      </c>
      <c r="BM124" s="555" t="s">
        <v>7107</v>
      </c>
      <c r="BN124" s="306" t="s">
        <v>7108</v>
      </c>
      <c r="BO124" s="306" t="s">
        <v>14</v>
      </c>
      <c r="BP124" s="306" t="s">
        <v>277</v>
      </c>
    </row>
    <row r="125" spans="1:81" x14ac:dyDescent="0.2">
      <c r="A125" s="556" t="s">
        <v>7084</v>
      </c>
      <c r="B125" s="556"/>
      <c r="C125" s="527" t="str">
        <f>IF(B125=0,"",INDEX(Tabla17[],MATCH(A125&amp;B125,Tabla17[concatenado],0),4))</f>
        <v/>
      </c>
      <c r="D125" s="527" t="str">
        <f>IF(B125=0,"",INDEX(Tabla17[],MATCH(A125&amp;B125,Tabla17[concatenado],0),5))</f>
        <v/>
      </c>
      <c r="E125" s="527" t="str">
        <f>IF(B125=0,"",INDEX(Tabla17[],MATCH(A125&amp;B125,Tabla17[concatenado],0),6))</f>
        <v/>
      </c>
      <c r="V125" s="556" t="s">
        <v>7084</v>
      </c>
      <c r="W125" s="556"/>
      <c r="X125" s="527" t="str">
        <f>IF(W125=0,"",INDEX(Tabla17[],MATCH(V125&amp;W125,Tabla17[concatenado],0),4))</f>
        <v/>
      </c>
      <c r="Y125" s="527" t="str">
        <f>IF(W125=0,"",INDEX(Tabla17[],MATCH(V125&amp;W125,Tabla17[concatenado],0),5))</f>
        <v/>
      </c>
      <c r="Z125" s="527" t="str">
        <f>IF(W125=0,"",INDEX(Tabla17[],MATCH(V125&amp;W125,Tabla17[concatenado],0),6))</f>
        <v/>
      </c>
      <c r="AQ125" s="556" t="s">
        <v>7084</v>
      </c>
      <c r="AR125" s="556"/>
      <c r="AS125" s="527" t="str">
        <f>IF(AR125=0,"",INDEX(Tabla17[],MATCH(AQ125&amp;AR125,Tabla17[concatenado],0),4))</f>
        <v/>
      </c>
      <c r="AT125" s="527" t="str">
        <f>IF(AR125=0,"",INDEX(Tabla17[],MATCH(AQ125&amp;AR125,Tabla17[concatenado],0),5))</f>
        <v/>
      </c>
      <c r="AU125" s="527" t="str">
        <f>IF(AR125=0,"",INDEX(Tabla17[],MATCH(AQ125&amp;AR125,Tabla17[concatenado],0),6))</f>
        <v/>
      </c>
      <c r="BL125" s="556" t="s">
        <v>7084</v>
      </c>
      <c r="BM125" s="556"/>
      <c r="BN125" s="527" t="str">
        <f>IF(BM125=0,"",INDEX(Tabla17[],MATCH(BL125&amp;BM125,Tabla17[concatenado],0),4))</f>
        <v/>
      </c>
      <c r="BO125" s="527" t="str">
        <f>IF(BM125=0,"",INDEX(Tabla17[],MATCH(BL125&amp;BM125,Tabla17[concatenado],0),5))</f>
        <v/>
      </c>
      <c r="BP125" s="527" t="str">
        <f>IF(BM125=0,"",INDEX(Tabla17[],MATCH(BL125&amp;BM125,Tabla17[concatenado],0),6))</f>
        <v/>
      </c>
    </row>
    <row r="126" spans="1:81" x14ac:dyDescent="0.2">
      <c r="A126" s="556" t="s">
        <v>7085</v>
      </c>
      <c r="B126" s="556"/>
      <c r="C126" s="527" t="str">
        <f>IF(B126=0,"",INDEX(Tabla17[],MATCH(A126&amp;B126,Tabla17[concatenado],0),4))</f>
        <v/>
      </c>
      <c r="D126" s="527" t="str">
        <f>IF(B126=0,"",INDEX(Tabla17[],MATCH(A126&amp;B126,Tabla17[concatenado],0),5))</f>
        <v/>
      </c>
      <c r="E126" s="527" t="str">
        <f>IF(B126=0,"",INDEX(Tabla17[],MATCH(A126&amp;B126,Tabla17[concatenado],0),6))</f>
        <v/>
      </c>
      <c r="V126" s="556" t="s">
        <v>7085</v>
      </c>
      <c r="W126" s="556"/>
      <c r="X126" s="527" t="str">
        <f>IF(W126=0,"",INDEX(Tabla17[],MATCH(V126&amp;W126,Tabla17[concatenado],0),4))</f>
        <v/>
      </c>
      <c r="Y126" s="527" t="str">
        <f>IF(W126=0,"",INDEX(Tabla17[],MATCH(V126&amp;W126,Tabla17[concatenado],0),5))</f>
        <v/>
      </c>
      <c r="Z126" s="527" t="str">
        <f>IF(W126=0,"",INDEX(Tabla17[],MATCH(V126&amp;W126,Tabla17[concatenado],0),6))</f>
        <v/>
      </c>
      <c r="AQ126" s="556" t="s">
        <v>7085</v>
      </c>
      <c r="AR126" s="556"/>
      <c r="AS126" s="527" t="str">
        <f>IF(AR126=0,"",INDEX(Tabla17[],MATCH(AQ126&amp;AR126,Tabla17[concatenado],0),4))</f>
        <v/>
      </c>
      <c r="AT126" s="527" t="str">
        <f>IF(AR126=0,"",INDEX(Tabla17[],MATCH(AQ126&amp;AR126,Tabla17[concatenado],0),5))</f>
        <v/>
      </c>
      <c r="AU126" s="527" t="str">
        <f>IF(AR126=0,"",INDEX(Tabla17[],MATCH(AQ126&amp;AR126,Tabla17[concatenado],0),6))</f>
        <v/>
      </c>
      <c r="BL126" s="556" t="s">
        <v>7085</v>
      </c>
      <c r="BM126" s="556"/>
      <c r="BN126" s="527" t="str">
        <f>IF(BM126=0,"",INDEX(Tabla17[],MATCH(BL126&amp;BM126,Tabla17[concatenado],0),4))</f>
        <v/>
      </c>
      <c r="BO126" s="527" t="str">
        <f>IF(BM126=0,"",INDEX(Tabla17[],MATCH(BL126&amp;BM126,Tabla17[concatenado],0),5))</f>
        <v/>
      </c>
      <c r="BP126" s="527" t="str">
        <f>IF(BM126=0,"",INDEX(Tabla17[],MATCH(BL126&amp;BM126,Tabla17[concatenado],0),6))</f>
        <v/>
      </c>
    </row>
    <row r="127" spans="1:81" x14ac:dyDescent="0.2">
      <c r="A127" s="556" t="s">
        <v>7086</v>
      </c>
      <c r="B127" s="556"/>
      <c r="C127" s="527" t="str">
        <f>IF(B127=0,"",INDEX(Tabla17[],MATCH(A127&amp;B127,Tabla17[concatenado],0),4))</f>
        <v/>
      </c>
      <c r="D127" s="527" t="str">
        <f>IF(B127=0,"",INDEX(Tabla17[],MATCH(A127&amp;B127,Tabla17[concatenado],0),5))</f>
        <v/>
      </c>
      <c r="E127" s="527" t="str">
        <f>IF(B127=0,"",INDEX(Tabla17[],MATCH(A127&amp;B127,Tabla17[concatenado],0),6))</f>
        <v/>
      </c>
      <c r="V127" s="556" t="s">
        <v>7086</v>
      </c>
      <c r="W127" s="556"/>
      <c r="X127" s="527" t="str">
        <f>IF(W127=0,"",INDEX(Tabla17[],MATCH(V127&amp;W127,Tabla17[concatenado],0),4))</f>
        <v/>
      </c>
      <c r="Y127" s="527" t="str">
        <f>IF(W127=0,"",INDEX(Tabla17[],MATCH(V127&amp;W127,Tabla17[concatenado],0),5))</f>
        <v/>
      </c>
      <c r="Z127" s="527" t="str">
        <f>IF(W127=0,"",INDEX(Tabla17[],MATCH(V127&amp;W127,Tabla17[concatenado],0),6))</f>
        <v/>
      </c>
      <c r="AQ127" s="556" t="s">
        <v>7086</v>
      </c>
      <c r="AR127" s="556"/>
      <c r="AS127" s="527" t="str">
        <f>IF(AR127=0,"",INDEX(Tabla17[],MATCH(AQ127&amp;AR127,Tabla17[concatenado],0),4))</f>
        <v/>
      </c>
      <c r="AT127" s="527" t="str">
        <f>IF(AR127=0,"",INDEX(Tabla17[],MATCH(AQ127&amp;AR127,Tabla17[concatenado],0),5))</f>
        <v/>
      </c>
      <c r="AU127" s="527" t="str">
        <f>IF(AR127=0,"",INDEX(Tabla17[],MATCH(AQ127&amp;AR127,Tabla17[concatenado],0),6))</f>
        <v/>
      </c>
      <c r="BL127" s="556" t="s">
        <v>7086</v>
      </c>
      <c r="BM127" s="556"/>
      <c r="BN127" s="527" t="str">
        <f>IF(BM127=0,"",INDEX(Tabla17[],MATCH(BL127&amp;BM127,Tabla17[concatenado],0),4))</f>
        <v/>
      </c>
      <c r="BO127" s="527" t="str">
        <f>IF(BM127=0,"",INDEX(Tabla17[],MATCH(BL127&amp;BM127,Tabla17[concatenado],0),5))</f>
        <v/>
      </c>
      <c r="BP127" s="527" t="str">
        <f>IF(BM127=0,"",INDEX(Tabla17[],MATCH(BL127&amp;BM127,Tabla17[concatenado],0),6))</f>
        <v/>
      </c>
    </row>
    <row r="128" spans="1:81" x14ac:dyDescent="0.2">
      <c r="A128" s="556" t="s">
        <v>7087</v>
      </c>
      <c r="B128" s="556"/>
      <c r="C128" s="527" t="str">
        <f>IF(B128=0,"",INDEX(Tabla17[],MATCH(A128&amp;B128,Tabla17[concatenado],0),4))</f>
        <v/>
      </c>
      <c r="D128" s="527" t="str">
        <f>IF(B128=0,"",INDEX(Tabla17[],MATCH(A128&amp;B128,Tabla17[concatenado],0),5))</f>
        <v/>
      </c>
      <c r="E128" s="527" t="str">
        <f>IF(B128=0,"",INDEX(Tabla17[],MATCH(A128&amp;B128,Tabla17[concatenado],0),6))</f>
        <v/>
      </c>
      <c r="V128" s="556" t="s">
        <v>7087</v>
      </c>
      <c r="W128" s="556"/>
      <c r="X128" s="527" t="str">
        <f>IF(W128=0,"",INDEX(Tabla17[],MATCH(V128&amp;W128,Tabla17[concatenado],0),4))</f>
        <v/>
      </c>
      <c r="Y128" s="527" t="str">
        <f>IF(W128=0,"",INDEX(Tabla17[],MATCH(V128&amp;W128,Tabla17[concatenado],0),5))</f>
        <v/>
      </c>
      <c r="Z128" s="527" t="str">
        <f>IF(W128=0,"",INDEX(Tabla17[],MATCH(V128&amp;W128,Tabla17[concatenado],0),6))</f>
        <v/>
      </c>
      <c r="AQ128" s="556" t="s">
        <v>7087</v>
      </c>
      <c r="AR128" s="556"/>
      <c r="AS128" s="527" t="str">
        <f>IF(AR128=0,"",INDEX(Tabla17[],MATCH(AQ128&amp;AR128,Tabla17[concatenado],0),4))</f>
        <v/>
      </c>
      <c r="AT128" s="527" t="str">
        <f>IF(AR128=0,"",INDEX(Tabla17[],MATCH(AQ128&amp;AR128,Tabla17[concatenado],0),5))</f>
        <v/>
      </c>
      <c r="AU128" s="527" t="str">
        <f>IF(AR128=0,"",INDEX(Tabla17[],MATCH(AQ128&amp;AR128,Tabla17[concatenado],0),6))</f>
        <v/>
      </c>
      <c r="BL128" s="556" t="s">
        <v>7087</v>
      </c>
      <c r="BM128" s="556"/>
      <c r="BN128" s="527" t="str">
        <f>IF(BM128=0,"",INDEX(Tabla17[],MATCH(BL128&amp;BM128,Tabla17[concatenado],0),4))</f>
        <v/>
      </c>
      <c r="BO128" s="527" t="str">
        <f>IF(BM128=0,"",INDEX(Tabla17[],MATCH(BL128&amp;BM128,Tabla17[concatenado],0),5))</f>
        <v/>
      </c>
      <c r="BP128" s="527" t="str">
        <f>IF(BM128=0,"",INDEX(Tabla17[],MATCH(BL128&amp;BM128,Tabla17[concatenado],0),6))</f>
        <v/>
      </c>
    </row>
    <row r="129" spans="1:68" x14ac:dyDescent="0.2">
      <c r="A129" s="556" t="s">
        <v>7088</v>
      </c>
      <c r="B129" s="556"/>
      <c r="C129" s="527" t="str">
        <f>IF(B129=0,"",INDEX(Tabla17[],MATCH(A129&amp;B129,Tabla17[concatenado],0),4))</f>
        <v/>
      </c>
      <c r="D129" s="527" t="str">
        <f>IF(B129=0,"",INDEX(Tabla17[],MATCH(A129&amp;B129,Tabla17[concatenado],0),5))</f>
        <v/>
      </c>
      <c r="E129" s="527" t="str">
        <f>IF(B129=0,"",INDEX(Tabla17[],MATCH(A129&amp;B129,Tabla17[concatenado],0),6))</f>
        <v/>
      </c>
      <c r="V129" s="556" t="s">
        <v>7088</v>
      </c>
      <c r="W129" s="556"/>
      <c r="X129" s="527" t="str">
        <f>IF(W129=0,"",INDEX(Tabla17[],MATCH(V129&amp;W129,Tabla17[concatenado],0),4))</f>
        <v/>
      </c>
      <c r="Y129" s="527" t="str">
        <f>IF(W129=0,"",INDEX(Tabla17[],MATCH(V129&amp;W129,Tabla17[concatenado],0),5))</f>
        <v/>
      </c>
      <c r="Z129" s="527" t="str">
        <f>IF(W129=0,"",INDEX(Tabla17[],MATCH(V129&amp;W129,Tabla17[concatenado],0),6))</f>
        <v/>
      </c>
      <c r="AQ129" s="556" t="s">
        <v>7088</v>
      </c>
      <c r="AR129" s="556"/>
      <c r="AS129" s="527" t="str">
        <f>IF(AR129=0,"",INDEX(Tabla17[],MATCH(AQ129&amp;AR129,Tabla17[concatenado],0),4))</f>
        <v/>
      </c>
      <c r="AT129" s="527" t="str">
        <f>IF(AR129=0,"",INDEX(Tabla17[],MATCH(AQ129&amp;AR129,Tabla17[concatenado],0),5))</f>
        <v/>
      </c>
      <c r="AU129" s="527" t="str">
        <f>IF(AR129=0,"",INDEX(Tabla17[],MATCH(AQ129&amp;AR129,Tabla17[concatenado],0),6))</f>
        <v/>
      </c>
      <c r="BL129" s="556" t="s">
        <v>7088</v>
      </c>
      <c r="BM129" s="556"/>
      <c r="BN129" s="527" t="str">
        <f>IF(BM129=0,"",INDEX(Tabla17[],MATCH(BL129&amp;BM129,Tabla17[concatenado],0),4))</f>
        <v/>
      </c>
      <c r="BO129" s="527" t="str">
        <f>IF(BM129=0,"",INDEX(Tabla17[],MATCH(BL129&amp;BM129,Tabla17[concatenado],0),5))</f>
        <v/>
      </c>
      <c r="BP129" s="527" t="str">
        <f>IF(BM129=0,"",INDEX(Tabla17[],MATCH(BL129&amp;BM129,Tabla17[concatenado],0),6))</f>
        <v/>
      </c>
    </row>
    <row r="130" spans="1:68" x14ac:dyDescent="0.2">
      <c r="A130" s="556" t="s">
        <v>7089</v>
      </c>
      <c r="B130" s="556"/>
      <c r="C130" s="527" t="str">
        <f>IF(B130=0,"",INDEX(Tabla17[],MATCH(A130&amp;B130,Tabla17[concatenado],0),4))</f>
        <v/>
      </c>
      <c r="D130" s="527" t="str">
        <f>IF(B130=0,"",INDEX(Tabla17[],MATCH(A130&amp;B130,Tabla17[concatenado],0),5))</f>
        <v/>
      </c>
      <c r="E130" s="527" t="str">
        <f>IF(B130=0,"",INDEX(Tabla17[],MATCH(A130&amp;B130,Tabla17[concatenado],0),6))</f>
        <v/>
      </c>
      <c r="V130" s="556" t="s">
        <v>7089</v>
      </c>
      <c r="W130" s="556"/>
      <c r="X130" s="527" t="str">
        <f>IF(W130=0,"",INDEX(Tabla17[],MATCH(V130&amp;W130,Tabla17[concatenado],0),4))</f>
        <v/>
      </c>
      <c r="Y130" s="527" t="str">
        <f>IF(W130=0,"",INDEX(Tabla17[],MATCH(V130&amp;W130,Tabla17[concatenado],0),5))</f>
        <v/>
      </c>
      <c r="Z130" s="527" t="str">
        <f>IF(W130=0,"",INDEX(Tabla17[],MATCH(V130&amp;W130,Tabla17[concatenado],0),6))</f>
        <v/>
      </c>
      <c r="AQ130" s="556" t="s">
        <v>7089</v>
      </c>
      <c r="AR130" s="556"/>
      <c r="AS130" s="527" t="str">
        <f>IF(AR130=0,"",INDEX(Tabla17[],MATCH(AQ130&amp;AR130,Tabla17[concatenado],0),4))</f>
        <v/>
      </c>
      <c r="AT130" s="527" t="str">
        <f>IF(AR130=0,"",INDEX(Tabla17[],MATCH(AQ130&amp;AR130,Tabla17[concatenado],0),5))</f>
        <v/>
      </c>
      <c r="AU130" s="527" t="str">
        <f>IF(AR130=0,"",INDEX(Tabla17[],MATCH(AQ130&amp;AR130,Tabla17[concatenado],0),6))</f>
        <v/>
      </c>
      <c r="BL130" s="556" t="s">
        <v>7089</v>
      </c>
      <c r="BM130" s="556"/>
      <c r="BN130" s="527" t="str">
        <f>IF(BM130=0,"",INDEX(Tabla17[],MATCH(BL130&amp;BM130,Tabla17[concatenado],0),4))</f>
        <v/>
      </c>
      <c r="BO130" s="527" t="str">
        <f>IF(BM130=0,"",INDEX(Tabla17[],MATCH(BL130&amp;BM130,Tabla17[concatenado],0),5))</f>
        <v/>
      </c>
      <c r="BP130" s="527" t="str">
        <f>IF(BM130=0,"",INDEX(Tabla17[],MATCH(BL130&amp;BM130,Tabla17[concatenado],0),6))</f>
        <v/>
      </c>
    </row>
    <row r="131" spans="1:68" x14ac:dyDescent="0.2">
      <c r="A131" s="556" t="s">
        <v>628</v>
      </c>
      <c r="B131" s="556"/>
      <c r="C131" s="527" t="str">
        <f>IF(B131=0,"",INDEX(Tabla17[],MATCH(A131&amp;B131,Tabla17[concatenado],0),4))</f>
        <v/>
      </c>
      <c r="D131" s="527" t="str">
        <f>IF(B131=0,"",INDEX(Tabla17[],MATCH(A131&amp;B131,Tabla17[concatenado],0),5))</f>
        <v/>
      </c>
      <c r="E131" s="527" t="str">
        <f>IF(B131=0,"",INDEX(Tabla17[],MATCH(A131&amp;B131,Tabla17[concatenado],0),6))</f>
        <v/>
      </c>
      <c r="V131" s="556" t="s">
        <v>628</v>
      </c>
      <c r="W131" s="556"/>
      <c r="X131" s="527" t="str">
        <f>IF(W131=0,"",INDEX(Tabla17[],MATCH(V131&amp;W131,Tabla17[concatenado],0),4))</f>
        <v/>
      </c>
      <c r="Y131" s="527" t="str">
        <f>IF(W131=0,"",INDEX(Tabla17[],MATCH(V131&amp;W131,Tabla17[concatenado],0),5))</f>
        <v/>
      </c>
      <c r="Z131" s="527" t="str">
        <f>IF(W131=0,"",INDEX(Tabla17[],MATCH(V131&amp;W131,Tabla17[concatenado],0),6))</f>
        <v/>
      </c>
      <c r="AQ131" s="556" t="s">
        <v>628</v>
      </c>
      <c r="AR131" s="556"/>
      <c r="AS131" s="527" t="str">
        <f>IF(AR131=0,"",INDEX(Tabla17[],MATCH(AQ131&amp;AR131,Tabla17[concatenado],0),4))</f>
        <v/>
      </c>
      <c r="AT131" s="527" t="str">
        <f>IF(AR131=0,"",INDEX(Tabla17[],MATCH(AQ131&amp;AR131,Tabla17[concatenado],0),5))</f>
        <v/>
      </c>
      <c r="AU131" s="527" t="str">
        <f>IF(AR131=0,"",INDEX(Tabla17[],MATCH(AQ131&amp;AR131,Tabla17[concatenado],0),6))</f>
        <v/>
      </c>
      <c r="BL131" s="556" t="s">
        <v>628</v>
      </c>
      <c r="BM131" s="556"/>
      <c r="BN131" s="527" t="str">
        <f>IF(BM131=0,"",INDEX(Tabla17[],MATCH(BL131&amp;BM131,Tabla17[concatenado],0),4))</f>
        <v/>
      </c>
      <c r="BO131" s="527" t="str">
        <f>IF(BM131=0,"",INDEX(Tabla17[],MATCH(BL131&amp;BM131,Tabla17[concatenado],0),5))</f>
        <v/>
      </c>
      <c r="BP131" s="527" t="str">
        <f>IF(BM131=0,"",INDEX(Tabla17[],MATCH(BL131&amp;BM131,Tabla17[concatenado],0),6))</f>
        <v/>
      </c>
    </row>
    <row r="132" spans="1:68" x14ac:dyDescent="0.2">
      <c r="A132" s="556" t="s">
        <v>7090</v>
      </c>
      <c r="B132" s="556"/>
      <c r="C132" s="527" t="str">
        <f>IF(B132=0,"",INDEX(Tabla17[],MATCH(A132&amp;B132,Tabla17[concatenado],0),4))</f>
        <v/>
      </c>
      <c r="D132" s="527" t="str">
        <f>IF(B132=0,"",INDEX(Tabla17[],MATCH(A132&amp;B132,Tabla17[concatenado],0),5))</f>
        <v/>
      </c>
      <c r="E132" s="527" t="str">
        <f>IF(B132=0,"",INDEX(Tabla17[],MATCH(A132&amp;B132,Tabla17[concatenado],0),6))</f>
        <v/>
      </c>
      <c r="V132" s="556" t="s">
        <v>7090</v>
      </c>
      <c r="W132" s="556"/>
      <c r="X132" s="527" t="str">
        <f>IF(W132=0,"",INDEX(Tabla17[],MATCH(V132&amp;W132,Tabla17[concatenado],0),4))</f>
        <v/>
      </c>
      <c r="Y132" s="527" t="str">
        <f>IF(W132=0,"",INDEX(Tabla17[],MATCH(V132&amp;W132,Tabla17[concatenado],0),5))</f>
        <v/>
      </c>
      <c r="Z132" s="527" t="str">
        <f>IF(W132=0,"",INDEX(Tabla17[],MATCH(V132&amp;W132,Tabla17[concatenado],0),6))</f>
        <v/>
      </c>
      <c r="AQ132" s="556" t="s">
        <v>7090</v>
      </c>
      <c r="AR132" s="556"/>
      <c r="AS132" s="527" t="str">
        <f>IF(AR132=0,"",INDEX(Tabla17[],MATCH(AQ132&amp;AR132,Tabla17[concatenado],0),4))</f>
        <v/>
      </c>
      <c r="AT132" s="527" t="str">
        <f>IF(AR132=0,"",INDEX(Tabla17[],MATCH(AQ132&amp;AR132,Tabla17[concatenado],0),5))</f>
        <v/>
      </c>
      <c r="AU132" s="527" t="str">
        <f>IF(AR132=0,"",INDEX(Tabla17[],MATCH(AQ132&amp;AR132,Tabla17[concatenado],0),6))</f>
        <v/>
      </c>
      <c r="BL132" s="556" t="s">
        <v>7090</v>
      </c>
      <c r="BM132" s="556"/>
      <c r="BN132" s="527" t="str">
        <f>IF(BM132=0,"",INDEX(Tabla17[],MATCH(BL132&amp;BM132,Tabla17[concatenado],0),4))</f>
        <v/>
      </c>
      <c r="BO132" s="527" t="str">
        <f>IF(BM132=0,"",INDEX(Tabla17[],MATCH(BL132&amp;BM132,Tabla17[concatenado],0),5))</f>
        <v/>
      </c>
      <c r="BP132" s="527" t="str">
        <f>IF(BM132=0,"",INDEX(Tabla17[],MATCH(BL132&amp;BM132,Tabla17[concatenado],0),6))</f>
        <v/>
      </c>
    </row>
    <row r="133" spans="1:68" x14ac:dyDescent="0.2">
      <c r="A133" s="556" t="s">
        <v>7091</v>
      </c>
      <c r="B133" s="556"/>
      <c r="C133" s="527" t="str">
        <f>IF(B133=0,"",INDEX(Tabla17[],MATCH(A133&amp;B133,Tabla17[concatenado],0),4))</f>
        <v/>
      </c>
      <c r="D133" s="527" t="str">
        <f>IF(B133=0,"",INDEX(Tabla17[],MATCH(A133&amp;B133,Tabla17[concatenado],0),5))</f>
        <v/>
      </c>
      <c r="E133" s="527" t="str">
        <f>IF(B133=0,"",INDEX(Tabla17[],MATCH(A133&amp;B133,Tabla17[concatenado],0),6))</f>
        <v/>
      </c>
      <c r="V133" s="556" t="s">
        <v>7091</v>
      </c>
      <c r="W133" s="556"/>
      <c r="X133" s="527" t="str">
        <f>IF(W133=0,"",INDEX(Tabla17[],MATCH(V133&amp;W133,Tabla17[concatenado],0),4))</f>
        <v/>
      </c>
      <c r="Y133" s="527" t="str">
        <f>IF(W133=0,"",INDEX(Tabla17[],MATCH(V133&amp;W133,Tabla17[concatenado],0),5))</f>
        <v/>
      </c>
      <c r="Z133" s="527" t="str">
        <f>IF(W133=0,"",INDEX(Tabla17[],MATCH(V133&amp;W133,Tabla17[concatenado],0),6))</f>
        <v/>
      </c>
      <c r="AQ133" s="556" t="s">
        <v>7091</v>
      </c>
      <c r="AR133" s="556"/>
      <c r="AS133" s="527" t="str">
        <f>IF(AR133=0,"",INDEX(Tabla17[],MATCH(AQ133&amp;AR133,Tabla17[concatenado],0),4))</f>
        <v/>
      </c>
      <c r="AT133" s="527" t="str">
        <f>IF(AR133=0,"",INDEX(Tabla17[],MATCH(AQ133&amp;AR133,Tabla17[concatenado],0),5))</f>
        <v/>
      </c>
      <c r="AU133" s="527" t="str">
        <f>IF(AR133=0,"",INDEX(Tabla17[],MATCH(AQ133&amp;AR133,Tabla17[concatenado],0),6))</f>
        <v/>
      </c>
      <c r="BL133" s="556" t="s">
        <v>7091</v>
      </c>
      <c r="BM133" s="556"/>
      <c r="BN133" s="527" t="str">
        <f>IF(BM133=0,"",INDEX(Tabla17[],MATCH(BL133&amp;BM133,Tabla17[concatenado],0),4))</f>
        <v/>
      </c>
      <c r="BO133" s="527" t="str">
        <f>IF(BM133=0,"",INDEX(Tabla17[],MATCH(BL133&amp;BM133,Tabla17[concatenado],0),5))</f>
        <v/>
      </c>
      <c r="BP133" s="527" t="str">
        <f>IF(BM133=0,"",INDEX(Tabla17[],MATCH(BL133&amp;BM133,Tabla17[concatenado],0),6))</f>
        <v/>
      </c>
    </row>
    <row r="134" spans="1:68" x14ac:dyDescent="0.2">
      <c r="A134" s="556" t="s">
        <v>7092</v>
      </c>
      <c r="B134" s="556"/>
      <c r="C134" s="527" t="str">
        <f>IF(B134=0,"",INDEX(Tabla17[],MATCH(A134&amp;B134,Tabla17[concatenado],0),4))</f>
        <v/>
      </c>
      <c r="D134" s="527" t="str">
        <f>IF(B134=0,"",INDEX(Tabla17[],MATCH(A134&amp;B134,Tabla17[concatenado],0),5))</f>
        <v/>
      </c>
      <c r="E134" s="527" t="str">
        <f>IF(B134=0,"",INDEX(Tabla17[],MATCH(A134&amp;B134,Tabla17[concatenado],0),6))</f>
        <v/>
      </c>
      <c r="V134" s="556" t="s">
        <v>7092</v>
      </c>
      <c r="W134" s="556"/>
      <c r="X134" s="527" t="str">
        <f>IF(W134=0,"",INDEX(Tabla17[],MATCH(V134&amp;W134,Tabla17[concatenado],0),4))</f>
        <v/>
      </c>
      <c r="Y134" s="527" t="str">
        <f>IF(W134=0,"",INDEX(Tabla17[],MATCH(V134&amp;W134,Tabla17[concatenado],0),5))</f>
        <v/>
      </c>
      <c r="Z134" s="527" t="str">
        <f>IF(W134=0,"",INDEX(Tabla17[],MATCH(V134&amp;W134,Tabla17[concatenado],0),6))</f>
        <v/>
      </c>
      <c r="AQ134" s="556" t="s">
        <v>7092</v>
      </c>
      <c r="AR134" s="556"/>
      <c r="AS134" s="527" t="str">
        <f>IF(AR134=0,"",INDEX(Tabla17[],MATCH(AQ134&amp;AR134,Tabla17[concatenado],0),4))</f>
        <v/>
      </c>
      <c r="AT134" s="527" t="str">
        <f>IF(AR134=0,"",INDEX(Tabla17[],MATCH(AQ134&amp;AR134,Tabla17[concatenado],0),5))</f>
        <v/>
      </c>
      <c r="AU134" s="527" t="str">
        <f>IF(AR134=0,"",INDEX(Tabla17[],MATCH(AQ134&amp;AR134,Tabla17[concatenado],0),6))</f>
        <v/>
      </c>
      <c r="BL134" s="556" t="s">
        <v>7092</v>
      </c>
      <c r="BM134" s="556"/>
      <c r="BN134" s="527" t="str">
        <f>IF(BM134=0,"",INDEX(Tabla17[],MATCH(BL134&amp;BM134,Tabla17[concatenado],0),4))</f>
        <v/>
      </c>
      <c r="BO134" s="527" t="str">
        <f>IF(BM134=0,"",INDEX(Tabla17[],MATCH(BL134&amp;BM134,Tabla17[concatenado],0),5))</f>
        <v/>
      </c>
      <c r="BP134" s="527" t="str">
        <f>IF(BM134=0,"",INDEX(Tabla17[],MATCH(BL134&amp;BM134,Tabla17[concatenado],0),6))</f>
        <v/>
      </c>
    </row>
    <row r="135" spans="1:68" x14ac:dyDescent="0.2">
      <c r="A135" s="556" t="s">
        <v>7093</v>
      </c>
      <c r="B135" s="556"/>
      <c r="C135" s="527" t="str">
        <f>IF(B135=0,"",INDEX(Tabla17[],MATCH(A135&amp;B135,Tabla17[concatenado],0),4))</f>
        <v/>
      </c>
      <c r="D135" s="527" t="str">
        <f>IF(B135=0,"",INDEX(Tabla17[],MATCH(A135&amp;B135,Tabla17[concatenado],0),5))</f>
        <v/>
      </c>
      <c r="E135" s="527" t="str">
        <f>IF(B135=0,"",INDEX(Tabla17[],MATCH(A135&amp;B135,Tabla17[concatenado],0),6))</f>
        <v/>
      </c>
      <c r="V135" s="556" t="s">
        <v>7093</v>
      </c>
      <c r="W135" s="556"/>
      <c r="X135" s="527" t="str">
        <f>IF(W135=0,"",INDEX(Tabla17[],MATCH(V135&amp;W135,Tabla17[concatenado],0),4))</f>
        <v/>
      </c>
      <c r="Y135" s="527" t="str">
        <f>IF(W135=0,"",INDEX(Tabla17[],MATCH(V135&amp;W135,Tabla17[concatenado],0),5))</f>
        <v/>
      </c>
      <c r="Z135" s="527" t="str">
        <f>IF(W135=0,"",INDEX(Tabla17[],MATCH(V135&amp;W135,Tabla17[concatenado],0),6))</f>
        <v/>
      </c>
      <c r="AQ135" s="556" t="s">
        <v>7093</v>
      </c>
      <c r="AR135" s="556"/>
      <c r="AS135" s="527" t="str">
        <f>IF(AR135=0,"",INDEX(Tabla17[],MATCH(AQ135&amp;AR135,Tabla17[concatenado],0),4))</f>
        <v/>
      </c>
      <c r="AT135" s="527" t="str">
        <f>IF(AR135=0,"",INDEX(Tabla17[],MATCH(AQ135&amp;AR135,Tabla17[concatenado],0),5))</f>
        <v/>
      </c>
      <c r="AU135" s="527" t="str">
        <f>IF(AR135=0,"",INDEX(Tabla17[],MATCH(AQ135&amp;AR135,Tabla17[concatenado],0),6))</f>
        <v/>
      </c>
      <c r="BL135" s="556" t="s">
        <v>7093</v>
      </c>
      <c r="BM135" s="556"/>
      <c r="BN135" s="527" t="str">
        <f>IF(BM135=0,"",INDEX(Tabla17[],MATCH(BL135&amp;BM135,Tabla17[concatenado],0),4))</f>
        <v/>
      </c>
      <c r="BO135" s="527" t="str">
        <f>IF(BM135=0,"",INDEX(Tabla17[],MATCH(BL135&amp;BM135,Tabla17[concatenado],0),5))</f>
        <v/>
      </c>
      <c r="BP135" s="527" t="str">
        <f>IF(BM135=0,"",INDEX(Tabla17[],MATCH(BL135&amp;BM135,Tabla17[concatenado],0),6))</f>
        <v/>
      </c>
    </row>
    <row r="136" spans="1:68" x14ac:dyDescent="0.2">
      <c r="A136" s="556" t="s">
        <v>7094</v>
      </c>
      <c r="B136" s="556"/>
      <c r="C136" s="527" t="str">
        <f>IF(B136=0,"",INDEX(Tabla17[],MATCH(A136&amp;B136,Tabla17[concatenado],0),4))</f>
        <v/>
      </c>
      <c r="D136" s="527" t="str">
        <f>IF(B136=0,"",INDEX(Tabla17[],MATCH(A136&amp;B136,Tabla17[concatenado],0),5))</f>
        <v/>
      </c>
      <c r="E136" s="527" t="str">
        <f>IF(B136=0,"",INDEX(Tabla17[],MATCH(A136&amp;B136,Tabla17[concatenado],0),6))</f>
        <v/>
      </c>
      <c r="V136" s="556" t="s">
        <v>7094</v>
      </c>
      <c r="W136" s="556"/>
      <c r="X136" s="527" t="str">
        <f>IF(W136=0,"",INDEX(Tabla17[],MATCH(V136&amp;W136,Tabla17[concatenado],0),4))</f>
        <v/>
      </c>
      <c r="Y136" s="527" t="str">
        <f>IF(W136=0,"",INDEX(Tabla17[],MATCH(V136&amp;W136,Tabla17[concatenado],0),5))</f>
        <v/>
      </c>
      <c r="Z136" s="527" t="str">
        <f>IF(W136=0,"",INDEX(Tabla17[],MATCH(V136&amp;W136,Tabla17[concatenado],0),6))</f>
        <v/>
      </c>
      <c r="AQ136" s="556" t="s">
        <v>7094</v>
      </c>
      <c r="AR136" s="556"/>
      <c r="AS136" s="527" t="str">
        <f>IF(AR136=0,"",INDEX(Tabla17[],MATCH(AQ136&amp;AR136,Tabla17[concatenado],0),4))</f>
        <v/>
      </c>
      <c r="AT136" s="527" t="str">
        <f>IF(AR136=0,"",INDEX(Tabla17[],MATCH(AQ136&amp;AR136,Tabla17[concatenado],0),5))</f>
        <v/>
      </c>
      <c r="AU136" s="527" t="str">
        <f>IF(AR136=0,"",INDEX(Tabla17[],MATCH(AQ136&amp;AR136,Tabla17[concatenado],0),6))</f>
        <v/>
      </c>
      <c r="BL136" s="556" t="s">
        <v>7094</v>
      </c>
      <c r="BM136" s="556"/>
      <c r="BN136" s="527" t="str">
        <f>IF(BM136=0,"",INDEX(Tabla17[],MATCH(BL136&amp;BM136,Tabla17[concatenado],0),4))</f>
        <v/>
      </c>
      <c r="BO136" s="527" t="str">
        <f>IF(BM136=0,"",INDEX(Tabla17[],MATCH(BL136&amp;BM136,Tabla17[concatenado],0),5))</f>
        <v/>
      </c>
      <c r="BP136" s="527" t="str">
        <f>IF(BM136=0,"",INDEX(Tabla17[],MATCH(BL136&amp;BM136,Tabla17[concatenado],0),6))</f>
        <v/>
      </c>
    </row>
    <row r="137" spans="1:68" x14ac:dyDescent="0.2">
      <c r="A137" s="556" t="s">
        <v>7095</v>
      </c>
      <c r="B137" s="556"/>
      <c r="C137" s="527" t="str">
        <f>IF(B137=0,"",INDEX(Tabla17[],MATCH(A137&amp;B137,Tabla17[concatenado],0),4))</f>
        <v/>
      </c>
      <c r="D137" s="527" t="str">
        <f>IF(B137=0,"",INDEX(Tabla17[],MATCH(A137&amp;B137,Tabla17[concatenado],0),5))</f>
        <v/>
      </c>
      <c r="E137" s="527" t="str">
        <f>IF(B137=0,"",INDEX(Tabla17[],MATCH(A137&amp;B137,Tabla17[concatenado],0),6))</f>
        <v/>
      </c>
      <c r="V137" s="556" t="s">
        <v>7095</v>
      </c>
      <c r="W137" s="556"/>
      <c r="X137" s="527" t="str">
        <f>IF(W137=0,"",INDEX(Tabla17[],MATCH(V137&amp;W137,Tabla17[concatenado],0),4))</f>
        <v/>
      </c>
      <c r="Y137" s="527" t="str">
        <f>IF(W137=0,"",INDEX(Tabla17[],MATCH(V137&amp;W137,Tabla17[concatenado],0),5))</f>
        <v/>
      </c>
      <c r="Z137" s="527" t="str">
        <f>IF(W137=0,"",INDEX(Tabla17[],MATCH(V137&amp;W137,Tabla17[concatenado],0),6))</f>
        <v/>
      </c>
      <c r="AQ137" s="556" t="s">
        <v>7095</v>
      </c>
      <c r="AR137" s="556"/>
      <c r="AS137" s="527" t="str">
        <f>IF(AR137=0,"",INDEX(Tabla17[],MATCH(AQ137&amp;AR137,Tabla17[concatenado],0),4))</f>
        <v/>
      </c>
      <c r="AT137" s="527" t="str">
        <f>IF(AR137=0,"",INDEX(Tabla17[],MATCH(AQ137&amp;AR137,Tabla17[concatenado],0),5))</f>
        <v/>
      </c>
      <c r="AU137" s="527" t="str">
        <f>IF(AR137=0,"",INDEX(Tabla17[],MATCH(AQ137&amp;AR137,Tabla17[concatenado],0),6))</f>
        <v/>
      </c>
      <c r="BL137" s="556" t="s">
        <v>7095</v>
      </c>
      <c r="BM137" s="556"/>
      <c r="BN137" s="527" t="str">
        <f>IF(BM137=0,"",INDEX(Tabla17[],MATCH(BL137&amp;BM137,Tabla17[concatenado],0),4))</f>
        <v/>
      </c>
      <c r="BO137" s="527" t="str">
        <f>IF(BM137=0,"",INDEX(Tabla17[],MATCH(BL137&amp;BM137,Tabla17[concatenado],0),5))</f>
        <v/>
      </c>
      <c r="BP137" s="527" t="str">
        <f>IF(BM137=0,"",INDEX(Tabla17[],MATCH(BL137&amp;BM137,Tabla17[concatenado],0),6))</f>
        <v/>
      </c>
    </row>
    <row r="138" spans="1:68" x14ac:dyDescent="0.2">
      <c r="A138" s="556" t="s">
        <v>7096</v>
      </c>
      <c r="B138" s="556"/>
      <c r="C138" s="527" t="str">
        <f>IF(B138=0,"",INDEX(Tabla17[],MATCH(A138&amp;B138,Tabla17[concatenado],0),4))</f>
        <v/>
      </c>
      <c r="D138" s="527" t="str">
        <f>IF(B138=0,"",INDEX(Tabla17[],MATCH(A138&amp;B138,Tabla17[concatenado],0),5))</f>
        <v/>
      </c>
      <c r="E138" s="527" t="str">
        <f>IF(B138=0,"",INDEX(Tabla17[],MATCH(A138&amp;B138,Tabla17[concatenado],0),6))</f>
        <v/>
      </c>
      <c r="V138" s="556" t="s">
        <v>7096</v>
      </c>
      <c r="W138" s="556"/>
      <c r="X138" s="527" t="str">
        <f>IF(W138=0,"",INDEX(Tabla17[],MATCH(V138&amp;W138,Tabla17[concatenado],0),4))</f>
        <v/>
      </c>
      <c r="Y138" s="527" t="str">
        <f>IF(W138=0,"",INDEX(Tabla17[],MATCH(V138&amp;W138,Tabla17[concatenado],0),5))</f>
        <v/>
      </c>
      <c r="Z138" s="527" t="str">
        <f>IF(W138=0,"",INDEX(Tabla17[],MATCH(V138&amp;W138,Tabla17[concatenado],0),6))</f>
        <v/>
      </c>
      <c r="AQ138" s="556" t="s">
        <v>7096</v>
      </c>
      <c r="AR138" s="556"/>
      <c r="AS138" s="527" t="str">
        <f>IF(AR138=0,"",INDEX(Tabla17[],MATCH(AQ138&amp;AR138,Tabla17[concatenado],0),4))</f>
        <v/>
      </c>
      <c r="AT138" s="527" t="str">
        <f>IF(AR138=0,"",INDEX(Tabla17[],MATCH(AQ138&amp;AR138,Tabla17[concatenado],0),5))</f>
        <v/>
      </c>
      <c r="AU138" s="527" t="str">
        <f>IF(AR138=0,"",INDEX(Tabla17[],MATCH(AQ138&amp;AR138,Tabla17[concatenado],0),6))</f>
        <v/>
      </c>
      <c r="BL138" s="556" t="s">
        <v>7096</v>
      </c>
      <c r="BM138" s="556"/>
      <c r="BN138" s="527" t="str">
        <f>IF(BM138=0,"",INDEX(Tabla17[],MATCH(BL138&amp;BM138,Tabla17[concatenado],0),4))</f>
        <v/>
      </c>
      <c r="BO138" s="527" t="str">
        <f>IF(BM138=0,"",INDEX(Tabla17[],MATCH(BL138&amp;BM138,Tabla17[concatenado],0),5))</f>
        <v/>
      </c>
      <c r="BP138" s="527" t="str">
        <f>IF(BM138=0,"",INDEX(Tabla17[],MATCH(BL138&amp;BM138,Tabla17[concatenado],0),6))</f>
        <v/>
      </c>
    </row>
    <row r="139" spans="1:68" x14ac:dyDescent="0.2">
      <c r="A139" s="556" t="s">
        <v>7097</v>
      </c>
      <c r="B139" s="556"/>
      <c r="C139" s="527" t="str">
        <f>IF(B139=0,"",INDEX(Tabla17[],MATCH(A139&amp;B139,Tabla17[concatenado],0),4))</f>
        <v/>
      </c>
      <c r="D139" s="527" t="str">
        <f>IF(B139=0,"",INDEX(Tabla17[],MATCH(A139&amp;B139,Tabla17[concatenado],0),5))</f>
        <v/>
      </c>
      <c r="E139" s="527" t="str">
        <f>IF(B139=0,"",INDEX(Tabla17[],MATCH(A139&amp;B139,Tabla17[concatenado],0),6))</f>
        <v/>
      </c>
      <c r="V139" s="556" t="s">
        <v>7097</v>
      </c>
      <c r="W139" s="556"/>
      <c r="X139" s="527" t="str">
        <f>IF(W139=0,"",INDEX(Tabla17[],MATCH(V139&amp;W139,Tabla17[concatenado],0),4))</f>
        <v/>
      </c>
      <c r="Y139" s="527" t="str">
        <f>IF(W139=0,"",INDEX(Tabla17[],MATCH(V139&amp;W139,Tabla17[concatenado],0),5))</f>
        <v/>
      </c>
      <c r="Z139" s="527" t="str">
        <f>IF(W139=0,"",INDEX(Tabla17[],MATCH(V139&amp;W139,Tabla17[concatenado],0),6))</f>
        <v/>
      </c>
      <c r="AQ139" s="556" t="s">
        <v>7097</v>
      </c>
      <c r="AR139" s="556"/>
      <c r="AS139" s="527" t="str">
        <f>IF(AR139=0,"",INDEX(Tabla17[],MATCH(AQ139&amp;AR139,Tabla17[concatenado],0),4))</f>
        <v/>
      </c>
      <c r="AT139" s="527" t="str">
        <f>IF(AR139=0,"",INDEX(Tabla17[],MATCH(AQ139&amp;AR139,Tabla17[concatenado],0),5))</f>
        <v/>
      </c>
      <c r="AU139" s="527" t="str">
        <f>IF(AR139=0,"",INDEX(Tabla17[],MATCH(AQ139&amp;AR139,Tabla17[concatenado],0),6))</f>
        <v/>
      </c>
      <c r="BL139" s="556" t="s">
        <v>7097</v>
      </c>
      <c r="BM139" s="556"/>
      <c r="BN139" s="527" t="str">
        <f>IF(BM139=0,"",INDEX(Tabla17[],MATCH(BL139&amp;BM139,Tabla17[concatenado],0),4))</f>
        <v/>
      </c>
      <c r="BO139" s="527" t="str">
        <f>IF(BM139=0,"",INDEX(Tabla17[],MATCH(BL139&amp;BM139,Tabla17[concatenado],0),5))</f>
        <v/>
      </c>
      <c r="BP139" s="527" t="str">
        <f>IF(BM139=0,"",INDEX(Tabla17[],MATCH(BL139&amp;BM139,Tabla17[concatenado],0),6))</f>
        <v/>
      </c>
    </row>
    <row r="140" spans="1:68" x14ac:dyDescent="0.2">
      <c r="A140" s="556" t="s">
        <v>7098</v>
      </c>
      <c r="B140" s="556"/>
      <c r="C140" s="527" t="str">
        <f>IF(B140=0,"",INDEX(Tabla17[],MATCH(A140&amp;B140,Tabla17[concatenado],0),4))</f>
        <v/>
      </c>
      <c r="D140" s="527" t="str">
        <f>IF(B140=0,"",INDEX(Tabla17[],MATCH(A140&amp;B140,Tabla17[concatenado],0),5))</f>
        <v/>
      </c>
      <c r="E140" s="527" t="str">
        <f>IF(B140=0,"",INDEX(Tabla17[],MATCH(A140&amp;B140,Tabla17[concatenado],0),6))</f>
        <v/>
      </c>
      <c r="V140" s="556" t="s">
        <v>7098</v>
      </c>
      <c r="W140" s="556"/>
      <c r="X140" s="527" t="str">
        <f>IF(W140=0,"",INDEX(Tabla17[],MATCH(V140&amp;W140,Tabla17[concatenado],0),4))</f>
        <v/>
      </c>
      <c r="Y140" s="527" t="str">
        <f>IF(W140=0,"",INDEX(Tabla17[],MATCH(V140&amp;W140,Tabla17[concatenado],0),5))</f>
        <v/>
      </c>
      <c r="Z140" s="527" t="str">
        <f>IF(W140=0,"",INDEX(Tabla17[],MATCH(V140&amp;W140,Tabla17[concatenado],0),6))</f>
        <v/>
      </c>
      <c r="AQ140" s="556" t="s">
        <v>7098</v>
      </c>
      <c r="AR140" s="556"/>
      <c r="AS140" s="527" t="str">
        <f>IF(AR140=0,"",INDEX(Tabla17[],MATCH(AQ140&amp;AR140,Tabla17[concatenado],0),4))</f>
        <v/>
      </c>
      <c r="AT140" s="527" t="str">
        <f>IF(AR140=0,"",INDEX(Tabla17[],MATCH(AQ140&amp;AR140,Tabla17[concatenado],0),5))</f>
        <v/>
      </c>
      <c r="AU140" s="527" t="str">
        <f>IF(AR140=0,"",INDEX(Tabla17[],MATCH(AQ140&amp;AR140,Tabla17[concatenado],0),6))</f>
        <v/>
      </c>
      <c r="BL140" s="556" t="s">
        <v>7098</v>
      </c>
      <c r="BM140" s="556"/>
      <c r="BN140" s="527" t="str">
        <f>IF(BM140=0,"",INDEX(Tabla17[],MATCH(BL140&amp;BM140,Tabla17[concatenado],0),4))</f>
        <v/>
      </c>
      <c r="BO140" s="527" t="str">
        <f>IF(BM140=0,"",INDEX(Tabla17[],MATCH(BL140&amp;BM140,Tabla17[concatenado],0),5))</f>
        <v/>
      </c>
      <c r="BP140" s="527" t="str">
        <f>IF(BM140=0,"",INDEX(Tabla17[],MATCH(BL140&amp;BM140,Tabla17[concatenado],0),6))</f>
        <v/>
      </c>
    </row>
    <row r="141" spans="1:68" x14ac:dyDescent="0.2">
      <c r="A141" s="556" t="s">
        <v>7099</v>
      </c>
      <c r="B141" s="556"/>
      <c r="C141" s="527" t="str">
        <f>IF(B141=0,"",INDEX(Tabla17[],MATCH(A141&amp;B141,Tabla17[concatenado],0),4))</f>
        <v/>
      </c>
      <c r="D141" s="527" t="str">
        <f>IF(B141=0,"",INDEX(Tabla17[],MATCH(A141&amp;B141,Tabla17[concatenado],0),5))</f>
        <v/>
      </c>
      <c r="E141" s="527" t="str">
        <f>IF(B141=0,"",INDEX(Tabla17[],MATCH(A141&amp;B141,Tabla17[concatenado],0),6))</f>
        <v/>
      </c>
      <c r="V141" s="556" t="s">
        <v>7099</v>
      </c>
      <c r="W141" s="556"/>
      <c r="X141" s="527" t="str">
        <f>IF(W141=0,"",INDEX(Tabla17[],MATCH(V141&amp;W141,Tabla17[concatenado],0),4))</f>
        <v/>
      </c>
      <c r="Y141" s="527" t="str">
        <f>IF(W141=0,"",INDEX(Tabla17[],MATCH(V141&amp;W141,Tabla17[concatenado],0),5))</f>
        <v/>
      </c>
      <c r="Z141" s="527" t="str">
        <f>IF(W141=0,"",INDEX(Tabla17[],MATCH(V141&amp;W141,Tabla17[concatenado],0),6))</f>
        <v/>
      </c>
      <c r="AQ141" s="556" t="s">
        <v>7099</v>
      </c>
      <c r="AR141" s="556"/>
      <c r="AS141" s="527" t="str">
        <f>IF(AR141=0,"",INDEX(Tabla17[],MATCH(AQ141&amp;AR141,Tabla17[concatenado],0),4))</f>
        <v/>
      </c>
      <c r="AT141" s="527" t="str">
        <f>IF(AR141=0,"",INDEX(Tabla17[],MATCH(AQ141&amp;AR141,Tabla17[concatenado],0),5))</f>
        <v/>
      </c>
      <c r="AU141" s="527" t="str">
        <f>IF(AR141=0,"",INDEX(Tabla17[],MATCH(AQ141&amp;AR141,Tabla17[concatenado],0),6))</f>
        <v/>
      </c>
      <c r="BL141" s="556" t="s">
        <v>7099</v>
      </c>
      <c r="BM141" s="556"/>
      <c r="BN141" s="527" t="str">
        <f>IF(BM141=0,"",INDEX(Tabla17[],MATCH(BL141&amp;BM141,Tabla17[concatenado],0),4))</f>
        <v/>
      </c>
      <c r="BO141" s="527" t="str">
        <f>IF(BM141=0,"",INDEX(Tabla17[],MATCH(BL141&amp;BM141,Tabla17[concatenado],0),5))</f>
        <v/>
      </c>
      <c r="BP141" s="527" t="str">
        <f>IF(BM141=0,"",INDEX(Tabla17[],MATCH(BL141&amp;BM141,Tabla17[concatenado],0),6))</f>
        <v/>
      </c>
    </row>
    <row r="142" spans="1:68" x14ac:dyDescent="0.2">
      <c r="A142" s="556" t="s">
        <v>7100</v>
      </c>
      <c r="B142" s="556"/>
      <c r="C142" s="527" t="str">
        <f>IF(B142=0,"",INDEX(Tabla17[],MATCH(A142&amp;B142,Tabla17[concatenado],0),4))</f>
        <v/>
      </c>
      <c r="D142" s="527" t="str">
        <f>IF(B142=0,"",INDEX(Tabla17[],MATCH(A142&amp;B142,Tabla17[concatenado],0),5))</f>
        <v/>
      </c>
      <c r="E142" s="527" t="str">
        <f>IF(B142=0,"",INDEX(Tabla17[],MATCH(A142&amp;B142,Tabla17[concatenado],0),6))</f>
        <v/>
      </c>
      <c r="V142" s="556" t="s">
        <v>7100</v>
      </c>
      <c r="W142" s="556"/>
      <c r="X142" s="527" t="str">
        <f>IF(W142=0,"",INDEX(Tabla17[],MATCH(V142&amp;W142,Tabla17[concatenado],0),4))</f>
        <v/>
      </c>
      <c r="Y142" s="527" t="str">
        <f>IF(W142=0,"",INDEX(Tabla17[],MATCH(V142&amp;W142,Tabla17[concatenado],0),5))</f>
        <v/>
      </c>
      <c r="Z142" s="527" t="str">
        <f>IF(W142=0,"",INDEX(Tabla17[],MATCH(V142&amp;W142,Tabla17[concatenado],0),6))</f>
        <v/>
      </c>
      <c r="AQ142" s="556" t="s">
        <v>7100</v>
      </c>
      <c r="AR142" s="556"/>
      <c r="AS142" s="527" t="str">
        <f>IF(AR142=0,"",INDEX(Tabla17[],MATCH(AQ142&amp;AR142,Tabla17[concatenado],0),4))</f>
        <v/>
      </c>
      <c r="AT142" s="527" t="str">
        <f>IF(AR142=0,"",INDEX(Tabla17[],MATCH(AQ142&amp;AR142,Tabla17[concatenado],0),5))</f>
        <v/>
      </c>
      <c r="AU142" s="527" t="str">
        <f>IF(AR142=0,"",INDEX(Tabla17[],MATCH(AQ142&amp;AR142,Tabla17[concatenado],0),6))</f>
        <v/>
      </c>
      <c r="BL142" s="556" t="s">
        <v>7100</v>
      </c>
      <c r="BM142" s="556"/>
      <c r="BN142" s="527" t="str">
        <f>IF(BM142=0,"",INDEX(Tabla17[],MATCH(BL142&amp;BM142,Tabla17[concatenado],0),4))</f>
        <v/>
      </c>
      <c r="BO142" s="527" t="str">
        <f>IF(BM142=0,"",INDEX(Tabla17[],MATCH(BL142&amp;BM142,Tabla17[concatenado],0),5))</f>
        <v/>
      </c>
      <c r="BP142" s="527" t="str">
        <f>IF(BM142=0,"",INDEX(Tabla17[],MATCH(BL142&amp;BM142,Tabla17[concatenado],0),6))</f>
        <v/>
      </c>
    </row>
    <row r="143" spans="1:68" x14ac:dyDescent="0.2">
      <c r="A143" s="556" t="s">
        <v>7106</v>
      </c>
      <c r="B143" s="556"/>
      <c r="C143" s="527" t="str">
        <f>IF(B143=0,"",INDEX(Tabla17[],MATCH(A143&amp;B143,Tabla17[concatenado],0),4))</f>
        <v/>
      </c>
      <c r="D143" s="527" t="str">
        <f>IF(B143=0,"",INDEX(Tabla17[],MATCH(A143&amp;B143,Tabla17[concatenado],0),5))</f>
        <v/>
      </c>
      <c r="E143" s="527" t="str">
        <f>IF(B143=0,"",INDEX(Tabla17[],MATCH(A143&amp;B143,Tabla17[concatenado],0),6))</f>
        <v/>
      </c>
      <c r="V143" s="556" t="s">
        <v>7106</v>
      </c>
      <c r="W143" s="556"/>
      <c r="X143" s="527" t="str">
        <f>IF(W143=0,"",INDEX(Tabla17[],MATCH(V143&amp;W143,Tabla17[concatenado],0),4))</f>
        <v/>
      </c>
      <c r="Y143" s="527" t="str">
        <f>IF(W143=0,"",INDEX(Tabla17[],MATCH(V143&amp;W143,Tabla17[concatenado],0),5))</f>
        <v/>
      </c>
      <c r="Z143" s="527" t="str">
        <f>IF(W143=0,"",INDEX(Tabla17[],MATCH(V143&amp;W143,Tabla17[concatenado],0),6))</f>
        <v/>
      </c>
      <c r="AQ143" s="556" t="s">
        <v>7106</v>
      </c>
      <c r="AR143" s="556"/>
      <c r="AS143" s="527" t="str">
        <f>IF(AR143=0,"",INDEX(Tabla17[],MATCH(AQ143&amp;AR143,Tabla17[concatenado],0),4))</f>
        <v/>
      </c>
      <c r="AT143" s="527" t="str">
        <f>IF(AR143=0,"",INDEX(Tabla17[],MATCH(AQ143&amp;AR143,Tabla17[concatenado],0),5))</f>
        <v/>
      </c>
      <c r="AU143" s="527" t="str">
        <f>IF(AR143=0,"",INDEX(Tabla17[],MATCH(AQ143&amp;AR143,Tabla17[concatenado],0),6))</f>
        <v/>
      </c>
      <c r="BL143" s="556" t="s">
        <v>7106</v>
      </c>
      <c r="BM143" s="556"/>
      <c r="BN143" s="527" t="str">
        <f>IF(BM143=0,"",INDEX(Tabla17[],MATCH(BL143&amp;BM143,Tabla17[concatenado],0),4))</f>
        <v/>
      </c>
      <c r="BO143" s="527" t="str">
        <f>IF(BM143=0,"",INDEX(Tabla17[],MATCH(BL143&amp;BM143,Tabla17[concatenado],0),5))</f>
        <v/>
      </c>
      <c r="BP143" s="527" t="str">
        <f>IF(BM143=0,"",INDEX(Tabla17[],MATCH(BL143&amp;BM143,Tabla17[concatenado],0),6))</f>
        <v/>
      </c>
    </row>
    <row r="144" spans="1:68" x14ac:dyDescent="0.2">
      <c r="A144" s="556" t="s">
        <v>7101</v>
      </c>
      <c r="B144" s="556"/>
      <c r="C144" s="527" t="str">
        <f>IF(B144=0,"",INDEX(Tabla17[],MATCH(A144&amp;B144,Tabla17[concatenado],0),4))</f>
        <v/>
      </c>
      <c r="D144" s="527" t="str">
        <f>IF(B144=0,"",INDEX(Tabla17[],MATCH(A144&amp;B144,Tabla17[concatenado],0),5))</f>
        <v/>
      </c>
      <c r="E144" s="527" t="str">
        <f>IF(B144=0,"",INDEX(Tabla17[],MATCH(A144&amp;B144,Tabla17[concatenado],0),6))</f>
        <v/>
      </c>
      <c r="V144" s="556" t="s">
        <v>7101</v>
      </c>
      <c r="W144" s="556"/>
      <c r="X144" s="527" t="str">
        <f>IF(W144=0,"",INDEX(Tabla17[],MATCH(V144&amp;W144,Tabla17[concatenado],0),4))</f>
        <v/>
      </c>
      <c r="Y144" s="527" t="str">
        <f>IF(W144=0,"",INDEX(Tabla17[],MATCH(V144&amp;W144,Tabla17[concatenado],0),5))</f>
        <v/>
      </c>
      <c r="Z144" s="527" t="str">
        <f>IF(W144=0,"",INDEX(Tabla17[],MATCH(V144&amp;W144,Tabla17[concatenado],0),6))</f>
        <v/>
      </c>
      <c r="AQ144" s="556" t="s">
        <v>7101</v>
      </c>
      <c r="AR144" s="556"/>
      <c r="AS144" s="527" t="str">
        <f>IF(AR144=0,"",INDEX(Tabla17[],MATCH(AQ144&amp;AR144,Tabla17[concatenado],0),4))</f>
        <v/>
      </c>
      <c r="AT144" s="527" t="str">
        <f>IF(AR144=0,"",INDEX(Tabla17[],MATCH(AQ144&amp;AR144,Tabla17[concatenado],0),5))</f>
        <v/>
      </c>
      <c r="AU144" s="527" t="str">
        <f>IF(AR144=0,"",INDEX(Tabla17[],MATCH(AQ144&amp;AR144,Tabla17[concatenado],0),6))</f>
        <v/>
      </c>
      <c r="BL144" s="556" t="s">
        <v>7101</v>
      </c>
      <c r="BM144" s="556"/>
      <c r="BN144" s="527" t="str">
        <f>IF(BM144=0,"",INDEX(Tabla17[],MATCH(BL144&amp;BM144,Tabla17[concatenado],0),4))</f>
        <v/>
      </c>
      <c r="BO144" s="527" t="str">
        <f>IF(BM144=0,"",INDEX(Tabla17[],MATCH(BL144&amp;BM144,Tabla17[concatenado],0),5))</f>
        <v/>
      </c>
      <c r="BP144" s="527" t="str">
        <f>IF(BM144=0,"",INDEX(Tabla17[],MATCH(BL144&amp;BM144,Tabla17[concatenado],0),6))</f>
        <v/>
      </c>
    </row>
    <row r="145" spans="1:68" x14ac:dyDescent="0.2">
      <c r="A145" s="556" t="s">
        <v>7102</v>
      </c>
      <c r="B145" s="556"/>
      <c r="C145" s="527" t="str">
        <f>IF(B145=0,"",INDEX(Tabla17[],MATCH(A145&amp;B145,Tabla17[concatenado],0),4))</f>
        <v/>
      </c>
      <c r="D145" s="527" t="str">
        <f>IF(B145=0,"",INDEX(Tabla17[],MATCH(A145&amp;B145,Tabla17[concatenado],0),5))</f>
        <v/>
      </c>
      <c r="E145" s="527" t="str">
        <f>IF(B145=0,"",INDEX(Tabla17[],MATCH(A145&amp;B145,Tabla17[concatenado],0),6))</f>
        <v/>
      </c>
      <c r="V145" s="556" t="s">
        <v>7102</v>
      </c>
      <c r="W145" s="556"/>
      <c r="X145" s="527" t="str">
        <f>IF(W145=0,"",INDEX(Tabla17[],MATCH(V145&amp;W145,Tabla17[concatenado],0),4))</f>
        <v/>
      </c>
      <c r="Y145" s="527" t="str">
        <f>IF(W145=0,"",INDEX(Tabla17[],MATCH(V145&amp;W145,Tabla17[concatenado],0),5))</f>
        <v/>
      </c>
      <c r="Z145" s="527" t="str">
        <f>IF(W145=0,"",INDEX(Tabla17[],MATCH(V145&amp;W145,Tabla17[concatenado],0),6))</f>
        <v/>
      </c>
      <c r="AQ145" s="556" t="s">
        <v>7102</v>
      </c>
      <c r="AR145" s="556"/>
      <c r="AS145" s="527" t="str">
        <f>IF(AR145=0,"",INDEX(Tabla17[],MATCH(AQ145&amp;AR145,Tabla17[concatenado],0),4))</f>
        <v/>
      </c>
      <c r="AT145" s="527" t="str">
        <f>IF(AR145=0,"",INDEX(Tabla17[],MATCH(AQ145&amp;AR145,Tabla17[concatenado],0),5))</f>
        <v/>
      </c>
      <c r="AU145" s="527" t="str">
        <f>IF(AR145=0,"",INDEX(Tabla17[],MATCH(AQ145&amp;AR145,Tabla17[concatenado],0),6))</f>
        <v/>
      </c>
      <c r="BL145" s="556" t="s">
        <v>7102</v>
      </c>
      <c r="BM145" s="556"/>
      <c r="BN145" s="527" t="str">
        <f>IF(BM145=0,"",INDEX(Tabla17[],MATCH(BL145&amp;BM145,Tabla17[concatenado],0),4))</f>
        <v/>
      </c>
      <c r="BO145" s="527" t="str">
        <f>IF(BM145=0,"",INDEX(Tabla17[],MATCH(BL145&amp;BM145,Tabla17[concatenado],0),5))</f>
        <v/>
      </c>
      <c r="BP145" s="527" t="str">
        <f>IF(BM145=0,"",INDEX(Tabla17[],MATCH(BL145&amp;BM145,Tabla17[concatenado],0),6))</f>
        <v/>
      </c>
    </row>
    <row r="146" spans="1:68" x14ac:dyDescent="0.2">
      <c r="A146" s="556" t="s">
        <v>7103</v>
      </c>
      <c r="B146" s="556"/>
      <c r="C146" s="527" t="str">
        <f>IF(B146=0,"",INDEX(Tabla17[],MATCH(A146&amp;B146,Tabla17[concatenado],0),4))</f>
        <v/>
      </c>
      <c r="D146" s="527" t="str">
        <f>IF(B146=0,"",INDEX(Tabla17[],MATCH(A146&amp;B146,Tabla17[concatenado],0),5))</f>
        <v/>
      </c>
      <c r="E146" s="527" t="str">
        <f>IF(B146=0,"",INDEX(Tabla17[],MATCH(A146&amp;B146,Tabla17[concatenado],0),6))</f>
        <v/>
      </c>
      <c r="V146" s="556" t="s">
        <v>7103</v>
      </c>
      <c r="W146" s="556"/>
      <c r="X146" s="527" t="str">
        <f>IF(W146=0,"",INDEX(Tabla17[],MATCH(V146&amp;W146,Tabla17[concatenado],0),4))</f>
        <v/>
      </c>
      <c r="Y146" s="527" t="str">
        <f>IF(W146=0,"",INDEX(Tabla17[],MATCH(V146&amp;W146,Tabla17[concatenado],0),5))</f>
        <v/>
      </c>
      <c r="Z146" s="527" t="str">
        <f>IF(W146=0,"",INDEX(Tabla17[],MATCH(V146&amp;W146,Tabla17[concatenado],0),6))</f>
        <v/>
      </c>
      <c r="AQ146" s="556" t="s">
        <v>7103</v>
      </c>
      <c r="AR146" s="556"/>
      <c r="AS146" s="527" t="str">
        <f>IF(AR146=0,"",INDEX(Tabla17[],MATCH(AQ146&amp;AR146,Tabla17[concatenado],0),4))</f>
        <v/>
      </c>
      <c r="AT146" s="527" t="str">
        <f>IF(AR146=0,"",INDEX(Tabla17[],MATCH(AQ146&amp;AR146,Tabla17[concatenado],0),5))</f>
        <v/>
      </c>
      <c r="AU146" s="527" t="str">
        <f>IF(AR146=0,"",INDEX(Tabla17[],MATCH(AQ146&amp;AR146,Tabla17[concatenado],0),6))</f>
        <v/>
      </c>
      <c r="BL146" s="556" t="s">
        <v>7103</v>
      </c>
      <c r="BM146" s="556"/>
      <c r="BN146" s="527" t="str">
        <f>IF(BM146=0,"",INDEX(Tabla17[],MATCH(BL146&amp;BM146,Tabla17[concatenado],0),4))</f>
        <v/>
      </c>
      <c r="BO146" s="527" t="str">
        <f>IF(BM146=0,"",INDEX(Tabla17[],MATCH(BL146&amp;BM146,Tabla17[concatenado],0),5))</f>
        <v/>
      </c>
      <c r="BP146" s="527" t="str">
        <f>IF(BM146=0,"",INDEX(Tabla17[],MATCH(BL146&amp;BM146,Tabla17[concatenado],0),6))</f>
        <v/>
      </c>
    </row>
    <row r="147" spans="1:68" x14ac:dyDescent="0.2">
      <c r="A147" s="556" t="s">
        <v>7104</v>
      </c>
      <c r="B147" s="556"/>
      <c r="C147" s="527" t="str">
        <f>IF(B147=0,"",INDEX(Tabla17[],MATCH(A147&amp;B147,Tabla17[concatenado],0),4))</f>
        <v/>
      </c>
      <c r="D147" s="527" t="str">
        <f>IF(B147=0,"",INDEX(Tabla17[],MATCH(A147&amp;B147,Tabla17[concatenado],0),5))</f>
        <v/>
      </c>
      <c r="E147" s="527" t="str">
        <f>IF(B147=0,"",INDEX(Tabla17[],MATCH(A147&amp;B147,Tabla17[concatenado],0),6))</f>
        <v/>
      </c>
      <c r="V147" s="556" t="s">
        <v>7104</v>
      </c>
      <c r="W147" s="556"/>
      <c r="X147" s="527" t="str">
        <f>IF(W147=0,"",INDEX(Tabla17[],MATCH(V147&amp;W147,Tabla17[concatenado],0),4))</f>
        <v/>
      </c>
      <c r="Y147" s="527" t="str">
        <f>IF(W147=0,"",INDEX(Tabla17[],MATCH(V147&amp;W147,Tabla17[concatenado],0),5))</f>
        <v/>
      </c>
      <c r="Z147" s="527" t="str">
        <f>IF(W147=0,"",INDEX(Tabla17[],MATCH(V147&amp;W147,Tabla17[concatenado],0),6))</f>
        <v/>
      </c>
      <c r="AQ147" s="556" t="s">
        <v>7104</v>
      </c>
      <c r="AR147" s="556"/>
      <c r="AS147" s="527" t="str">
        <f>IF(AR147=0,"",INDEX(Tabla17[],MATCH(AQ147&amp;AR147,Tabla17[concatenado],0),4))</f>
        <v/>
      </c>
      <c r="AT147" s="527" t="str">
        <f>IF(AR147=0,"",INDEX(Tabla17[],MATCH(AQ147&amp;AR147,Tabla17[concatenado],0),5))</f>
        <v/>
      </c>
      <c r="AU147" s="527" t="str">
        <f>IF(AR147=0,"",INDEX(Tabla17[],MATCH(AQ147&amp;AR147,Tabla17[concatenado],0),6))</f>
        <v/>
      </c>
      <c r="BL147" s="556" t="s">
        <v>7104</v>
      </c>
      <c r="BM147" s="556"/>
      <c r="BN147" s="527" t="str">
        <f>IF(BM147=0,"",INDEX(Tabla17[],MATCH(BL147&amp;BM147,Tabla17[concatenado],0),4))</f>
        <v/>
      </c>
      <c r="BO147" s="527" t="str">
        <f>IF(BM147=0,"",INDEX(Tabla17[],MATCH(BL147&amp;BM147,Tabla17[concatenado],0),5))</f>
        <v/>
      </c>
      <c r="BP147" s="527" t="str">
        <f>IF(BM147=0,"",INDEX(Tabla17[],MATCH(BL147&amp;BM147,Tabla17[concatenado],0),6))</f>
        <v/>
      </c>
    </row>
    <row r="148" spans="1:68" x14ac:dyDescent="0.2">
      <c r="A148" s="556" t="s">
        <v>7105</v>
      </c>
      <c r="B148" s="556"/>
      <c r="C148" s="527" t="str">
        <f>IF(B148=0,"",INDEX(Tabla17[],MATCH(A148&amp;B148,Tabla17[concatenado],0),4))</f>
        <v/>
      </c>
      <c r="D148" s="527" t="str">
        <f>IF(B148=0,"",INDEX(Tabla17[],MATCH(A148&amp;B148,Tabla17[concatenado],0),5))</f>
        <v/>
      </c>
      <c r="E148" s="527" t="str">
        <f>IF(B148=0,"",INDEX(Tabla17[],MATCH(A148&amp;B148,Tabla17[concatenado],0),6))</f>
        <v/>
      </c>
      <c r="V148" s="556" t="s">
        <v>7105</v>
      </c>
      <c r="W148" s="556"/>
      <c r="X148" s="527" t="str">
        <f>IF(W148=0,"",INDEX(Tabla17[],MATCH(V148&amp;W148,Tabla17[concatenado],0),4))</f>
        <v/>
      </c>
      <c r="Y148" s="527" t="str">
        <f>IF(W148=0,"",INDEX(Tabla17[],MATCH(V148&amp;W148,Tabla17[concatenado],0),5))</f>
        <v/>
      </c>
      <c r="Z148" s="527" t="str">
        <f>IF(W148=0,"",INDEX(Tabla17[],MATCH(V148&amp;W148,Tabla17[concatenado],0),6))</f>
        <v/>
      </c>
      <c r="AQ148" s="556" t="s">
        <v>7105</v>
      </c>
      <c r="AR148" s="556"/>
      <c r="AS148" s="527" t="str">
        <f>IF(AR148=0,"",INDEX(Tabla17[],MATCH(AQ148&amp;AR148,Tabla17[concatenado],0),4))</f>
        <v/>
      </c>
      <c r="AT148" s="527" t="str">
        <f>IF(AR148=0,"",INDEX(Tabla17[],MATCH(AQ148&amp;AR148,Tabla17[concatenado],0),5))</f>
        <v/>
      </c>
      <c r="AU148" s="527" t="str">
        <f>IF(AR148=0,"",INDEX(Tabla17[],MATCH(AQ148&amp;AR148,Tabla17[concatenado],0),6))</f>
        <v/>
      </c>
      <c r="BL148" s="556" t="s">
        <v>7105</v>
      </c>
      <c r="BM148" s="556"/>
      <c r="BN148" s="527" t="str">
        <f>IF(BM148=0,"",INDEX(Tabla17[],MATCH(BL148&amp;BM148,Tabla17[concatenado],0),4))</f>
        <v/>
      </c>
      <c r="BO148" s="527" t="str">
        <f>IF(BM148=0,"",INDEX(Tabla17[],MATCH(BL148&amp;BM148,Tabla17[concatenado],0),5))</f>
        <v/>
      </c>
      <c r="BP148" s="527" t="str">
        <f>IF(BM148=0,"",INDEX(Tabla17[],MATCH(BL148&amp;BM148,Tabla17[concatenado],0),6))</f>
        <v/>
      </c>
    </row>
  </sheetData>
  <dataConsolidate/>
  <mergeCells count="52">
    <mergeCell ref="BW9:CB9"/>
    <mergeCell ref="BL10:BL11"/>
    <mergeCell ref="BT10:BU10"/>
    <mergeCell ref="BT11:BU11"/>
    <mergeCell ref="BB9:BG9"/>
    <mergeCell ref="AQ10:AQ11"/>
    <mergeCell ref="AY10:AZ10"/>
    <mergeCell ref="AY11:AZ11"/>
    <mergeCell ref="BL1:BV1"/>
    <mergeCell ref="BN2:BP2"/>
    <mergeCell ref="BQ2:BR2"/>
    <mergeCell ref="BN3:BP3"/>
    <mergeCell ref="BQ3:BR3"/>
    <mergeCell ref="BM6:BS6"/>
    <mergeCell ref="BT6:BU6"/>
    <mergeCell ref="BL7:BS9"/>
    <mergeCell ref="BT7:BU9"/>
    <mergeCell ref="V10:V11"/>
    <mergeCell ref="AD10:AE10"/>
    <mergeCell ref="AD11:AE11"/>
    <mergeCell ref="AQ1:BA1"/>
    <mergeCell ref="AS2:AU2"/>
    <mergeCell ref="AV2:AW2"/>
    <mergeCell ref="AS3:AU3"/>
    <mergeCell ref="AV3:AW3"/>
    <mergeCell ref="AR6:AX6"/>
    <mergeCell ref="AY6:AZ6"/>
    <mergeCell ref="AQ7:AX9"/>
    <mergeCell ref="AY7:AZ9"/>
    <mergeCell ref="W6:AC6"/>
    <mergeCell ref="AD6:AE6"/>
    <mergeCell ref="V7:AC9"/>
    <mergeCell ref="AD7:AE9"/>
    <mergeCell ref="AG9:AL9"/>
    <mergeCell ref="F2:G2"/>
    <mergeCell ref="F3:G3"/>
    <mergeCell ref="V1:AF1"/>
    <mergeCell ref="X2:Z2"/>
    <mergeCell ref="AA2:AB2"/>
    <mergeCell ref="X3:Z3"/>
    <mergeCell ref="AA3:AB3"/>
    <mergeCell ref="A1:K1"/>
    <mergeCell ref="B6:H6"/>
    <mergeCell ref="I6:J6"/>
    <mergeCell ref="A7:H9"/>
    <mergeCell ref="I7:J9"/>
    <mergeCell ref="A10:A11"/>
    <mergeCell ref="I10:J10"/>
    <mergeCell ref="I11:J11"/>
    <mergeCell ref="L9:Q9"/>
    <mergeCell ref="C2:E2"/>
    <mergeCell ref="C3:E3"/>
  </mergeCells>
  <conditionalFormatting sqref="I7:J9">
    <cfRule type="expression" dxfId="14" priority="15">
      <formula>I7&gt;A3</formula>
    </cfRule>
  </conditionalFormatting>
  <conditionalFormatting sqref="AD7:AE9">
    <cfRule type="expression" dxfId="12" priority="5">
      <formula>AD7&gt;V3</formula>
    </cfRule>
  </conditionalFormatting>
  <conditionalFormatting sqref="AY7:AZ9">
    <cfRule type="expression" dxfId="10" priority="3">
      <formula>AY7&gt;AQ3</formula>
    </cfRule>
  </conditionalFormatting>
  <conditionalFormatting sqref="BT7:BU9">
    <cfRule type="expression" dxfId="9" priority="1">
      <formula>BT7&gt;BL3</formula>
    </cfRule>
  </conditionalFormatting>
  <dataValidations count="2">
    <dataValidation type="list" allowBlank="1" showInputMessage="1" showErrorMessage="1" sqref="R15:R22 R24:R30 R32:R39 R41:R50 R52:R54 R56:R65 R67:R73 R75:R83 R85:R122 I3 AM15:AM22 AM24:AM30 AM32:AM39 AM41:AM50 AM52:AM54 AM56:AM65 AM67:AM73 AM75:AM83 AM85:AM122 AD3 BH15:BH22 BH24:BH30 BH32:BH39 BH41:BH50 BH52:BH54 BH56:BH65 BH67:BH73 BH75:BH83 BH85:BH122 AY3 CC15:CC22 CC24:CC30 CC32:CC39 CC41:CC50 CC52:CC54 CC56:CC65 CC67:CC73 CC75:CC83 CC85:CC122 BT3">
      <formula1>"Si,No"</formula1>
    </dataValidation>
    <dataValidation type="list" allowBlank="1" showInputMessage="1" showErrorMessage="1" sqref="H11 AC11 AX11 BS11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id="{FC219BF9-6BA1-4789-8A0E-48CE51971D13}">
            <xm:f>AND(TS!O120=0,$B15&lt;&gt;0)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L15:Q22 L24:Q30 L32:Q39 L41:Q50 L52:Q54 L56:Q65 L67:Q73 L75:Q83 L85:Q122</xm:sqref>
        </x14:conditionalFormatting>
        <x14:conditionalFormatting xmlns:xm="http://schemas.microsoft.com/office/excel/2006/main">
          <x14:cfRule type="expression" priority="6" id="{F8E77BC5-07FB-4B2D-81C3-85DBF89850CA}">
            <xm:f>AND(TS!O120=0,$W15&lt;&gt;0)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AG15:AL22 AG24:AL30 AG32:AL39 AG41:AL50 AG52:AL54 AG56:AL65 AG67:AL73 AG75:AL83 AG85:AL122</xm:sqref>
        </x14:conditionalFormatting>
        <x14:conditionalFormatting xmlns:xm="http://schemas.microsoft.com/office/excel/2006/main">
          <x14:cfRule type="expression" priority="4" id="{70B296CA-1152-473F-B7CE-E9E7892F94EC}">
            <xm:f>AND(TS!O120=0,$AR15&lt;&gt;0)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BB15:BG22 BB24:BG30 BB32:BG39 BB41:BG50 BB52:BG54 BB56:BG65 BB67:BG73 BB75:BG83 BB85:BG122</xm:sqref>
        </x14:conditionalFormatting>
        <x14:conditionalFormatting xmlns:xm="http://schemas.microsoft.com/office/excel/2006/main">
          <x14:cfRule type="expression" priority="2" id="{B77CDACF-4436-433A-8D36-0FF188AEC8A3}">
            <xm:f>AND(TS!O120=0,$BM15&lt;&gt;0)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BW15:CB22 BW24:CB30 BW32:CB39 BW41:CB50 BW52:CB54 BW56:CB65 BW67:CB73 BW75:CB83 BW85:CB122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4">
        <x14:dataValidation type="list" allowBlank="1" showInputMessage="1" showErrorMessage="1">
          <x14:formula1>
            <xm:f>TS!$B$8:$B$18</xm:f>
          </x14:formula1>
          <xm:sqref>B15 W15 AR15 BM15</xm:sqref>
        </x14:dataValidation>
        <x14:dataValidation type="list" allowBlank="1" showInputMessage="1" showErrorMessage="1">
          <x14:formula1>
            <xm:f>TS!$B$19:$B$25</xm:f>
          </x14:formula1>
          <xm:sqref>B16 W16 AR16 BM16</xm:sqref>
        </x14:dataValidation>
        <x14:dataValidation type="list" allowBlank="1" showInputMessage="1" showErrorMessage="1">
          <x14:formula1>
            <xm:f>TS!$B$26:$B$33</xm:f>
          </x14:formula1>
          <xm:sqref>B17 W17 AR17 BM17</xm:sqref>
        </x14:dataValidation>
        <x14:dataValidation type="list" allowBlank="1" showInputMessage="1" showErrorMessage="1">
          <x14:formula1>
            <xm:f>TS!$B$34:$B$44</xm:f>
          </x14:formula1>
          <xm:sqref>B18 W18 AR18 BM18</xm:sqref>
        </x14:dataValidation>
        <x14:dataValidation type="list" allowBlank="1" showInputMessage="1" showErrorMessage="1">
          <x14:formula1>
            <xm:f>TS!$B$45:$B$50</xm:f>
          </x14:formula1>
          <xm:sqref>B19 W19 AR19 BM19</xm:sqref>
        </x14:dataValidation>
        <x14:dataValidation type="list" allowBlank="1" showInputMessage="1" showErrorMessage="1">
          <x14:formula1>
            <xm:f>TS!$B$51:$B$53</xm:f>
          </x14:formula1>
          <xm:sqref>B20 W20 AR20 BM20</xm:sqref>
        </x14:dataValidation>
        <x14:dataValidation type="list" allowBlank="1" showInputMessage="1" showErrorMessage="1">
          <x14:formula1>
            <xm:f>TS!$B$54:$B$56</xm:f>
          </x14:formula1>
          <xm:sqref>B21 W21 AR21 BM21</xm:sqref>
        </x14:dataValidation>
        <x14:dataValidation type="list" allowBlank="1" showInputMessage="1" showErrorMessage="1">
          <x14:formula1>
            <xm:f>TS!$B$57:$B$64</xm:f>
          </x14:formula1>
          <xm:sqref>B22 W22 AR22 BM22</xm:sqref>
        </x14:dataValidation>
        <x14:dataValidation type="list" allowBlank="1" showInputMessage="1" showErrorMessage="1">
          <x14:formula1>
            <xm:f>TS!$B$65:$B$75</xm:f>
          </x14:formula1>
          <xm:sqref>B24 W24 AR24 BM24</xm:sqref>
        </x14:dataValidation>
        <x14:dataValidation type="list" allowBlank="1" showInputMessage="1" showErrorMessage="1">
          <x14:formula1>
            <xm:f>TS!$B$76:$B$82</xm:f>
          </x14:formula1>
          <xm:sqref>B25 W25 AR25 BM25</xm:sqref>
        </x14:dataValidation>
        <x14:dataValidation type="list" allowBlank="1" showInputMessage="1" showErrorMessage="1">
          <x14:formula1>
            <xm:f>TS!$B$83:$B$93</xm:f>
          </x14:formula1>
          <xm:sqref>B26 W26 AR26 BM26</xm:sqref>
        </x14:dataValidation>
        <x14:dataValidation type="list" allowBlank="1" showInputMessage="1" showErrorMessage="1">
          <x14:formula1>
            <xm:f>TS!$B$94:$B$104</xm:f>
          </x14:formula1>
          <xm:sqref>B27 W27 AR27 BM27</xm:sqref>
        </x14:dataValidation>
        <x14:dataValidation type="list" allowBlank="1" showInputMessage="1" showErrorMessage="1">
          <x14:formula1>
            <xm:f>TS!$B$105:$B$111</xm:f>
          </x14:formula1>
          <xm:sqref>B28 W28 AR28 BM28</xm:sqref>
        </x14:dataValidation>
        <x14:dataValidation type="list" allowBlank="1" showInputMessage="1" showErrorMessage="1">
          <x14:formula1>
            <xm:f>TS!$B$112:$B$122</xm:f>
          </x14:formula1>
          <xm:sqref>B29 W29 AR29 BM29</xm:sqref>
        </x14:dataValidation>
        <x14:dataValidation type="list" allowBlank="1" showInputMessage="1" showErrorMessage="1">
          <x14:formula1>
            <xm:f>TS!$B$123:$B$130</xm:f>
          </x14:formula1>
          <xm:sqref>B30 W30 AR30 BM30</xm:sqref>
        </x14:dataValidation>
        <x14:dataValidation type="list" allowBlank="1" showInputMessage="1" showErrorMessage="1">
          <x14:formula1>
            <xm:f>TS!$B$131:$B$141</xm:f>
          </x14:formula1>
          <xm:sqref>B32 W32 AR32 BM32</xm:sqref>
        </x14:dataValidation>
        <x14:dataValidation type="list" allowBlank="1" showInputMessage="1" showErrorMessage="1">
          <x14:formula1>
            <xm:f>TS!$B$142:$B$145</xm:f>
          </x14:formula1>
          <xm:sqref>B33 W33 AR33 BM33</xm:sqref>
        </x14:dataValidation>
        <x14:dataValidation type="list" allowBlank="1" showInputMessage="1" showErrorMessage="1">
          <x14:formula1>
            <xm:f>TS!$B$146</xm:f>
          </x14:formula1>
          <xm:sqref>B34 W34 AR34 BM34</xm:sqref>
        </x14:dataValidation>
        <x14:dataValidation type="list" allowBlank="1" showInputMessage="1" showErrorMessage="1">
          <x14:formula1>
            <xm:f>TS!$B$147:$B$153</xm:f>
          </x14:formula1>
          <xm:sqref>B35 W35 AR35 BM35</xm:sqref>
        </x14:dataValidation>
        <x14:dataValidation type="list" allowBlank="1" showInputMessage="1" showErrorMessage="1">
          <x14:formula1>
            <xm:f>TS!$B$154:$B$156</xm:f>
          </x14:formula1>
          <xm:sqref>B36 W36 AR36 BM36</xm:sqref>
        </x14:dataValidation>
        <x14:dataValidation type="list" allowBlank="1" showInputMessage="1" showErrorMessage="1">
          <x14:formula1>
            <xm:f>TS!$B$157:$B$159</xm:f>
          </x14:formula1>
          <xm:sqref>B37 W37 AR37 BM37</xm:sqref>
        </x14:dataValidation>
        <x14:dataValidation type="list" allowBlank="1" showInputMessage="1" showErrorMessage="1">
          <x14:formula1>
            <xm:f>TS!$B$160:$B$166</xm:f>
          </x14:formula1>
          <xm:sqref>B38 W38 AR38 BM38</xm:sqref>
        </x14:dataValidation>
        <x14:dataValidation type="list" allowBlank="1" showInputMessage="1" showErrorMessage="1">
          <x14:formula1>
            <xm:f>TS!$B$167:$B$172</xm:f>
          </x14:formula1>
          <xm:sqref>B39 W39 AR39 BM39</xm:sqref>
        </x14:dataValidation>
        <x14:dataValidation type="list" allowBlank="1" showInputMessage="1" showErrorMessage="1">
          <x14:formula1>
            <xm:f>TS!$B$173:$B$177</xm:f>
          </x14:formula1>
          <xm:sqref>B41 W41 AR41 BM41</xm:sqref>
        </x14:dataValidation>
        <x14:dataValidation type="list" allowBlank="1" showInputMessage="1" showErrorMessage="1">
          <x14:formula1>
            <xm:f>TS!$B$178</xm:f>
          </x14:formula1>
          <xm:sqref>B42 W42 AR42 BM42</xm:sqref>
        </x14:dataValidation>
        <x14:dataValidation type="list" allowBlank="1" showInputMessage="1" showErrorMessage="1">
          <x14:formula1>
            <xm:f>TS!$B$179</xm:f>
          </x14:formula1>
          <xm:sqref>B43 W43 AR43 BM43</xm:sqref>
        </x14:dataValidation>
        <x14:dataValidation type="list" allowBlank="1" showInputMessage="1" showErrorMessage="1">
          <x14:formula1>
            <xm:f>TS!$B$180:$B$181</xm:f>
          </x14:formula1>
          <xm:sqref>B44 W44 AR44 BM44</xm:sqref>
        </x14:dataValidation>
        <x14:dataValidation type="list" allowBlank="1" showInputMessage="1" showErrorMessage="1">
          <x14:formula1>
            <xm:f>TS!$B$182:$B$189</xm:f>
          </x14:formula1>
          <xm:sqref>B45 W45 AR45 BM45</xm:sqref>
        </x14:dataValidation>
        <x14:dataValidation type="list" allowBlank="1" showInputMessage="1" showErrorMessage="1">
          <x14:formula1>
            <xm:f>TS!$B$190</xm:f>
          </x14:formula1>
          <xm:sqref>B46 W46 AR46 BM46</xm:sqref>
        </x14:dataValidation>
        <x14:dataValidation type="list" allowBlank="1" showInputMessage="1" showErrorMessage="1">
          <x14:formula1>
            <xm:f>TS!$B$191:$B$198</xm:f>
          </x14:formula1>
          <xm:sqref>B47 W47 AR47 BM47</xm:sqref>
        </x14:dataValidation>
        <x14:dataValidation type="list" allowBlank="1" showInputMessage="1" showErrorMessage="1">
          <x14:formula1>
            <xm:f>TS!$B$199</xm:f>
          </x14:formula1>
          <xm:sqref>B48 W48 AR48 BM48</xm:sqref>
        </x14:dataValidation>
        <x14:dataValidation type="list" allowBlank="1" showInputMessage="1" showErrorMessage="1">
          <x14:formula1>
            <xm:f>TS!$B$200:$B$207</xm:f>
          </x14:formula1>
          <xm:sqref>B49 W49 AR49 BM49</xm:sqref>
        </x14:dataValidation>
        <x14:dataValidation type="list" allowBlank="1" showInputMessage="1" showErrorMessage="1">
          <x14:formula1>
            <xm:f>TS!$B$208</xm:f>
          </x14:formula1>
          <xm:sqref>B50 W50 AR50 BM50</xm:sqref>
        </x14:dataValidation>
        <x14:dataValidation type="list" allowBlank="1" showInputMessage="1" showErrorMessage="1">
          <x14:formula1>
            <xm:f>TS!$B$209:$B$216</xm:f>
          </x14:formula1>
          <xm:sqref>B52 W52 AR52 BM52</xm:sqref>
        </x14:dataValidation>
        <x14:dataValidation type="list" allowBlank="1" showInputMessage="1" showErrorMessage="1">
          <x14:formula1>
            <xm:f>TS!$B$217</xm:f>
          </x14:formula1>
          <xm:sqref>B53 W53 AR53 BM53</xm:sqref>
        </x14:dataValidation>
        <x14:dataValidation type="list" allowBlank="1" showInputMessage="1" showErrorMessage="1">
          <x14:formula1>
            <xm:f>TS!$B$218:$B$219</xm:f>
          </x14:formula1>
          <xm:sqref>B54 W54 AR54 BM54</xm:sqref>
        </x14:dataValidation>
        <x14:dataValidation type="list" allowBlank="1" showInputMessage="1" showErrorMessage="1">
          <x14:formula1>
            <xm:f>TS!$B$220:$B$230</xm:f>
          </x14:formula1>
          <xm:sqref>B56 W56 AR56 BM56</xm:sqref>
        </x14:dataValidation>
        <x14:dataValidation type="list" allowBlank="1" showInputMessage="1" showErrorMessage="1">
          <x14:formula1>
            <xm:f>TS!$B$231</xm:f>
          </x14:formula1>
          <xm:sqref>B57 W57 AR57 BM57</xm:sqref>
        </x14:dataValidation>
        <x14:dataValidation type="list" allowBlank="1" showInputMessage="1" showErrorMessage="1">
          <x14:formula1>
            <xm:f>TS!$B$232</xm:f>
          </x14:formula1>
          <xm:sqref>B58 W58 AR58 BM58</xm:sqref>
        </x14:dataValidation>
        <x14:dataValidation type="list" allowBlank="1" showInputMessage="1" showErrorMessage="1">
          <x14:formula1>
            <xm:f>TS!$B$233:$B$240</xm:f>
          </x14:formula1>
          <xm:sqref>B59 W59 AR59 BM59</xm:sqref>
        </x14:dataValidation>
        <x14:dataValidation type="list" allowBlank="1" showInputMessage="1" showErrorMessage="1">
          <x14:formula1>
            <xm:f>TS!$B$241:$B$249</xm:f>
          </x14:formula1>
          <xm:sqref>B60 W60 AR60 BM60</xm:sqref>
        </x14:dataValidation>
        <x14:dataValidation type="list" allowBlank="1" showInputMessage="1" showErrorMessage="1">
          <x14:formula1>
            <xm:f>TS!$B$250</xm:f>
          </x14:formula1>
          <xm:sqref>B61 W61 AR61 BM61</xm:sqref>
        </x14:dataValidation>
        <x14:dataValidation type="list" allowBlank="1" showInputMessage="1" showErrorMessage="1">
          <x14:formula1>
            <xm:f>TS!$B$251:$B$256</xm:f>
          </x14:formula1>
          <xm:sqref>B62 W62 AR62 BM62</xm:sqref>
        </x14:dataValidation>
        <x14:dataValidation type="list" allowBlank="1" showInputMessage="1" showErrorMessage="1">
          <x14:formula1>
            <xm:f>TS!$B$257</xm:f>
          </x14:formula1>
          <xm:sqref>B63 W63 AR63 BM63</xm:sqref>
        </x14:dataValidation>
        <x14:dataValidation type="list" allowBlank="1" showInputMessage="1" showErrorMessage="1">
          <x14:formula1>
            <xm:f>TS!$B$258:$B$265</xm:f>
          </x14:formula1>
          <xm:sqref>B64 W64 AR64 BM64</xm:sqref>
        </x14:dataValidation>
        <x14:dataValidation type="list" allowBlank="1" showInputMessage="1" showErrorMessage="1">
          <x14:formula1>
            <xm:f>TS!$B$266:$B$275</xm:f>
          </x14:formula1>
          <xm:sqref>B65 W65 AR65 BM65</xm:sqref>
        </x14:dataValidation>
        <x14:dataValidation type="list" allowBlank="1" showInputMessage="1" showErrorMessage="1">
          <x14:formula1>
            <xm:f>TS!$B$276:$B$283</xm:f>
          </x14:formula1>
          <xm:sqref>B67 W67 AR67 BM67</xm:sqref>
        </x14:dataValidation>
        <x14:dataValidation type="list" allowBlank="1" showInputMessage="1" showErrorMessage="1">
          <x14:formula1>
            <xm:f>TS!$B$284:$B$290</xm:f>
          </x14:formula1>
          <xm:sqref>B68 W68 AR68 BM68</xm:sqref>
        </x14:dataValidation>
        <x14:dataValidation type="list" allowBlank="1" showInputMessage="1" showErrorMessage="1">
          <x14:formula1>
            <xm:f>TS!$B$291:$B$299</xm:f>
          </x14:formula1>
          <xm:sqref>B69 W69 AR69 BM69</xm:sqref>
        </x14:dataValidation>
        <x14:dataValidation type="list" allowBlank="1" showInputMessage="1" showErrorMessage="1">
          <x14:formula1>
            <xm:f>TS!$B$300:$B$307</xm:f>
          </x14:formula1>
          <xm:sqref>B70 W70 AR70 BM70</xm:sqref>
        </x14:dataValidation>
        <x14:dataValidation type="list" allowBlank="1" showInputMessage="1" showErrorMessage="1">
          <x14:formula1>
            <xm:f>TS!$B$308</xm:f>
          </x14:formula1>
          <xm:sqref>B71 W71 AR71 BM71</xm:sqref>
        </x14:dataValidation>
        <x14:dataValidation type="list" allowBlank="1" showInputMessage="1" showErrorMessage="1">
          <x14:formula1>
            <xm:f>TS!$B$309</xm:f>
          </x14:formula1>
          <xm:sqref>B72 W72 AR72 BM72</xm:sqref>
        </x14:dataValidation>
        <x14:dataValidation type="list" allowBlank="1" showInputMessage="1" showErrorMessage="1">
          <x14:formula1>
            <xm:f>TS!$B$310</xm:f>
          </x14:formula1>
          <xm:sqref>B73 W73 AR73 BM73</xm:sqref>
        </x14:dataValidation>
        <x14:dataValidation type="list" allowBlank="1" showInputMessage="1" showErrorMessage="1">
          <x14:formula1>
            <xm:f>TS!$B$311:$B$315</xm:f>
          </x14:formula1>
          <xm:sqref>B75 W75 AR75 BM75</xm:sqref>
        </x14:dataValidation>
        <x14:dataValidation type="list" allowBlank="1" showInputMessage="1" showErrorMessage="1">
          <x14:formula1>
            <xm:f>TS!$B$316:$B$321</xm:f>
          </x14:formula1>
          <xm:sqref>B76 W76 AR76 BM76</xm:sqref>
        </x14:dataValidation>
        <x14:dataValidation type="list" allowBlank="1" showInputMessage="1" showErrorMessage="1">
          <x14:formula1>
            <xm:f>TS!$B$322:$B$329</xm:f>
          </x14:formula1>
          <xm:sqref>B77 W77 AR77 BM77</xm:sqref>
        </x14:dataValidation>
        <x14:dataValidation type="list" allowBlank="1" showInputMessage="1" showErrorMessage="1">
          <x14:formula1>
            <xm:f>TS!$B$330:$B$337</xm:f>
          </x14:formula1>
          <xm:sqref>B78 W78 AR78 BM78</xm:sqref>
        </x14:dataValidation>
        <x14:dataValidation type="list" allowBlank="1" showInputMessage="1" showErrorMessage="1">
          <x14:formula1>
            <xm:f>TS!$B$338:$B$339</xm:f>
          </x14:formula1>
          <xm:sqref>B79:B80 W79:W80 AR79:AR80 BM79:BM80</xm:sqref>
        </x14:dataValidation>
        <x14:dataValidation type="list" allowBlank="1" showInputMessage="1" showErrorMessage="1">
          <x14:formula1>
            <xm:f>TS!$B$340:$B$347</xm:f>
          </x14:formula1>
          <xm:sqref>B81 W81 AR81 BM81</xm:sqref>
        </x14:dataValidation>
        <x14:dataValidation type="list" allowBlank="1" showInputMessage="1" showErrorMessage="1">
          <x14:formula1>
            <xm:f>TS!$B$348:$B$355</xm:f>
          </x14:formula1>
          <xm:sqref>B82 W82 AR82 BM82</xm:sqref>
        </x14:dataValidation>
        <x14:dataValidation type="list" allowBlank="1" showInputMessage="1" showErrorMessage="1">
          <x14:formula1>
            <xm:f>TS!$B$356:$B$362</xm:f>
          </x14:formula1>
          <xm:sqref>B83 W83 AR83 BM83</xm:sqref>
        </x14:dataValidation>
        <x14:dataValidation type="list" allowBlank="1" showInputMessage="1" showErrorMessage="1">
          <x14:formula1>
            <xm:f>TS!$B$363</xm:f>
          </x14:formula1>
          <xm:sqref>B85 W85 AR85 BM85</xm:sqref>
        </x14:dataValidation>
        <x14:dataValidation type="list" allowBlank="1" showInputMessage="1" showErrorMessage="1">
          <x14:formula1>
            <xm:f>TS!$B$364</xm:f>
          </x14:formula1>
          <xm:sqref>B86 W86 AR86 BM86</xm:sqref>
        </x14:dataValidation>
        <x14:dataValidation type="list" allowBlank="1" showInputMessage="1" showErrorMessage="1">
          <x14:formula1>
            <xm:f>TS!$B$365:$B$369</xm:f>
          </x14:formula1>
          <xm:sqref>B87 W87 AR87 BM87</xm:sqref>
        </x14:dataValidation>
        <x14:dataValidation type="list" allowBlank="1" showInputMessage="1" showErrorMessage="1">
          <x14:formula1>
            <xm:f>TS!$B$370</xm:f>
          </x14:formula1>
          <xm:sqref>B88 W88 AR88 BM88</xm:sqref>
        </x14:dataValidation>
        <x14:dataValidation type="list" allowBlank="1" showInputMessage="1" showErrorMessage="1">
          <x14:formula1>
            <xm:f>TS!$B$371:$B$374</xm:f>
          </x14:formula1>
          <xm:sqref>B89 W89 AR89 BM89</xm:sqref>
        </x14:dataValidation>
        <x14:dataValidation type="list" allowBlank="1" showInputMessage="1" showErrorMessage="1">
          <x14:formula1>
            <xm:f>TS!$B$375</xm:f>
          </x14:formula1>
          <xm:sqref>B90 W90 AR90 BM90</xm:sqref>
        </x14:dataValidation>
        <x14:dataValidation type="list" allowBlank="1" showInputMessage="1" showErrorMessage="1">
          <x14:formula1>
            <xm:f>TS!$B$376:$B$381</xm:f>
          </x14:formula1>
          <xm:sqref>B91 W91 AR91 BM91</xm:sqref>
        </x14:dataValidation>
        <x14:dataValidation type="list" allowBlank="1" showInputMessage="1" showErrorMessage="1">
          <x14:formula1>
            <xm:f>TS!$B$382:$B$390</xm:f>
          </x14:formula1>
          <xm:sqref>B92 W92 AR92 BM92</xm:sqref>
        </x14:dataValidation>
        <x14:dataValidation type="list" allowBlank="1" showInputMessage="1" showErrorMessage="1">
          <x14:formula1>
            <xm:f>TS!$B$391</xm:f>
          </x14:formula1>
          <xm:sqref>B93 W93 AR93 BM93</xm:sqref>
        </x14:dataValidation>
        <x14:dataValidation type="list" allowBlank="1" showInputMessage="1" showErrorMessage="1">
          <x14:formula1>
            <xm:f>TS!$B$392</xm:f>
          </x14:formula1>
          <xm:sqref>B94 W94 AR94 BM94</xm:sqref>
        </x14:dataValidation>
        <x14:dataValidation type="list" allowBlank="1" showInputMessage="1" showErrorMessage="1">
          <x14:formula1>
            <xm:f>TS!$B$393:$B$401</xm:f>
          </x14:formula1>
          <xm:sqref>B95 W95 AR95 BM95</xm:sqref>
        </x14:dataValidation>
        <x14:dataValidation type="list" allowBlank="1" showInputMessage="1" showErrorMessage="1">
          <x14:formula1>
            <xm:f>TS!$B$402:$B$404</xm:f>
          </x14:formula1>
          <xm:sqref>B96 W96 AR96 BM96</xm:sqref>
        </x14:dataValidation>
        <x14:dataValidation type="list" allowBlank="1" showInputMessage="1" showErrorMessage="1">
          <x14:formula1>
            <xm:f>TS!$B$405:$B$412</xm:f>
          </x14:formula1>
          <xm:sqref>B97 W97 AR97 BM97</xm:sqref>
        </x14:dataValidation>
        <x14:dataValidation type="list" allowBlank="1" showInputMessage="1" showErrorMessage="1">
          <x14:formula1>
            <xm:f>TS!$B$413:$B$420</xm:f>
          </x14:formula1>
          <xm:sqref>B98 W98 AR98 BM98</xm:sqref>
        </x14:dataValidation>
        <x14:dataValidation type="list" allowBlank="1" showInputMessage="1" showErrorMessage="1">
          <x14:formula1>
            <xm:f>TS!$B$421</xm:f>
          </x14:formula1>
          <xm:sqref>B99 W99 AR99 BM99</xm:sqref>
        </x14:dataValidation>
        <x14:dataValidation type="list" allowBlank="1" showInputMessage="1" showErrorMessage="1">
          <x14:formula1>
            <xm:f>TS!$B$422:$B$424</xm:f>
          </x14:formula1>
          <xm:sqref>B100 W100 AR100 BM100</xm:sqref>
        </x14:dataValidation>
        <x14:dataValidation type="list" allowBlank="1" showInputMessage="1" showErrorMessage="1">
          <x14:formula1>
            <xm:f>TS!$B$425:$B$434</xm:f>
          </x14:formula1>
          <xm:sqref>B101 W101 AR101 BM101</xm:sqref>
        </x14:dataValidation>
        <x14:dataValidation type="list" allowBlank="1" showInputMessage="1" showErrorMessage="1">
          <x14:formula1>
            <xm:f>TS!$B$435:$B$437</xm:f>
          </x14:formula1>
          <xm:sqref>B102 W102 AR102 BM102</xm:sqref>
        </x14:dataValidation>
        <x14:dataValidation type="list" allowBlank="1" showInputMessage="1" showErrorMessage="1">
          <x14:formula1>
            <xm:f>TS!$B$438:$B$446</xm:f>
          </x14:formula1>
          <xm:sqref>B103 W103 AR103 BM103</xm:sqref>
        </x14:dataValidation>
        <x14:dataValidation type="list" allowBlank="1" showInputMessage="1" showErrorMessage="1">
          <x14:formula1>
            <xm:f>TS!$B$447:$B$471</xm:f>
          </x14:formula1>
          <xm:sqref>B104 W104 AR104 BM104</xm:sqref>
        </x14:dataValidation>
        <x14:dataValidation type="list" allowBlank="1" showInputMessage="1" showErrorMessage="1">
          <x14:formula1>
            <xm:f>TS!$B$472:$B$482</xm:f>
          </x14:formula1>
          <xm:sqref>B105 W105 AR105 BM105</xm:sqref>
        </x14:dataValidation>
        <x14:dataValidation type="list" allowBlank="1" showInputMessage="1" showErrorMessage="1">
          <x14:formula1>
            <xm:f>TS!$B$483:$B$490</xm:f>
          </x14:formula1>
          <xm:sqref>B106 W106 AR106 BM106</xm:sqref>
        </x14:dataValidation>
        <x14:dataValidation type="list" allowBlank="1" showInputMessage="1" showErrorMessage="1">
          <x14:formula1>
            <xm:f>TS!$B$491:$B$499</xm:f>
          </x14:formula1>
          <xm:sqref>B107 W107 AR107 BM107</xm:sqref>
        </x14:dataValidation>
        <x14:dataValidation type="list" allowBlank="1" showInputMessage="1" showErrorMessage="1">
          <x14:formula1>
            <xm:f>TS!$B$500</xm:f>
          </x14:formula1>
          <xm:sqref>B108 W108 AR108 BM108</xm:sqref>
        </x14:dataValidation>
        <x14:dataValidation type="list" allowBlank="1" showInputMessage="1" showErrorMessage="1">
          <x14:formula1>
            <xm:f>TS!$B$501:$B$507</xm:f>
          </x14:formula1>
          <xm:sqref>B109 W109 AR109 BM109</xm:sqref>
        </x14:dataValidation>
        <x14:dataValidation type="list" allowBlank="1" showInputMessage="1" showErrorMessage="1">
          <x14:formula1>
            <xm:f>TS!$B$508:$B$510</xm:f>
          </x14:formula1>
          <xm:sqref>B110 W110 AR110 BM110</xm:sqref>
        </x14:dataValidation>
        <x14:dataValidation type="list" allowBlank="1" showInputMessage="1" showErrorMessage="1">
          <x14:formula1>
            <xm:f>TS!$B$511</xm:f>
          </x14:formula1>
          <xm:sqref>B111 W111 AR111 BM111</xm:sqref>
        </x14:dataValidation>
        <x14:dataValidation type="list" allowBlank="1" showInputMessage="1" showErrorMessage="1">
          <x14:formula1>
            <xm:f>TS!$B$512:$B$513</xm:f>
          </x14:formula1>
          <xm:sqref>B112 W112 AR112 BM112</xm:sqref>
        </x14:dataValidation>
        <x14:dataValidation type="list" allowBlank="1" showInputMessage="1" showErrorMessage="1">
          <x14:formula1>
            <xm:f>TS!$B$514</xm:f>
          </x14:formula1>
          <xm:sqref>B113 W113 AR113 BM113</xm:sqref>
        </x14:dataValidation>
        <x14:dataValidation type="list" allowBlank="1" showInputMessage="1" showErrorMessage="1">
          <x14:formula1>
            <xm:f>TS!$B$515:$B$516</xm:f>
          </x14:formula1>
          <xm:sqref>B114 W114 AR114 BM114</xm:sqref>
        </x14:dataValidation>
        <x14:dataValidation type="list" allowBlank="1" showInputMessage="1" showErrorMessage="1">
          <x14:formula1>
            <xm:f>TS!$B$517:$B$518</xm:f>
          </x14:formula1>
          <xm:sqref>B115 W115 AR115 BM115</xm:sqref>
        </x14:dataValidation>
        <x14:dataValidation type="list" allowBlank="1" showInputMessage="1" showErrorMessage="1">
          <x14:formula1>
            <xm:f>TS!$B$519:$B$529</xm:f>
          </x14:formula1>
          <xm:sqref>B116 W116 AR116 BM116</xm:sqref>
        </x14:dataValidation>
        <x14:dataValidation type="list" allowBlank="1" showInputMessage="1" showErrorMessage="1">
          <x14:formula1>
            <xm:f>TS!$B$530</xm:f>
          </x14:formula1>
          <xm:sqref>B117 W117 AR117 BM117</xm:sqref>
        </x14:dataValidation>
        <x14:dataValidation type="list" allowBlank="1" showInputMessage="1" showErrorMessage="1">
          <x14:formula1>
            <xm:f>TS!$B$531:$B$537</xm:f>
          </x14:formula1>
          <xm:sqref>B118 W118 AR118 BM118</xm:sqref>
        </x14:dataValidation>
        <x14:dataValidation type="list" allowBlank="1" showInputMessage="1" showErrorMessage="1">
          <x14:formula1>
            <xm:f>TS!$B$538</xm:f>
          </x14:formula1>
          <xm:sqref>B119 W119 AR119 BM119</xm:sqref>
        </x14:dataValidation>
        <x14:dataValidation type="list" allowBlank="1" showInputMessage="1" showErrorMessage="1">
          <x14:formula1>
            <xm:f>TS!$B$539</xm:f>
          </x14:formula1>
          <xm:sqref>B120 W120 AR120 BM120</xm:sqref>
        </x14:dataValidation>
        <x14:dataValidation type="list" allowBlank="1" showInputMessage="1" showErrorMessage="1">
          <x14:formula1>
            <xm:f>TS!$B$540</xm:f>
          </x14:formula1>
          <xm:sqref>B121 W121 AR121 BM121</xm:sqref>
        </x14:dataValidation>
        <x14:dataValidation type="list" allowBlank="1" showInputMessage="1" showErrorMessage="1">
          <x14:formula1>
            <xm:f>TS!$B$541</xm:f>
          </x14:formula1>
          <xm:sqref>B122 W122 AR122 BM122</xm:sqref>
        </x14:dataValidation>
        <x14:dataValidation type="list" allowBlank="1" showInputMessage="1" showErrorMessage="1">
          <x14:formula1>
            <xm:f>TS!$AD$8:$AD$10</xm:f>
          </x14:formula1>
          <xm:sqref>B125 W125 AR125 BM125</xm:sqref>
        </x14:dataValidation>
        <x14:dataValidation type="list" allowBlank="1" showInputMessage="1" showErrorMessage="1">
          <x14:formula1>
            <xm:f>TS!$AD$11:$AD$12</xm:f>
          </x14:formula1>
          <xm:sqref>B126 W126 AR126 BM126</xm:sqref>
        </x14:dataValidation>
        <x14:dataValidation type="list" allowBlank="1" showInputMessage="1" showErrorMessage="1">
          <x14:formula1>
            <xm:f>TS!$AD$13:$AD$15</xm:f>
          </x14:formula1>
          <xm:sqref>B127 W127 AR127 BM127</xm:sqref>
        </x14:dataValidation>
        <x14:dataValidation type="list" allowBlank="1" showInputMessage="1" showErrorMessage="1">
          <x14:formula1>
            <xm:f>TS!$AD$16:$AD$17</xm:f>
          </x14:formula1>
          <xm:sqref>B128 W128 AR128 BM128</xm:sqref>
        </x14:dataValidation>
        <x14:dataValidation type="list" allowBlank="1" showInputMessage="1" showErrorMessage="1">
          <x14:formula1>
            <xm:f>TS!$AD$18:$AD$21</xm:f>
          </x14:formula1>
          <xm:sqref>B129 W129 AR129 BM129</xm:sqref>
        </x14:dataValidation>
        <x14:dataValidation type="list" allowBlank="1" showInputMessage="1" showErrorMessage="1">
          <x14:formula1>
            <xm:f>TS!$AD$22</xm:f>
          </x14:formula1>
          <xm:sqref>B130 W130 AR130 BM130</xm:sqref>
        </x14:dataValidation>
        <x14:dataValidation type="list" allowBlank="1" showInputMessage="1" showErrorMessage="1">
          <x14:formula1>
            <xm:f>TS!$AD$23</xm:f>
          </x14:formula1>
          <xm:sqref>B131 W131 AR131 BM131</xm:sqref>
        </x14:dataValidation>
        <x14:dataValidation type="list" allowBlank="1" showInputMessage="1" showErrorMessage="1">
          <x14:formula1>
            <xm:f>TS!$AD$24:$AD$31</xm:f>
          </x14:formula1>
          <xm:sqref>B132 W132 AR132 BM132</xm:sqref>
        </x14:dataValidation>
        <x14:dataValidation type="list" allowBlank="1" showInputMessage="1" showErrorMessage="1">
          <x14:formula1>
            <xm:f>TS!$AD$32:$AD$33</xm:f>
          </x14:formula1>
          <xm:sqref>B133 W133 AR133 BM133</xm:sqref>
        </x14:dataValidation>
        <x14:dataValidation type="list" allowBlank="1" showInputMessage="1" showErrorMessage="1">
          <x14:formula1>
            <xm:f>TS!$AD$34:$AD$38</xm:f>
          </x14:formula1>
          <xm:sqref>B134 W134 AR134 BM134</xm:sqref>
        </x14:dataValidation>
        <x14:dataValidation type="list" allowBlank="1" showInputMessage="1" showErrorMessage="1">
          <x14:formula1>
            <xm:f>TS!$AD$39:$AD$41</xm:f>
          </x14:formula1>
          <xm:sqref>B135 W135 AR135 BM135</xm:sqref>
        </x14:dataValidation>
        <x14:dataValidation type="list" allowBlank="1" showInputMessage="1" showErrorMessage="1">
          <x14:formula1>
            <xm:f>TS!$AD$42</xm:f>
          </x14:formula1>
          <xm:sqref>B136 W136 AR136 BM136</xm:sqref>
        </x14:dataValidation>
        <x14:dataValidation type="list" allowBlank="1" showInputMessage="1" showErrorMessage="1">
          <x14:formula1>
            <xm:f>TS!$AD$43</xm:f>
          </x14:formula1>
          <xm:sqref>B137 W137 AR137 BM137</xm:sqref>
        </x14:dataValidation>
        <x14:dataValidation type="list" allowBlank="1" showInputMessage="1" showErrorMessage="1">
          <x14:formula1>
            <xm:f>TS!$AD$44:$AD$48</xm:f>
          </x14:formula1>
          <xm:sqref>B138 W138 AR138 BM138</xm:sqref>
        </x14:dataValidation>
        <x14:dataValidation type="list" allowBlank="1" showInputMessage="1" showErrorMessage="1">
          <x14:formula1>
            <xm:f>TS!$AD$49</xm:f>
          </x14:formula1>
          <xm:sqref>B139 W139 AR139 BM139</xm:sqref>
        </x14:dataValidation>
        <x14:dataValidation type="list" allowBlank="1" showInputMessage="1" showErrorMessage="1">
          <x14:formula1>
            <xm:f>TS!$AD$50:$AD$52</xm:f>
          </x14:formula1>
          <xm:sqref>B140 W140 AR140 BM140</xm:sqref>
        </x14:dataValidation>
        <x14:dataValidation type="list" allowBlank="1" showInputMessage="1" showErrorMessage="1">
          <x14:formula1>
            <xm:f>TS!$AD$53:$AD$54</xm:f>
          </x14:formula1>
          <xm:sqref>B141 W141 AR141 BM141</xm:sqref>
        </x14:dataValidation>
        <x14:dataValidation type="list" allowBlank="1" showInputMessage="1" showErrorMessage="1">
          <x14:formula1>
            <xm:f>TS!$AD$55:$AD$59</xm:f>
          </x14:formula1>
          <xm:sqref>B142 W142 AR142 BM142</xm:sqref>
        </x14:dataValidation>
        <x14:dataValidation type="list" allowBlank="1" showInputMessage="1" showErrorMessage="1">
          <x14:formula1>
            <xm:f>TS!$AD$60</xm:f>
          </x14:formula1>
          <xm:sqref>B143 W143 AR143 BM143</xm:sqref>
        </x14:dataValidation>
        <x14:dataValidation type="list" allowBlank="1" showInputMessage="1" showErrorMessage="1">
          <x14:formula1>
            <xm:f>TS!$AD$61</xm:f>
          </x14:formula1>
          <xm:sqref>B144 W144 AR144 BM144</xm:sqref>
        </x14:dataValidation>
        <x14:dataValidation type="list" allowBlank="1" showInputMessage="1" showErrorMessage="1">
          <x14:formula1>
            <xm:f>TS!$AD$62:$AD$63</xm:f>
          </x14:formula1>
          <xm:sqref>B145 W145 AR145 BM145</xm:sqref>
        </x14:dataValidation>
        <x14:dataValidation type="list" allowBlank="1" showInputMessage="1" showErrorMessage="1">
          <x14:formula1>
            <xm:f>TS!$AD$64</xm:f>
          </x14:formula1>
          <xm:sqref>B146 W146 AR146 BM146</xm:sqref>
        </x14:dataValidation>
        <x14:dataValidation type="list" allowBlank="1" showInputMessage="1" showErrorMessage="1">
          <x14:formula1>
            <xm:f>TS!$AD$65:$AD$67</xm:f>
          </x14:formula1>
          <xm:sqref>B147 W147 AR147 BM147</xm:sqref>
        </x14:dataValidation>
        <x14:dataValidation type="list" allowBlank="1" showInputMessage="1" showErrorMessage="1">
          <x14:formula1>
            <xm:f>TS!$AD$69</xm:f>
          </x14:formula1>
          <xm:sqref>B148 W148 AR148 BM148</xm:sqref>
        </x14:dataValidation>
        <x14:dataValidation type="list" allowBlank="1" showInputMessage="1" showErrorMessage="1">
          <x14:formula1>
            <xm:f>IF(H11=1,TS!$N$1:$N$2,IF(H11=2,TS!$O$1:$O$4,IF(H11=3,TS!$P$1:$P$4,0)))</xm:f>
          </x14:formula1>
          <xm:sqref>F3 AA3 AV3 BQ3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41"/>
  <sheetViews>
    <sheetView topLeftCell="BK112" zoomScaleNormal="100" workbookViewId="0">
      <selection activeCell="CG118" sqref="CG118:CX249"/>
    </sheetView>
  </sheetViews>
  <sheetFormatPr baseColWidth="10" defaultRowHeight="12.75" x14ac:dyDescent="0.2"/>
  <cols>
    <col min="1" max="2" width="11.42578125" style="302"/>
    <col min="3" max="3" width="32.7109375" style="302" customWidth="1"/>
    <col min="4" max="16" width="11.42578125" style="302"/>
    <col min="17" max="17" width="14" style="302" customWidth="1"/>
    <col min="18" max="18" width="12" style="302" customWidth="1"/>
    <col min="19" max="28" width="11.42578125" style="302"/>
    <col min="29" max="29" width="16.5703125" style="302" customWidth="1"/>
    <col min="30" max="30" width="11.42578125" style="302"/>
    <col min="31" max="31" width="13.7109375" style="302" customWidth="1"/>
    <col min="32" max="32" width="15.28515625" style="302" customWidth="1"/>
    <col min="33" max="34" width="11.42578125" style="302"/>
    <col min="35" max="35" width="15" style="302" customWidth="1"/>
    <col min="36" max="36" width="12.7109375" style="302" bestFit="1" customWidth="1"/>
    <col min="37" max="38" width="11.42578125" style="302"/>
    <col min="39" max="39" width="12.7109375" style="302" bestFit="1" customWidth="1"/>
    <col min="40" max="16384" width="11.42578125" style="302"/>
  </cols>
  <sheetData>
    <row r="1" spans="1:34" x14ac:dyDescent="0.2">
      <c r="A1" s="302" t="s">
        <v>14</v>
      </c>
      <c r="B1" s="302" t="s">
        <v>6781</v>
      </c>
      <c r="D1" s="302" t="s">
        <v>6782</v>
      </c>
      <c r="E1" s="302" t="s">
        <v>6783</v>
      </c>
      <c r="N1" s="302" t="s">
        <v>244</v>
      </c>
      <c r="O1" s="302" t="s">
        <v>244</v>
      </c>
      <c r="P1" s="302" t="s">
        <v>244</v>
      </c>
      <c r="U1" s="302" t="s">
        <v>6891</v>
      </c>
      <c r="V1" s="302" t="s">
        <v>7</v>
      </c>
      <c r="W1" s="302" t="s">
        <v>5</v>
      </c>
    </row>
    <row r="2" spans="1:34" x14ac:dyDescent="0.2">
      <c r="A2" s="302">
        <v>0</v>
      </c>
      <c r="B2" s="302">
        <v>0</v>
      </c>
      <c r="D2" s="302">
        <v>0</v>
      </c>
      <c r="E2" s="302">
        <v>0</v>
      </c>
      <c r="N2" s="302" t="s">
        <v>309</v>
      </c>
      <c r="O2" s="302" t="s">
        <v>309</v>
      </c>
      <c r="P2" s="302" t="s">
        <v>309</v>
      </c>
      <c r="U2" s="302">
        <v>1</v>
      </c>
      <c r="V2" s="301">
        <v>3</v>
      </c>
      <c r="W2" s="302">
        <v>10</v>
      </c>
    </row>
    <row r="3" spans="1:34" x14ac:dyDescent="0.2">
      <c r="A3" s="302">
        <v>1</v>
      </c>
      <c r="B3" s="302">
        <v>50</v>
      </c>
      <c r="D3" s="302">
        <v>20</v>
      </c>
      <c r="E3" s="302">
        <v>1</v>
      </c>
      <c r="O3" s="302" t="s">
        <v>6887</v>
      </c>
      <c r="P3" s="302" t="s">
        <v>6887</v>
      </c>
      <c r="U3" s="302">
        <v>2</v>
      </c>
      <c r="V3" s="301">
        <v>6</v>
      </c>
      <c r="W3" s="302">
        <v>20</v>
      </c>
    </row>
    <row r="4" spans="1:34" x14ac:dyDescent="0.2">
      <c r="A4" s="302">
        <v>2</v>
      </c>
      <c r="B4" s="302">
        <v>100</v>
      </c>
      <c r="D4" s="302">
        <v>40</v>
      </c>
      <c r="E4" s="302">
        <v>2</v>
      </c>
      <c r="O4" s="302" t="s">
        <v>6888</v>
      </c>
      <c r="P4" s="302" t="s">
        <v>6888</v>
      </c>
      <c r="U4" s="302">
        <v>3</v>
      </c>
      <c r="V4" s="301">
        <v>9</v>
      </c>
      <c r="W4" s="302">
        <v>30</v>
      </c>
    </row>
    <row r="5" spans="1:34" x14ac:dyDescent="0.2">
      <c r="A5" s="302">
        <v>3</v>
      </c>
      <c r="B5" s="302">
        <v>200</v>
      </c>
      <c r="D5" s="302">
        <v>60</v>
      </c>
      <c r="E5" s="302">
        <v>3</v>
      </c>
      <c r="V5" s="301"/>
    </row>
    <row r="6" spans="1:34" x14ac:dyDescent="0.2">
      <c r="N6" s="302" t="s">
        <v>0</v>
      </c>
      <c r="O6" s="302" t="s">
        <v>26</v>
      </c>
      <c r="P6" s="302" t="s">
        <v>277</v>
      </c>
      <c r="Q6" s="302" t="s">
        <v>6791</v>
      </c>
      <c r="R6" s="302" t="s">
        <v>6792</v>
      </c>
      <c r="S6" s="302" t="s">
        <v>7174</v>
      </c>
      <c r="V6" s="301"/>
    </row>
    <row r="7" spans="1:34" x14ac:dyDescent="0.2">
      <c r="A7" s="302" t="s">
        <v>0</v>
      </c>
      <c r="B7" s="302" t="s">
        <v>164</v>
      </c>
      <c r="C7" s="302" t="s">
        <v>6890</v>
      </c>
      <c r="D7" s="302" t="s">
        <v>27</v>
      </c>
      <c r="E7" s="302" t="s">
        <v>6813</v>
      </c>
      <c r="F7" s="302" t="s">
        <v>5</v>
      </c>
      <c r="G7" s="302" t="s">
        <v>69</v>
      </c>
      <c r="H7" s="302" t="s">
        <v>6814</v>
      </c>
      <c r="I7" s="302" t="s">
        <v>6815</v>
      </c>
      <c r="J7" s="302" t="s">
        <v>14</v>
      </c>
      <c r="N7" s="303" t="s">
        <v>6785</v>
      </c>
      <c r="O7" s="302">
        <v>0</v>
      </c>
      <c r="P7" s="302">
        <v>0</v>
      </c>
      <c r="Q7" s="302">
        <v>0</v>
      </c>
      <c r="R7" s="302">
        <v>0</v>
      </c>
      <c r="U7" s="302" t="s">
        <v>14</v>
      </c>
      <c r="V7" s="302" t="s">
        <v>4179</v>
      </c>
      <c r="W7" s="302" t="s">
        <v>6892</v>
      </c>
      <c r="X7" s="302" t="s">
        <v>5</v>
      </c>
      <c r="AC7" s="297" t="s">
        <v>7083</v>
      </c>
      <c r="AD7" s="297" t="s">
        <v>7107</v>
      </c>
      <c r="AE7" s="302" t="s">
        <v>6892</v>
      </c>
      <c r="AF7" s="297" t="s">
        <v>7108</v>
      </c>
      <c r="AG7" s="297" t="s">
        <v>14</v>
      </c>
      <c r="AH7" s="297" t="s">
        <v>277</v>
      </c>
    </row>
    <row r="8" spans="1:34" x14ac:dyDescent="0.2">
      <c r="A8" s="302" t="s">
        <v>6789</v>
      </c>
      <c r="B8" s="301" t="s">
        <v>6799</v>
      </c>
      <c r="C8" s="301" t="str">
        <f t="shared" ref="C8:C71" si="0">A8&amp;B8</f>
        <v>Habilidad de ataque+10</v>
      </c>
      <c r="D8" s="302">
        <v>2</v>
      </c>
      <c r="E8" s="302">
        <v>4</v>
      </c>
      <c r="F8" s="302">
        <v>5</v>
      </c>
      <c r="G8" s="302">
        <v>1</v>
      </c>
      <c r="H8" s="302">
        <v>2</v>
      </c>
      <c r="I8" s="302">
        <v>4</v>
      </c>
      <c r="J8" s="302">
        <v>1</v>
      </c>
      <c r="N8" s="302" t="s">
        <v>6789</v>
      </c>
      <c r="O8" s="302" t="s">
        <v>175</v>
      </c>
      <c r="P8" s="302" t="s">
        <v>116</v>
      </c>
      <c r="Q8" s="302" t="s">
        <v>57</v>
      </c>
      <c r="R8" s="302" t="s">
        <v>6801</v>
      </c>
      <c r="S8" s="302" t="str">
        <f>IF(O120&lt;&gt;0," "&amp;O$119&amp;" +"&amp;O120,"")&amp;IF(P120&lt;&gt;0," "&amp;P$119&amp;" +"&amp;P120,"")&amp;IF(Q120&lt;&gt;0," "&amp;Q$119&amp;" +"&amp;Q120,"")&amp;IF(R120&lt;&gt;0," "&amp;R$119&amp;" +"&amp;R120,"")&amp;IF(S120&lt;&gt;0," "&amp;S$119&amp;" +"&amp;S120,"")&amp;IF(T120&lt;&gt;0," "&amp;T$119&amp;" +"&amp;T120,"")</f>
        <v xml:space="preserve"> FUE +2 AGI +2 VOL +3 POD +2</v>
      </c>
      <c r="U8" s="302">
        <v>1</v>
      </c>
      <c r="V8" s="302" t="s">
        <v>244</v>
      </c>
      <c r="W8" s="302" t="str">
        <f t="shared" ref="W8:W17" si="1">U8&amp;V8</f>
        <v>1No</v>
      </c>
      <c r="X8" s="302">
        <v>0</v>
      </c>
      <c r="AC8" t="s">
        <v>7084</v>
      </c>
      <c r="AD8" s="65" t="s">
        <v>457</v>
      </c>
      <c r="AE8" t="str">
        <f>AC8&amp;AD8</f>
        <v>Agotamiento-2</v>
      </c>
      <c r="AF8">
        <v>-5</v>
      </c>
      <c r="AG8">
        <v>1</v>
      </c>
      <c r="AH8" s="302" t="s">
        <v>7110</v>
      </c>
    </row>
    <row r="9" spans="1:34" x14ac:dyDescent="0.2">
      <c r="A9" s="302" t="s">
        <v>6789</v>
      </c>
      <c r="B9" s="301" t="s">
        <v>6804</v>
      </c>
      <c r="C9" s="301" t="str">
        <f t="shared" si="0"/>
        <v>Habilidad de ataque+25</v>
      </c>
      <c r="D9" s="302">
        <v>3</v>
      </c>
      <c r="E9" s="302">
        <v>5</v>
      </c>
      <c r="F9" s="302">
        <v>5</v>
      </c>
      <c r="G9" s="302">
        <v>2</v>
      </c>
      <c r="H9" s="302">
        <v>4</v>
      </c>
      <c r="I9" s="302">
        <v>7</v>
      </c>
      <c r="J9" s="302">
        <v>1</v>
      </c>
      <c r="N9" s="302" t="s">
        <v>6788</v>
      </c>
      <c r="O9" s="302" t="s">
        <v>6817</v>
      </c>
      <c r="P9" s="302" t="s">
        <v>116</v>
      </c>
      <c r="Q9" s="302" t="s">
        <v>57</v>
      </c>
      <c r="R9" s="302" t="s">
        <v>6801</v>
      </c>
      <c r="S9" s="302" t="str">
        <f>IF(O121&lt;&gt;0," "&amp;O$119&amp;" +"&amp;O121,"")&amp;IF(P121&lt;&gt;0," "&amp;P$119&amp;" +"&amp;P121,"")&amp;IF(Q121&lt;&gt;0," "&amp;Q$119&amp;" +"&amp;Q121,"")&amp;IF(R121&lt;&gt;0," "&amp;R$119&amp;" +"&amp;R121,"")&amp;IF(S121&lt;&gt;0," "&amp;S$119&amp;" +"&amp;S121,"")&amp;IF(T121&lt;&gt;0," "&amp;T$119&amp;" +"&amp;T121,"")</f>
        <v xml:space="preserve"> FUE +2 AGI +2 VOL +3 POD +2</v>
      </c>
      <c r="U9" s="302">
        <v>1</v>
      </c>
      <c r="V9" s="302" t="s">
        <v>309</v>
      </c>
      <c r="W9" s="302" t="str">
        <f t="shared" si="1"/>
        <v>1Normal</v>
      </c>
      <c r="X9" s="302">
        <v>10</v>
      </c>
      <c r="AC9" t="s">
        <v>7084</v>
      </c>
      <c r="AD9" s="65" t="s">
        <v>518</v>
      </c>
      <c r="AE9" t="str">
        <f t="shared" ref="AE9:AE72" si="2">AC9&amp;AD9</f>
        <v>Agotamiento-4</v>
      </c>
      <c r="AF9">
        <v>-10</v>
      </c>
      <c r="AG9">
        <v>1</v>
      </c>
      <c r="AH9" s="302" t="s">
        <v>7110</v>
      </c>
    </row>
    <row r="10" spans="1:34" x14ac:dyDescent="0.2">
      <c r="A10" s="302" t="s">
        <v>6789</v>
      </c>
      <c r="B10" s="301" t="s">
        <v>6805</v>
      </c>
      <c r="C10" s="301" t="str">
        <f t="shared" si="0"/>
        <v>Habilidad de ataque+40</v>
      </c>
      <c r="D10" s="302">
        <v>4</v>
      </c>
      <c r="E10" s="302">
        <v>6</v>
      </c>
      <c r="F10" s="302">
        <v>10</v>
      </c>
      <c r="G10" s="302">
        <v>3</v>
      </c>
      <c r="H10" s="302">
        <v>6</v>
      </c>
      <c r="I10" s="302">
        <v>11</v>
      </c>
      <c r="J10" s="302">
        <v>1</v>
      </c>
      <c r="N10" s="302" t="s">
        <v>6790</v>
      </c>
      <c r="O10" s="302" t="s">
        <v>175</v>
      </c>
      <c r="P10" s="302" t="s">
        <v>116</v>
      </c>
      <c r="Q10" s="302" t="s">
        <v>58</v>
      </c>
      <c r="R10" s="302" t="s">
        <v>6818</v>
      </c>
      <c r="S10" s="302" t="str">
        <f>IF(O122&lt;&gt;0," "&amp;O$119&amp;" +"&amp;O122,"")&amp;IF(P122&lt;&gt;0," "&amp;P$119&amp;" +"&amp;P122,"")&amp;IF(Q122&lt;&gt;0," "&amp;Q$119&amp;" +"&amp;Q122,"")&amp;IF(R122&lt;&gt;0," "&amp;R$119&amp;" +"&amp;R122,"")&amp;IF(S122&lt;&gt;0," "&amp;S$119&amp;" +"&amp;S122,"")&amp;IF(T122&lt;&gt;0," "&amp;T$119&amp;" +"&amp;T122,"")</f>
        <v xml:space="preserve"> FUE +3 AGI +2 DES +2 VOL +1</v>
      </c>
      <c r="U10" s="302">
        <v>2</v>
      </c>
      <c r="V10" s="302" t="s">
        <v>244</v>
      </c>
      <c r="W10" s="302" t="str">
        <f t="shared" si="1"/>
        <v>2No</v>
      </c>
      <c r="X10" s="302">
        <v>0</v>
      </c>
      <c r="AC10" t="s">
        <v>7084</v>
      </c>
      <c r="AD10" s="65" t="s">
        <v>7109</v>
      </c>
      <c r="AE10" t="str">
        <f t="shared" si="2"/>
        <v>Agotamiento-6</v>
      </c>
      <c r="AF10">
        <v>-15</v>
      </c>
      <c r="AG10">
        <v>2</v>
      </c>
      <c r="AH10" s="302" t="s">
        <v>7110</v>
      </c>
    </row>
    <row r="11" spans="1:34" x14ac:dyDescent="0.2">
      <c r="A11" s="302" t="s">
        <v>6789</v>
      </c>
      <c r="B11" s="301" t="s">
        <v>6806</v>
      </c>
      <c r="C11" s="301" t="str">
        <f t="shared" si="0"/>
        <v>Habilidad de ataque+50</v>
      </c>
      <c r="D11" s="302">
        <v>5</v>
      </c>
      <c r="E11" s="302">
        <v>8</v>
      </c>
      <c r="F11" s="302">
        <v>15</v>
      </c>
      <c r="G11" s="302">
        <v>4</v>
      </c>
      <c r="H11" s="302">
        <v>8</v>
      </c>
      <c r="I11" s="302">
        <v>14</v>
      </c>
      <c r="J11" s="302">
        <v>1</v>
      </c>
      <c r="N11" s="302" t="s">
        <v>6793</v>
      </c>
      <c r="O11" s="302" t="s">
        <v>175</v>
      </c>
      <c r="P11" s="302" t="s">
        <v>6800</v>
      </c>
      <c r="Q11" s="302" t="s">
        <v>57</v>
      </c>
      <c r="R11" s="302" t="s">
        <v>6827</v>
      </c>
      <c r="S11" s="302" t="str">
        <f>IF(O123&lt;&gt;0," "&amp;O$119&amp;" +"&amp;O123,"")&amp;IF(P123&lt;&gt;0," "&amp;P$119&amp;" +"&amp;P123,"")&amp;IF(Q123&lt;&gt;0," "&amp;Q$119&amp;" +"&amp;Q123,"")&amp;IF(R123&lt;&gt;0," "&amp;R$119&amp;" +"&amp;R123,"")&amp;IF(S123&lt;&gt;0," "&amp;S$119&amp;" +"&amp;S123,"")&amp;IF(T123&lt;&gt;0," "&amp;T$119&amp;" +"&amp;T123,"")</f>
        <v xml:space="preserve"> FUE +2 AGI +2 VOL +3 POD +2</v>
      </c>
      <c r="U11" s="302">
        <v>2</v>
      </c>
      <c r="V11" s="302" t="s">
        <v>309</v>
      </c>
      <c r="W11" s="302" t="str">
        <f t="shared" si="1"/>
        <v>2Normal</v>
      </c>
      <c r="X11" s="302">
        <v>20</v>
      </c>
      <c r="AC11" t="s">
        <v>7085</v>
      </c>
      <c r="AD11" t="s">
        <v>7111</v>
      </c>
      <c r="AE11" t="str">
        <f t="shared" si="2"/>
        <v>Atadura elementalHacia un elemento</v>
      </c>
      <c r="AF11">
        <v>-15</v>
      </c>
      <c r="AG11">
        <v>1</v>
      </c>
      <c r="AH11" s="302" t="s">
        <v>7110</v>
      </c>
    </row>
    <row r="12" spans="1:34" x14ac:dyDescent="0.2">
      <c r="A12" s="302" t="s">
        <v>6789</v>
      </c>
      <c r="B12" s="301" t="s">
        <v>6807</v>
      </c>
      <c r="C12" s="301" t="str">
        <f t="shared" si="0"/>
        <v>Habilidad de ataque+75</v>
      </c>
      <c r="D12" s="302">
        <v>9</v>
      </c>
      <c r="E12" s="302">
        <v>12</v>
      </c>
      <c r="F12" s="302">
        <v>20</v>
      </c>
      <c r="G12" s="302">
        <v>6</v>
      </c>
      <c r="H12" s="302">
        <v>12</v>
      </c>
      <c r="I12" s="302">
        <v>21</v>
      </c>
      <c r="J12" s="302">
        <v>1</v>
      </c>
      <c r="N12" s="302" t="s">
        <v>6794</v>
      </c>
      <c r="O12" s="302" t="s">
        <v>175</v>
      </c>
      <c r="P12" s="302" t="s">
        <v>116</v>
      </c>
      <c r="Q12" s="302" t="s">
        <v>57</v>
      </c>
      <c r="R12" s="302" t="s">
        <v>60</v>
      </c>
      <c r="S12" s="302" t="str">
        <f>IF(O124&lt;&gt;0," "&amp;O$119&amp;" +"&amp;O124,"")&amp;IF(P124&lt;&gt;0," "&amp;P$119&amp;" +"&amp;P124,"")&amp;IF(Q124&lt;&gt;0," "&amp;Q$119&amp;" +"&amp;Q124,"")&amp;IF(R124&lt;&gt;0," "&amp;R$119&amp;" +"&amp;R124,"")&amp;IF(S124&lt;&gt;0," "&amp;S$119&amp;" +"&amp;S124,"")&amp;IF(T124&lt;&gt;0," "&amp;T$119&amp;" +"&amp;T124,"")</f>
        <v xml:space="preserve"> AGI +1 CON +2 VOL +2 POD +2</v>
      </c>
      <c r="U12" s="302">
        <v>2</v>
      </c>
      <c r="V12" s="302" t="s">
        <v>6888</v>
      </c>
      <c r="W12" s="302" t="str">
        <f t="shared" si="1"/>
        <v>2Sostenimiento mayor</v>
      </c>
      <c r="X12" s="302">
        <v>60</v>
      </c>
      <c r="AC12" t="s">
        <v>7085</v>
      </c>
      <c r="AD12" t="s">
        <v>7112</v>
      </c>
      <c r="AE12" t="str">
        <f t="shared" si="2"/>
        <v>Atadura elementalHacia dos afines</v>
      </c>
      <c r="AF12">
        <v>-10</v>
      </c>
      <c r="AG12">
        <v>1</v>
      </c>
      <c r="AH12" s="302" t="s">
        <v>7110</v>
      </c>
    </row>
    <row r="13" spans="1:34" x14ac:dyDescent="0.2">
      <c r="A13" s="302" t="s">
        <v>6789</v>
      </c>
      <c r="B13" s="301" t="s">
        <v>6808</v>
      </c>
      <c r="C13" s="301" t="str">
        <f t="shared" si="0"/>
        <v>Habilidad de ataque+90</v>
      </c>
      <c r="D13" s="302">
        <v>12</v>
      </c>
      <c r="E13" s="302">
        <v>15</v>
      </c>
      <c r="F13" s="302">
        <v>25</v>
      </c>
      <c r="G13" s="302">
        <v>8</v>
      </c>
      <c r="H13" s="302">
        <v>16</v>
      </c>
      <c r="I13" s="302">
        <v>18</v>
      </c>
      <c r="J13" s="302">
        <v>1</v>
      </c>
      <c r="N13" s="302" t="s">
        <v>6795</v>
      </c>
      <c r="O13" s="302" t="s">
        <v>6817</v>
      </c>
      <c r="P13" s="302" t="s">
        <v>116</v>
      </c>
      <c r="Q13" s="302" t="s">
        <v>57</v>
      </c>
      <c r="R13" s="302" t="s">
        <v>60</v>
      </c>
      <c r="S13" s="302" t="str">
        <f>IF(O125&lt;&gt;0," "&amp;O$119&amp;" +"&amp;O125,"")&amp;IF(P125&lt;&gt;0," "&amp;P$119&amp;" +"&amp;P125,"")&amp;IF(Q125&lt;&gt;0," "&amp;Q$119&amp;" +"&amp;Q125,"")&amp;IF(R125&lt;&gt;0," "&amp;R$119&amp;" +"&amp;R125,"")&amp;IF(S125&lt;&gt;0," "&amp;S$119&amp;" +"&amp;S125,"")&amp;IF(T125&lt;&gt;0," "&amp;T$119&amp;" +"&amp;T125,"")</f>
        <v xml:space="preserve"> AGI +1 CON +2 VOL +2 POD +2</v>
      </c>
      <c r="U13" s="302">
        <v>2</v>
      </c>
      <c r="V13" s="302" t="s">
        <v>6887</v>
      </c>
      <c r="W13" s="302" t="str">
        <f t="shared" si="1"/>
        <v>2Sostenimiento menor</v>
      </c>
      <c r="X13" s="302">
        <v>40</v>
      </c>
      <c r="AC13" t="s">
        <v>7086</v>
      </c>
      <c r="AD13" t="s">
        <v>7113</v>
      </c>
      <c r="AE13" t="str">
        <f t="shared" si="2"/>
        <v>Ataque especializadoSolo contra parada</v>
      </c>
      <c r="AF13">
        <v>-10</v>
      </c>
      <c r="AG13">
        <v>1</v>
      </c>
      <c r="AH13" s="302" t="s">
        <v>116</v>
      </c>
    </row>
    <row r="14" spans="1:34" x14ac:dyDescent="0.2">
      <c r="A14" s="302" t="s">
        <v>6789</v>
      </c>
      <c r="B14" s="301" t="s">
        <v>6809</v>
      </c>
      <c r="C14" s="301" t="str">
        <f t="shared" si="0"/>
        <v>Habilidad de ataque+100</v>
      </c>
      <c r="D14" s="302">
        <v>14</v>
      </c>
      <c r="E14" s="302">
        <v>18</v>
      </c>
      <c r="F14" s="302">
        <v>30</v>
      </c>
      <c r="G14" s="302">
        <v>10</v>
      </c>
      <c r="H14" s="302">
        <v>20</v>
      </c>
      <c r="I14" s="302">
        <v>35</v>
      </c>
      <c r="J14" s="302">
        <v>1</v>
      </c>
      <c r="N14" s="302" t="s">
        <v>6796</v>
      </c>
      <c r="O14" s="302" t="s">
        <v>175</v>
      </c>
      <c r="P14" s="302" t="s">
        <v>116</v>
      </c>
      <c r="Q14" s="302" t="s">
        <v>58</v>
      </c>
      <c r="R14" s="302" t="s">
        <v>6832</v>
      </c>
      <c r="S14" s="302" t="str">
        <f>IF(O126&lt;&gt;0," "&amp;O$119&amp;" +"&amp;O126,"")&amp;IF(P126&lt;&gt;0," "&amp;P$119&amp;" +"&amp;P126,"")&amp;IF(Q126&lt;&gt;0," "&amp;Q$119&amp;" +"&amp;Q126,"")&amp;IF(R126&lt;&gt;0," "&amp;R$119&amp;" +"&amp;R126,"")&amp;IF(S126&lt;&gt;0," "&amp;S$119&amp;" +"&amp;S126,"")&amp;IF(T126&lt;&gt;0," "&amp;T$119&amp;" +"&amp;T126,"")</f>
        <v xml:space="preserve"> AGI +2 DES +2 CON +2 VOL +2</v>
      </c>
      <c r="U14" s="302">
        <v>3</v>
      </c>
      <c r="V14" s="302" t="s">
        <v>244</v>
      </c>
      <c r="W14" s="302" t="str">
        <f t="shared" si="1"/>
        <v>3No</v>
      </c>
      <c r="X14" s="302">
        <v>0</v>
      </c>
      <c r="AC14" t="s">
        <v>7086</v>
      </c>
      <c r="AD14" t="s">
        <v>7114</v>
      </c>
      <c r="AE14" t="str">
        <f t="shared" si="2"/>
        <v>Ataque especializadoSolo contra esquiva</v>
      </c>
      <c r="AF14">
        <v>-10</v>
      </c>
      <c r="AG14">
        <v>1</v>
      </c>
      <c r="AH14" s="302" t="s">
        <v>116</v>
      </c>
    </row>
    <row r="15" spans="1:34" x14ac:dyDescent="0.2">
      <c r="A15" s="302" t="s">
        <v>6789</v>
      </c>
      <c r="B15" s="301" t="s">
        <v>6810</v>
      </c>
      <c r="C15" s="301" t="str">
        <f t="shared" si="0"/>
        <v>Habilidad de ataque+125</v>
      </c>
      <c r="D15" s="302">
        <v>18</v>
      </c>
      <c r="E15" s="302">
        <v>22</v>
      </c>
      <c r="F15" s="302">
        <v>35</v>
      </c>
      <c r="G15" s="302">
        <v>12</v>
      </c>
      <c r="H15" s="302">
        <v>24</v>
      </c>
      <c r="I15" s="302">
        <v>42</v>
      </c>
      <c r="J15" s="302">
        <v>2</v>
      </c>
      <c r="N15" s="302" t="s">
        <v>6797</v>
      </c>
      <c r="O15" s="302" t="s">
        <v>175</v>
      </c>
      <c r="P15" s="302" t="s">
        <v>116</v>
      </c>
      <c r="Q15" s="302" t="s">
        <v>58</v>
      </c>
      <c r="R15" s="302" t="s">
        <v>6832</v>
      </c>
      <c r="S15" s="302" t="str">
        <f>IF(O127&lt;&gt;0," "&amp;O$119&amp;" +"&amp;O127,"")&amp;IF(P127&lt;&gt;0," "&amp;P$119&amp;" +"&amp;P127,"")&amp;IF(Q127&lt;&gt;0," "&amp;Q$119&amp;" +"&amp;Q127,"")&amp;IF(R127&lt;&gt;0," "&amp;R$119&amp;" +"&amp;R127,"")&amp;IF(S127&lt;&gt;0," "&amp;S$119&amp;" +"&amp;S127,"")&amp;IF(T127&lt;&gt;0," "&amp;T$119&amp;" +"&amp;T127,"")</f>
        <v xml:space="preserve"> AGI +2 DES +1 CON +3 VOL +2</v>
      </c>
      <c r="U15" s="302">
        <v>3</v>
      </c>
      <c r="V15" s="302" t="s">
        <v>309</v>
      </c>
      <c r="W15" s="302" t="str">
        <f t="shared" si="1"/>
        <v>3Normal</v>
      </c>
      <c r="X15" s="302">
        <v>30</v>
      </c>
      <c r="AC15" t="s">
        <v>7086</v>
      </c>
      <c r="AD15" t="s">
        <v>7115</v>
      </c>
      <c r="AE15" t="str">
        <f t="shared" si="2"/>
        <v>Ataque especializadoSolo contra acumulación</v>
      </c>
      <c r="AF15">
        <v>-10</v>
      </c>
      <c r="AG15">
        <v>1</v>
      </c>
      <c r="AH15" s="302" t="s">
        <v>116</v>
      </c>
    </row>
    <row r="16" spans="1:34" x14ac:dyDescent="0.2">
      <c r="A16" s="302" t="s">
        <v>6789</v>
      </c>
      <c r="B16" s="301" t="s">
        <v>6816</v>
      </c>
      <c r="C16" s="301" t="str">
        <f t="shared" si="0"/>
        <v>Habilidad de ataque+150</v>
      </c>
      <c r="D16" s="302">
        <v>22</v>
      </c>
      <c r="E16" s="302">
        <v>26</v>
      </c>
      <c r="F16" s="302">
        <v>40</v>
      </c>
      <c r="G16" s="302">
        <v>14</v>
      </c>
      <c r="H16" s="302">
        <v>28</v>
      </c>
      <c r="I16" s="302">
        <v>49</v>
      </c>
      <c r="J16" s="302">
        <v>2</v>
      </c>
      <c r="N16" s="303" t="s">
        <v>6798</v>
      </c>
      <c r="O16" s="302">
        <v>0</v>
      </c>
      <c r="P16" s="302">
        <v>0</v>
      </c>
      <c r="Q16" s="302">
        <v>0</v>
      </c>
      <c r="R16" s="302">
        <v>0</v>
      </c>
      <c r="S16" s="594"/>
      <c r="U16" s="302">
        <v>3</v>
      </c>
      <c r="V16" s="302" t="s">
        <v>6888</v>
      </c>
      <c r="W16" s="302" t="str">
        <f t="shared" si="1"/>
        <v>3Sostenimiento mayor</v>
      </c>
      <c r="X16" s="302">
        <v>90</v>
      </c>
      <c r="AC16" t="s">
        <v>7087</v>
      </c>
      <c r="AD16" t="s">
        <v>7116</v>
      </c>
      <c r="AE16" t="str">
        <f t="shared" si="2"/>
        <v>Atada a un armaAtada a un arma genérica</v>
      </c>
      <c r="AF16">
        <v>-5</v>
      </c>
      <c r="AG16">
        <v>1</v>
      </c>
      <c r="AH16" s="302" t="s">
        <v>7110</v>
      </c>
    </row>
    <row r="17" spans="1:34" x14ac:dyDescent="0.2">
      <c r="A17" s="302" t="s">
        <v>6789</v>
      </c>
      <c r="B17" s="301" t="s">
        <v>6811</v>
      </c>
      <c r="C17" s="301" t="str">
        <f t="shared" si="0"/>
        <v>Habilidad de ataque+175</v>
      </c>
      <c r="D17" s="302">
        <v>26</v>
      </c>
      <c r="E17" s="302">
        <v>32</v>
      </c>
      <c r="F17" s="302">
        <v>45</v>
      </c>
      <c r="G17" s="302">
        <v>16</v>
      </c>
      <c r="H17" s="302">
        <v>32</v>
      </c>
      <c r="I17" s="302">
        <v>56</v>
      </c>
      <c r="J17" s="302">
        <v>3</v>
      </c>
      <c r="N17" s="302" t="s">
        <v>6836</v>
      </c>
      <c r="O17" s="302" t="s">
        <v>175</v>
      </c>
      <c r="P17" s="302" t="s">
        <v>117</v>
      </c>
      <c r="Q17" s="302" t="s">
        <v>57</v>
      </c>
      <c r="R17" s="302" t="s">
        <v>6843</v>
      </c>
      <c r="S17" s="302" t="str">
        <f>IF(O129&lt;&gt;0," "&amp;O$119&amp;" +"&amp;O129,"")&amp;IF(P129&lt;&gt;0," "&amp;P$119&amp;" +"&amp;P129,"")&amp;IF(Q129&lt;&gt;0," "&amp;Q$119&amp;" +"&amp;Q129,"")&amp;IF(R129&lt;&gt;0," "&amp;R$119&amp;" +"&amp;R129,"")&amp;IF(S129&lt;&gt;0," "&amp;S$119&amp;" +"&amp;S129,"")&amp;IF(T129&lt;&gt;0," "&amp;T$119&amp;" +"&amp;T129,"")</f>
        <v xml:space="preserve"> FUE +2 AGI +2 VOL +3 POD +2</v>
      </c>
      <c r="U17" s="302">
        <v>3</v>
      </c>
      <c r="V17" s="302" t="s">
        <v>6887</v>
      </c>
      <c r="W17" s="302" t="str">
        <f t="shared" si="1"/>
        <v>3Sostenimiento menor</v>
      </c>
      <c r="X17" s="302">
        <v>60</v>
      </c>
      <c r="AC17" t="s">
        <v>7087</v>
      </c>
      <c r="AD17" t="s">
        <v>7117</v>
      </c>
      <c r="AE17" t="str">
        <f t="shared" si="2"/>
        <v>Atada a un armaAtada a un arma única</v>
      </c>
      <c r="AF17">
        <v>-10</v>
      </c>
      <c r="AG17">
        <v>1</v>
      </c>
      <c r="AH17" s="302" t="s">
        <v>7110</v>
      </c>
    </row>
    <row r="18" spans="1:34" x14ac:dyDescent="0.2">
      <c r="A18" s="302" t="s">
        <v>6789</v>
      </c>
      <c r="B18" s="301" t="s">
        <v>6812</v>
      </c>
      <c r="C18" s="301" t="str">
        <f t="shared" si="0"/>
        <v>Habilidad de ataque+200</v>
      </c>
      <c r="D18" s="302">
        <v>30</v>
      </c>
      <c r="E18" s="302">
        <v>36</v>
      </c>
      <c r="F18" s="302">
        <v>50</v>
      </c>
      <c r="G18" s="302">
        <v>18</v>
      </c>
      <c r="H18" s="302">
        <v>36</v>
      </c>
      <c r="I18" s="302">
        <v>63</v>
      </c>
      <c r="J18" s="302">
        <v>3</v>
      </c>
      <c r="N18" s="302" t="s">
        <v>6837</v>
      </c>
      <c r="O18" s="302" t="s">
        <v>6817</v>
      </c>
      <c r="P18" s="302" t="s">
        <v>117</v>
      </c>
      <c r="Q18" s="302" t="s">
        <v>57</v>
      </c>
      <c r="R18" s="302" t="s">
        <v>6843</v>
      </c>
      <c r="S18" s="302" t="str">
        <f>IF(O130&lt;&gt;0," "&amp;O$119&amp;" +"&amp;O130,"")&amp;IF(P130&lt;&gt;0," "&amp;P$119&amp;" +"&amp;P130,"")&amp;IF(Q130&lt;&gt;0," "&amp;Q$119&amp;" +"&amp;Q130,"")&amp;IF(R130&lt;&gt;0," "&amp;R$119&amp;" +"&amp;R130,"")&amp;IF(S130&lt;&gt;0," "&amp;S$119&amp;" +"&amp;S130,"")&amp;IF(T130&lt;&gt;0," "&amp;T$119&amp;" +"&amp;T130,"")</f>
        <v xml:space="preserve"> FUE +2 AGI +2 VOL +3 POD +2</v>
      </c>
      <c r="AC18" t="s">
        <v>7088</v>
      </c>
      <c r="AD18" t="s">
        <v>7118</v>
      </c>
      <c r="AE18" t="str">
        <f t="shared" si="2"/>
        <v>Circunstancia límiteMitad de PV</v>
      </c>
      <c r="AF18">
        <v>-10</v>
      </c>
      <c r="AG18">
        <v>1</v>
      </c>
      <c r="AH18" s="302" t="s">
        <v>7110</v>
      </c>
    </row>
    <row r="19" spans="1:34" x14ac:dyDescent="0.2">
      <c r="A19" s="302" t="s">
        <v>6788</v>
      </c>
      <c r="B19" s="301" t="s">
        <v>6799</v>
      </c>
      <c r="C19" s="301" t="str">
        <f t="shared" si="0"/>
        <v>Habilidad de ataque completa+10</v>
      </c>
      <c r="D19" s="302">
        <v>4</v>
      </c>
      <c r="E19" s="302">
        <v>6</v>
      </c>
      <c r="F19" s="302">
        <v>10</v>
      </c>
      <c r="G19" s="302">
        <v>2</v>
      </c>
      <c r="H19" s="302">
        <v>4</v>
      </c>
      <c r="I19" s="302">
        <v>7</v>
      </c>
      <c r="J19" s="302">
        <v>1</v>
      </c>
      <c r="N19" s="302" t="s">
        <v>6838</v>
      </c>
      <c r="O19" s="302" t="s">
        <v>175</v>
      </c>
      <c r="P19" s="302" t="s">
        <v>117</v>
      </c>
      <c r="Q19" s="302" t="s">
        <v>57</v>
      </c>
      <c r="R19" s="302" t="s">
        <v>6843</v>
      </c>
      <c r="S19" s="302" t="str">
        <f>IF(O131&lt;&gt;0," "&amp;O$119&amp;" +"&amp;O131,"")&amp;IF(P131&lt;&gt;0," "&amp;P$119&amp;" +"&amp;P131,"")&amp;IF(Q131&lt;&gt;0," "&amp;Q$119&amp;" +"&amp;Q131,"")&amp;IF(R131&lt;&gt;0," "&amp;R$119&amp;" +"&amp;R131,"")&amp;IF(S131&lt;&gt;0," "&amp;S$119&amp;" +"&amp;S131,"")&amp;IF(T131&lt;&gt;0," "&amp;T$119&amp;" +"&amp;T131,"")</f>
        <v xml:space="preserve"> FUE +2 AGI +2 VOL +3 POD +2</v>
      </c>
      <c r="V19" s="301"/>
      <c r="AC19" t="s">
        <v>7088</v>
      </c>
      <c r="AD19" t="s">
        <v>7119</v>
      </c>
      <c r="AE19" t="str">
        <f t="shared" si="2"/>
        <v>Circunstancia límiteUna cuarta parte de PV</v>
      </c>
      <c r="AF19">
        <v>-15</v>
      </c>
      <c r="AG19">
        <v>1</v>
      </c>
      <c r="AH19" s="302" t="s">
        <v>7110</v>
      </c>
    </row>
    <row r="20" spans="1:34" x14ac:dyDescent="0.2">
      <c r="A20" s="302" t="s">
        <v>6788</v>
      </c>
      <c r="B20" s="301" t="s">
        <v>6804</v>
      </c>
      <c r="C20" s="301" t="str">
        <f t="shared" si="0"/>
        <v>Habilidad de ataque completa+25</v>
      </c>
      <c r="D20" s="302">
        <v>8</v>
      </c>
      <c r="E20" s="302">
        <v>11</v>
      </c>
      <c r="F20" s="302">
        <v>15</v>
      </c>
      <c r="G20" s="302">
        <v>5</v>
      </c>
      <c r="H20" s="302">
        <v>10</v>
      </c>
      <c r="I20" s="302">
        <v>18</v>
      </c>
      <c r="J20" s="302">
        <v>1</v>
      </c>
      <c r="N20" s="302" t="s">
        <v>6839</v>
      </c>
      <c r="O20" s="302" t="s">
        <v>175</v>
      </c>
      <c r="P20" s="302" t="s">
        <v>117</v>
      </c>
      <c r="Q20" s="302" t="s">
        <v>46</v>
      </c>
      <c r="R20" s="302" t="s">
        <v>6844</v>
      </c>
      <c r="S20" s="302" t="str">
        <f>IF(O132&lt;&gt;0," "&amp;O$119&amp;" +"&amp;O132,"")&amp;IF(P132&lt;&gt;0," "&amp;P$119&amp;" +"&amp;P132,"")&amp;IF(Q132&lt;&gt;0," "&amp;Q$119&amp;" +"&amp;Q132,"")&amp;IF(R132&lt;&gt;0," "&amp;R$119&amp;" +"&amp;R132,"")&amp;IF(S132&lt;&gt;0," "&amp;S$119&amp;" +"&amp;S132,"")&amp;IF(T132&lt;&gt;0," "&amp;T$119&amp;" +"&amp;T132,"")</f>
        <v xml:space="preserve"> DES +2 CON +2 VOL +3 POD +2</v>
      </c>
      <c r="T20" s="301"/>
      <c r="AC20" t="s">
        <v>7088</v>
      </c>
      <c r="AD20" t="s">
        <v>7120</v>
      </c>
      <c r="AE20" t="str">
        <f t="shared" si="2"/>
        <v>Circunstancia límitePV negativos</v>
      </c>
      <c r="AF20">
        <v>-25</v>
      </c>
      <c r="AG20">
        <v>2</v>
      </c>
      <c r="AH20" s="302" t="s">
        <v>7110</v>
      </c>
    </row>
    <row r="21" spans="1:34" x14ac:dyDescent="0.2">
      <c r="A21" s="302" t="s">
        <v>6788</v>
      </c>
      <c r="B21" s="301" t="s">
        <v>6805</v>
      </c>
      <c r="C21" s="301" t="str">
        <f t="shared" si="0"/>
        <v>Habilidad de ataque completa+40</v>
      </c>
      <c r="D21" s="302">
        <v>10</v>
      </c>
      <c r="E21" s="302">
        <v>13</v>
      </c>
      <c r="F21" s="302">
        <v>20</v>
      </c>
      <c r="G21" s="302">
        <v>8</v>
      </c>
      <c r="H21" s="302">
        <v>16</v>
      </c>
      <c r="I21" s="302">
        <v>28</v>
      </c>
      <c r="J21" s="302">
        <v>1</v>
      </c>
      <c r="N21" s="302" t="s">
        <v>6840</v>
      </c>
      <c r="O21" s="302" t="s">
        <v>6817</v>
      </c>
      <c r="P21" s="302" t="s">
        <v>117</v>
      </c>
      <c r="Q21" s="302" t="s">
        <v>46</v>
      </c>
      <c r="R21" s="302" t="s">
        <v>6844</v>
      </c>
      <c r="S21" s="302" t="str">
        <f>IF(O133&lt;&gt;0," "&amp;O$119&amp;" +"&amp;O133,"")&amp;IF(P133&lt;&gt;0," "&amp;P$119&amp;" +"&amp;P133,"")&amp;IF(Q133&lt;&gt;0," "&amp;Q$119&amp;" +"&amp;Q133,"")&amp;IF(R133&lt;&gt;0," "&amp;R$119&amp;" +"&amp;R133,"")&amp;IF(S133&lt;&gt;0," "&amp;S$119&amp;" +"&amp;S133,"")&amp;IF(T133&lt;&gt;0," "&amp;T$119&amp;" +"&amp;T133,"")</f>
        <v xml:space="preserve"> DES +2 CON +2 VOL +3 POD +2</v>
      </c>
      <c r="U21" s="302" t="s">
        <v>7166</v>
      </c>
      <c r="V21" s="302">
        <v>1</v>
      </c>
      <c r="W21" s="302">
        <v>2</v>
      </c>
      <c r="X21" s="302">
        <v>3</v>
      </c>
      <c r="AC21" t="s">
        <v>7088</v>
      </c>
      <c r="AD21" t="s">
        <v>7121</v>
      </c>
      <c r="AE21" t="str">
        <f t="shared" si="2"/>
        <v>Circunstancia límiteRecibir daño</v>
      </c>
      <c r="AF21">
        <v>-10</v>
      </c>
      <c r="AG21">
        <v>1</v>
      </c>
      <c r="AH21" s="302" t="s">
        <v>7110</v>
      </c>
    </row>
    <row r="22" spans="1:34" x14ac:dyDescent="0.2">
      <c r="A22" s="302" t="s">
        <v>6788</v>
      </c>
      <c r="B22" s="301" t="s">
        <v>6806</v>
      </c>
      <c r="C22" s="301" t="str">
        <f t="shared" si="0"/>
        <v>Habilidad de ataque completa+50</v>
      </c>
      <c r="D22" s="302">
        <v>12</v>
      </c>
      <c r="E22" s="302">
        <v>15</v>
      </c>
      <c r="F22" s="302">
        <v>30</v>
      </c>
      <c r="G22" s="302">
        <v>10</v>
      </c>
      <c r="H22" s="302">
        <v>20</v>
      </c>
      <c r="I22" s="302">
        <v>35</v>
      </c>
      <c r="J22" s="302">
        <v>2</v>
      </c>
      <c r="N22" s="302" t="s">
        <v>6841</v>
      </c>
      <c r="O22" s="302" t="s">
        <v>175</v>
      </c>
      <c r="P22" s="302" t="s">
        <v>117</v>
      </c>
      <c r="Q22" s="302" t="s">
        <v>46</v>
      </c>
      <c r="R22" s="302" t="s">
        <v>6845</v>
      </c>
      <c r="S22" s="302" t="str">
        <f>IF(O134&lt;&gt;0," "&amp;O$119&amp;" +"&amp;O134,"")&amp;IF(P134&lt;&gt;0," "&amp;P$119&amp;" +"&amp;P134,"")&amp;IF(Q134&lt;&gt;0," "&amp;Q$119&amp;" +"&amp;Q134,"")&amp;IF(R134&lt;&gt;0," "&amp;R$119&amp;" +"&amp;R134,"")&amp;IF(S134&lt;&gt;0," "&amp;S$119&amp;" +"&amp;S134,"")&amp;IF(T134&lt;&gt;0," "&amp;T$119&amp;" +"&amp;T134,"")</f>
        <v xml:space="preserve"> DES +2 CON +2 VOL +3 POD +2</v>
      </c>
      <c r="U22" s="302" t="s">
        <v>6023</v>
      </c>
      <c r="V22" s="302">
        <v>3</v>
      </c>
      <c r="W22" s="302">
        <v>6</v>
      </c>
      <c r="X22" s="302">
        <v>9</v>
      </c>
      <c r="AC22" t="s">
        <v>7089</v>
      </c>
      <c r="AD22" t="s">
        <v>7122</v>
      </c>
      <c r="AE22" t="str">
        <f t="shared" si="2"/>
        <v>Circunstancia de combateCircunstancia</v>
      </c>
      <c r="AF22">
        <v>-5</v>
      </c>
      <c r="AG22">
        <v>1</v>
      </c>
      <c r="AH22" s="302" t="s">
        <v>116</v>
      </c>
    </row>
    <row r="23" spans="1:34" x14ac:dyDescent="0.2">
      <c r="A23" s="302" t="s">
        <v>6788</v>
      </c>
      <c r="B23" s="301" t="s">
        <v>6807</v>
      </c>
      <c r="C23" s="301" t="str">
        <f t="shared" si="0"/>
        <v>Habilidad de ataque completa+75</v>
      </c>
      <c r="D23" s="302">
        <v>18</v>
      </c>
      <c r="E23" s="302">
        <v>22</v>
      </c>
      <c r="F23" s="302">
        <v>50</v>
      </c>
      <c r="G23" s="302">
        <v>14</v>
      </c>
      <c r="H23" s="302">
        <v>28</v>
      </c>
      <c r="I23" s="302">
        <v>49</v>
      </c>
      <c r="J23" s="302">
        <v>2</v>
      </c>
      <c r="N23" s="302" t="s">
        <v>6842</v>
      </c>
      <c r="O23" s="302" t="s">
        <v>175</v>
      </c>
      <c r="P23" s="302" t="s">
        <v>117</v>
      </c>
      <c r="Q23" s="302" t="s">
        <v>57</v>
      </c>
      <c r="R23" s="302" t="s">
        <v>6843</v>
      </c>
      <c r="S23" s="302" t="str">
        <f>IF(O135&lt;&gt;0," "&amp;O$119&amp;" +"&amp;O135,"")&amp;IF(P135&lt;&gt;0," "&amp;P$119&amp;" +"&amp;P135,"")&amp;IF(Q135&lt;&gt;0," "&amp;Q$119&amp;" +"&amp;Q135,"")&amp;IF(R135&lt;&gt;0," "&amp;R$119&amp;" +"&amp;R135,"")&amp;IF(S135&lt;&gt;0," "&amp;S$119&amp;" +"&amp;S135,"")&amp;IF(T135&lt;&gt;0," "&amp;T$119&amp;" +"&amp;T135,"")</f>
        <v xml:space="preserve"> AGI +1 CON +3 VOL +2 POD +2</v>
      </c>
      <c r="U23" s="302" t="s">
        <v>244</v>
      </c>
      <c r="V23" s="302">
        <v>0</v>
      </c>
      <c r="W23" s="302">
        <v>0</v>
      </c>
      <c r="X23" s="302">
        <v>0</v>
      </c>
      <c r="AC23" t="s">
        <v>628</v>
      </c>
      <c r="AD23" t="s">
        <v>628</v>
      </c>
      <c r="AE23" t="str">
        <f t="shared" si="2"/>
        <v>ComplejaCompleja</v>
      </c>
      <c r="AF23">
        <v>-5</v>
      </c>
      <c r="AG23">
        <v>2</v>
      </c>
      <c r="AH23" s="302" t="s">
        <v>7110</v>
      </c>
    </row>
    <row r="24" spans="1:34" x14ac:dyDescent="0.2">
      <c r="A24" s="302" t="s">
        <v>6788</v>
      </c>
      <c r="B24" s="301" t="s">
        <v>6808</v>
      </c>
      <c r="C24" s="301" t="str">
        <f t="shared" si="0"/>
        <v>Habilidad de ataque completa+90</v>
      </c>
      <c r="D24" s="302">
        <v>24</v>
      </c>
      <c r="E24" s="302">
        <v>29</v>
      </c>
      <c r="F24" s="302">
        <v>60</v>
      </c>
      <c r="G24" s="302">
        <v>18</v>
      </c>
      <c r="H24" s="302">
        <v>36</v>
      </c>
      <c r="I24" s="302">
        <v>63</v>
      </c>
      <c r="J24" s="302">
        <v>3</v>
      </c>
      <c r="N24" s="303" t="s">
        <v>6846</v>
      </c>
      <c r="O24" s="302">
        <v>0</v>
      </c>
      <c r="P24" s="302">
        <v>0</v>
      </c>
      <c r="Q24" s="302">
        <v>0</v>
      </c>
      <c r="R24" s="302">
        <v>0</v>
      </c>
      <c r="S24" s="594"/>
      <c r="AC24" t="s">
        <v>7090</v>
      </c>
      <c r="AD24" t="s">
        <v>7123</v>
      </c>
      <c r="AE24" t="str">
        <f t="shared" si="2"/>
        <v>CondicionesDesenvainar</v>
      </c>
      <c r="AF24">
        <v>-5</v>
      </c>
      <c r="AG24">
        <v>1</v>
      </c>
      <c r="AH24" s="302" t="s">
        <v>7110</v>
      </c>
    </row>
    <row r="25" spans="1:34" x14ac:dyDescent="0.2">
      <c r="A25" s="302" t="s">
        <v>6788</v>
      </c>
      <c r="B25" s="301" t="s">
        <v>6809</v>
      </c>
      <c r="C25" s="301" t="str">
        <f t="shared" si="0"/>
        <v>Habilidad de ataque completa+100</v>
      </c>
      <c r="D25" s="302">
        <v>28</v>
      </c>
      <c r="E25" s="302">
        <v>32</v>
      </c>
      <c r="F25" s="302">
        <v>70</v>
      </c>
      <c r="G25" s="302">
        <v>20</v>
      </c>
      <c r="H25" s="302">
        <v>40</v>
      </c>
      <c r="I25" s="302">
        <v>70</v>
      </c>
      <c r="J25" s="302">
        <v>3</v>
      </c>
      <c r="N25" s="302" t="s">
        <v>6847</v>
      </c>
      <c r="O25" s="302" t="s">
        <v>175</v>
      </c>
      <c r="P25" s="302" t="s">
        <v>116</v>
      </c>
      <c r="Q25" s="302" t="s">
        <v>36</v>
      </c>
      <c r="R25" s="302" t="s">
        <v>6858</v>
      </c>
      <c r="S25" s="302" t="str">
        <f>IF(O137&lt;&gt;0," "&amp;O$119&amp;" +"&amp;O137,"")&amp;IF(P137&lt;&gt;0," "&amp;P$119&amp;" +"&amp;P137,"")&amp;IF(Q137&lt;&gt;0," "&amp;Q$119&amp;" +"&amp;Q137,"")&amp;IF(R137&lt;&gt;0," "&amp;R$119&amp;" +"&amp;R137,"")&amp;IF(S137&lt;&gt;0," "&amp;S$119&amp;" +"&amp;S137,"")&amp;IF(T137&lt;&gt;0," "&amp;T$119&amp;" +"&amp;T137,"")</f>
        <v xml:space="preserve"> DES +3 CON +1 VOL +1 POD +2</v>
      </c>
      <c r="U25" s="302" t="s">
        <v>7167</v>
      </c>
      <c r="V25" s="302">
        <v>1</v>
      </c>
      <c r="W25" s="302">
        <v>2</v>
      </c>
      <c r="X25" s="302">
        <v>3</v>
      </c>
      <c r="AC25" t="s">
        <v>7090</v>
      </c>
      <c r="AD25" t="s">
        <v>7124</v>
      </c>
      <c r="AE25" t="str">
        <f t="shared" si="2"/>
        <v>CondicionesEn vuelo</v>
      </c>
      <c r="AF25">
        <v>-5</v>
      </c>
      <c r="AG25">
        <v>1</v>
      </c>
      <c r="AH25" s="302" t="s">
        <v>7110</v>
      </c>
    </row>
    <row r="26" spans="1:34" x14ac:dyDescent="0.2">
      <c r="A26" s="302" t="s">
        <v>6790</v>
      </c>
      <c r="B26" s="302" t="s">
        <v>6819</v>
      </c>
      <c r="C26" s="302" t="str">
        <f t="shared" si="0"/>
        <v>Ataque predeterminadoMedia (80)</v>
      </c>
      <c r="D26" s="302">
        <v>2</v>
      </c>
      <c r="E26" s="302">
        <v>4</v>
      </c>
      <c r="F26" s="302">
        <v>5</v>
      </c>
      <c r="G26" s="302">
        <v>1</v>
      </c>
      <c r="H26" s="302">
        <v>2</v>
      </c>
      <c r="I26" s="302">
        <v>4</v>
      </c>
      <c r="J26" s="302">
        <v>1</v>
      </c>
      <c r="N26" s="302" t="s">
        <v>6848</v>
      </c>
      <c r="O26" s="302" t="s">
        <v>430</v>
      </c>
      <c r="P26" s="302" t="s">
        <v>430</v>
      </c>
      <c r="Q26" s="302" t="s">
        <v>36</v>
      </c>
      <c r="R26" s="302" t="s">
        <v>430</v>
      </c>
      <c r="S26" s="302" t="str">
        <f>IF(O138&lt;&gt;0," "&amp;O$119&amp;" +"&amp;O138,"")&amp;IF(P138&lt;&gt;0," "&amp;P$119&amp;" +"&amp;P138,"")&amp;IF(Q138&lt;&gt;0," "&amp;Q$119&amp;" +"&amp;Q138,"")&amp;IF(R138&lt;&gt;0," "&amp;R$119&amp;" +"&amp;R138,"")&amp;IF(S138&lt;&gt;0," "&amp;S$119&amp;" +"&amp;S138,"")&amp;IF(T138&lt;&gt;0," "&amp;T$119&amp;" +"&amp;T138,"")</f>
        <v xml:space="preserve"> DES +3 CON +1 VOL +1 POD +2</v>
      </c>
      <c r="U26" s="302" t="s">
        <v>6023</v>
      </c>
      <c r="V26" s="302">
        <v>10</v>
      </c>
      <c r="W26" s="302">
        <v>20</v>
      </c>
      <c r="X26" s="302">
        <v>30</v>
      </c>
      <c r="AC26" t="s">
        <v>7090</v>
      </c>
      <c r="AD26" t="s">
        <v>7125</v>
      </c>
      <c r="AE26" t="str">
        <f t="shared" si="2"/>
        <v>CondicionesEn carga</v>
      </c>
      <c r="AF26">
        <v>-5</v>
      </c>
      <c r="AG26">
        <v>1</v>
      </c>
      <c r="AH26" s="302" t="s">
        <v>7110</v>
      </c>
    </row>
    <row r="27" spans="1:34" x14ac:dyDescent="0.2">
      <c r="A27" s="302" t="s">
        <v>6790</v>
      </c>
      <c r="B27" s="302" t="s">
        <v>6820</v>
      </c>
      <c r="C27" s="302" t="str">
        <f t="shared" si="0"/>
        <v>Ataque predeterminadoDifícil (120)</v>
      </c>
      <c r="D27" s="302">
        <v>4</v>
      </c>
      <c r="E27" s="302">
        <v>6</v>
      </c>
      <c r="F27" s="302">
        <v>5</v>
      </c>
      <c r="G27" s="302">
        <v>2</v>
      </c>
      <c r="H27" s="302">
        <v>4</v>
      </c>
      <c r="I27" s="302">
        <v>7</v>
      </c>
      <c r="J27" s="302">
        <v>1</v>
      </c>
      <c r="N27" s="302" t="s">
        <v>6849</v>
      </c>
      <c r="O27" s="302" t="s">
        <v>430</v>
      </c>
      <c r="P27" s="302" t="s">
        <v>430</v>
      </c>
      <c r="Q27" s="302" t="s">
        <v>36</v>
      </c>
      <c r="R27" s="302" t="s">
        <v>430</v>
      </c>
      <c r="S27" s="302" t="str">
        <f>IF(O139&lt;&gt;0," "&amp;O$119&amp;" +"&amp;O139,"")&amp;IF(P139&lt;&gt;0," "&amp;P$119&amp;" +"&amp;P139,"")&amp;IF(Q139&lt;&gt;0," "&amp;Q$119&amp;" +"&amp;Q139,"")&amp;IF(R139&lt;&gt;0," "&amp;R$119&amp;" +"&amp;R139,"")&amp;IF(S139&lt;&gt;0," "&amp;S$119&amp;" +"&amp;S139,"")&amp;IF(T139&lt;&gt;0," "&amp;T$119&amp;" +"&amp;T139,"")</f>
        <v xml:space="preserve"> DES +3 CON +1 VOL +1 POD +2</v>
      </c>
      <c r="U27" s="302" t="s">
        <v>244</v>
      </c>
      <c r="V27" s="302">
        <v>0</v>
      </c>
      <c r="W27" s="302">
        <v>0</v>
      </c>
      <c r="X27" s="302">
        <v>0</v>
      </c>
      <c r="AC27" t="s">
        <v>7090</v>
      </c>
      <c r="AD27" t="s">
        <v>7126</v>
      </c>
      <c r="AE27" t="str">
        <f t="shared" si="2"/>
        <v>CondicionesMontado</v>
      </c>
      <c r="AF27">
        <v>-5</v>
      </c>
      <c r="AG27">
        <v>1</v>
      </c>
      <c r="AH27" s="302" t="s">
        <v>7110</v>
      </c>
    </row>
    <row r="28" spans="1:34" x14ac:dyDescent="0.2">
      <c r="A28" s="302" t="s">
        <v>6790</v>
      </c>
      <c r="B28" s="302" t="s">
        <v>6821</v>
      </c>
      <c r="C28" s="302" t="str">
        <f t="shared" si="0"/>
        <v>Ataque predeterminadoMuy Difícil (140)</v>
      </c>
      <c r="D28" s="302">
        <v>6</v>
      </c>
      <c r="E28" s="302">
        <v>9</v>
      </c>
      <c r="F28" s="302">
        <v>5</v>
      </c>
      <c r="G28" s="302">
        <v>3</v>
      </c>
      <c r="H28" s="302">
        <v>6</v>
      </c>
      <c r="I28" s="302">
        <v>11</v>
      </c>
      <c r="J28" s="302">
        <v>1</v>
      </c>
      <c r="N28" s="302" t="s">
        <v>6850</v>
      </c>
      <c r="O28" s="302" t="s">
        <v>6817</v>
      </c>
      <c r="P28" s="302" t="s">
        <v>116</v>
      </c>
      <c r="Q28" s="302" t="s">
        <v>36</v>
      </c>
      <c r="R28" s="302" t="s">
        <v>6858</v>
      </c>
      <c r="S28" s="302" t="str">
        <f>IF(O140&lt;&gt;0," "&amp;O$119&amp;" +"&amp;O140,"")&amp;IF(P140&lt;&gt;0," "&amp;P$119&amp;" +"&amp;P140,"")&amp;IF(Q140&lt;&gt;0," "&amp;Q$119&amp;" +"&amp;Q140,"")&amp;IF(R140&lt;&gt;0," "&amp;R$119&amp;" +"&amp;R140,"")&amp;IF(S140&lt;&gt;0," "&amp;S$119&amp;" +"&amp;S140,"")&amp;IF(T140&lt;&gt;0," "&amp;T$119&amp;" +"&amp;T140,"")</f>
        <v xml:space="preserve"> DES +3 CON +1 VOL +2 POD +2</v>
      </c>
      <c r="AC28" t="s">
        <v>7090</v>
      </c>
      <c r="AD28" t="s">
        <v>7127</v>
      </c>
      <c r="AE28" t="str">
        <f t="shared" si="2"/>
        <v>CondicionesDiurno</v>
      </c>
      <c r="AF28">
        <v>-10</v>
      </c>
      <c r="AG28">
        <v>1</v>
      </c>
      <c r="AH28" s="302" t="s">
        <v>7110</v>
      </c>
    </row>
    <row r="29" spans="1:34" x14ac:dyDescent="0.2">
      <c r="A29" s="302" t="s">
        <v>6790</v>
      </c>
      <c r="B29" s="302" t="s">
        <v>6822</v>
      </c>
      <c r="C29" s="302" t="str">
        <f t="shared" si="0"/>
        <v>Ataque predeterminadoAbsurdo (180)</v>
      </c>
      <c r="D29" s="302">
        <v>8</v>
      </c>
      <c r="E29" s="302">
        <v>11</v>
      </c>
      <c r="F29" s="302">
        <v>10</v>
      </c>
      <c r="G29" s="302">
        <v>4</v>
      </c>
      <c r="H29" s="302">
        <v>8</v>
      </c>
      <c r="I29" s="302">
        <v>14</v>
      </c>
      <c r="J29" s="302">
        <v>1</v>
      </c>
      <c r="N29" s="302" t="s">
        <v>6851</v>
      </c>
      <c r="O29" s="302" t="s">
        <v>175</v>
      </c>
      <c r="P29" s="302" t="s">
        <v>116</v>
      </c>
      <c r="Q29" s="302" t="s">
        <v>36</v>
      </c>
      <c r="R29" s="302" t="s">
        <v>6858</v>
      </c>
      <c r="S29" s="302" t="str">
        <f>IF(O141&lt;&gt;0," "&amp;O$119&amp;" +"&amp;O141,"")&amp;IF(P141&lt;&gt;0," "&amp;P$119&amp;" +"&amp;P141,"")&amp;IF(Q141&lt;&gt;0," "&amp;Q$119&amp;" +"&amp;Q141,"")&amp;IF(R141&lt;&gt;0," "&amp;R$119&amp;" +"&amp;R141,"")&amp;IF(S141&lt;&gt;0," "&amp;S$119&amp;" +"&amp;S141,"")&amp;IF(T141&lt;&gt;0," "&amp;T$119&amp;" +"&amp;T141,"")</f>
        <v xml:space="preserve"> DES +3 CON +2 VOL +1 POD +1</v>
      </c>
      <c r="AC29" t="s">
        <v>7090</v>
      </c>
      <c r="AD29" t="s">
        <v>7128</v>
      </c>
      <c r="AE29" t="str">
        <f t="shared" si="2"/>
        <v>CondicionesNocturno</v>
      </c>
      <c r="AF29">
        <v>-10</v>
      </c>
      <c r="AG29">
        <v>1</v>
      </c>
      <c r="AH29" s="302" t="s">
        <v>7110</v>
      </c>
    </row>
    <row r="30" spans="1:34" x14ac:dyDescent="0.2">
      <c r="A30" s="302" t="s">
        <v>6790</v>
      </c>
      <c r="B30" s="302" t="s">
        <v>6823</v>
      </c>
      <c r="C30" s="302" t="str">
        <f t="shared" si="0"/>
        <v>Ataque predeterminadoCasi Imposible (240)</v>
      </c>
      <c r="D30" s="302">
        <v>12</v>
      </c>
      <c r="E30" s="302">
        <v>15</v>
      </c>
      <c r="F30" s="302">
        <v>15</v>
      </c>
      <c r="G30" s="302">
        <v>6</v>
      </c>
      <c r="H30" s="302">
        <v>12</v>
      </c>
      <c r="I30" s="302">
        <v>21</v>
      </c>
      <c r="J30" s="302">
        <v>1</v>
      </c>
      <c r="N30" s="302" t="s">
        <v>6852</v>
      </c>
      <c r="O30" s="302" t="s">
        <v>6817</v>
      </c>
      <c r="P30" s="302" t="s">
        <v>116</v>
      </c>
      <c r="Q30" s="302" t="s">
        <v>36</v>
      </c>
      <c r="R30" s="302" t="s">
        <v>6858</v>
      </c>
      <c r="S30" s="302" t="str">
        <f>IF(O142&lt;&gt;0," "&amp;O$119&amp;" +"&amp;O142,"")&amp;IF(P142&lt;&gt;0," "&amp;P$119&amp;" +"&amp;P142,"")&amp;IF(Q142&lt;&gt;0," "&amp;Q$119&amp;" +"&amp;Q142,"")&amp;IF(R142&lt;&gt;0," "&amp;R$119&amp;" +"&amp;R142,"")&amp;IF(S142&lt;&gt;0," "&amp;S$119&amp;" +"&amp;S142,"")&amp;IF(T142&lt;&gt;0," "&amp;T$119&amp;" +"&amp;T142,"")</f>
        <v xml:space="preserve"> DES +3 CON +2 VOL +1 POD +1</v>
      </c>
      <c r="AC30" t="s">
        <v>7090</v>
      </c>
      <c r="AD30" t="s">
        <v>7129</v>
      </c>
      <c r="AE30" t="str">
        <f t="shared" si="2"/>
        <v>CondicionesTerreno determinado</v>
      </c>
      <c r="AF30">
        <v>-10</v>
      </c>
      <c r="AG30">
        <v>1</v>
      </c>
      <c r="AH30" s="302" t="s">
        <v>7110</v>
      </c>
    </row>
    <row r="31" spans="1:34" x14ac:dyDescent="0.2">
      <c r="A31" s="302" t="s">
        <v>6790</v>
      </c>
      <c r="B31" s="302" t="s">
        <v>6824</v>
      </c>
      <c r="C31" s="302" t="str">
        <f t="shared" si="0"/>
        <v>Ataque predeterminadoImposible (280)</v>
      </c>
      <c r="D31" s="302">
        <v>16</v>
      </c>
      <c r="E31" s="302">
        <v>20</v>
      </c>
      <c r="F31" s="302">
        <v>25</v>
      </c>
      <c r="G31" s="302">
        <v>8</v>
      </c>
      <c r="H31" s="302">
        <v>16</v>
      </c>
      <c r="I31" s="302">
        <v>28</v>
      </c>
      <c r="J31" s="302">
        <v>2</v>
      </c>
      <c r="N31" s="302" t="s">
        <v>6853</v>
      </c>
      <c r="O31" s="302" t="s">
        <v>175</v>
      </c>
      <c r="P31" s="302" t="s">
        <v>116</v>
      </c>
      <c r="Q31" s="302" t="s">
        <v>36</v>
      </c>
      <c r="R31" s="302" t="s">
        <v>6858</v>
      </c>
      <c r="S31" s="302" t="str">
        <f>IF(O143&lt;&gt;0," "&amp;O$119&amp;" +"&amp;O143,"")&amp;IF(P143&lt;&gt;0," "&amp;P$119&amp;" +"&amp;P143,"")&amp;IF(Q143&lt;&gt;0," "&amp;Q$119&amp;" +"&amp;Q143,"")&amp;IF(R143&lt;&gt;0," "&amp;R$119&amp;" +"&amp;R143,"")&amp;IF(S143&lt;&gt;0," "&amp;S$119&amp;" +"&amp;S143,"")&amp;IF(T143&lt;&gt;0," "&amp;T$119&amp;" +"&amp;T143,"")</f>
        <v xml:space="preserve"> DES +3 CON +1 VOL +2 POD +2</v>
      </c>
      <c r="AC31" t="s">
        <v>7090</v>
      </c>
      <c r="AD31" t="s">
        <v>7130</v>
      </c>
      <c r="AE31" t="str">
        <f t="shared" si="2"/>
        <v>CondicionesEn un momento concreto</v>
      </c>
      <c r="AF31">
        <v>-20</v>
      </c>
      <c r="AG31">
        <v>2</v>
      </c>
      <c r="AH31" s="302" t="s">
        <v>7110</v>
      </c>
    </row>
    <row r="32" spans="1:34" x14ac:dyDescent="0.2">
      <c r="A32" s="302" t="s">
        <v>6790</v>
      </c>
      <c r="B32" s="302" t="s">
        <v>6825</v>
      </c>
      <c r="C32" s="302" t="str">
        <f t="shared" si="0"/>
        <v>Ataque predeterminadoInhumano (320)</v>
      </c>
      <c r="D32" s="302">
        <v>20</v>
      </c>
      <c r="E32" s="302">
        <v>24</v>
      </c>
      <c r="F32" s="302">
        <v>35</v>
      </c>
      <c r="G32" s="302">
        <v>10</v>
      </c>
      <c r="H32" s="302">
        <v>20</v>
      </c>
      <c r="I32" s="302">
        <v>35</v>
      </c>
      <c r="J32" s="302">
        <v>2</v>
      </c>
      <c r="N32" s="302" t="s">
        <v>6854</v>
      </c>
      <c r="O32" s="302" t="s">
        <v>6817</v>
      </c>
      <c r="P32" s="302" t="s">
        <v>116</v>
      </c>
      <c r="Q32" s="302" t="s">
        <v>36</v>
      </c>
      <c r="R32" s="302" t="s">
        <v>6858</v>
      </c>
      <c r="S32" s="302" t="str">
        <f>IF(O144&lt;&gt;0," "&amp;O$119&amp;" +"&amp;O144,"")&amp;IF(P144&lt;&gt;0," "&amp;P$119&amp;" +"&amp;P144,"")&amp;IF(Q144&lt;&gt;0," "&amp;Q$119&amp;" +"&amp;Q144,"")&amp;IF(R144&lt;&gt;0," "&amp;R$119&amp;" +"&amp;R144,"")&amp;IF(S144&lt;&gt;0," "&amp;S$119&amp;" +"&amp;S144,"")&amp;IF(T144&lt;&gt;0," "&amp;T$119&amp;" +"&amp;T144,"")</f>
        <v xml:space="preserve"> DES +3 CON +1 VOL +2 POD +2</v>
      </c>
      <c r="AC32" t="s">
        <v>7091</v>
      </c>
      <c r="AD32" s="302" t="s">
        <v>7131</v>
      </c>
      <c r="AE32" t="str">
        <f t="shared" si="2"/>
        <v>Daño reducidoNingun daño</v>
      </c>
      <c r="AF32" s="302">
        <v>-20</v>
      </c>
      <c r="AG32" s="302">
        <v>1</v>
      </c>
      <c r="AH32" s="302" t="s">
        <v>116</v>
      </c>
    </row>
    <row r="33" spans="1:34" x14ac:dyDescent="0.2">
      <c r="A33" s="302" t="s">
        <v>6790</v>
      </c>
      <c r="B33" s="302" t="s">
        <v>6826</v>
      </c>
      <c r="C33" s="302" t="str">
        <f t="shared" si="0"/>
        <v>Ataque predeterminadoZen (440)</v>
      </c>
      <c r="D33" s="302">
        <v>26</v>
      </c>
      <c r="E33" s="302">
        <v>32</v>
      </c>
      <c r="F33" s="302">
        <v>45</v>
      </c>
      <c r="G33" s="302">
        <v>12</v>
      </c>
      <c r="H33" s="302">
        <v>24</v>
      </c>
      <c r="I33" s="302">
        <v>42</v>
      </c>
      <c r="J33" s="302">
        <v>3</v>
      </c>
      <c r="N33" s="303" t="s">
        <v>6861</v>
      </c>
      <c r="O33" s="302">
        <v>0</v>
      </c>
      <c r="P33" s="302">
        <v>0</v>
      </c>
      <c r="Q33" s="302">
        <v>0</v>
      </c>
      <c r="R33" s="302">
        <v>0</v>
      </c>
      <c r="S33" s="594"/>
      <c r="AC33" t="s">
        <v>7091</v>
      </c>
      <c r="AD33" s="302" t="s">
        <v>7132</v>
      </c>
      <c r="AE33" t="str">
        <f t="shared" si="2"/>
        <v>Daño reducidoMitad de daño</v>
      </c>
      <c r="AF33" s="302">
        <v>-10</v>
      </c>
      <c r="AG33" s="302">
        <v>1</v>
      </c>
      <c r="AH33" s="302" t="s">
        <v>116</v>
      </c>
    </row>
    <row r="34" spans="1:34" x14ac:dyDescent="0.2">
      <c r="A34" s="302" t="s">
        <v>6793</v>
      </c>
      <c r="B34" s="301" t="s">
        <v>6799</v>
      </c>
      <c r="C34" s="301" t="str">
        <f t="shared" si="0"/>
        <v>Habilidad de contraataque+10</v>
      </c>
      <c r="D34" s="302">
        <v>1</v>
      </c>
      <c r="E34" s="302">
        <v>2</v>
      </c>
      <c r="F34" s="302">
        <v>5</v>
      </c>
      <c r="G34" s="302">
        <v>1</v>
      </c>
      <c r="H34" s="302">
        <v>2</v>
      </c>
      <c r="I34" s="302">
        <v>4</v>
      </c>
      <c r="J34" s="302">
        <v>1</v>
      </c>
      <c r="N34" s="302" t="s">
        <v>6862</v>
      </c>
      <c r="O34" s="302" t="s">
        <v>175</v>
      </c>
      <c r="P34" s="302" t="s">
        <v>116</v>
      </c>
      <c r="Q34" s="302" t="s">
        <v>57</v>
      </c>
      <c r="R34" s="302" t="s">
        <v>6870</v>
      </c>
      <c r="S34" s="302" t="str">
        <f>IF(O146&lt;&gt;0," "&amp;O$119&amp;" +"&amp;O146,"")&amp;IF(P146&lt;&gt;0," "&amp;P$119&amp;" +"&amp;P146,"")&amp;IF(Q146&lt;&gt;0," "&amp;Q$119&amp;" +"&amp;Q146,"")&amp;IF(R146&lt;&gt;0," "&amp;R$119&amp;" +"&amp;R146,"")&amp;IF(S146&lt;&gt;0," "&amp;S$119&amp;" +"&amp;S146,"")&amp;IF(T146&lt;&gt;0," "&amp;T$119&amp;" +"&amp;T146,"")</f>
        <v xml:space="preserve"> AGI +2 CON +1 VOL +3 POD +3</v>
      </c>
      <c r="AC34" t="s">
        <v>7092</v>
      </c>
      <c r="AD34" s="302" t="s">
        <v>7133</v>
      </c>
      <c r="AE34" t="str">
        <f t="shared" si="2"/>
        <v>Defensa especializadaSolo contra ataques físicos</v>
      </c>
      <c r="AF34" s="302">
        <v>-5</v>
      </c>
      <c r="AG34" s="302">
        <v>1</v>
      </c>
      <c r="AH34" s="302" t="s">
        <v>117</v>
      </c>
    </row>
    <row r="35" spans="1:34" x14ac:dyDescent="0.2">
      <c r="A35" s="302" t="s">
        <v>6793</v>
      </c>
      <c r="B35" s="301" t="s">
        <v>6804</v>
      </c>
      <c r="C35" s="301" t="str">
        <f t="shared" si="0"/>
        <v>Habilidad de contraataque+25</v>
      </c>
      <c r="D35" s="302">
        <v>2</v>
      </c>
      <c r="E35" s="302">
        <v>4</v>
      </c>
      <c r="F35" s="302">
        <v>5</v>
      </c>
      <c r="G35" s="302">
        <v>2</v>
      </c>
      <c r="H35" s="302">
        <v>4</v>
      </c>
      <c r="I35" s="302">
        <v>7</v>
      </c>
      <c r="J35" s="302">
        <v>1</v>
      </c>
      <c r="N35" s="302" t="s">
        <v>6864</v>
      </c>
      <c r="O35" s="302" t="s">
        <v>430</v>
      </c>
      <c r="P35" s="302" t="s">
        <v>430</v>
      </c>
      <c r="Q35" s="302" t="s">
        <v>57</v>
      </c>
      <c r="R35" s="302" t="s">
        <v>430</v>
      </c>
      <c r="S35" s="302" t="str">
        <f>IF(O147&lt;&gt;0," "&amp;O$119&amp;" +"&amp;O147,"")&amp;IF(P147&lt;&gt;0," "&amp;P$119&amp;" +"&amp;P147,"")&amp;IF(Q147&lt;&gt;0," "&amp;Q$119&amp;" +"&amp;Q147,"")&amp;IF(R147&lt;&gt;0," "&amp;R$119&amp;" +"&amp;R147,"")&amp;IF(S147&lt;&gt;0," "&amp;S$119&amp;" +"&amp;S147,"")&amp;IF(T147&lt;&gt;0," "&amp;T$119&amp;" +"&amp;T147,"")</f>
        <v xml:space="preserve"> AGI +2 CON +1 VOL +3 POD +3</v>
      </c>
      <c r="AC35" t="s">
        <v>7092</v>
      </c>
      <c r="AD35" s="302" t="s">
        <v>7134</v>
      </c>
      <c r="AE35" t="str">
        <f t="shared" si="2"/>
        <v>Defensa especializadaSolo contra proyectiles</v>
      </c>
      <c r="AF35" s="302">
        <v>-10</v>
      </c>
      <c r="AG35" s="302">
        <v>1</v>
      </c>
      <c r="AH35" s="302" t="s">
        <v>117</v>
      </c>
    </row>
    <row r="36" spans="1:34" x14ac:dyDescent="0.2">
      <c r="A36" s="302" t="s">
        <v>6793</v>
      </c>
      <c r="B36" s="301" t="s">
        <v>6805</v>
      </c>
      <c r="C36" s="301" t="str">
        <f t="shared" si="0"/>
        <v>Habilidad de contraataque+40</v>
      </c>
      <c r="D36" s="302">
        <v>3</v>
      </c>
      <c r="E36" s="302">
        <v>5</v>
      </c>
      <c r="F36" s="302">
        <v>10</v>
      </c>
      <c r="G36" s="302">
        <v>3</v>
      </c>
      <c r="H36" s="302">
        <v>6</v>
      </c>
      <c r="I36" s="302">
        <v>11</v>
      </c>
      <c r="J36" s="302">
        <v>1</v>
      </c>
      <c r="N36" s="302" t="s">
        <v>6865</v>
      </c>
      <c r="O36" s="302" t="s">
        <v>430</v>
      </c>
      <c r="P36" s="302" t="s">
        <v>430</v>
      </c>
      <c r="Q36" s="302" t="s">
        <v>57</v>
      </c>
      <c r="R36" s="302" t="s">
        <v>430</v>
      </c>
      <c r="S36" s="302" t="str">
        <f>IF(O148&lt;&gt;0," "&amp;O$119&amp;" +"&amp;O148,"")&amp;IF(P148&lt;&gt;0," "&amp;P$119&amp;" +"&amp;P148,"")&amp;IF(Q148&lt;&gt;0," "&amp;Q$119&amp;" +"&amp;Q148,"")&amp;IF(R148&lt;&gt;0," "&amp;R$119&amp;" +"&amp;R148,"")&amp;IF(S148&lt;&gt;0," "&amp;S$119&amp;" +"&amp;S148,"")&amp;IF(T148&lt;&gt;0," "&amp;T$119&amp;" +"&amp;T148,"")</f>
        <v xml:space="preserve"> AGI +2 CON +1 VOL +3 POD +3</v>
      </c>
      <c r="AC36" t="s">
        <v>7092</v>
      </c>
      <c r="AD36" s="302" t="s">
        <v>7135</v>
      </c>
      <c r="AE36" t="str">
        <f t="shared" si="2"/>
        <v>Defensa especializadaSolo contra Técnicas del Ki</v>
      </c>
      <c r="AF36" s="302">
        <v>-10</v>
      </c>
      <c r="AG36" s="302">
        <v>1</v>
      </c>
      <c r="AH36" s="302" t="s">
        <v>117</v>
      </c>
    </row>
    <row r="37" spans="1:34" x14ac:dyDescent="0.2">
      <c r="A37" s="302" t="s">
        <v>6793</v>
      </c>
      <c r="B37" s="301" t="s">
        <v>6806</v>
      </c>
      <c r="C37" s="301" t="str">
        <f t="shared" si="0"/>
        <v>Habilidad de contraataque+50</v>
      </c>
      <c r="D37" s="302">
        <v>4</v>
      </c>
      <c r="E37" s="302">
        <v>6</v>
      </c>
      <c r="F37" s="302">
        <v>10</v>
      </c>
      <c r="G37" s="302">
        <v>4</v>
      </c>
      <c r="H37" s="302">
        <v>8</v>
      </c>
      <c r="I37" s="302">
        <v>14</v>
      </c>
      <c r="J37" s="302">
        <v>1</v>
      </c>
      <c r="N37" s="302" t="s">
        <v>6866</v>
      </c>
      <c r="O37" s="302" t="s">
        <v>430</v>
      </c>
      <c r="P37" s="302" t="s">
        <v>430</v>
      </c>
      <c r="Q37" s="302" t="s">
        <v>57</v>
      </c>
      <c r="R37" s="302" t="s">
        <v>430</v>
      </c>
      <c r="S37" s="302" t="str">
        <f>IF(O149&lt;&gt;0," "&amp;O$119&amp;" +"&amp;O149,"")&amp;IF(P149&lt;&gt;0," "&amp;P$119&amp;" +"&amp;P149,"")&amp;IF(Q149&lt;&gt;0," "&amp;Q$119&amp;" +"&amp;Q149,"")&amp;IF(R149&lt;&gt;0," "&amp;R$119&amp;" +"&amp;R149,"")&amp;IF(S149&lt;&gt;0," "&amp;S$119&amp;" +"&amp;S149,"")&amp;IF(T149&lt;&gt;0," "&amp;T$119&amp;" +"&amp;T149,"")</f>
        <v xml:space="preserve"> AGI +2 CON +1 VOL +3 POD +3</v>
      </c>
      <c r="AC37" t="s">
        <v>7092</v>
      </c>
      <c r="AD37" s="302" t="s">
        <v>7136</v>
      </c>
      <c r="AE37" t="str">
        <f t="shared" si="2"/>
        <v>Defensa especializadaSolo contra conjuros</v>
      </c>
      <c r="AF37" s="302">
        <v>-15</v>
      </c>
      <c r="AG37" s="302">
        <v>1</v>
      </c>
      <c r="AH37" s="302" t="s">
        <v>117</v>
      </c>
    </row>
    <row r="38" spans="1:34" x14ac:dyDescent="0.2">
      <c r="A38" s="302" t="s">
        <v>6793</v>
      </c>
      <c r="B38" s="301" t="s">
        <v>6807</v>
      </c>
      <c r="C38" s="301" t="str">
        <f t="shared" si="0"/>
        <v>Habilidad de contraataque+75</v>
      </c>
      <c r="D38" s="302">
        <v>6</v>
      </c>
      <c r="E38" s="302">
        <v>9</v>
      </c>
      <c r="F38" s="302">
        <v>15</v>
      </c>
      <c r="G38" s="302">
        <v>6</v>
      </c>
      <c r="H38" s="302">
        <v>12</v>
      </c>
      <c r="I38" s="302">
        <v>21</v>
      </c>
      <c r="J38" s="302">
        <v>1</v>
      </c>
      <c r="N38" s="302" t="s">
        <v>6867</v>
      </c>
      <c r="O38" s="302" t="s">
        <v>175</v>
      </c>
      <c r="P38" s="302" t="s">
        <v>116</v>
      </c>
      <c r="Q38" s="302" t="s">
        <v>57</v>
      </c>
      <c r="R38" s="302" t="s">
        <v>6832</v>
      </c>
      <c r="S38" s="302" t="str">
        <f>IF(O150&lt;&gt;0," "&amp;O$119&amp;" +"&amp;O150,"")&amp;IF(P150&lt;&gt;0," "&amp;P$119&amp;" +"&amp;P150,"")&amp;IF(Q150&lt;&gt;0," "&amp;Q$119&amp;" +"&amp;Q150,"")&amp;IF(R150&lt;&gt;0," "&amp;R$119&amp;" +"&amp;R150,"")&amp;IF(S150&lt;&gt;0," "&amp;S$119&amp;" +"&amp;S150,"")&amp;IF(T150&lt;&gt;0," "&amp;T$119&amp;" +"&amp;T150,"")</f>
        <v xml:space="preserve"> AGI +2 CON +1 VOL +3 POD +3</v>
      </c>
      <c r="AC38" t="s">
        <v>7092</v>
      </c>
      <c r="AD38" s="302" t="s">
        <v>7137</v>
      </c>
      <c r="AE38" t="str">
        <f t="shared" si="2"/>
        <v>Defensa especializadaSolo contra poderes psíquicos</v>
      </c>
      <c r="AF38" s="302">
        <v>-15</v>
      </c>
      <c r="AG38" s="302">
        <v>1</v>
      </c>
      <c r="AH38" s="302" t="s">
        <v>117</v>
      </c>
    </row>
    <row r="39" spans="1:34" x14ac:dyDescent="0.2">
      <c r="A39" s="302" t="s">
        <v>6793</v>
      </c>
      <c r="B39" s="301" t="s">
        <v>6808</v>
      </c>
      <c r="C39" s="301" t="str">
        <f t="shared" si="0"/>
        <v>Habilidad de contraataque+90</v>
      </c>
      <c r="D39" s="302">
        <v>9</v>
      </c>
      <c r="E39" s="302">
        <v>12</v>
      </c>
      <c r="F39" s="302">
        <v>20</v>
      </c>
      <c r="G39" s="302">
        <v>8</v>
      </c>
      <c r="H39" s="302">
        <v>16</v>
      </c>
      <c r="I39" s="302">
        <v>28</v>
      </c>
      <c r="J39" s="302">
        <v>1</v>
      </c>
      <c r="N39" s="302" t="s">
        <v>6864</v>
      </c>
      <c r="O39" s="302" t="s">
        <v>430</v>
      </c>
      <c r="P39" s="302" t="s">
        <v>430</v>
      </c>
      <c r="Q39" s="302" t="s">
        <v>57</v>
      </c>
      <c r="R39" s="302" t="s">
        <v>430</v>
      </c>
      <c r="S39" s="302" t="str">
        <f>IF(O151&lt;&gt;0," "&amp;O$119&amp;" +"&amp;O151,"")&amp;IF(P151&lt;&gt;0," "&amp;P$119&amp;" +"&amp;P151,"")&amp;IF(Q151&lt;&gt;0," "&amp;Q$119&amp;" +"&amp;Q151,"")&amp;IF(R151&lt;&gt;0," "&amp;R$119&amp;" +"&amp;R151,"")&amp;IF(S151&lt;&gt;0," "&amp;S$119&amp;" +"&amp;S151,"")&amp;IF(T151&lt;&gt;0," "&amp;T$119&amp;" +"&amp;T151,"")</f>
        <v xml:space="preserve"> AGI +2 CON +1 VOL +3 POD +3</v>
      </c>
      <c r="AC39" t="s">
        <v>7093</v>
      </c>
      <c r="AD39" s="302" t="s">
        <v>7138</v>
      </c>
      <c r="AE39" t="str">
        <f t="shared" si="2"/>
        <v>ExterminadorContra seres humaniodes</v>
      </c>
      <c r="AF39" s="302">
        <v>-5</v>
      </c>
      <c r="AG39" s="302">
        <v>1</v>
      </c>
      <c r="AH39" s="302" t="s">
        <v>116</v>
      </c>
    </row>
    <row r="40" spans="1:34" x14ac:dyDescent="0.2">
      <c r="A40" s="302" t="s">
        <v>6793</v>
      </c>
      <c r="B40" s="301" t="s">
        <v>6809</v>
      </c>
      <c r="C40" s="301" t="str">
        <f t="shared" si="0"/>
        <v>Habilidad de contraataque+100</v>
      </c>
      <c r="D40" s="302">
        <v>12</v>
      </c>
      <c r="E40" s="302">
        <v>15</v>
      </c>
      <c r="F40" s="302">
        <v>25</v>
      </c>
      <c r="G40" s="302">
        <v>10</v>
      </c>
      <c r="H40" s="302">
        <v>20</v>
      </c>
      <c r="I40" s="302">
        <v>35</v>
      </c>
      <c r="J40" s="302">
        <v>1</v>
      </c>
      <c r="N40" s="302" t="s">
        <v>6868</v>
      </c>
      <c r="O40" s="302" t="s">
        <v>175</v>
      </c>
      <c r="P40" s="302" t="s">
        <v>117</v>
      </c>
      <c r="Q40" s="302" t="s">
        <v>46</v>
      </c>
      <c r="R40" s="302" t="s">
        <v>29</v>
      </c>
      <c r="S40" s="302" t="str">
        <f>IF(O152&lt;&gt;0," "&amp;O$119&amp;" +"&amp;O152,"")&amp;IF(P152&lt;&gt;0," "&amp;P$119&amp;" +"&amp;P152,"")&amp;IF(Q152&lt;&gt;0," "&amp;Q$119&amp;" +"&amp;Q152,"")&amp;IF(R152&lt;&gt;0," "&amp;R$119&amp;" +"&amp;R152,"")&amp;IF(S152&lt;&gt;0," "&amp;S$119&amp;" +"&amp;S152,"")&amp;IF(T152&lt;&gt;0," "&amp;T$119&amp;" +"&amp;T152,"")</f>
        <v xml:space="preserve"> DES +1 CON +2 VOL +3 POD +3</v>
      </c>
      <c r="AC40" t="s">
        <v>7093</v>
      </c>
      <c r="AD40" s="302" t="s">
        <v>7139</v>
      </c>
      <c r="AE40" t="str">
        <f t="shared" si="2"/>
        <v>ExterminadorContra una clase determinada de ser</v>
      </c>
      <c r="AF40" s="302">
        <v>-10</v>
      </c>
      <c r="AG40" s="302">
        <v>1</v>
      </c>
      <c r="AH40" s="302" t="s">
        <v>116</v>
      </c>
    </row>
    <row r="41" spans="1:34" x14ac:dyDescent="0.2">
      <c r="A41" s="302" t="s">
        <v>6793</v>
      </c>
      <c r="B41" s="301" t="s">
        <v>6810</v>
      </c>
      <c r="C41" s="301" t="str">
        <f t="shared" si="0"/>
        <v>Habilidad de contraataque+125</v>
      </c>
      <c r="D41" s="302">
        <v>14</v>
      </c>
      <c r="E41" s="302">
        <v>18</v>
      </c>
      <c r="F41" s="302">
        <v>30</v>
      </c>
      <c r="G41" s="302">
        <v>12</v>
      </c>
      <c r="H41" s="302">
        <v>24</v>
      </c>
      <c r="I41" s="302">
        <v>42</v>
      </c>
      <c r="J41" s="302">
        <v>2</v>
      </c>
      <c r="N41" s="302" t="s">
        <v>6865</v>
      </c>
      <c r="O41" s="302" t="s">
        <v>430</v>
      </c>
      <c r="P41" s="302" t="s">
        <v>430</v>
      </c>
      <c r="Q41" s="302" t="s">
        <v>46</v>
      </c>
      <c r="R41" s="302" t="s">
        <v>430</v>
      </c>
      <c r="S41" s="302" t="str">
        <f>IF(O153&lt;&gt;0," "&amp;O$119&amp;" +"&amp;O153,"")&amp;IF(P153&lt;&gt;0," "&amp;P$119&amp;" +"&amp;P153,"")&amp;IF(Q153&lt;&gt;0," "&amp;Q$119&amp;" +"&amp;Q153,"")&amp;IF(R153&lt;&gt;0," "&amp;R$119&amp;" +"&amp;R153,"")&amp;IF(S153&lt;&gt;0," "&amp;S$119&amp;" +"&amp;S153,"")&amp;IF(T153&lt;&gt;0," "&amp;T$119&amp;" +"&amp;T153,"")</f>
        <v xml:space="preserve"> DES +1 CON +2 VOL +3 POD +3</v>
      </c>
      <c r="AC41" t="s">
        <v>7093</v>
      </c>
      <c r="AD41" s="302" t="s">
        <v>7140</v>
      </c>
      <c r="AE41" t="str">
        <f t="shared" si="2"/>
        <v>ExterminadorContra un ser determinado</v>
      </c>
      <c r="AF41" s="302">
        <v>-30</v>
      </c>
      <c r="AG41" s="302">
        <v>2</v>
      </c>
      <c r="AH41" s="302" t="s">
        <v>116</v>
      </c>
    </row>
    <row r="42" spans="1:34" x14ac:dyDescent="0.2">
      <c r="A42" s="302" t="s">
        <v>6793</v>
      </c>
      <c r="B42" s="301" t="s">
        <v>6816</v>
      </c>
      <c r="C42" s="301" t="str">
        <f t="shared" si="0"/>
        <v>Habilidad de contraataque+150</v>
      </c>
      <c r="D42" s="302">
        <v>18</v>
      </c>
      <c r="E42" s="302">
        <v>22</v>
      </c>
      <c r="F42" s="302">
        <v>35</v>
      </c>
      <c r="G42" s="302">
        <v>14</v>
      </c>
      <c r="H42" s="302">
        <v>28</v>
      </c>
      <c r="I42" s="302">
        <v>49</v>
      </c>
      <c r="J42" s="302">
        <v>2</v>
      </c>
      <c r="N42" s="302" t="s">
        <v>6869</v>
      </c>
      <c r="O42" s="302" t="s">
        <v>6817</v>
      </c>
      <c r="P42" s="302" t="s">
        <v>6878</v>
      </c>
      <c r="Q42" s="302" t="s">
        <v>57</v>
      </c>
      <c r="R42" s="302" t="s">
        <v>60</v>
      </c>
      <c r="S42" s="302" t="str">
        <f>IF(O154&lt;&gt;0," "&amp;O$119&amp;" +"&amp;O154,"")&amp;IF(P154&lt;&gt;0," "&amp;P$119&amp;" +"&amp;P154,"")&amp;IF(Q154&lt;&gt;0," "&amp;Q$119&amp;" +"&amp;Q154,"")&amp;IF(R154&lt;&gt;0," "&amp;R$119&amp;" +"&amp;R154,"")&amp;IF(S154&lt;&gt;0," "&amp;S$119&amp;" +"&amp;S154,"")&amp;IF(T154&lt;&gt;0," "&amp;T$119&amp;" +"&amp;T154,"")</f>
        <v xml:space="preserve"> AGI +1 CON +1 VOL +2 POD +3</v>
      </c>
      <c r="AC42" t="s">
        <v>7094</v>
      </c>
      <c r="AD42" s="302" t="s">
        <v>7094</v>
      </c>
      <c r="AE42" t="str">
        <f t="shared" si="2"/>
        <v>Exceso de energíaExceso de energía</v>
      </c>
      <c r="AF42" s="302">
        <v>-15</v>
      </c>
      <c r="AG42" s="302">
        <v>1</v>
      </c>
      <c r="AH42" s="302" t="s">
        <v>7110</v>
      </c>
    </row>
    <row r="43" spans="1:34" x14ac:dyDescent="0.2">
      <c r="A43" s="302" t="s">
        <v>6793</v>
      </c>
      <c r="B43" s="301" t="s">
        <v>6811</v>
      </c>
      <c r="C43" s="301" t="str">
        <f t="shared" si="0"/>
        <v>Habilidad de contraataque+175</v>
      </c>
      <c r="D43" s="302">
        <v>22</v>
      </c>
      <c r="E43" s="302">
        <v>26</v>
      </c>
      <c r="F43" s="302">
        <v>40</v>
      </c>
      <c r="G43" s="302">
        <v>16</v>
      </c>
      <c r="H43" s="302">
        <v>32</v>
      </c>
      <c r="I43" s="302">
        <v>56</v>
      </c>
      <c r="J43" s="302">
        <v>3</v>
      </c>
      <c r="N43" s="302" t="s">
        <v>6865</v>
      </c>
      <c r="O43" s="302" t="s">
        <v>430</v>
      </c>
      <c r="P43" s="302" t="s">
        <v>430</v>
      </c>
      <c r="Q43" s="302" t="s">
        <v>57</v>
      </c>
      <c r="R43" s="302" t="s">
        <v>430</v>
      </c>
      <c r="S43" s="302" t="str">
        <f>IF(O155&lt;&gt;0," "&amp;O$119&amp;" +"&amp;O155,"")&amp;IF(P155&lt;&gt;0," "&amp;P$119&amp;" +"&amp;P155,"")&amp;IF(Q155&lt;&gt;0," "&amp;Q$119&amp;" +"&amp;Q155,"")&amp;IF(R155&lt;&gt;0," "&amp;R$119&amp;" +"&amp;R155,"")&amp;IF(S155&lt;&gt;0," "&amp;S$119&amp;" +"&amp;S155,"")&amp;IF(T155&lt;&gt;0," "&amp;T$119&amp;" +"&amp;T155,"")</f>
        <v xml:space="preserve"> AGI +1 CON +1 VOL +2 POD +3</v>
      </c>
      <c r="AC43" t="s">
        <v>7095</v>
      </c>
      <c r="AD43" t="s">
        <v>7095</v>
      </c>
      <c r="AE43" t="str">
        <f t="shared" si="2"/>
        <v>Pérdida del armaPérdida del arma</v>
      </c>
      <c r="AF43" s="302">
        <v>-10</v>
      </c>
      <c r="AG43" s="302">
        <v>1</v>
      </c>
      <c r="AH43" s="302" t="s">
        <v>7110</v>
      </c>
    </row>
    <row r="44" spans="1:34" x14ac:dyDescent="0.2">
      <c r="A44" s="302" t="s">
        <v>6793</v>
      </c>
      <c r="B44" s="301" t="s">
        <v>6812</v>
      </c>
      <c r="C44" s="301" t="str">
        <f t="shared" si="0"/>
        <v>Habilidad de contraataque+200</v>
      </c>
      <c r="D44" s="302">
        <v>26</v>
      </c>
      <c r="E44" s="302">
        <v>32</v>
      </c>
      <c r="F44" s="302">
        <v>45</v>
      </c>
      <c r="G44" s="302">
        <v>18</v>
      </c>
      <c r="H44" s="302">
        <v>36</v>
      </c>
      <c r="I44" s="302">
        <v>63</v>
      </c>
      <c r="J44" s="302">
        <v>3</v>
      </c>
      <c r="N44" s="304" t="s">
        <v>6879</v>
      </c>
      <c r="O44" s="302">
        <v>0</v>
      </c>
      <c r="P44" s="302">
        <v>0</v>
      </c>
      <c r="Q44" s="302">
        <v>0</v>
      </c>
      <c r="R44" s="302">
        <v>0</v>
      </c>
      <c r="S44" s="594"/>
      <c r="AC44" t="s">
        <v>7096</v>
      </c>
      <c r="AD44" s="301" t="s">
        <v>6829</v>
      </c>
      <c r="AE44" t="str">
        <f t="shared" si="2"/>
        <v>Penalizador a toda acción-50</v>
      </c>
      <c r="AF44" s="302">
        <v>-10</v>
      </c>
      <c r="AG44" s="302">
        <v>1</v>
      </c>
      <c r="AH44" s="302" t="s">
        <v>7110</v>
      </c>
    </row>
    <row r="45" spans="1:34" x14ac:dyDescent="0.2">
      <c r="A45" s="302" t="s">
        <v>6794</v>
      </c>
      <c r="B45" s="301" t="s">
        <v>5143</v>
      </c>
      <c r="C45" s="301" t="str">
        <f t="shared" si="0"/>
        <v>Maniobras de combate y apuntar-10</v>
      </c>
      <c r="D45" s="302">
        <v>1</v>
      </c>
      <c r="E45" s="302">
        <v>2</v>
      </c>
      <c r="F45" s="302">
        <v>5</v>
      </c>
      <c r="G45" s="302">
        <v>1</v>
      </c>
      <c r="H45" s="302">
        <v>2</v>
      </c>
      <c r="I45" s="302">
        <v>4</v>
      </c>
      <c r="J45" s="302">
        <v>1</v>
      </c>
      <c r="N45" s="302" t="s">
        <v>6880</v>
      </c>
      <c r="O45" s="302" t="s">
        <v>6817</v>
      </c>
      <c r="P45" s="302" t="s">
        <v>6878</v>
      </c>
      <c r="Q45" s="302" t="s">
        <v>46</v>
      </c>
      <c r="R45" s="302" t="s">
        <v>60</v>
      </c>
      <c r="S45" s="302" t="str">
        <f>IF(O157&lt;&gt;0," "&amp;O$119&amp;" +"&amp;O157,"")&amp;IF(P157&lt;&gt;0," "&amp;P$119&amp;" +"&amp;P157,"")&amp;IF(Q157&lt;&gt;0," "&amp;Q$119&amp;" +"&amp;Q157,"")&amp;IF(R157&lt;&gt;0," "&amp;R$119&amp;" +"&amp;R157,"")&amp;IF(S157&lt;&gt;0," "&amp;S$119&amp;" +"&amp;S157,"")&amp;IF(T157&lt;&gt;0," "&amp;T$119&amp;" +"&amp;T157,"")</f>
        <v xml:space="preserve"> AGI +2 DES +3 CON +2 POD +2</v>
      </c>
      <c r="AC45" t="s">
        <v>7096</v>
      </c>
      <c r="AD45" s="301" t="s">
        <v>6830</v>
      </c>
      <c r="AE45" t="str">
        <f t="shared" si="2"/>
        <v>Penalizador a toda acción-75</v>
      </c>
      <c r="AF45" s="302">
        <v>-15</v>
      </c>
      <c r="AG45" s="302">
        <v>1</v>
      </c>
      <c r="AH45" s="302" t="s">
        <v>7110</v>
      </c>
    </row>
    <row r="46" spans="1:34" x14ac:dyDescent="0.2">
      <c r="A46" s="302" t="s">
        <v>6794</v>
      </c>
      <c r="B46" s="301" t="s">
        <v>6828</v>
      </c>
      <c r="C46" s="301" t="str">
        <f t="shared" si="0"/>
        <v>Maniobras de combate y apuntar-25</v>
      </c>
      <c r="D46" s="302">
        <v>2</v>
      </c>
      <c r="E46" s="302">
        <v>4</v>
      </c>
      <c r="F46" s="302">
        <v>5</v>
      </c>
      <c r="G46" s="302">
        <v>1</v>
      </c>
      <c r="H46" s="302">
        <v>2</v>
      </c>
      <c r="I46" s="302">
        <v>4</v>
      </c>
      <c r="J46" s="302">
        <v>1</v>
      </c>
      <c r="N46" s="302" t="s">
        <v>6881</v>
      </c>
      <c r="O46" s="302" t="s">
        <v>175</v>
      </c>
      <c r="P46" s="302" t="s">
        <v>6878</v>
      </c>
      <c r="Q46" s="302" t="s">
        <v>59</v>
      </c>
      <c r="R46" s="302" t="s">
        <v>6883</v>
      </c>
      <c r="S46" s="302" t="str">
        <f>IF(O158&lt;&gt;0," "&amp;O$119&amp;" +"&amp;O158,"")&amp;IF(P158&lt;&gt;0," "&amp;P$119&amp;" +"&amp;P158,"")&amp;IF(Q158&lt;&gt;0," "&amp;Q$119&amp;" +"&amp;Q158,"")&amp;IF(R158&lt;&gt;0," "&amp;R$119&amp;" +"&amp;R158,"")&amp;IF(S158&lt;&gt;0," "&amp;S$119&amp;" +"&amp;S158,"")&amp;IF(T158&lt;&gt;0," "&amp;T$119&amp;" +"&amp;T158,"")</f>
        <v xml:space="preserve"> FUE +1 DES +3 CON +2 VOL +1</v>
      </c>
      <c r="AC46" t="s">
        <v>7096</v>
      </c>
      <c r="AD46" s="301" t="s">
        <v>6831</v>
      </c>
      <c r="AE46" t="str">
        <f t="shared" si="2"/>
        <v>Penalizador a toda acción-100</v>
      </c>
      <c r="AF46" s="302">
        <v>-20</v>
      </c>
      <c r="AG46" s="302">
        <v>2</v>
      </c>
      <c r="AH46" s="302" t="s">
        <v>7110</v>
      </c>
    </row>
    <row r="47" spans="1:34" x14ac:dyDescent="0.2">
      <c r="A47" s="302" t="s">
        <v>6794</v>
      </c>
      <c r="B47" s="301" t="s">
        <v>6829</v>
      </c>
      <c r="C47" s="301" t="str">
        <f t="shared" si="0"/>
        <v>Maniobras de combate y apuntar-50</v>
      </c>
      <c r="D47" s="302">
        <v>3</v>
      </c>
      <c r="E47" s="302">
        <v>5</v>
      </c>
      <c r="F47" s="302">
        <v>10</v>
      </c>
      <c r="G47" s="302">
        <v>2</v>
      </c>
      <c r="H47" s="302">
        <v>4</v>
      </c>
      <c r="I47" s="302">
        <v>7</v>
      </c>
      <c r="J47" s="302">
        <v>1</v>
      </c>
      <c r="N47" s="302" t="s">
        <v>6882</v>
      </c>
      <c r="O47" s="302" t="s">
        <v>6817</v>
      </c>
      <c r="P47" s="302" t="s">
        <v>6878</v>
      </c>
      <c r="Q47" s="302" t="s">
        <v>58</v>
      </c>
      <c r="R47" s="302" t="s">
        <v>6884</v>
      </c>
      <c r="S47" s="302" t="str">
        <f>IF(O159&lt;&gt;0," "&amp;O$119&amp;" +"&amp;O159,"")&amp;IF(P159&lt;&gt;0," "&amp;P$119&amp;" +"&amp;P159,"")&amp;IF(Q159&lt;&gt;0," "&amp;Q$119&amp;" +"&amp;Q159,"")&amp;IF(R159&lt;&gt;0," "&amp;R$119&amp;" +"&amp;R159,"")&amp;IF(S159&lt;&gt;0," "&amp;S$119&amp;" +"&amp;S159,"")&amp;IF(T159&lt;&gt;0," "&amp;T$119&amp;" +"&amp;T159,"")</f>
        <v xml:space="preserve"> FUE +1 DES +3 CON +2 VOL +1</v>
      </c>
      <c r="AC47" t="s">
        <v>7096</v>
      </c>
      <c r="AD47" s="301" t="s">
        <v>7141</v>
      </c>
      <c r="AE47" t="str">
        <f t="shared" si="2"/>
        <v>Penalizador a toda acción-125</v>
      </c>
      <c r="AF47" s="302">
        <v>-25</v>
      </c>
      <c r="AG47" s="302">
        <v>2</v>
      </c>
      <c r="AH47" s="302" t="s">
        <v>7110</v>
      </c>
    </row>
    <row r="48" spans="1:34" x14ac:dyDescent="0.2">
      <c r="A48" s="302" t="s">
        <v>6794</v>
      </c>
      <c r="B48" s="301" t="s">
        <v>6830</v>
      </c>
      <c r="C48" s="301" t="str">
        <f t="shared" si="0"/>
        <v>Maniobras de combate y apuntar-75</v>
      </c>
      <c r="D48" s="302">
        <v>4</v>
      </c>
      <c r="E48" s="302">
        <v>6</v>
      </c>
      <c r="F48" s="302">
        <v>10</v>
      </c>
      <c r="G48" s="302">
        <v>2</v>
      </c>
      <c r="H48" s="302">
        <v>4</v>
      </c>
      <c r="I48" s="302">
        <v>7</v>
      </c>
      <c r="J48" s="302">
        <v>2</v>
      </c>
      <c r="N48" s="297" t="s">
        <v>6893</v>
      </c>
      <c r="O48" s="302">
        <v>0</v>
      </c>
      <c r="P48" s="302">
        <v>0</v>
      </c>
      <c r="Q48" s="302">
        <v>0</v>
      </c>
      <c r="R48" s="302">
        <v>0</v>
      </c>
      <c r="S48" s="594"/>
      <c r="AC48" t="s">
        <v>7096</v>
      </c>
      <c r="AD48" s="301" t="s">
        <v>7142</v>
      </c>
      <c r="AE48" t="str">
        <f t="shared" si="2"/>
        <v>Penalizador a toda acción-150</v>
      </c>
      <c r="AF48" s="302">
        <v>-30</v>
      </c>
      <c r="AG48" s="302">
        <v>3</v>
      </c>
      <c r="AH48" s="302" t="s">
        <v>7110</v>
      </c>
    </row>
    <row r="49" spans="1:34" x14ac:dyDescent="0.2">
      <c r="A49" s="302" t="s">
        <v>6794</v>
      </c>
      <c r="B49" s="301" t="s">
        <v>6831</v>
      </c>
      <c r="C49" s="301" t="str">
        <f t="shared" si="0"/>
        <v>Maniobras de combate y apuntar-100</v>
      </c>
      <c r="D49" s="302">
        <v>6</v>
      </c>
      <c r="E49" s="302">
        <v>9</v>
      </c>
      <c r="F49" s="302">
        <v>15</v>
      </c>
      <c r="G49" s="302">
        <v>3</v>
      </c>
      <c r="H49" s="302">
        <v>6</v>
      </c>
      <c r="I49" s="302">
        <v>11</v>
      </c>
      <c r="J49" s="302">
        <v>2</v>
      </c>
      <c r="N49" t="s">
        <v>6894</v>
      </c>
      <c r="O49" s="302" t="s">
        <v>175</v>
      </c>
      <c r="P49" s="302" t="s">
        <v>116</v>
      </c>
      <c r="Q49" s="302" t="s">
        <v>58</v>
      </c>
      <c r="R49" s="302" t="s">
        <v>6903</v>
      </c>
      <c r="S49" s="302" t="str">
        <f>IF(O161&lt;&gt;0," "&amp;O$119&amp;" +"&amp;O161,"")&amp;IF(P161&lt;&gt;0," "&amp;P$119&amp;" +"&amp;P161,"")&amp;IF(Q161&lt;&gt;0," "&amp;Q$119&amp;" +"&amp;Q161,"")&amp;IF(R161&lt;&gt;0," "&amp;R$119&amp;" +"&amp;R161,"")&amp;IF(S161&lt;&gt;0," "&amp;S$119&amp;" +"&amp;S161,"")&amp;IF(T161&lt;&gt;0," "&amp;T$119&amp;" +"&amp;T161,"")</f>
        <v xml:space="preserve"> AGI +3 DES +2 CON +4 VOL +1</v>
      </c>
      <c r="AC49" t="s">
        <v>7097</v>
      </c>
      <c r="AD49" s="302" t="s">
        <v>7097</v>
      </c>
      <c r="AE49" t="str">
        <f t="shared" si="2"/>
        <v>PredeterminaciónPredeterminación</v>
      </c>
      <c r="AF49" s="302">
        <v>-20</v>
      </c>
      <c r="AG49" s="302">
        <v>2</v>
      </c>
      <c r="AH49" s="302" t="s">
        <v>7110</v>
      </c>
    </row>
    <row r="50" spans="1:34" x14ac:dyDescent="0.2">
      <c r="A50" s="302" t="s">
        <v>6794</v>
      </c>
      <c r="B50" s="301" t="s">
        <v>5147</v>
      </c>
      <c r="C50" s="301" t="str">
        <f t="shared" si="0"/>
        <v>Maniobras de combate y apuntar-120</v>
      </c>
      <c r="D50" s="302">
        <v>8</v>
      </c>
      <c r="E50" s="302">
        <v>11</v>
      </c>
      <c r="F50" s="302">
        <v>20</v>
      </c>
      <c r="G50" s="302">
        <v>3</v>
      </c>
      <c r="H50" s="302">
        <v>6</v>
      </c>
      <c r="I50" s="302">
        <v>11</v>
      </c>
      <c r="J50" s="302">
        <v>3</v>
      </c>
      <c r="N50" t="s">
        <v>6895</v>
      </c>
      <c r="O50" s="302" t="s">
        <v>430</v>
      </c>
      <c r="P50" s="302" t="s">
        <v>430</v>
      </c>
      <c r="Q50" s="302" t="s">
        <v>58</v>
      </c>
      <c r="R50" s="302" t="s">
        <v>430</v>
      </c>
      <c r="S50" s="302" t="str">
        <f>IF(O162&lt;&gt;0," "&amp;O$119&amp;" +"&amp;O162,"")&amp;IF(P162&lt;&gt;0," "&amp;P$119&amp;" +"&amp;P162,"")&amp;IF(Q162&lt;&gt;0," "&amp;Q$119&amp;" +"&amp;Q162,"")&amp;IF(R162&lt;&gt;0," "&amp;R$119&amp;" +"&amp;R162,"")&amp;IF(S162&lt;&gt;0," "&amp;S$119&amp;" +"&amp;S162,"")&amp;IF(T162&lt;&gt;0," "&amp;T$119&amp;" +"&amp;T162,"")</f>
        <v xml:space="preserve"> AGI +3 DES +2 CON +4 VOL +1</v>
      </c>
      <c r="AC50" t="s">
        <v>7098</v>
      </c>
      <c r="AD50" s="302" t="s">
        <v>7143</v>
      </c>
      <c r="AE50" t="str">
        <f t="shared" si="2"/>
        <v>Preparación previa1 minuto</v>
      </c>
      <c r="AF50" s="302">
        <v>-10</v>
      </c>
      <c r="AG50" s="302">
        <v>1</v>
      </c>
      <c r="AH50" s="302" t="s">
        <v>7110</v>
      </c>
    </row>
    <row r="51" spans="1:34" x14ac:dyDescent="0.2">
      <c r="A51" s="302" t="s">
        <v>6795</v>
      </c>
      <c r="B51" s="301" t="s">
        <v>5143</v>
      </c>
      <c r="C51" s="301" t="str">
        <f t="shared" si="0"/>
        <v>Maniobras de combate y apuntar reales-10</v>
      </c>
      <c r="D51" s="302">
        <v>2</v>
      </c>
      <c r="E51" s="302">
        <v>4</v>
      </c>
      <c r="F51" s="302">
        <v>10</v>
      </c>
      <c r="G51" s="302">
        <v>2</v>
      </c>
      <c r="H51" s="302">
        <v>4</v>
      </c>
      <c r="I51" s="302">
        <v>7</v>
      </c>
      <c r="J51" s="302">
        <v>1</v>
      </c>
      <c r="N51" t="s">
        <v>6896</v>
      </c>
      <c r="O51" s="302" t="s">
        <v>430</v>
      </c>
      <c r="P51" s="302" t="s">
        <v>430</v>
      </c>
      <c r="Q51" s="302" t="s">
        <v>58</v>
      </c>
      <c r="R51" s="302" t="s">
        <v>430</v>
      </c>
      <c r="S51" s="302" t="str">
        <f>IF(O163&lt;&gt;0," "&amp;O$119&amp;" +"&amp;O163,"")&amp;IF(P163&lt;&gt;0," "&amp;P$119&amp;" +"&amp;P163,"")&amp;IF(Q163&lt;&gt;0," "&amp;Q$119&amp;" +"&amp;Q163,"")&amp;IF(R163&lt;&gt;0," "&amp;R$119&amp;" +"&amp;R163,"")&amp;IF(S163&lt;&gt;0," "&amp;S$119&amp;" +"&amp;S163,"")&amp;IF(T163&lt;&gt;0," "&amp;T$119&amp;" +"&amp;T163,"")</f>
        <v xml:space="preserve"> AGI +3 DES +2 CON +4 VOL +1</v>
      </c>
      <c r="AC51" t="s">
        <v>7098</v>
      </c>
      <c r="AD51" s="302" t="s">
        <v>4773</v>
      </c>
      <c r="AE51" t="str">
        <f t="shared" si="2"/>
        <v>Preparación previa1 hora</v>
      </c>
      <c r="AF51" s="302">
        <v>-15</v>
      </c>
      <c r="AG51" s="302">
        <v>1</v>
      </c>
      <c r="AH51" s="302" t="s">
        <v>7110</v>
      </c>
    </row>
    <row r="52" spans="1:34" x14ac:dyDescent="0.2">
      <c r="A52" s="302" t="s">
        <v>6795</v>
      </c>
      <c r="B52" s="301" t="s">
        <v>6828</v>
      </c>
      <c r="C52" s="301" t="str">
        <f t="shared" si="0"/>
        <v>Maniobras de combate y apuntar reales-25</v>
      </c>
      <c r="D52" s="302">
        <v>4</v>
      </c>
      <c r="E52" s="302">
        <v>6</v>
      </c>
      <c r="F52" s="302">
        <v>15</v>
      </c>
      <c r="G52" s="302">
        <v>3</v>
      </c>
      <c r="H52" s="302">
        <v>6</v>
      </c>
      <c r="I52" s="302">
        <v>11</v>
      </c>
      <c r="J52" s="302">
        <v>1</v>
      </c>
      <c r="N52" t="s">
        <v>6897</v>
      </c>
      <c r="O52" s="302" t="s">
        <v>6817</v>
      </c>
      <c r="P52" s="302" t="s">
        <v>116</v>
      </c>
      <c r="Q52" s="302" t="s">
        <v>58</v>
      </c>
      <c r="R52" s="302" t="s">
        <v>6903</v>
      </c>
      <c r="S52" s="302" t="str">
        <f>IF(O164&lt;&gt;0," "&amp;O$119&amp;" +"&amp;O164,"")&amp;IF(P164&lt;&gt;0," "&amp;P$119&amp;" +"&amp;P164,"")&amp;IF(Q164&lt;&gt;0," "&amp;Q$119&amp;" +"&amp;Q164,"")&amp;IF(R164&lt;&gt;0," "&amp;R$119&amp;" +"&amp;R164,"")&amp;IF(S164&lt;&gt;0," "&amp;S$119&amp;" +"&amp;S164,"")&amp;IF(T164&lt;&gt;0," "&amp;T$119&amp;" +"&amp;T164,"")</f>
        <v xml:space="preserve"> AGI +3 DES +2 CON +4 VOL +1</v>
      </c>
      <c r="AC52" t="s">
        <v>7098</v>
      </c>
      <c r="AD52" s="302" t="s">
        <v>1928</v>
      </c>
      <c r="AE52" t="str">
        <f t="shared" si="2"/>
        <v>Preparación previa1 día</v>
      </c>
      <c r="AF52" s="302">
        <v>-25</v>
      </c>
      <c r="AG52" s="302">
        <v>2</v>
      </c>
      <c r="AH52" s="302" t="s">
        <v>7110</v>
      </c>
    </row>
    <row r="53" spans="1:34" x14ac:dyDescent="0.2">
      <c r="A53" s="302" t="s">
        <v>6795</v>
      </c>
      <c r="B53" s="301" t="s">
        <v>6829</v>
      </c>
      <c r="C53" s="301" t="str">
        <f t="shared" si="0"/>
        <v>Maniobras de combate y apuntar reales-50</v>
      </c>
      <c r="D53" s="302">
        <v>6</v>
      </c>
      <c r="E53" s="302">
        <v>9</v>
      </c>
      <c r="F53" s="302">
        <v>20</v>
      </c>
      <c r="G53" s="302">
        <v>4</v>
      </c>
      <c r="H53" s="302">
        <v>8</v>
      </c>
      <c r="I53" s="302">
        <v>14</v>
      </c>
      <c r="J53" s="302">
        <v>2</v>
      </c>
      <c r="N53" t="s">
        <v>6898</v>
      </c>
      <c r="O53" s="302" t="s">
        <v>175</v>
      </c>
      <c r="P53" s="302" t="s">
        <v>116</v>
      </c>
      <c r="Q53" s="302" t="s">
        <v>58</v>
      </c>
      <c r="R53" s="302" t="s">
        <v>6904</v>
      </c>
      <c r="S53" s="302" t="str">
        <f>IF(O165&lt;&gt;0," "&amp;O$119&amp;" +"&amp;O165,"")&amp;IF(P165&lt;&gt;0," "&amp;P$119&amp;" +"&amp;P165,"")&amp;IF(Q165&lt;&gt;0," "&amp;Q$119&amp;" +"&amp;Q165,"")&amp;IF(R165&lt;&gt;0," "&amp;R$119&amp;" +"&amp;R165,"")&amp;IF(S165&lt;&gt;0," "&amp;S$119&amp;" +"&amp;S165,"")&amp;IF(T165&lt;&gt;0," "&amp;T$119&amp;" +"&amp;T165,"")</f>
        <v xml:space="preserve"> AGI +2 DES +2 CON +3 VOL +1</v>
      </c>
      <c r="AC53" t="s">
        <v>7099</v>
      </c>
      <c r="AD53" s="302" t="s">
        <v>7144</v>
      </c>
      <c r="AE53" t="str">
        <f t="shared" si="2"/>
        <v>Requerimientos elementalesIntensidad mayor</v>
      </c>
      <c r="AF53" s="302">
        <v>-10</v>
      </c>
      <c r="AG53" s="302">
        <v>1</v>
      </c>
      <c r="AH53" s="302" t="s">
        <v>7110</v>
      </c>
    </row>
    <row r="54" spans="1:34" x14ac:dyDescent="0.2">
      <c r="A54" s="302" t="s">
        <v>6796</v>
      </c>
      <c r="B54" s="302" t="s">
        <v>6833</v>
      </c>
      <c r="C54" s="302" t="str">
        <f t="shared" si="0"/>
        <v>Ataque indirectoTécnica 1º Nv</v>
      </c>
      <c r="D54" s="302">
        <v>3</v>
      </c>
      <c r="E54" s="302">
        <v>5</v>
      </c>
      <c r="F54" s="302">
        <v>10</v>
      </c>
      <c r="G54" s="302">
        <v>2</v>
      </c>
      <c r="H54" s="302">
        <v>4</v>
      </c>
      <c r="I54" s="302">
        <v>7</v>
      </c>
      <c r="J54" s="302">
        <v>1</v>
      </c>
      <c r="N54" t="s">
        <v>6899</v>
      </c>
      <c r="O54" s="302" t="s">
        <v>430</v>
      </c>
      <c r="P54" s="302" t="s">
        <v>430</v>
      </c>
      <c r="Q54" s="302" t="s">
        <v>58</v>
      </c>
      <c r="R54" s="302" t="s">
        <v>430</v>
      </c>
      <c r="S54" s="302" t="str">
        <f>IF(O166&lt;&gt;0," "&amp;O$119&amp;" +"&amp;O166,"")&amp;IF(P166&lt;&gt;0," "&amp;P$119&amp;" +"&amp;P166,"")&amp;IF(Q166&lt;&gt;0," "&amp;Q$119&amp;" +"&amp;Q166,"")&amp;IF(R166&lt;&gt;0," "&amp;R$119&amp;" +"&amp;R166,"")&amp;IF(S166&lt;&gt;0," "&amp;S$119&amp;" +"&amp;S166,"")&amp;IF(T166&lt;&gt;0," "&amp;T$119&amp;" +"&amp;T166,"")</f>
        <v xml:space="preserve"> AGI +2 DES +2 CON +3 VOL +1</v>
      </c>
      <c r="AC54" t="s">
        <v>7099</v>
      </c>
      <c r="AD54" s="302" t="s">
        <v>7145</v>
      </c>
      <c r="AE54" t="str">
        <f t="shared" si="2"/>
        <v>Requerimientos elementalesIntensidad simple</v>
      </c>
      <c r="AF54" s="302">
        <v>-5</v>
      </c>
      <c r="AG54" s="302">
        <v>1</v>
      </c>
      <c r="AH54" s="302" t="s">
        <v>7110</v>
      </c>
    </row>
    <row r="55" spans="1:34" x14ac:dyDescent="0.2">
      <c r="A55" s="302" t="s">
        <v>6796</v>
      </c>
      <c r="B55" s="302" t="s">
        <v>6834</v>
      </c>
      <c r="C55" s="302" t="str">
        <f t="shared" si="0"/>
        <v>Ataque indirectoTécnica 2º Nv</v>
      </c>
      <c r="D55" s="302">
        <v>6</v>
      </c>
      <c r="E55" s="302">
        <v>9</v>
      </c>
      <c r="F55" s="302">
        <v>20</v>
      </c>
      <c r="G55" s="302">
        <v>4</v>
      </c>
      <c r="H55" s="302">
        <v>8</v>
      </c>
      <c r="I55" s="302">
        <v>14</v>
      </c>
      <c r="J55" s="302">
        <v>2</v>
      </c>
      <c r="N55" t="s">
        <v>6900</v>
      </c>
      <c r="O55" s="302" t="s">
        <v>6817</v>
      </c>
      <c r="P55" s="302" t="s">
        <v>116</v>
      </c>
      <c r="Q55" s="302" t="s">
        <v>58</v>
      </c>
      <c r="R55" s="302" t="s">
        <v>6904</v>
      </c>
      <c r="S55" s="302" t="str">
        <f>IF(O167&lt;&gt;0," "&amp;O$119&amp;" +"&amp;O167,"")&amp;IF(P167&lt;&gt;0," "&amp;P$119&amp;" +"&amp;P167,"")&amp;IF(Q167&lt;&gt;0," "&amp;Q$119&amp;" +"&amp;Q167,"")&amp;IF(R167&lt;&gt;0," "&amp;R$119&amp;" +"&amp;R167,"")&amp;IF(S167&lt;&gt;0," "&amp;S$119&amp;" +"&amp;S167,"")&amp;IF(T167&lt;&gt;0," "&amp;T$119&amp;" +"&amp;T167,"")</f>
        <v xml:space="preserve"> AGI +2 DES +2 CON +3 VOL +1</v>
      </c>
      <c r="AC55" t="s">
        <v>7100</v>
      </c>
      <c r="AD55" s="301" t="s">
        <v>7147</v>
      </c>
      <c r="AE55" t="str">
        <f t="shared" si="2"/>
        <v>Sacrificio-25 PV</v>
      </c>
      <c r="AF55" s="302">
        <v>-5</v>
      </c>
      <c r="AG55" s="302">
        <v>1</v>
      </c>
      <c r="AH55" s="302" t="s">
        <v>7110</v>
      </c>
    </row>
    <row r="56" spans="1:34" x14ac:dyDescent="0.2">
      <c r="A56" s="302" t="s">
        <v>6796</v>
      </c>
      <c r="B56" s="302" t="s">
        <v>6835</v>
      </c>
      <c r="C56" s="302" t="str">
        <f t="shared" si="0"/>
        <v>Ataque indirectoTécnica 3º Nv</v>
      </c>
      <c r="D56" s="302">
        <v>9</v>
      </c>
      <c r="E56" s="302">
        <v>12</v>
      </c>
      <c r="F56" s="302">
        <v>30</v>
      </c>
      <c r="G56" s="302">
        <v>6</v>
      </c>
      <c r="H56" s="302">
        <v>12</v>
      </c>
      <c r="I56" s="302">
        <v>21</v>
      </c>
      <c r="J56" s="302">
        <v>3</v>
      </c>
      <c r="N56" t="s">
        <v>6899</v>
      </c>
      <c r="O56" s="302" t="s">
        <v>430</v>
      </c>
      <c r="P56" s="302" t="s">
        <v>430</v>
      </c>
      <c r="Q56" s="302" t="s">
        <v>58</v>
      </c>
      <c r="R56" s="302" t="s">
        <v>430</v>
      </c>
      <c r="S56" s="302" t="str">
        <f>IF(O168&lt;&gt;0," "&amp;O$119&amp;" +"&amp;O168,"")&amp;IF(P168&lt;&gt;0," "&amp;P$119&amp;" +"&amp;P168,"")&amp;IF(Q168&lt;&gt;0," "&amp;Q$119&amp;" +"&amp;Q168,"")&amp;IF(R168&lt;&gt;0," "&amp;R$119&amp;" +"&amp;R168,"")&amp;IF(S168&lt;&gt;0," "&amp;S$119&amp;" +"&amp;S168,"")&amp;IF(T168&lt;&gt;0," "&amp;T$119&amp;" +"&amp;T168,"")</f>
        <v xml:space="preserve"> AGI +2 DES +2 CON +3 VOL +1</v>
      </c>
      <c r="AC56" t="s">
        <v>7100</v>
      </c>
      <c r="AD56" s="301" t="s">
        <v>7146</v>
      </c>
      <c r="AE56" t="str">
        <f t="shared" si="2"/>
        <v>Sacrificio-50 PV</v>
      </c>
      <c r="AF56" s="302">
        <v>-10</v>
      </c>
      <c r="AG56" s="302">
        <v>1</v>
      </c>
      <c r="AH56" s="302" t="s">
        <v>7110</v>
      </c>
    </row>
    <row r="57" spans="1:34" x14ac:dyDescent="0.2">
      <c r="A57" s="302" t="s">
        <v>6797</v>
      </c>
      <c r="B57" s="302" t="s">
        <v>6819</v>
      </c>
      <c r="C57" s="302" t="str">
        <f t="shared" si="0"/>
        <v>Camuflar ataqueMedia (80)</v>
      </c>
      <c r="D57" s="302">
        <v>1</v>
      </c>
      <c r="E57" s="302">
        <v>2</v>
      </c>
      <c r="F57" s="302">
        <v>5</v>
      </c>
      <c r="G57" s="302">
        <v>1</v>
      </c>
      <c r="H57" s="302">
        <v>2</v>
      </c>
      <c r="I57" s="302">
        <v>4</v>
      </c>
      <c r="J57" s="302">
        <v>1</v>
      </c>
      <c r="N57" t="s">
        <v>6901</v>
      </c>
      <c r="O57" s="302" t="s">
        <v>175</v>
      </c>
      <c r="P57" s="302" t="s">
        <v>117</v>
      </c>
      <c r="Q57" s="302" t="s">
        <v>58</v>
      </c>
      <c r="R57" s="302" t="s">
        <v>6905</v>
      </c>
      <c r="S57" s="302" t="str">
        <f>IF(O169&lt;&gt;0," "&amp;O$119&amp;" +"&amp;O169,"")&amp;IF(P169&lt;&gt;0," "&amp;P$119&amp;" +"&amp;P169,"")&amp;IF(Q169&lt;&gt;0," "&amp;Q$119&amp;" +"&amp;Q169,"")&amp;IF(R169&lt;&gt;0," "&amp;R$119&amp;" +"&amp;R169,"")&amp;IF(S169&lt;&gt;0," "&amp;S$119&amp;" +"&amp;S169,"")&amp;IF(T169&lt;&gt;0," "&amp;T$119&amp;" +"&amp;T169,"")</f>
        <v xml:space="preserve"> FUE +2 DES +2 CON +2 POD +3</v>
      </c>
      <c r="AC57" t="s">
        <v>7100</v>
      </c>
      <c r="AD57" s="301" t="s">
        <v>7148</v>
      </c>
      <c r="AE57" t="str">
        <f t="shared" si="2"/>
        <v>Sacrificio-75 PV</v>
      </c>
      <c r="AF57" s="302">
        <v>-15</v>
      </c>
      <c r="AG57" s="302">
        <v>2</v>
      </c>
      <c r="AH57" s="302" t="s">
        <v>7110</v>
      </c>
    </row>
    <row r="58" spans="1:34" x14ac:dyDescent="0.2">
      <c r="A58" s="302" t="s">
        <v>6797</v>
      </c>
      <c r="B58" s="302" t="s">
        <v>6820</v>
      </c>
      <c r="C58" s="302" t="str">
        <f t="shared" si="0"/>
        <v>Camuflar ataqueDifícil (120)</v>
      </c>
      <c r="D58" s="302">
        <v>2</v>
      </c>
      <c r="E58" s="302">
        <v>4</v>
      </c>
      <c r="F58" s="302">
        <v>5</v>
      </c>
      <c r="G58" s="302">
        <v>1</v>
      </c>
      <c r="H58" s="302">
        <v>2</v>
      </c>
      <c r="I58" s="302">
        <v>4</v>
      </c>
      <c r="J58" s="302">
        <v>1</v>
      </c>
      <c r="N58" t="s">
        <v>6902</v>
      </c>
      <c r="O58" s="302" t="s">
        <v>175</v>
      </c>
      <c r="P58" s="302" t="s">
        <v>6878</v>
      </c>
      <c r="Q58" s="302" t="s">
        <v>46</v>
      </c>
      <c r="R58" s="302" t="s">
        <v>6845</v>
      </c>
      <c r="S58" s="302" t="str">
        <f>IF(O170&lt;&gt;0," "&amp;O$119&amp;" +"&amp;O170,"")&amp;IF(P170&lt;&gt;0," "&amp;P$119&amp;" +"&amp;P170,"")&amp;IF(Q170&lt;&gt;0," "&amp;Q$119&amp;" +"&amp;Q170,"")&amp;IF(R170&lt;&gt;0," "&amp;R$119&amp;" +"&amp;R170,"")&amp;IF(S170&lt;&gt;0," "&amp;S$119&amp;" +"&amp;S170,"")&amp;IF(T170&lt;&gt;0," "&amp;T$119&amp;" +"&amp;T170,"")</f>
        <v xml:space="preserve"> FUE +2 DES +2 CON +2 POD +3</v>
      </c>
      <c r="AC58" t="s">
        <v>7100</v>
      </c>
      <c r="AD58" s="301" t="s">
        <v>7149</v>
      </c>
      <c r="AE58" t="str">
        <f t="shared" si="2"/>
        <v>Sacrificio-100 PV</v>
      </c>
      <c r="AF58" s="302">
        <v>-20</v>
      </c>
      <c r="AG58" s="302">
        <v>2</v>
      </c>
      <c r="AH58" s="302" t="s">
        <v>7110</v>
      </c>
    </row>
    <row r="59" spans="1:34" x14ac:dyDescent="0.2">
      <c r="A59" s="302" t="s">
        <v>6797</v>
      </c>
      <c r="B59" s="302" t="s">
        <v>6821</v>
      </c>
      <c r="C59" s="302" t="str">
        <f t="shared" si="0"/>
        <v>Camuflar ataqueMuy Difícil (140)</v>
      </c>
      <c r="D59" s="302">
        <v>3</v>
      </c>
      <c r="E59" s="302">
        <v>5</v>
      </c>
      <c r="F59" s="302">
        <v>5</v>
      </c>
      <c r="G59" s="302">
        <v>1</v>
      </c>
      <c r="H59" s="302">
        <v>2</v>
      </c>
      <c r="I59" s="302">
        <v>4</v>
      </c>
      <c r="J59" s="302">
        <v>1</v>
      </c>
      <c r="N59" s="297" t="s">
        <v>6923</v>
      </c>
      <c r="O59" s="302">
        <v>0</v>
      </c>
      <c r="P59" s="302">
        <v>0</v>
      </c>
      <c r="Q59" s="302">
        <v>0</v>
      </c>
      <c r="R59" s="302">
        <v>0</v>
      </c>
      <c r="S59" s="594"/>
      <c r="AC59" t="s">
        <v>7100</v>
      </c>
      <c r="AD59" s="302" t="s">
        <v>6886</v>
      </c>
      <c r="AE59" t="str">
        <f t="shared" si="2"/>
        <v>SacrificioCompleto</v>
      </c>
      <c r="AF59" s="302">
        <v>-25</v>
      </c>
      <c r="AG59" s="302">
        <v>3</v>
      </c>
      <c r="AH59" s="302" t="s">
        <v>7110</v>
      </c>
    </row>
    <row r="60" spans="1:34" x14ac:dyDescent="0.2">
      <c r="A60" s="302" t="s">
        <v>6797</v>
      </c>
      <c r="B60" s="302" t="s">
        <v>6822</v>
      </c>
      <c r="C60" s="302" t="str">
        <f t="shared" si="0"/>
        <v>Camuflar ataqueAbsurdo (180)</v>
      </c>
      <c r="D60" s="302">
        <v>5</v>
      </c>
      <c r="E60" s="302">
        <v>8</v>
      </c>
      <c r="F60" s="302">
        <v>10</v>
      </c>
      <c r="G60" s="302">
        <v>2</v>
      </c>
      <c r="H60" s="302">
        <v>4</v>
      </c>
      <c r="I60" s="302">
        <v>7</v>
      </c>
      <c r="J60" s="302">
        <v>1</v>
      </c>
      <c r="N60" t="s">
        <v>6924</v>
      </c>
      <c r="O60" s="302" t="s">
        <v>6817</v>
      </c>
      <c r="P60" s="302" t="s">
        <v>116</v>
      </c>
      <c r="Q60" s="302" t="s">
        <v>36</v>
      </c>
      <c r="R60" s="302" t="s">
        <v>6858</v>
      </c>
      <c r="S60" s="302" t="str">
        <f>IF(O172&lt;&gt;0," "&amp;O$119&amp;" +"&amp;O172,"")&amp;IF(P172&lt;&gt;0," "&amp;P$119&amp;" +"&amp;P172,"")&amp;IF(Q172&lt;&gt;0," "&amp;Q$119&amp;" +"&amp;Q172,"")&amp;IF(R172&lt;&gt;0," "&amp;R$119&amp;" +"&amp;R172,"")&amp;IF(S172&lt;&gt;0," "&amp;S$119&amp;" +"&amp;S172,"")&amp;IF(T172&lt;&gt;0," "&amp;T$119&amp;" +"&amp;T172,"")</f>
        <v xml:space="preserve"> DES +4 CON +2 VOL +1 POD +2</v>
      </c>
      <c r="AC60" t="s">
        <v>7106</v>
      </c>
      <c r="AD60" s="302" t="s">
        <v>7150</v>
      </c>
      <c r="AE60" t="str">
        <f t="shared" si="2"/>
        <v>Sacrificio de característicasSacrificio de característica</v>
      </c>
      <c r="AF60" s="302">
        <v>-30</v>
      </c>
      <c r="AG60" s="302">
        <v>1</v>
      </c>
      <c r="AH60" s="302" t="s">
        <v>7110</v>
      </c>
    </row>
    <row r="61" spans="1:34" x14ac:dyDescent="0.2">
      <c r="A61" s="302" t="s">
        <v>6797</v>
      </c>
      <c r="B61" s="302" t="s">
        <v>6823</v>
      </c>
      <c r="C61" s="302" t="str">
        <f t="shared" si="0"/>
        <v>Camuflar ataqueCasi Imposible (240)</v>
      </c>
      <c r="D61" s="302">
        <v>6</v>
      </c>
      <c r="E61" s="302">
        <v>9</v>
      </c>
      <c r="F61" s="302">
        <v>10</v>
      </c>
      <c r="G61" s="302">
        <v>3</v>
      </c>
      <c r="H61" s="302">
        <v>6</v>
      </c>
      <c r="I61" s="302">
        <v>11</v>
      </c>
      <c r="J61" s="302">
        <v>1</v>
      </c>
      <c r="N61" t="s">
        <v>6925</v>
      </c>
      <c r="O61" s="302" t="s">
        <v>6817</v>
      </c>
      <c r="P61" s="302" t="s">
        <v>117</v>
      </c>
      <c r="Q61" s="302" t="s">
        <v>66</v>
      </c>
      <c r="R61" s="302" t="s">
        <v>6930</v>
      </c>
      <c r="S61" s="302" t="str">
        <f>IF(O173&lt;&gt;0," "&amp;O$119&amp;" +"&amp;O173,"")&amp;IF(P173&lt;&gt;0," "&amp;P$119&amp;" +"&amp;P173,"")&amp;IF(Q173&lt;&gt;0," "&amp;Q$119&amp;" +"&amp;Q173,"")&amp;IF(R173&lt;&gt;0," "&amp;R$119&amp;" +"&amp;R173,"")&amp;IF(S173&lt;&gt;0," "&amp;S$119&amp;" +"&amp;S173,"")&amp;IF(T173&lt;&gt;0," "&amp;T$119&amp;" +"&amp;T173,"")</f>
        <v xml:space="preserve"> FUE +2 DES +4 VOL +1 POD +2</v>
      </c>
      <c r="AC61" t="s">
        <v>7101</v>
      </c>
      <c r="AD61" s="302" t="s">
        <v>7101</v>
      </c>
      <c r="AE61" t="str">
        <f t="shared" si="2"/>
        <v>Sin defensaSin defensa</v>
      </c>
      <c r="AF61" s="302">
        <v>-15</v>
      </c>
      <c r="AG61" s="302">
        <v>1</v>
      </c>
      <c r="AH61" s="302" t="s">
        <v>116</v>
      </c>
    </row>
    <row r="62" spans="1:34" x14ac:dyDescent="0.2">
      <c r="A62" s="302" t="s">
        <v>6797</v>
      </c>
      <c r="B62" s="302" t="s">
        <v>6824</v>
      </c>
      <c r="C62" s="302" t="str">
        <f t="shared" si="0"/>
        <v>Camuflar ataqueImposible (280)</v>
      </c>
      <c r="D62" s="302">
        <v>7</v>
      </c>
      <c r="E62" s="302">
        <v>10</v>
      </c>
      <c r="F62" s="302">
        <v>15</v>
      </c>
      <c r="G62" s="302">
        <v>4</v>
      </c>
      <c r="H62" s="302">
        <v>8</v>
      </c>
      <c r="I62" s="302">
        <v>14</v>
      </c>
      <c r="J62" s="302">
        <v>2</v>
      </c>
      <c r="N62" t="s">
        <v>6926</v>
      </c>
      <c r="O62" s="302" t="s">
        <v>175</v>
      </c>
      <c r="P62" s="302" t="s">
        <v>116</v>
      </c>
      <c r="Q62" s="302" t="s">
        <v>36</v>
      </c>
      <c r="R62" s="302" t="s">
        <v>6931</v>
      </c>
      <c r="S62" s="302" t="str">
        <f>IF(O174&lt;&gt;0," "&amp;O$119&amp;" +"&amp;O174,"")&amp;IF(P174&lt;&gt;0," "&amp;P$119&amp;" +"&amp;P174,"")&amp;IF(Q174&lt;&gt;0," "&amp;Q$119&amp;" +"&amp;Q174,"")&amp;IF(R174&lt;&gt;0," "&amp;R$119&amp;" +"&amp;R174,"")&amp;IF(S174&lt;&gt;0," "&amp;S$119&amp;" +"&amp;S174,"")&amp;IF(T174&lt;&gt;0," "&amp;T$119&amp;" +"&amp;T174,"")</f>
        <v xml:space="preserve"> DES +2 CON +2 VOL +2 POD +1</v>
      </c>
      <c r="AC62" t="s">
        <v>7102</v>
      </c>
      <c r="AD62" s="302" t="s">
        <v>7151</v>
      </c>
      <c r="AE62" t="str">
        <f t="shared" si="2"/>
        <v>SobrecargaEspera de 5 asaltos</v>
      </c>
      <c r="AF62" s="302">
        <v>-5</v>
      </c>
      <c r="AG62" s="302">
        <v>1</v>
      </c>
      <c r="AH62" s="302" t="s">
        <v>7110</v>
      </c>
    </row>
    <row r="63" spans="1:34" x14ac:dyDescent="0.2">
      <c r="A63" s="302" t="s">
        <v>6797</v>
      </c>
      <c r="B63" s="302" t="s">
        <v>6825</v>
      </c>
      <c r="C63" s="302" t="str">
        <f t="shared" si="0"/>
        <v>Camuflar ataqueInhumano (320)</v>
      </c>
      <c r="D63" s="302">
        <v>8</v>
      </c>
      <c r="E63" s="302">
        <v>11</v>
      </c>
      <c r="F63" s="302">
        <v>20</v>
      </c>
      <c r="G63" s="302">
        <v>5</v>
      </c>
      <c r="H63" s="302">
        <v>10</v>
      </c>
      <c r="I63" s="302">
        <v>18</v>
      </c>
      <c r="J63" s="302">
        <v>2</v>
      </c>
      <c r="N63" t="s">
        <v>33</v>
      </c>
      <c r="O63" s="302" t="s">
        <v>6817</v>
      </c>
      <c r="P63" s="302" t="s">
        <v>117</v>
      </c>
      <c r="Q63" s="302" t="s">
        <v>66</v>
      </c>
      <c r="R63" s="302" t="s">
        <v>6843</v>
      </c>
      <c r="S63" s="302" t="str">
        <f>IF(O175&lt;&gt;0," "&amp;O$119&amp;" +"&amp;O175,"")&amp;IF(P175&lt;&gt;0," "&amp;P$119&amp;" +"&amp;P175,"")&amp;IF(Q175&lt;&gt;0," "&amp;Q$119&amp;" +"&amp;Q175,"")&amp;IF(R175&lt;&gt;0," "&amp;R$119&amp;" +"&amp;R175,"")&amp;IF(S175&lt;&gt;0," "&amp;S$119&amp;" +"&amp;S175,"")&amp;IF(T175&lt;&gt;0," "&amp;T$119&amp;" +"&amp;T175,"")</f>
        <v xml:space="preserve"> FUE +2 AGI +3 VOL +2 POD +1</v>
      </c>
      <c r="AC63" t="s">
        <v>7102</v>
      </c>
      <c r="AD63" s="302" t="s">
        <v>7152</v>
      </c>
      <c r="AE63" t="str">
        <f t="shared" si="2"/>
        <v>SobrecargaEspera de 20 asaltos</v>
      </c>
      <c r="AF63" s="302">
        <v>-10</v>
      </c>
      <c r="AG63" s="302">
        <v>1</v>
      </c>
      <c r="AH63" s="302" t="s">
        <v>7110</v>
      </c>
    </row>
    <row r="64" spans="1:34" x14ac:dyDescent="0.2">
      <c r="A64" s="302" t="s">
        <v>6797</v>
      </c>
      <c r="B64" s="302" t="s">
        <v>6826</v>
      </c>
      <c r="C64" s="302" t="str">
        <f t="shared" si="0"/>
        <v>Camuflar ataqueZen (440)</v>
      </c>
      <c r="D64" s="302">
        <v>10</v>
      </c>
      <c r="E64" s="302">
        <v>13</v>
      </c>
      <c r="F64" s="302">
        <v>25</v>
      </c>
      <c r="G64" s="302">
        <v>6</v>
      </c>
      <c r="H64" s="302">
        <v>12</v>
      </c>
      <c r="I64" s="302">
        <v>21</v>
      </c>
      <c r="J64" s="302">
        <v>3</v>
      </c>
      <c r="N64" t="s">
        <v>6927</v>
      </c>
      <c r="O64" s="302" t="s">
        <v>430</v>
      </c>
      <c r="P64" s="302" t="s">
        <v>430</v>
      </c>
      <c r="Q64" s="302" t="s">
        <v>66</v>
      </c>
      <c r="R64" s="302" t="s">
        <v>430</v>
      </c>
      <c r="S64" s="302" t="str">
        <f>IF(O176&lt;&gt;0," "&amp;O$119&amp;" +"&amp;O176,"")&amp;IF(P176&lt;&gt;0," "&amp;P$119&amp;" +"&amp;P176,"")&amp;IF(Q176&lt;&gt;0," "&amp;Q$119&amp;" +"&amp;Q176,"")&amp;IF(R176&lt;&gt;0," "&amp;R$119&amp;" +"&amp;R176,"")&amp;IF(S176&lt;&gt;0," "&amp;S$119&amp;" +"&amp;S176,"")&amp;IF(T176&lt;&gt;0," "&amp;T$119&amp;" +"&amp;T176,"")</f>
        <v xml:space="preserve"> FUE +2 AGI +3 VOL +2 POD +1</v>
      </c>
      <c r="AC64" t="s">
        <v>7103</v>
      </c>
      <c r="AD64" s="302" t="s">
        <v>7103</v>
      </c>
      <c r="AE64" t="str">
        <f t="shared" si="2"/>
        <v>Técnica finalTécnica final</v>
      </c>
      <c r="AF64" s="302">
        <v>-55</v>
      </c>
      <c r="AG64" s="302">
        <v>2</v>
      </c>
      <c r="AH64" s="302" t="s">
        <v>7110</v>
      </c>
    </row>
    <row r="65" spans="1:34" x14ac:dyDescent="0.2">
      <c r="A65" s="302" t="s">
        <v>6836</v>
      </c>
      <c r="B65" s="301" t="s">
        <v>6799</v>
      </c>
      <c r="C65" s="301" t="str">
        <f t="shared" si="0"/>
        <v>Habilidad de parada+10</v>
      </c>
      <c r="D65" s="302">
        <v>2</v>
      </c>
      <c r="E65" s="302">
        <v>4</v>
      </c>
      <c r="F65" s="302">
        <v>5</v>
      </c>
      <c r="G65" s="302">
        <v>1</v>
      </c>
      <c r="H65" s="302">
        <v>2</v>
      </c>
      <c r="I65" s="302">
        <v>4</v>
      </c>
      <c r="J65" s="302">
        <v>1</v>
      </c>
      <c r="N65" t="s">
        <v>6928</v>
      </c>
      <c r="O65" s="302" t="s">
        <v>430</v>
      </c>
      <c r="P65" s="302" t="s">
        <v>430</v>
      </c>
      <c r="Q65" s="302" t="s">
        <v>66</v>
      </c>
      <c r="R65" s="302" t="s">
        <v>430</v>
      </c>
      <c r="S65" s="302" t="str">
        <f>IF(O177&lt;&gt;0," "&amp;O$119&amp;" +"&amp;O177,"")&amp;IF(P177&lt;&gt;0," "&amp;P$119&amp;" +"&amp;P177,"")&amp;IF(Q177&lt;&gt;0," "&amp;Q$119&amp;" +"&amp;Q177,"")&amp;IF(R177&lt;&gt;0," "&amp;R$119&amp;" +"&amp;R177,"")&amp;IF(S177&lt;&gt;0," "&amp;S$119&amp;" +"&amp;S177,"")&amp;IF(T177&lt;&gt;0," "&amp;T$119&amp;" +"&amp;T177,"")</f>
        <v xml:space="preserve"> FUE +2 AGI +3 VOL +2 POD +1</v>
      </c>
      <c r="AC65" t="s">
        <v>7104</v>
      </c>
      <c r="AD65" s="302" t="s">
        <v>7153</v>
      </c>
      <c r="AE65" t="str">
        <f t="shared" si="2"/>
        <v>Técnica mantenidaTécnica de 1º nivel</v>
      </c>
      <c r="AF65" s="302">
        <v>-5</v>
      </c>
      <c r="AG65" s="302">
        <v>1</v>
      </c>
      <c r="AH65" s="302" t="s">
        <v>7110</v>
      </c>
    </row>
    <row r="66" spans="1:34" x14ac:dyDescent="0.2">
      <c r="A66" s="302" t="s">
        <v>6836</v>
      </c>
      <c r="B66" s="301" t="s">
        <v>6804</v>
      </c>
      <c r="C66" s="301" t="str">
        <f t="shared" si="0"/>
        <v>Habilidad de parada+25</v>
      </c>
      <c r="D66" s="302">
        <v>3</v>
      </c>
      <c r="E66" s="302">
        <v>5</v>
      </c>
      <c r="F66" s="302">
        <v>5</v>
      </c>
      <c r="G66" s="302">
        <v>1</v>
      </c>
      <c r="H66" s="302">
        <v>2</v>
      </c>
      <c r="I66" s="302">
        <v>4</v>
      </c>
      <c r="J66" s="302">
        <v>1</v>
      </c>
      <c r="N66" t="s">
        <v>6929</v>
      </c>
      <c r="O66" s="302" t="s">
        <v>430</v>
      </c>
      <c r="P66" s="302" t="s">
        <v>430</v>
      </c>
      <c r="Q66" s="302" t="s">
        <v>66</v>
      </c>
      <c r="R66" s="302" t="s">
        <v>430</v>
      </c>
      <c r="S66" s="302" t="str">
        <f>IF(O178&lt;&gt;0," "&amp;O$119&amp;" +"&amp;O178,"")&amp;IF(P178&lt;&gt;0," "&amp;P$119&amp;" +"&amp;P178,"")&amp;IF(Q178&lt;&gt;0," "&amp;Q$119&amp;" +"&amp;Q178,"")&amp;IF(R178&lt;&gt;0," "&amp;R$119&amp;" +"&amp;R178,"")&amp;IF(S178&lt;&gt;0," "&amp;S$119&amp;" +"&amp;S178,"")&amp;IF(T178&lt;&gt;0," "&amp;T$119&amp;" +"&amp;T178,"")</f>
        <v xml:space="preserve"> FUE +2 AGI +3 VOL +2 POD +1</v>
      </c>
      <c r="AC66" t="s">
        <v>7104</v>
      </c>
      <c r="AD66" s="302" t="s">
        <v>7154</v>
      </c>
      <c r="AE66" t="str">
        <f t="shared" si="2"/>
        <v>Técnica mantenidaTécnica de 2º nivel</v>
      </c>
      <c r="AF66" s="302">
        <v>-10</v>
      </c>
      <c r="AG66" s="302">
        <v>2</v>
      </c>
      <c r="AH66" s="302" t="s">
        <v>7110</v>
      </c>
    </row>
    <row r="67" spans="1:34" x14ac:dyDescent="0.2">
      <c r="A67" s="302" t="s">
        <v>6836</v>
      </c>
      <c r="B67" s="301" t="s">
        <v>6805</v>
      </c>
      <c r="C67" s="301" t="str">
        <f t="shared" si="0"/>
        <v>Habilidad de parada+40</v>
      </c>
      <c r="D67" s="302">
        <v>4</v>
      </c>
      <c r="E67" s="302">
        <v>6</v>
      </c>
      <c r="F67" s="302">
        <v>10</v>
      </c>
      <c r="G67" s="302">
        <v>2</v>
      </c>
      <c r="H67" s="302">
        <v>4</v>
      </c>
      <c r="I67" s="302">
        <v>7</v>
      </c>
      <c r="J67" s="302">
        <v>1</v>
      </c>
      <c r="N67" s="297" t="s">
        <v>6947</v>
      </c>
      <c r="O67" s="302">
        <v>0</v>
      </c>
      <c r="P67" s="302">
        <v>0</v>
      </c>
      <c r="Q67" s="302">
        <v>0</v>
      </c>
      <c r="R67" s="302">
        <v>0</v>
      </c>
      <c r="S67" s="594"/>
      <c r="AC67" t="s">
        <v>7104</v>
      </c>
      <c r="AD67" s="302" t="s">
        <v>7155</v>
      </c>
      <c r="AE67" t="str">
        <f t="shared" si="2"/>
        <v>Técnica mantenidaTécnica de 3º nivel</v>
      </c>
      <c r="AF67" s="302">
        <v>-15</v>
      </c>
      <c r="AG67" s="302">
        <v>3</v>
      </c>
      <c r="AH67" s="302" t="s">
        <v>7110</v>
      </c>
    </row>
    <row r="68" spans="1:34" x14ac:dyDescent="0.2">
      <c r="A68" s="302" t="s">
        <v>6836</v>
      </c>
      <c r="B68" s="301" t="s">
        <v>6806</v>
      </c>
      <c r="C68" s="301" t="str">
        <f t="shared" si="0"/>
        <v>Habilidad de parada+50</v>
      </c>
      <c r="D68" s="302">
        <v>5</v>
      </c>
      <c r="E68" s="302">
        <v>8</v>
      </c>
      <c r="F68" s="302">
        <v>15</v>
      </c>
      <c r="G68" s="302">
        <v>3</v>
      </c>
      <c r="H68" s="302">
        <v>6</v>
      </c>
      <c r="I68" s="302">
        <v>11</v>
      </c>
      <c r="J68" s="302">
        <v>1</v>
      </c>
      <c r="N68" t="s">
        <v>6948</v>
      </c>
      <c r="O68" s="302" t="s">
        <v>6817</v>
      </c>
      <c r="P68" s="302" t="s">
        <v>6878</v>
      </c>
      <c r="Q68" s="302" t="s">
        <v>46</v>
      </c>
      <c r="R68" s="302" t="s">
        <v>6884</v>
      </c>
      <c r="S68" s="302" t="str">
        <f>IF(O180&lt;&gt;0," "&amp;O$119&amp;" +"&amp;O180,"")&amp;IF(P180&lt;&gt;0," "&amp;P$119&amp;" +"&amp;P180,"")&amp;IF(Q180&lt;&gt;0," "&amp;Q$119&amp;" +"&amp;Q180,"")&amp;IF(R180&lt;&gt;0," "&amp;R$119&amp;" +"&amp;R180,"")&amp;IF(S180&lt;&gt;0," "&amp;S$119&amp;" +"&amp;S180,"")&amp;IF(T180&lt;&gt;0," "&amp;T$119&amp;" +"&amp;T180,"")</f>
        <v xml:space="preserve"> DES +2 CON +1 VOL +3 POD +3</v>
      </c>
      <c r="AC68" t="s">
        <v>7105</v>
      </c>
      <c r="AD68" s="302" t="s">
        <v>7156</v>
      </c>
      <c r="AE68" t="str">
        <f t="shared" si="2"/>
        <v>Usos limitados20 Usos</v>
      </c>
      <c r="AF68" s="302">
        <v>-10</v>
      </c>
      <c r="AG68" s="302">
        <v>1</v>
      </c>
      <c r="AH68" s="302" t="s">
        <v>7110</v>
      </c>
    </row>
    <row r="69" spans="1:34" x14ac:dyDescent="0.2">
      <c r="A69" s="302" t="s">
        <v>6836</v>
      </c>
      <c r="B69" s="301" t="s">
        <v>6807</v>
      </c>
      <c r="C69" s="301" t="str">
        <f t="shared" si="0"/>
        <v>Habilidad de parada+75</v>
      </c>
      <c r="D69" s="302">
        <v>9</v>
      </c>
      <c r="E69" s="302">
        <v>12</v>
      </c>
      <c r="F69" s="302">
        <v>20</v>
      </c>
      <c r="G69" s="302">
        <v>4</v>
      </c>
      <c r="H69" s="302">
        <v>8</v>
      </c>
      <c r="I69" s="302">
        <v>14</v>
      </c>
      <c r="J69" s="302">
        <v>1</v>
      </c>
      <c r="N69" t="s">
        <v>6949</v>
      </c>
      <c r="O69" s="302" t="s">
        <v>6817</v>
      </c>
      <c r="P69" s="302" t="s">
        <v>6878</v>
      </c>
      <c r="Q69" s="302" t="s">
        <v>66</v>
      </c>
      <c r="R69" s="302" t="s">
        <v>6843</v>
      </c>
      <c r="S69" s="302" t="str">
        <f>IF(O181&lt;&gt;0," "&amp;O$119&amp;" +"&amp;O181,"")&amp;IF(P181&lt;&gt;0," "&amp;P$119&amp;" +"&amp;P181,"")&amp;IF(Q181&lt;&gt;0," "&amp;Q$119&amp;" +"&amp;Q181,"")&amp;IF(R181&lt;&gt;0," "&amp;R$119&amp;" +"&amp;R181,"")&amp;IF(S181&lt;&gt;0," "&amp;S$119&amp;" +"&amp;S181,"")&amp;IF(T181&lt;&gt;0," "&amp;T$119&amp;" +"&amp;T181,"")</f>
        <v xml:space="preserve"> AGI +2 DES +3 VOL +1 POD +2</v>
      </c>
      <c r="AC69" t="s">
        <v>7105</v>
      </c>
      <c r="AD69" s="302" t="s">
        <v>7157</v>
      </c>
      <c r="AE69" t="str">
        <f t="shared" si="2"/>
        <v>Usos limitados10 Usos</v>
      </c>
      <c r="AF69" s="302">
        <v>-20</v>
      </c>
      <c r="AG69" s="302">
        <v>1</v>
      </c>
      <c r="AH69" s="302" t="s">
        <v>7110</v>
      </c>
    </row>
    <row r="70" spans="1:34" x14ac:dyDescent="0.2">
      <c r="A70" s="302" t="s">
        <v>6836</v>
      </c>
      <c r="B70" s="301" t="s">
        <v>6808</v>
      </c>
      <c r="C70" s="301" t="str">
        <f t="shared" si="0"/>
        <v>Habilidad de parada+90</v>
      </c>
      <c r="D70" s="302">
        <v>12</v>
      </c>
      <c r="E70" s="302">
        <v>15</v>
      </c>
      <c r="F70" s="302">
        <v>25</v>
      </c>
      <c r="G70" s="302">
        <v>5</v>
      </c>
      <c r="H70" s="302">
        <v>10</v>
      </c>
      <c r="I70" s="302">
        <v>18</v>
      </c>
      <c r="J70" s="302">
        <v>1</v>
      </c>
      <c r="N70" s="562" t="s">
        <v>6950</v>
      </c>
      <c r="O70" s="302" t="s">
        <v>175</v>
      </c>
      <c r="P70" s="302" t="s">
        <v>6878</v>
      </c>
      <c r="Q70" s="302" t="s">
        <v>46</v>
      </c>
      <c r="R70" s="302" t="s">
        <v>6956</v>
      </c>
      <c r="S70" s="302" t="str">
        <f>IF(O182&lt;&gt;0," "&amp;O$119&amp;" +"&amp;O182,"")&amp;IF(P182&lt;&gt;0," "&amp;P$119&amp;" +"&amp;P182,"")&amp;IF(Q182&lt;&gt;0," "&amp;Q$119&amp;" +"&amp;Q182,"")&amp;IF(R182&lt;&gt;0," "&amp;R$119&amp;" +"&amp;R182,"")&amp;IF(S182&lt;&gt;0," "&amp;S$119&amp;" +"&amp;S182,"")&amp;IF(T182&lt;&gt;0," "&amp;T$119&amp;" +"&amp;T182,"")</f>
        <v xml:space="preserve"> CON +1 VOL +1 POD +1</v>
      </c>
      <c r="AC70" t="s">
        <v>7105</v>
      </c>
      <c r="AD70" s="302" t="s">
        <v>7158</v>
      </c>
      <c r="AE70" t="str">
        <f t="shared" si="2"/>
        <v>Usos limitados5 Usos</v>
      </c>
      <c r="AF70" s="302">
        <v>-25</v>
      </c>
      <c r="AG70" s="302">
        <v>2</v>
      </c>
      <c r="AH70" s="302" t="s">
        <v>7110</v>
      </c>
    </row>
    <row r="71" spans="1:34" x14ac:dyDescent="0.2">
      <c r="A71" s="302" t="s">
        <v>6836</v>
      </c>
      <c r="B71" s="301" t="s">
        <v>6809</v>
      </c>
      <c r="C71" s="301" t="str">
        <f t="shared" si="0"/>
        <v>Habilidad de parada+100</v>
      </c>
      <c r="D71" s="302">
        <v>14</v>
      </c>
      <c r="E71" s="302">
        <v>18</v>
      </c>
      <c r="F71" s="302">
        <v>30</v>
      </c>
      <c r="G71" s="302">
        <v>8</v>
      </c>
      <c r="H71" s="302">
        <v>16</v>
      </c>
      <c r="I71" s="302">
        <v>28</v>
      </c>
      <c r="J71" s="302">
        <v>1</v>
      </c>
      <c r="N71" t="s">
        <v>6951</v>
      </c>
      <c r="O71" s="302" t="s">
        <v>6817</v>
      </c>
      <c r="P71" s="302" t="s">
        <v>6878</v>
      </c>
      <c r="Q71" s="302" t="s">
        <v>66</v>
      </c>
      <c r="R71" s="302" t="s">
        <v>6843</v>
      </c>
      <c r="S71" s="302" t="str">
        <f>IF(O183&lt;&gt;0," "&amp;O$119&amp;" +"&amp;O183,"")&amp;IF(P183&lt;&gt;0," "&amp;P$119&amp;" +"&amp;P183,"")&amp;IF(Q183&lt;&gt;0," "&amp;Q$119&amp;" +"&amp;Q183,"")&amp;IF(R183&lt;&gt;0," "&amp;R$119&amp;" +"&amp;R183,"")&amp;IF(S183&lt;&gt;0," "&amp;S$119&amp;" +"&amp;S183,"")&amp;IF(T183&lt;&gt;0," "&amp;T$119&amp;" +"&amp;T183,"")</f>
        <v xml:space="preserve"> FUE +2 DES +3 VOL +1 POD +1</v>
      </c>
      <c r="AC71" t="s">
        <v>7105</v>
      </c>
      <c r="AD71" s="302" t="s">
        <v>7159</v>
      </c>
      <c r="AE71" t="str">
        <f t="shared" si="2"/>
        <v>Usos limitados3 Usos</v>
      </c>
      <c r="AF71" s="302">
        <v>-30</v>
      </c>
      <c r="AG71" s="302">
        <v>2</v>
      </c>
      <c r="AH71" s="302" t="s">
        <v>7110</v>
      </c>
    </row>
    <row r="72" spans="1:34" x14ac:dyDescent="0.2">
      <c r="A72" s="302" t="s">
        <v>6836</v>
      </c>
      <c r="B72" s="301" t="s">
        <v>6810</v>
      </c>
      <c r="C72" s="301" t="str">
        <f t="shared" ref="C72:C135" si="3">A72&amp;B72</f>
        <v>Habilidad de parada+125</v>
      </c>
      <c r="D72" s="302">
        <v>18</v>
      </c>
      <c r="E72" s="302">
        <v>22</v>
      </c>
      <c r="F72" s="302">
        <v>35</v>
      </c>
      <c r="G72" s="302">
        <v>10</v>
      </c>
      <c r="H72" s="302">
        <v>20</v>
      </c>
      <c r="I72" s="302">
        <v>35</v>
      </c>
      <c r="J72" s="302">
        <v>2</v>
      </c>
      <c r="N72" t="s">
        <v>6952</v>
      </c>
      <c r="O72" s="302" t="s">
        <v>430</v>
      </c>
      <c r="P72" s="302" t="s">
        <v>430</v>
      </c>
      <c r="Q72" s="302" t="s">
        <v>66</v>
      </c>
      <c r="R72" s="302" t="s">
        <v>430</v>
      </c>
      <c r="S72" s="302" t="str">
        <f>IF(O184&lt;&gt;0," "&amp;O$119&amp;" +"&amp;O184,"")&amp;IF(P184&lt;&gt;0," "&amp;P$119&amp;" +"&amp;P184,"")&amp;IF(Q184&lt;&gt;0," "&amp;Q$119&amp;" +"&amp;Q184,"")&amp;IF(R184&lt;&gt;0," "&amp;R$119&amp;" +"&amp;R184,"")&amp;IF(S184&lt;&gt;0," "&amp;S$119&amp;" +"&amp;S184,"")&amp;IF(T184&lt;&gt;0," "&amp;T$119&amp;" +"&amp;T184,"")</f>
        <v xml:space="preserve"> FUE +2 DES +3 VOL +1 POD +1</v>
      </c>
      <c r="AC72" t="s">
        <v>7105</v>
      </c>
      <c r="AD72" s="302" t="s">
        <v>7160</v>
      </c>
      <c r="AE72" t="str">
        <f t="shared" si="2"/>
        <v>Usos limitados1 Uso</v>
      </c>
      <c r="AF72" s="302">
        <v>-40</v>
      </c>
      <c r="AG72" s="302">
        <v>3</v>
      </c>
      <c r="AH72" s="302" t="s">
        <v>7110</v>
      </c>
    </row>
    <row r="73" spans="1:34" x14ac:dyDescent="0.2">
      <c r="A73" s="302" t="s">
        <v>6836</v>
      </c>
      <c r="B73" s="301" t="s">
        <v>6816</v>
      </c>
      <c r="C73" s="301" t="str">
        <f t="shared" si="3"/>
        <v>Habilidad de parada+150</v>
      </c>
      <c r="D73" s="302">
        <v>22</v>
      </c>
      <c r="E73" s="302">
        <v>26</v>
      </c>
      <c r="F73" s="302">
        <v>40</v>
      </c>
      <c r="G73" s="302">
        <v>12</v>
      </c>
      <c r="H73" s="302">
        <v>24</v>
      </c>
      <c r="I73" s="302">
        <v>42</v>
      </c>
      <c r="J73" s="302">
        <v>2</v>
      </c>
      <c r="N73" t="s">
        <v>6952</v>
      </c>
      <c r="O73" s="302" t="s">
        <v>430</v>
      </c>
      <c r="P73" s="302" t="s">
        <v>430</v>
      </c>
      <c r="Q73" s="302" t="s">
        <v>66</v>
      </c>
      <c r="R73" s="302" t="s">
        <v>430</v>
      </c>
      <c r="S73" s="302" t="str">
        <f>IF(O185&lt;&gt;0," "&amp;O$119&amp;" +"&amp;O185,"")&amp;IF(P185&lt;&gt;0," "&amp;P$119&amp;" +"&amp;P185,"")&amp;IF(Q185&lt;&gt;0," "&amp;Q$119&amp;" +"&amp;Q185,"")&amp;IF(R185&lt;&gt;0," "&amp;R$119&amp;" +"&amp;R185,"")&amp;IF(S185&lt;&gt;0," "&amp;S$119&amp;" +"&amp;S185,"")&amp;IF(T185&lt;&gt;0," "&amp;T$119&amp;" +"&amp;T185,"")</f>
        <v xml:space="preserve"> FUE +2 DES +3 VOL +1 POD +1</v>
      </c>
    </row>
    <row r="74" spans="1:34" x14ac:dyDescent="0.2">
      <c r="A74" s="302" t="s">
        <v>6836</v>
      </c>
      <c r="B74" s="301" t="s">
        <v>6811</v>
      </c>
      <c r="C74" s="301" t="str">
        <f t="shared" si="3"/>
        <v>Habilidad de parada+175</v>
      </c>
      <c r="D74" s="302">
        <v>26</v>
      </c>
      <c r="E74" s="302">
        <v>32</v>
      </c>
      <c r="F74" s="302">
        <v>45</v>
      </c>
      <c r="G74" s="302">
        <v>14</v>
      </c>
      <c r="H74" s="302">
        <v>28</v>
      </c>
      <c r="I74" s="302">
        <v>49</v>
      </c>
      <c r="J74" s="302">
        <v>3</v>
      </c>
      <c r="N74" t="s">
        <v>6953</v>
      </c>
      <c r="O74" s="302" t="s">
        <v>6817</v>
      </c>
      <c r="P74" s="302" t="s">
        <v>6878</v>
      </c>
      <c r="Q74" s="302" t="s">
        <v>58</v>
      </c>
      <c r="R74" s="302" t="s">
        <v>6884</v>
      </c>
      <c r="S74" s="302" t="str">
        <f>IF(O186&lt;&gt;0," "&amp;O$119&amp;" +"&amp;O186,"")&amp;IF(P186&lt;&gt;0," "&amp;P$119&amp;" +"&amp;P186,"")&amp;IF(Q186&lt;&gt;0," "&amp;Q$119&amp;" +"&amp;Q186,"")&amp;IF(R186&lt;&gt;0," "&amp;R$119&amp;" +"&amp;R186,"")&amp;IF(S186&lt;&gt;0," "&amp;S$119&amp;" +"&amp;S186,"")&amp;IF(T186&lt;&gt;0," "&amp;T$119&amp;" +"&amp;T186,"")</f>
        <v xml:space="preserve"> FUE +2 DES +3 CON +2 VOL +1</v>
      </c>
    </row>
    <row r="75" spans="1:34" x14ac:dyDescent="0.2">
      <c r="A75" s="302" t="s">
        <v>6836</v>
      </c>
      <c r="B75" s="301" t="s">
        <v>6812</v>
      </c>
      <c r="C75" s="301" t="str">
        <f t="shared" si="3"/>
        <v>Habilidad de parada+200</v>
      </c>
      <c r="D75" s="302">
        <v>30</v>
      </c>
      <c r="E75" s="302">
        <v>36</v>
      </c>
      <c r="F75" s="302">
        <v>50</v>
      </c>
      <c r="G75" s="302">
        <v>16</v>
      </c>
      <c r="H75" s="302">
        <v>32</v>
      </c>
      <c r="I75" s="302">
        <v>56</v>
      </c>
      <c r="J75" s="302">
        <v>3</v>
      </c>
      <c r="N75" t="s">
        <v>6954</v>
      </c>
      <c r="O75" s="302" t="s">
        <v>6817</v>
      </c>
      <c r="P75" s="302" t="s">
        <v>6878</v>
      </c>
      <c r="Q75" s="302" t="s">
        <v>59</v>
      </c>
      <c r="R75" s="302" t="s">
        <v>6957</v>
      </c>
      <c r="S75" s="302" t="str">
        <f>IF(O187&lt;&gt;0," "&amp;O$119&amp;" +"&amp;O187,"")&amp;IF(P187&lt;&gt;0," "&amp;P$119&amp;" +"&amp;P187,"")&amp;IF(Q187&lt;&gt;0," "&amp;Q$119&amp;" +"&amp;Q187,"")&amp;IF(R187&lt;&gt;0," "&amp;R$119&amp;" +"&amp;R187,"")&amp;IF(S187&lt;&gt;0," "&amp;S$119&amp;" +"&amp;S187,"")&amp;IF(T187&lt;&gt;0," "&amp;T$119&amp;" +"&amp;T187,"")</f>
        <v xml:space="preserve"> FUE +2 DES +3 CON +2 POD +1</v>
      </c>
    </row>
    <row r="76" spans="1:34" x14ac:dyDescent="0.2">
      <c r="A76" s="302" t="s">
        <v>6837</v>
      </c>
      <c r="B76" s="301" t="s">
        <v>6799</v>
      </c>
      <c r="C76" s="301" t="str">
        <f t="shared" si="3"/>
        <v>Habilidad de parada completa+10</v>
      </c>
      <c r="D76" s="302">
        <v>4</v>
      </c>
      <c r="E76" s="302">
        <v>6</v>
      </c>
      <c r="F76" s="302">
        <v>10</v>
      </c>
      <c r="G76" s="302">
        <v>2</v>
      </c>
      <c r="H76" s="302">
        <v>4</v>
      </c>
      <c r="I76" s="302">
        <v>7</v>
      </c>
      <c r="J76" s="302">
        <v>1</v>
      </c>
      <c r="N76" t="s">
        <v>6955</v>
      </c>
      <c r="O76" s="302" t="s">
        <v>6817</v>
      </c>
      <c r="P76" s="302" t="s">
        <v>6878</v>
      </c>
      <c r="Q76" s="302" t="s">
        <v>58</v>
      </c>
      <c r="R76" s="302" t="s">
        <v>6957</v>
      </c>
      <c r="S76" s="302" t="str">
        <f>IF(O188&lt;&gt;0," "&amp;O$119&amp;" +"&amp;O188,"")&amp;IF(P188&lt;&gt;0," "&amp;P$119&amp;" +"&amp;P188,"")&amp;IF(Q188&lt;&gt;0," "&amp;Q$119&amp;" +"&amp;Q188,"")&amp;IF(R188&lt;&gt;0," "&amp;R$119&amp;" +"&amp;R188,"")&amp;IF(S188&lt;&gt;0," "&amp;S$119&amp;" +"&amp;S188,"")&amp;IF(T188&lt;&gt;0," "&amp;T$119&amp;" +"&amp;T188,"")</f>
        <v xml:space="preserve"> AGI +4 DES +4 CON +4 VOL +1</v>
      </c>
    </row>
    <row r="77" spans="1:34" x14ac:dyDescent="0.2">
      <c r="A77" s="302" t="s">
        <v>6837</v>
      </c>
      <c r="B77" s="301" t="s">
        <v>6804</v>
      </c>
      <c r="C77" s="301" t="str">
        <f t="shared" si="3"/>
        <v>Habilidad de parada completa+25</v>
      </c>
      <c r="D77" s="302">
        <v>6</v>
      </c>
      <c r="E77" s="302">
        <v>9</v>
      </c>
      <c r="F77" s="302">
        <v>15</v>
      </c>
      <c r="G77" s="302">
        <v>4</v>
      </c>
      <c r="H77" s="302">
        <v>8</v>
      </c>
      <c r="I77" s="302">
        <v>14</v>
      </c>
      <c r="J77" s="302">
        <v>1</v>
      </c>
      <c r="N77" s="297" t="s">
        <v>6967</v>
      </c>
      <c r="O77" s="302">
        <v>0</v>
      </c>
      <c r="P77" s="302">
        <v>0</v>
      </c>
      <c r="Q77" s="302">
        <v>0</v>
      </c>
      <c r="R77" s="302">
        <v>0</v>
      </c>
      <c r="S77" s="594"/>
    </row>
    <row r="78" spans="1:34" x14ac:dyDescent="0.2">
      <c r="A78" s="302" t="s">
        <v>6837</v>
      </c>
      <c r="B78" s="301" t="s">
        <v>6805</v>
      </c>
      <c r="C78" s="301" t="str">
        <f t="shared" si="3"/>
        <v>Habilidad de parada completa+40</v>
      </c>
      <c r="D78" s="302">
        <v>9</v>
      </c>
      <c r="E78" s="302">
        <v>12</v>
      </c>
      <c r="F78" s="302">
        <v>20</v>
      </c>
      <c r="G78" s="302">
        <v>6</v>
      </c>
      <c r="H78" s="302">
        <v>12</v>
      </c>
      <c r="I78" s="302">
        <v>21</v>
      </c>
      <c r="J78" s="302">
        <v>1</v>
      </c>
      <c r="N78" t="s">
        <v>6968</v>
      </c>
      <c r="O78" s="302" t="s">
        <v>175</v>
      </c>
      <c r="P78" s="302" t="s">
        <v>116</v>
      </c>
      <c r="Q78" s="302" t="s">
        <v>58</v>
      </c>
      <c r="R78" s="302" t="s">
        <v>6904</v>
      </c>
      <c r="S78" s="302" t="str">
        <f>IF(O190&lt;&gt;0," "&amp;O$119&amp;" +"&amp;O190,"")&amp;IF(P190&lt;&gt;0," "&amp;P$119&amp;" +"&amp;P190,"")&amp;IF(Q190&lt;&gt;0," "&amp;Q$119&amp;" +"&amp;Q190,"")&amp;IF(R190&lt;&gt;0," "&amp;R$119&amp;" +"&amp;R190,"")&amp;IF(S190&lt;&gt;0," "&amp;S$119&amp;" +"&amp;S190,"")&amp;IF(T190&lt;&gt;0," "&amp;T$119&amp;" +"&amp;T190,"")</f>
        <v xml:space="preserve"> FUE +3 DES +3 CON +2 VOL +1</v>
      </c>
    </row>
    <row r="79" spans="1:34" x14ac:dyDescent="0.2">
      <c r="A79" s="302" t="s">
        <v>6837</v>
      </c>
      <c r="B79" s="301" t="s">
        <v>6806</v>
      </c>
      <c r="C79" s="301" t="str">
        <f t="shared" si="3"/>
        <v>Habilidad de parada completa+50</v>
      </c>
      <c r="D79" s="302">
        <v>12</v>
      </c>
      <c r="E79" s="302">
        <v>15</v>
      </c>
      <c r="F79" s="302">
        <v>35</v>
      </c>
      <c r="G79" s="302">
        <v>9</v>
      </c>
      <c r="H79" s="302">
        <v>18</v>
      </c>
      <c r="I79" s="302">
        <v>32</v>
      </c>
      <c r="J79" s="302">
        <v>2</v>
      </c>
      <c r="N79" t="s">
        <v>5549</v>
      </c>
      <c r="O79" s="302" t="s">
        <v>6817</v>
      </c>
      <c r="P79" s="302" t="s">
        <v>116</v>
      </c>
      <c r="Q79" s="302" t="s">
        <v>58</v>
      </c>
      <c r="R79" s="302" t="s">
        <v>6878</v>
      </c>
      <c r="S79" s="302" t="str">
        <f>IF(O191&lt;&gt;0," "&amp;O$119&amp;" +"&amp;O191,"")&amp;IF(P191&lt;&gt;0," "&amp;P$119&amp;" +"&amp;P191,"")&amp;IF(Q191&lt;&gt;0," "&amp;Q$119&amp;" +"&amp;Q191,"")&amp;IF(R191&lt;&gt;0," "&amp;R$119&amp;" +"&amp;R191,"")&amp;IF(S191&lt;&gt;0," "&amp;S$119&amp;" +"&amp;S191,"")&amp;IF(T191&lt;&gt;0," "&amp;T$119&amp;" +"&amp;T191,"")</f>
        <v xml:space="preserve"> FUE +3 DES +3 CON +2 VOL +1</v>
      </c>
    </row>
    <row r="80" spans="1:34" x14ac:dyDescent="0.2">
      <c r="A80" s="302" t="s">
        <v>6837</v>
      </c>
      <c r="B80" s="301" t="s">
        <v>6807</v>
      </c>
      <c r="C80" s="301" t="str">
        <f t="shared" si="3"/>
        <v>Habilidad de parada completa+75</v>
      </c>
      <c r="D80" s="302">
        <v>18</v>
      </c>
      <c r="E80" s="302">
        <v>22</v>
      </c>
      <c r="F80" s="302">
        <v>50</v>
      </c>
      <c r="G80" s="302">
        <v>12</v>
      </c>
      <c r="H80" s="302">
        <v>24</v>
      </c>
      <c r="I80" s="302">
        <v>42</v>
      </c>
      <c r="J80" s="302">
        <v>2</v>
      </c>
      <c r="N80" t="s">
        <v>6969</v>
      </c>
      <c r="O80" s="302" t="s">
        <v>6817</v>
      </c>
      <c r="P80" s="302" t="s">
        <v>6878</v>
      </c>
      <c r="Q80" s="302" t="s">
        <v>58</v>
      </c>
      <c r="R80" s="302" t="s">
        <v>6818</v>
      </c>
      <c r="S80" s="302" t="str">
        <f>IF(O192&lt;&gt;0," "&amp;O$119&amp;" +"&amp;O192,"")&amp;IF(P192&lt;&gt;0," "&amp;P$119&amp;" +"&amp;P192,"")&amp;IF(Q192&lt;&gt;0," "&amp;Q$119&amp;" +"&amp;Q192,"")&amp;IF(R192&lt;&gt;0," "&amp;R$119&amp;" +"&amp;R192,"")&amp;IF(S192&lt;&gt;0," "&amp;S$119&amp;" +"&amp;S192,"")&amp;IF(T192&lt;&gt;0," "&amp;T$119&amp;" +"&amp;T192,"")</f>
        <v xml:space="preserve"> FUE +2 DES +3 CON +1 VOL +1</v>
      </c>
    </row>
    <row r="81" spans="1:19" x14ac:dyDescent="0.2">
      <c r="A81" s="302" t="s">
        <v>6837</v>
      </c>
      <c r="B81" s="301" t="s">
        <v>6808</v>
      </c>
      <c r="C81" s="301" t="str">
        <f t="shared" si="3"/>
        <v>Habilidad de parada completa+90</v>
      </c>
      <c r="D81" s="302">
        <v>26</v>
      </c>
      <c r="E81" s="302">
        <v>32</v>
      </c>
      <c r="F81" s="302">
        <v>65</v>
      </c>
      <c r="G81" s="302">
        <v>15</v>
      </c>
      <c r="H81" s="302">
        <v>30</v>
      </c>
      <c r="I81" s="302">
        <v>53</v>
      </c>
      <c r="J81" s="302">
        <v>3</v>
      </c>
      <c r="N81" t="s">
        <v>6970</v>
      </c>
      <c r="O81" s="302" t="s">
        <v>430</v>
      </c>
      <c r="P81" s="302" t="s">
        <v>430</v>
      </c>
      <c r="Q81" s="302" t="s">
        <v>58</v>
      </c>
      <c r="R81" s="302" t="s">
        <v>430</v>
      </c>
      <c r="S81" s="302" t="str">
        <f>IF(O193&lt;&gt;0," "&amp;O$119&amp;" +"&amp;O193,"")&amp;IF(P193&lt;&gt;0," "&amp;P$119&amp;" +"&amp;P193,"")&amp;IF(Q193&lt;&gt;0," "&amp;Q$119&amp;" +"&amp;Q193,"")&amp;IF(R193&lt;&gt;0," "&amp;R$119&amp;" +"&amp;R193,"")&amp;IF(S193&lt;&gt;0," "&amp;S$119&amp;" +"&amp;S193,"")&amp;IF(T193&lt;&gt;0," "&amp;T$119&amp;" +"&amp;T193,"")</f>
        <v xml:space="preserve"> FUE +2 DES +3 CON +1 VOL +1</v>
      </c>
    </row>
    <row r="82" spans="1:19" x14ac:dyDescent="0.2">
      <c r="A82" s="302" t="s">
        <v>6837</v>
      </c>
      <c r="B82" s="301" t="s">
        <v>6809</v>
      </c>
      <c r="C82" s="301" t="str">
        <f t="shared" si="3"/>
        <v>Habilidad de parada completa+100</v>
      </c>
      <c r="D82" s="302">
        <v>30</v>
      </c>
      <c r="E82" s="302">
        <v>36</v>
      </c>
      <c r="F82" s="302">
        <v>75</v>
      </c>
      <c r="G82" s="302">
        <v>18</v>
      </c>
      <c r="H82" s="302">
        <v>36</v>
      </c>
      <c r="I82" s="302">
        <v>63</v>
      </c>
      <c r="J82" s="302">
        <v>3</v>
      </c>
      <c r="N82" t="s">
        <v>6971</v>
      </c>
      <c r="O82" s="302" t="s">
        <v>430</v>
      </c>
      <c r="P82" s="302" t="s">
        <v>430</v>
      </c>
      <c r="Q82" s="302" t="s">
        <v>58</v>
      </c>
      <c r="R82" s="302" t="s">
        <v>430</v>
      </c>
      <c r="S82" s="302" t="str">
        <f>IF(O194&lt;&gt;0," "&amp;O$119&amp;" +"&amp;O194,"")&amp;IF(P194&lt;&gt;0," "&amp;P$119&amp;" +"&amp;P194,"")&amp;IF(Q194&lt;&gt;0," "&amp;Q$119&amp;" +"&amp;Q194,"")&amp;IF(R194&lt;&gt;0," "&amp;R$119&amp;" +"&amp;R194,"")&amp;IF(S194&lt;&gt;0," "&amp;S$119&amp;" +"&amp;S194,"")&amp;IF(T194&lt;&gt;0," "&amp;T$119&amp;" +"&amp;T194,"")</f>
        <v xml:space="preserve"> FUE +2 DES +3 CON +1 VOL +1</v>
      </c>
    </row>
    <row r="83" spans="1:19" x14ac:dyDescent="0.2">
      <c r="A83" s="302" t="s">
        <v>6838</v>
      </c>
      <c r="B83" s="301" t="s">
        <v>6799</v>
      </c>
      <c r="C83" s="301" t="str">
        <f t="shared" si="3"/>
        <v>Habilidad de parada limitada+10</v>
      </c>
      <c r="D83" s="302">
        <v>1</v>
      </c>
      <c r="E83" s="302">
        <v>2</v>
      </c>
      <c r="F83" s="302">
        <v>5</v>
      </c>
      <c r="G83" s="302">
        <v>1</v>
      </c>
      <c r="H83" s="302">
        <v>2</v>
      </c>
      <c r="I83" s="302">
        <v>4</v>
      </c>
      <c r="J83" s="302">
        <v>1</v>
      </c>
      <c r="N83" t="s">
        <v>6972</v>
      </c>
      <c r="O83" s="302" t="s">
        <v>175</v>
      </c>
      <c r="P83" s="302" t="s">
        <v>116</v>
      </c>
      <c r="Q83" s="302" t="s">
        <v>58</v>
      </c>
      <c r="R83" s="302" t="s">
        <v>7002</v>
      </c>
      <c r="S83" s="302" t="str">
        <f>IF(O195&lt;&gt;0," "&amp;O$119&amp;" +"&amp;O195,"")&amp;IF(P195&lt;&gt;0," "&amp;P$119&amp;" +"&amp;P195,"")&amp;IF(Q195&lt;&gt;0," "&amp;Q$119&amp;" +"&amp;Q195,"")&amp;IF(R195&lt;&gt;0," "&amp;R$119&amp;" +"&amp;R195,"")&amp;IF(S195&lt;&gt;0," "&amp;S$119&amp;" +"&amp;S195,"")&amp;IF(T195&lt;&gt;0," "&amp;T$119&amp;" +"&amp;T195,"")</f>
        <v xml:space="preserve"> FUE +3 DES +3 CON +2 VOL +1</v>
      </c>
    </row>
    <row r="84" spans="1:19" x14ac:dyDescent="0.2">
      <c r="A84" s="302" t="s">
        <v>6838</v>
      </c>
      <c r="B84" s="301" t="s">
        <v>6804</v>
      </c>
      <c r="C84" s="301" t="str">
        <f t="shared" si="3"/>
        <v>Habilidad de parada limitada+25</v>
      </c>
      <c r="D84" s="302">
        <v>2</v>
      </c>
      <c r="E84" s="302">
        <v>4</v>
      </c>
      <c r="F84" s="302">
        <v>5</v>
      </c>
      <c r="G84" s="302">
        <v>1</v>
      </c>
      <c r="H84" s="302">
        <v>2</v>
      </c>
      <c r="I84" s="302">
        <v>4</v>
      </c>
      <c r="J84" s="302">
        <v>1</v>
      </c>
      <c r="N84" t="s">
        <v>6973</v>
      </c>
      <c r="O84" s="302" t="s">
        <v>175</v>
      </c>
      <c r="P84" s="302" t="s">
        <v>117</v>
      </c>
      <c r="Q84" s="302" t="s">
        <v>58</v>
      </c>
      <c r="R84" s="302" t="s">
        <v>6827</v>
      </c>
      <c r="S84" s="302" t="str">
        <f>IF(O196&lt;&gt;0," "&amp;O$119&amp;" +"&amp;O196,"")&amp;IF(P196&lt;&gt;0," "&amp;P$119&amp;" +"&amp;P196,"")&amp;IF(Q196&lt;&gt;0," "&amp;Q$119&amp;" +"&amp;Q196,"")&amp;IF(R196&lt;&gt;0," "&amp;R$119&amp;" +"&amp;R196,"")&amp;IF(S196&lt;&gt;0," "&amp;S$119&amp;" +"&amp;S196,"")&amp;IF(T196&lt;&gt;0," "&amp;T$119&amp;" +"&amp;T196,"")</f>
        <v xml:space="preserve"> FUE +3 DES +4 CON +3 VOL +1</v>
      </c>
    </row>
    <row r="85" spans="1:19" x14ac:dyDescent="0.2">
      <c r="A85" s="302" t="s">
        <v>6838</v>
      </c>
      <c r="B85" s="301" t="s">
        <v>6805</v>
      </c>
      <c r="C85" s="301" t="str">
        <f t="shared" si="3"/>
        <v>Habilidad de parada limitada+40</v>
      </c>
      <c r="D85" s="302">
        <v>3</v>
      </c>
      <c r="E85" s="302">
        <v>5</v>
      </c>
      <c r="F85" s="302">
        <v>10</v>
      </c>
      <c r="G85" s="302">
        <v>1</v>
      </c>
      <c r="H85" s="302">
        <v>2</v>
      </c>
      <c r="I85" s="302">
        <v>4</v>
      </c>
      <c r="J85" s="302">
        <v>1</v>
      </c>
      <c r="N85" t="s">
        <v>6974</v>
      </c>
      <c r="O85" s="302" t="s">
        <v>175</v>
      </c>
      <c r="P85" s="302" t="s">
        <v>116</v>
      </c>
      <c r="Q85" s="302" t="s">
        <v>36</v>
      </c>
      <c r="R85" s="302" t="s">
        <v>35</v>
      </c>
      <c r="S85" s="302" t="str">
        <f>IF(O197&lt;&gt;0," "&amp;O$119&amp;" +"&amp;O197,"")&amp;IF(P197&lt;&gt;0," "&amp;P$119&amp;" +"&amp;P197,"")&amp;IF(Q197&lt;&gt;0," "&amp;Q$119&amp;" +"&amp;Q197,"")&amp;IF(R197&lt;&gt;0," "&amp;R$119&amp;" +"&amp;R197,"")&amp;IF(S197&lt;&gt;0," "&amp;S$119&amp;" +"&amp;S197,"")&amp;IF(T197&lt;&gt;0," "&amp;T$119&amp;" +"&amp;T197,"")</f>
        <v xml:space="preserve"> DES +1 CON +2 VOL +2 POD +2</v>
      </c>
    </row>
    <row r="86" spans="1:19" x14ac:dyDescent="0.2">
      <c r="A86" s="302" t="s">
        <v>6838</v>
      </c>
      <c r="B86" s="301" t="s">
        <v>6806</v>
      </c>
      <c r="C86" s="301" t="str">
        <f t="shared" si="3"/>
        <v>Habilidad de parada limitada+50</v>
      </c>
      <c r="D86" s="302">
        <v>4</v>
      </c>
      <c r="E86" s="302">
        <v>6</v>
      </c>
      <c r="F86" s="302">
        <v>10</v>
      </c>
      <c r="G86" s="302">
        <v>2</v>
      </c>
      <c r="H86" s="302">
        <v>4</v>
      </c>
      <c r="I86" s="302">
        <v>7</v>
      </c>
      <c r="J86" s="302">
        <v>1</v>
      </c>
      <c r="N86" t="s">
        <v>6975</v>
      </c>
      <c r="O86" s="302" t="s">
        <v>430</v>
      </c>
      <c r="P86" s="302" t="s">
        <v>430</v>
      </c>
      <c r="Q86" s="302" t="s">
        <v>36</v>
      </c>
      <c r="R86" s="302" t="s">
        <v>430</v>
      </c>
      <c r="S86" s="302" t="str">
        <f>IF(O198&lt;&gt;0," "&amp;O$119&amp;" +"&amp;O198,"")&amp;IF(P198&lt;&gt;0," "&amp;P$119&amp;" +"&amp;P198,"")&amp;IF(Q198&lt;&gt;0," "&amp;Q$119&amp;" +"&amp;Q198,"")&amp;IF(R198&lt;&gt;0," "&amp;R$119&amp;" +"&amp;R198,"")&amp;IF(S198&lt;&gt;0," "&amp;S$119&amp;" +"&amp;S198,"")&amp;IF(T198&lt;&gt;0," "&amp;T$119&amp;" +"&amp;T198,"")</f>
        <v xml:space="preserve"> DES +1 CON +2 VOL +2 POD +2</v>
      </c>
    </row>
    <row r="87" spans="1:19" x14ac:dyDescent="0.2">
      <c r="A87" s="302" t="s">
        <v>6838</v>
      </c>
      <c r="B87" s="301" t="s">
        <v>6807</v>
      </c>
      <c r="C87" s="301" t="str">
        <f t="shared" si="3"/>
        <v>Habilidad de parada limitada+75</v>
      </c>
      <c r="D87" s="302">
        <v>6</v>
      </c>
      <c r="E87" s="302">
        <v>9</v>
      </c>
      <c r="F87" s="302">
        <v>15</v>
      </c>
      <c r="G87" s="302">
        <v>3</v>
      </c>
      <c r="H87" s="302">
        <v>6</v>
      </c>
      <c r="I87" s="302">
        <v>11</v>
      </c>
      <c r="J87" s="302">
        <v>1</v>
      </c>
      <c r="N87" t="s">
        <v>6976</v>
      </c>
      <c r="O87" s="302" t="s">
        <v>175</v>
      </c>
      <c r="P87" s="302" t="s">
        <v>116</v>
      </c>
      <c r="Q87" s="302" t="s">
        <v>58</v>
      </c>
      <c r="R87" s="302" t="s">
        <v>6843</v>
      </c>
      <c r="S87" s="302" t="str">
        <f>IF(O199&lt;&gt;0," "&amp;O$119&amp;" +"&amp;O199,"")&amp;IF(P199&lt;&gt;0," "&amp;P$119&amp;" +"&amp;P199,"")&amp;IF(Q199&lt;&gt;0," "&amp;Q$119&amp;" +"&amp;Q199,"")&amp;IF(R199&lt;&gt;0," "&amp;R$119&amp;" +"&amp;R199,"")&amp;IF(S199&lt;&gt;0," "&amp;S$119&amp;" +"&amp;S199,"")&amp;IF(T199&lt;&gt;0," "&amp;T$119&amp;" +"&amp;T199,"")</f>
        <v xml:space="preserve"> FUE +1 DES +3 CON +1 VOL +1</v>
      </c>
    </row>
    <row r="88" spans="1:19" x14ac:dyDescent="0.2">
      <c r="A88" s="302" t="s">
        <v>6838</v>
      </c>
      <c r="B88" s="301" t="s">
        <v>6808</v>
      </c>
      <c r="C88" s="301" t="str">
        <f t="shared" si="3"/>
        <v>Habilidad de parada limitada+90</v>
      </c>
      <c r="D88" s="302">
        <v>8</v>
      </c>
      <c r="E88" s="302">
        <v>11</v>
      </c>
      <c r="F88" s="302">
        <v>20</v>
      </c>
      <c r="G88" s="302">
        <v>4</v>
      </c>
      <c r="H88" s="302">
        <v>8</v>
      </c>
      <c r="I88" s="302">
        <v>14</v>
      </c>
      <c r="J88" s="302">
        <v>1</v>
      </c>
      <c r="N88" t="s">
        <v>28</v>
      </c>
      <c r="O88" s="302" t="s">
        <v>6817</v>
      </c>
      <c r="P88" s="302" t="s">
        <v>117</v>
      </c>
      <c r="Q88" s="302" t="s">
        <v>66</v>
      </c>
      <c r="R88" s="302" t="s">
        <v>35</v>
      </c>
      <c r="S88" s="302" t="str">
        <f>IF(O200&lt;&gt;0," "&amp;O$119&amp;" +"&amp;O200,"")&amp;IF(P200&lt;&gt;0," "&amp;P$119&amp;" +"&amp;P200,"")&amp;IF(Q200&lt;&gt;0," "&amp;Q$119&amp;" +"&amp;Q200,"")&amp;IF(R200&lt;&gt;0," "&amp;R$119&amp;" +"&amp;R200,"")&amp;IF(S200&lt;&gt;0," "&amp;S$119&amp;" +"&amp;S200,"")&amp;IF(T200&lt;&gt;0," "&amp;T$119&amp;" +"&amp;T200,"")</f>
        <v xml:space="preserve"> FUE +3 DES +3 VOL +1 POD +3</v>
      </c>
    </row>
    <row r="89" spans="1:19" x14ac:dyDescent="0.2">
      <c r="A89" s="302" t="s">
        <v>6838</v>
      </c>
      <c r="B89" s="301" t="s">
        <v>6809</v>
      </c>
      <c r="C89" s="301" t="str">
        <f t="shared" si="3"/>
        <v>Habilidad de parada limitada+100</v>
      </c>
      <c r="D89" s="302">
        <v>10</v>
      </c>
      <c r="E89" s="302">
        <v>13</v>
      </c>
      <c r="F89" s="302">
        <v>25</v>
      </c>
      <c r="G89" s="302">
        <v>6</v>
      </c>
      <c r="H89" s="302">
        <v>12</v>
      </c>
      <c r="I89" s="302">
        <v>21</v>
      </c>
      <c r="J89" s="302">
        <v>1</v>
      </c>
      <c r="N89" t="s">
        <v>6977</v>
      </c>
      <c r="O89" s="302" t="s">
        <v>430</v>
      </c>
      <c r="P89" s="302" t="s">
        <v>430</v>
      </c>
      <c r="Q89" s="302" t="s">
        <v>66</v>
      </c>
      <c r="R89" s="302" t="s">
        <v>430</v>
      </c>
      <c r="S89" s="302" t="str">
        <f>IF(O201&lt;&gt;0," "&amp;O$119&amp;" +"&amp;O201,"")&amp;IF(P201&lt;&gt;0," "&amp;P$119&amp;" +"&amp;P201,"")&amp;IF(Q201&lt;&gt;0," "&amp;Q$119&amp;" +"&amp;Q201,"")&amp;IF(R201&lt;&gt;0," "&amp;R$119&amp;" +"&amp;R201,"")&amp;IF(S201&lt;&gt;0," "&amp;S$119&amp;" +"&amp;S201,"")&amp;IF(T201&lt;&gt;0," "&amp;T$119&amp;" +"&amp;T201,"")</f>
        <v xml:space="preserve"> FUE +3 DES +3 VOL +1 POD +3</v>
      </c>
    </row>
    <row r="90" spans="1:19" x14ac:dyDescent="0.2">
      <c r="A90" s="302" t="s">
        <v>6838</v>
      </c>
      <c r="B90" s="301" t="s">
        <v>6810</v>
      </c>
      <c r="C90" s="301" t="str">
        <f t="shared" si="3"/>
        <v>Habilidad de parada limitada+125</v>
      </c>
      <c r="D90" s="302">
        <v>12</v>
      </c>
      <c r="E90" s="302">
        <v>15</v>
      </c>
      <c r="F90" s="302">
        <v>30</v>
      </c>
      <c r="G90" s="302">
        <v>8</v>
      </c>
      <c r="H90" s="302">
        <v>16</v>
      </c>
      <c r="I90" s="302">
        <v>28</v>
      </c>
      <c r="J90" s="302">
        <v>2</v>
      </c>
      <c r="N90" t="s">
        <v>6978</v>
      </c>
      <c r="O90" s="302" t="s">
        <v>6817</v>
      </c>
      <c r="P90" s="302" t="s">
        <v>6878</v>
      </c>
      <c r="Q90" s="302" t="s">
        <v>59</v>
      </c>
      <c r="R90" s="302" t="s">
        <v>7003</v>
      </c>
      <c r="S90" s="302" t="str">
        <f>IF(O202&lt;&gt;0," "&amp;O$119&amp;" +"&amp;O202,"")&amp;IF(P202&lt;&gt;0," "&amp;P$119&amp;" +"&amp;P202,"")&amp;IF(Q202&lt;&gt;0," "&amp;Q$119&amp;" +"&amp;Q202,"")&amp;IF(R202&lt;&gt;0," "&amp;R$119&amp;" +"&amp;R202,"")&amp;IF(S202&lt;&gt;0," "&amp;S$119&amp;" +"&amp;S202,"")&amp;IF(T202&lt;&gt;0," "&amp;T$119&amp;" +"&amp;T202,"")</f>
        <v xml:space="preserve"> AGI +2 DES +3 CON +3 POD +1</v>
      </c>
    </row>
    <row r="91" spans="1:19" x14ac:dyDescent="0.2">
      <c r="A91" s="302" t="s">
        <v>6838</v>
      </c>
      <c r="B91" s="301" t="s">
        <v>6816</v>
      </c>
      <c r="C91" s="301" t="str">
        <f t="shared" si="3"/>
        <v>Habilidad de parada limitada+150</v>
      </c>
      <c r="D91" s="302">
        <v>16</v>
      </c>
      <c r="E91" s="302">
        <v>20</v>
      </c>
      <c r="F91" s="302">
        <v>35</v>
      </c>
      <c r="G91" s="302">
        <v>10</v>
      </c>
      <c r="H91" s="302">
        <v>20</v>
      </c>
      <c r="I91" s="302">
        <v>35</v>
      </c>
      <c r="J91" s="302">
        <v>2</v>
      </c>
      <c r="N91" t="s">
        <v>6979</v>
      </c>
      <c r="O91" s="302" t="s">
        <v>430</v>
      </c>
      <c r="P91" s="302" t="s">
        <v>430</v>
      </c>
      <c r="Q91" s="302" t="s">
        <v>59</v>
      </c>
      <c r="R91" s="302" t="s">
        <v>430</v>
      </c>
      <c r="S91" s="302" t="str">
        <f>IF(O203&lt;&gt;0," "&amp;O$119&amp;" +"&amp;O203,"")&amp;IF(P203&lt;&gt;0," "&amp;P$119&amp;" +"&amp;P203,"")&amp;IF(Q203&lt;&gt;0," "&amp;Q$119&amp;" +"&amp;Q203,"")&amp;IF(R203&lt;&gt;0," "&amp;R$119&amp;" +"&amp;R203,"")&amp;IF(S203&lt;&gt;0," "&amp;S$119&amp;" +"&amp;S203,"")&amp;IF(T203&lt;&gt;0," "&amp;T$119&amp;" +"&amp;T203,"")</f>
        <v xml:space="preserve"> AGI +2 DES +3 CON +3 POD +1</v>
      </c>
    </row>
    <row r="92" spans="1:19" x14ac:dyDescent="0.2">
      <c r="A92" s="302" t="s">
        <v>6838</v>
      </c>
      <c r="B92" s="301" t="s">
        <v>6811</v>
      </c>
      <c r="C92" s="301" t="str">
        <f t="shared" si="3"/>
        <v>Habilidad de parada limitada+175</v>
      </c>
      <c r="D92" s="302">
        <v>20</v>
      </c>
      <c r="E92" s="302">
        <v>24</v>
      </c>
      <c r="F92" s="302">
        <v>40</v>
      </c>
      <c r="G92" s="302">
        <v>12</v>
      </c>
      <c r="H92" s="302">
        <v>24</v>
      </c>
      <c r="I92" s="302">
        <v>42</v>
      </c>
      <c r="J92" s="302">
        <v>3</v>
      </c>
      <c r="N92" t="s">
        <v>6980</v>
      </c>
      <c r="O92" s="302" t="s">
        <v>430</v>
      </c>
      <c r="P92" s="302" t="s">
        <v>430</v>
      </c>
      <c r="Q92" s="302" t="s">
        <v>59</v>
      </c>
      <c r="R92" s="302" t="s">
        <v>430</v>
      </c>
      <c r="S92" s="302" t="str">
        <f>IF(O204&lt;&gt;0," "&amp;O$119&amp;" +"&amp;O204,"")&amp;IF(P204&lt;&gt;0," "&amp;P$119&amp;" +"&amp;P204,"")&amp;IF(Q204&lt;&gt;0," "&amp;Q$119&amp;" +"&amp;Q204,"")&amp;IF(R204&lt;&gt;0," "&amp;R$119&amp;" +"&amp;R204,"")&amp;IF(S204&lt;&gt;0," "&amp;S$119&amp;" +"&amp;S204,"")&amp;IF(T204&lt;&gt;0," "&amp;T$119&amp;" +"&amp;T204,"")</f>
        <v xml:space="preserve"> AGI +2 DES +3 CON +3 POD +1</v>
      </c>
    </row>
    <row r="93" spans="1:19" x14ac:dyDescent="0.2">
      <c r="A93" s="302" t="s">
        <v>6838</v>
      </c>
      <c r="B93" s="301" t="s">
        <v>6812</v>
      </c>
      <c r="C93" s="301" t="str">
        <f t="shared" si="3"/>
        <v>Habilidad de parada limitada+200</v>
      </c>
      <c r="D93" s="302">
        <v>24</v>
      </c>
      <c r="E93" s="302">
        <v>29</v>
      </c>
      <c r="F93" s="302">
        <v>45</v>
      </c>
      <c r="G93" s="302">
        <v>14</v>
      </c>
      <c r="H93" s="302">
        <v>28</v>
      </c>
      <c r="I93" s="302">
        <v>49</v>
      </c>
      <c r="J93" s="302">
        <v>3</v>
      </c>
      <c r="N93" t="s">
        <v>6981</v>
      </c>
      <c r="O93" s="302" t="s">
        <v>430</v>
      </c>
      <c r="P93" s="302" t="s">
        <v>430</v>
      </c>
      <c r="Q93" s="302" t="s">
        <v>59</v>
      </c>
      <c r="R93" s="302" t="s">
        <v>430</v>
      </c>
      <c r="S93" s="302" t="str">
        <f>IF(O205&lt;&gt;0," "&amp;O$119&amp;" +"&amp;O205,"")&amp;IF(P205&lt;&gt;0," "&amp;P$119&amp;" +"&amp;P205,"")&amp;IF(Q205&lt;&gt;0," "&amp;Q$119&amp;" +"&amp;Q205,"")&amp;IF(R205&lt;&gt;0," "&amp;R$119&amp;" +"&amp;R205,"")&amp;IF(S205&lt;&gt;0," "&amp;S$119&amp;" +"&amp;S205,"")&amp;IF(T205&lt;&gt;0," "&amp;T$119&amp;" +"&amp;T205,"")</f>
        <v xml:space="preserve"> AGI +2 DES +3 CON +3 POD +1</v>
      </c>
    </row>
    <row r="94" spans="1:19" x14ac:dyDescent="0.2">
      <c r="A94" s="302" t="s">
        <v>6839</v>
      </c>
      <c r="B94" s="301" t="s">
        <v>6799</v>
      </c>
      <c r="C94" s="301" t="str">
        <f t="shared" si="3"/>
        <v>Habilidad de esquiva+10</v>
      </c>
      <c r="D94" s="302">
        <v>2</v>
      </c>
      <c r="E94" s="302">
        <v>4</v>
      </c>
      <c r="F94" s="302">
        <v>5</v>
      </c>
      <c r="G94" s="302">
        <v>1</v>
      </c>
      <c r="H94" s="302">
        <v>2</v>
      </c>
      <c r="I94" s="302">
        <v>4</v>
      </c>
      <c r="J94" s="302">
        <v>1</v>
      </c>
      <c r="N94" t="s">
        <v>4741</v>
      </c>
      <c r="O94" s="302" t="s">
        <v>6817</v>
      </c>
      <c r="P94" s="302" t="s">
        <v>117</v>
      </c>
      <c r="Q94" s="302" t="s">
        <v>58</v>
      </c>
      <c r="R94" s="302" t="s">
        <v>7004</v>
      </c>
      <c r="S94" s="302" t="str">
        <f>IF(O206&lt;&gt;0," "&amp;O$119&amp;" +"&amp;O206,"")&amp;IF(P206&lt;&gt;0," "&amp;P$119&amp;" +"&amp;P206,"")&amp;IF(Q206&lt;&gt;0," "&amp;Q$119&amp;" +"&amp;Q206,"")&amp;IF(R206&lt;&gt;0," "&amp;R$119&amp;" +"&amp;R206,"")&amp;IF(S206&lt;&gt;0," "&amp;S$119&amp;" +"&amp;S206,"")&amp;IF(T206&lt;&gt;0," "&amp;T$119&amp;" +"&amp;T206,"")</f>
        <v xml:space="preserve"> FUE +2 AGI +3 DES +3 CON +2</v>
      </c>
    </row>
    <row r="95" spans="1:19" x14ac:dyDescent="0.2">
      <c r="A95" s="302" t="s">
        <v>6839</v>
      </c>
      <c r="B95" s="301" t="s">
        <v>6804</v>
      </c>
      <c r="C95" s="301" t="str">
        <f t="shared" si="3"/>
        <v>Habilidad de esquiva+25</v>
      </c>
      <c r="D95" s="302">
        <v>3</v>
      </c>
      <c r="E95" s="302">
        <v>5</v>
      </c>
      <c r="F95" s="302">
        <v>5</v>
      </c>
      <c r="G95" s="302">
        <v>1</v>
      </c>
      <c r="H95" s="302">
        <v>2</v>
      </c>
      <c r="I95" s="302">
        <v>4</v>
      </c>
      <c r="J95" s="302">
        <v>1</v>
      </c>
      <c r="N95" t="s">
        <v>6977</v>
      </c>
      <c r="O95" s="302" t="s">
        <v>430</v>
      </c>
      <c r="P95" s="302" t="s">
        <v>430</v>
      </c>
      <c r="Q95" s="302" t="s">
        <v>58</v>
      </c>
      <c r="R95" s="302" t="s">
        <v>430</v>
      </c>
      <c r="S95" s="302" t="str">
        <f>IF(O207&lt;&gt;0," "&amp;O$119&amp;" +"&amp;O207,"")&amp;IF(P207&lt;&gt;0," "&amp;P$119&amp;" +"&amp;P207,"")&amp;IF(Q207&lt;&gt;0," "&amp;Q$119&amp;" +"&amp;Q207,"")&amp;IF(R207&lt;&gt;0," "&amp;R$119&amp;" +"&amp;R207,"")&amp;IF(S207&lt;&gt;0," "&amp;S$119&amp;" +"&amp;S207,"")&amp;IF(T207&lt;&gt;0," "&amp;T$119&amp;" +"&amp;T207,"")</f>
        <v xml:space="preserve"> FUE +2 AGI +3 DES +3 CON +2</v>
      </c>
    </row>
    <row r="96" spans="1:19" x14ac:dyDescent="0.2">
      <c r="A96" s="302" t="s">
        <v>6839</v>
      </c>
      <c r="B96" s="301" t="s">
        <v>6805</v>
      </c>
      <c r="C96" s="301" t="str">
        <f t="shared" si="3"/>
        <v>Habilidad de esquiva+40</v>
      </c>
      <c r="D96" s="302">
        <v>4</v>
      </c>
      <c r="E96" s="302">
        <v>6</v>
      </c>
      <c r="F96" s="302">
        <v>10</v>
      </c>
      <c r="G96" s="302">
        <v>2</v>
      </c>
      <c r="H96" s="302">
        <v>4</v>
      </c>
      <c r="I96" s="302">
        <v>7</v>
      </c>
      <c r="J96" s="302">
        <v>1</v>
      </c>
      <c r="N96" t="s">
        <v>6982</v>
      </c>
      <c r="O96" s="302" t="s">
        <v>175</v>
      </c>
      <c r="P96" s="302" t="s">
        <v>116</v>
      </c>
      <c r="Q96" s="302" t="s">
        <v>58</v>
      </c>
      <c r="R96" s="302" t="s">
        <v>7002</v>
      </c>
      <c r="S96" s="302" t="str">
        <f>IF(O208&lt;&gt;0," "&amp;O$119&amp;" +"&amp;O208,"")&amp;IF(P208&lt;&gt;0," "&amp;P$119&amp;" +"&amp;P208,"")&amp;IF(Q208&lt;&gt;0," "&amp;Q$119&amp;" +"&amp;Q208,"")&amp;IF(R208&lt;&gt;0," "&amp;R$119&amp;" +"&amp;R208,"")&amp;IF(S208&lt;&gt;0," "&amp;S$119&amp;" +"&amp;S208,"")&amp;IF(T208&lt;&gt;0," "&amp;T$119&amp;" +"&amp;T208,"")</f>
        <v xml:space="preserve"> FUE +4 DES +4 CON +4 VOL +1</v>
      </c>
    </row>
    <row r="97" spans="1:19" x14ac:dyDescent="0.2">
      <c r="A97" s="302" t="s">
        <v>6839</v>
      </c>
      <c r="B97" s="301" t="s">
        <v>6806</v>
      </c>
      <c r="C97" s="301" t="str">
        <f t="shared" si="3"/>
        <v>Habilidad de esquiva+50</v>
      </c>
      <c r="D97" s="302">
        <v>5</v>
      </c>
      <c r="E97" s="302">
        <v>8</v>
      </c>
      <c r="F97" s="302">
        <v>15</v>
      </c>
      <c r="G97" s="302">
        <v>3</v>
      </c>
      <c r="H97" s="302">
        <v>6</v>
      </c>
      <c r="I97" s="302">
        <v>11</v>
      </c>
      <c r="J97" s="302">
        <v>1</v>
      </c>
      <c r="N97" t="s">
        <v>6983</v>
      </c>
      <c r="O97" s="302" t="s">
        <v>430</v>
      </c>
      <c r="P97" s="302" t="s">
        <v>430</v>
      </c>
      <c r="Q97" s="302" t="s">
        <v>58</v>
      </c>
      <c r="R97" s="302" t="s">
        <v>430</v>
      </c>
      <c r="S97" s="302" t="str">
        <f>IF(O209&lt;&gt;0," "&amp;O$119&amp;" +"&amp;O209,"")&amp;IF(P209&lt;&gt;0," "&amp;P$119&amp;" +"&amp;P209,"")&amp;IF(Q209&lt;&gt;0," "&amp;Q$119&amp;" +"&amp;Q209,"")&amp;IF(R209&lt;&gt;0," "&amp;R$119&amp;" +"&amp;R209,"")&amp;IF(S209&lt;&gt;0," "&amp;S$119&amp;" +"&amp;S209,"")&amp;IF(T209&lt;&gt;0," "&amp;T$119&amp;" +"&amp;T209,"")</f>
        <v xml:space="preserve"> FUE +4 DES +4 CON +4 VOL +1</v>
      </c>
    </row>
    <row r="98" spans="1:19" x14ac:dyDescent="0.2">
      <c r="A98" s="302" t="s">
        <v>6839</v>
      </c>
      <c r="B98" s="301" t="s">
        <v>6807</v>
      </c>
      <c r="C98" s="301" t="str">
        <f t="shared" si="3"/>
        <v>Habilidad de esquiva+75</v>
      </c>
      <c r="D98" s="302">
        <v>9</v>
      </c>
      <c r="E98" s="302">
        <v>12</v>
      </c>
      <c r="F98" s="302">
        <v>20</v>
      </c>
      <c r="G98" s="302">
        <v>4</v>
      </c>
      <c r="H98" s="302">
        <v>8</v>
      </c>
      <c r="I98" s="302">
        <v>14</v>
      </c>
      <c r="J98" s="302">
        <v>1</v>
      </c>
      <c r="N98" t="s">
        <v>6984</v>
      </c>
      <c r="O98" s="302" t="s">
        <v>430</v>
      </c>
      <c r="P98" s="302" t="s">
        <v>430</v>
      </c>
      <c r="Q98" s="302" t="s">
        <v>58</v>
      </c>
      <c r="R98" s="302" t="s">
        <v>430</v>
      </c>
      <c r="S98" s="302" t="str">
        <f>IF(O210&lt;&gt;0," "&amp;O$119&amp;" +"&amp;O210,"")&amp;IF(P210&lt;&gt;0," "&amp;P$119&amp;" +"&amp;P210,"")&amp;IF(Q210&lt;&gt;0," "&amp;Q$119&amp;" +"&amp;Q210,"")&amp;IF(R210&lt;&gt;0," "&amp;R$119&amp;" +"&amp;R210,"")&amp;IF(S210&lt;&gt;0," "&amp;S$119&amp;" +"&amp;S210,"")&amp;IF(T210&lt;&gt;0," "&amp;T$119&amp;" +"&amp;T210,"")</f>
        <v xml:space="preserve"> FUE +4 DES +4 CON +4 VOL +1</v>
      </c>
    </row>
    <row r="99" spans="1:19" x14ac:dyDescent="0.2">
      <c r="A99" s="302" t="s">
        <v>6839</v>
      </c>
      <c r="B99" s="301" t="s">
        <v>6808</v>
      </c>
      <c r="C99" s="301" t="str">
        <f t="shared" si="3"/>
        <v>Habilidad de esquiva+90</v>
      </c>
      <c r="D99" s="302">
        <v>12</v>
      </c>
      <c r="E99" s="302">
        <v>15</v>
      </c>
      <c r="F99" s="302">
        <v>25</v>
      </c>
      <c r="G99" s="302">
        <v>5</v>
      </c>
      <c r="H99" s="302">
        <v>10</v>
      </c>
      <c r="I99" s="302">
        <v>18</v>
      </c>
      <c r="J99" s="302">
        <v>1</v>
      </c>
      <c r="N99" t="s">
        <v>6985</v>
      </c>
      <c r="O99" s="302" t="s">
        <v>430</v>
      </c>
      <c r="P99" s="302" t="s">
        <v>430</v>
      </c>
      <c r="Q99" s="302" t="s">
        <v>58</v>
      </c>
      <c r="R99" s="302" t="s">
        <v>430</v>
      </c>
      <c r="S99" s="302" t="str">
        <f>IF(O211&lt;&gt;0," "&amp;O$119&amp;" +"&amp;O211,"")&amp;IF(P211&lt;&gt;0," "&amp;P$119&amp;" +"&amp;P211,"")&amp;IF(Q211&lt;&gt;0," "&amp;Q$119&amp;" +"&amp;Q211,"")&amp;IF(R211&lt;&gt;0," "&amp;R$119&amp;" +"&amp;R211,"")&amp;IF(S211&lt;&gt;0," "&amp;S$119&amp;" +"&amp;S211,"")&amp;IF(T211&lt;&gt;0," "&amp;T$119&amp;" +"&amp;T211,"")</f>
        <v xml:space="preserve"> FUE +4 DES +4 CON +4 VOL +1</v>
      </c>
    </row>
    <row r="100" spans="1:19" x14ac:dyDescent="0.2">
      <c r="A100" s="302" t="s">
        <v>6839</v>
      </c>
      <c r="B100" s="301" t="s">
        <v>6809</v>
      </c>
      <c r="C100" s="301" t="str">
        <f t="shared" si="3"/>
        <v>Habilidad de esquiva+100</v>
      </c>
      <c r="D100" s="302">
        <v>14</v>
      </c>
      <c r="E100" s="302">
        <v>18</v>
      </c>
      <c r="F100" s="302">
        <v>30</v>
      </c>
      <c r="G100" s="302">
        <v>8</v>
      </c>
      <c r="H100" s="302">
        <v>16</v>
      </c>
      <c r="I100" s="302">
        <v>28</v>
      </c>
      <c r="J100" s="302">
        <v>1</v>
      </c>
      <c r="N100" t="s">
        <v>6986</v>
      </c>
      <c r="O100" s="302" t="s">
        <v>175</v>
      </c>
      <c r="P100" s="302" t="s">
        <v>116</v>
      </c>
      <c r="Q100" s="302" t="s">
        <v>36</v>
      </c>
      <c r="R100" s="302" t="s">
        <v>6858</v>
      </c>
      <c r="S100" s="302" t="str">
        <f>IF(O212&lt;&gt;0," "&amp;O$119&amp;" +"&amp;O212,"")&amp;IF(P212&lt;&gt;0," "&amp;P$119&amp;" +"&amp;P212,"")&amp;IF(Q212&lt;&gt;0," "&amp;Q$119&amp;" +"&amp;Q212,"")&amp;IF(R212&lt;&gt;0," "&amp;R$119&amp;" +"&amp;R212,"")&amp;IF(S212&lt;&gt;0," "&amp;S$119&amp;" +"&amp;S212,"")&amp;IF(T212&lt;&gt;0," "&amp;T$119&amp;" +"&amp;T212,"")</f>
        <v xml:space="preserve"> DES +3 CON +2 VOL +1 POD +1</v>
      </c>
    </row>
    <row r="101" spans="1:19" x14ac:dyDescent="0.2">
      <c r="A101" s="302" t="s">
        <v>6839</v>
      </c>
      <c r="B101" s="301" t="s">
        <v>6810</v>
      </c>
      <c r="C101" s="301" t="str">
        <f t="shared" si="3"/>
        <v>Habilidad de esquiva+125</v>
      </c>
      <c r="D101" s="302">
        <v>18</v>
      </c>
      <c r="E101" s="302">
        <v>22</v>
      </c>
      <c r="F101" s="302">
        <v>35</v>
      </c>
      <c r="G101" s="302">
        <v>10</v>
      </c>
      <c r="H101" s="302">
        <v>20</v>
      </c>
      <c r="I101" s="302">
        <v>35</v>
      </c>
      <c r="J101" s="302">
        <v>2</v>
      </c>
      <c r="N101" t="s">
        <v>6989</v>
      </c>
      <c r="O101" s="302" t="s">
        <v>430</v>
      </c>
      <c r="P101" s="302" t="s">
        <v>430</v>
      </c>
      <c r="Q101" s="302" t="s">
        <v>36</v>
      </c>
      <c r="R101" s="302" t="s">
        <v>430</v>
      </c>
      <c r="S101" s="302" t="str">
        <f>IF(O213&lt;&gt;0," "&amp;O$119&amp;" +"&amp;O213,"")&amp;IF(P213&lt;&gt;0," "&amp;P$119&amp;" +"&amp;P213,"")&amp;IF(Q213&lt;&gt;0," "&amp;Q$119&amp;" +"&amp;Q213,"")&amp;IF(R213&lt;&gt;0," "&amp;R$119&amp;" +"&amp;R213,"")&amp;IF(S213&lt;&gt;0," "&amp;S$119&amp;" +"&amp;S213,"")&amp;IF(T213&lt;&gt;0," "&amp;T$119&amp;" +"&amp;T213,"")</f>
        <v xml:space="preserve"> DES +3 CON +2 VOL +1 POD +1</v>
      </c>
    </row>
    <row r="102" spans="1:19" x14ac:dyDescent="0.2">
      <c r="A102" s="302" t="s">
        <v>6839</v>
      </c>
      <c r="B102" s="301" t="s">
        <v>6816</v>
      </c>
      <c r="C102" s="301" t="str">
        <f t="shared" si="3"/>
        <v>Habilidad de esquiva+150</v>
      </c>
      <c r="D102" s="302">
        <v>22</v>
      </c>
      <c r="E102" s="302">
        <v>26</v>
      </c>
      <c r="F102" s="302">
        <v>40</v>
      </c>
      <c r="G102" s="302">
        <v>12</v>
      </c>
      <c r="H102" s="302">
        <v>24</v>
      </c>
      <c r="I102" s="302">
        <v>42</v>
      </c>
      <c r="J102" s="302">
        <v>2</v>
      </c>
      <c r="N102" t="s">
        <v>6987</v>
      </c>
      <c r="O102" s="302" t="s">
        <v>175</v>
      </c>
      <c r="P102" s="302" t="s">
        <v>116</v>
      </c>
      <c r="Q102" s="302" t="s">
        <v>59</v>
      </c>
      <c r="R102" s="302" t="s">
        <v>6844</v>
      </c>
      <c r="S102" s="302" t="str">
        <f>IF(O214&lt;&gt;0," "&amp;O$119&amp;" +"&amp;O214,"")&amp;IF(P214&lt;&gt;0," "&amp;P$119&amp;" +"&amp;P214,"")&amp;IF(Q214&lt;&gt;0," "&amp;Q$119&amp;" +"&amp;Q214,"")&amp;IF(R214&lt;&gt;0," "&amp;R$119&amp;" +"&amp;R214,"")&amp;IF(S214&lt;&gt;0," "&amp;S$119&amp;" +"&amp;S214,"")&amp;IF(T214&lt;&gt;0," "&amp;T$119&amp;" +"&amp;T214,"")</f>
        <v xml:space="preserve"> FUE +2 DES +3 CON +3 POD +1</v>
      </c>
    </row>
    <row r="103" spans="1:19" x14ac:dyDescent="0.2">
      <c r="A103" s="302" t="s">
        <v>6839</v>
      </c>
      <c r="B103" s="301" t="s">
        <v>6811</v>
      </c>
      <c r="C103" s="301" t="str">
        <f t="shared" si="3"/>
        <v>Habilidad de esquiva+175</v>
      </c>
      <c r="D103" s="302">
        <v>26</v>
      </c>
      <c r="E103" s="302">
        <v>32</v>
      </c>
      <c r="F103" s="302">
        <v>45</v>
      </c>
      <c r="G103" s="302">
        <v>14</v>
      </c>
      <c r="H103" s="302">
        <v>28</v>
      </c>
      <c r="I103" s="302">
        <v>49</v>
      </c>
      <c r="J103" s="302">
        <v>3</v>
      </c>
      <c r="N103" t="s">
        <v>6988</v>
      </c>
      <c r="O103" s="302" t="s">
        <v>430</v>
      </c>
      <c r="P103" s="302" t="s">
        <v>430</v>
      </c>
      <c r="Q103" s="302" t="s">
        <v>59</v>
      </c>
      <c r="R103" s="302" t="s">
        <v>430</v>
      </c>
      <c r="S103" s="302" t="str">
        <f>IF(O215&lt;&gt;0," "&amp;O$119&amp;" +"&amp;O215,"")&amp;IF(P215&lt;&gt;0," "&amp;P$119&amp;" +"&amp;P215,"")&amp;IF(Q215&lt;&gt;0," "&amp;Q$119&amp;" +"&amp;Q215,"")&amp;IF(R215&lt;&gt;0," "&amp;R$119&amp;" +"&amp;R215,"")&amp;IF(S215&lt;&gt;0," "&amp;S$119&amp;" +"&amp;S215,"")&amp;IF(T215&lt;&gt;0," "&amp;T$119&amp;" +"&amp;T215,"")</f>
        <v xml:space="preserve"> FUE +2 DES +3 CON +3 POD +1</v>
      </c>
    </row>
    <row r="104" spans="1:19" x14ac:dyDescent="0.2">
      <c r="A104" s="302" t="s">
        <v>6839</v>
      </c>
      <c r="B104" s="301" t="s">
        <v>6812</v>
      </c>
      <c r="C104" s="301" t="str">
        <f t="shared" si="3"/>
        <v>Habilidad de esquiva+200</v>
      </c>
      <c r="D104" s="302">
        <v>30</v>
      </c>
      <c r="E104" s="302">
        <v>36</v>
      </c>
      <c r="F104" s="302">
        <v>50</v>
      </c>
      <c r="G104" s="302">
        <v>16</v>
      </c>
      <c r="H104" s="302">
        <v>32</v>
      </c>
      <c r="I104" s="302">
        <v>56</v>
      </c>
      <c r="J104" s="302">
        <v>3</v>
      </c>
      <c r="N104" t="s">
        <v>6990</v>
      </c>
      <c r="O104" s="302" t="s">
        <v>6817</v>
      </c>
      <c r="P104" s="302" t="s">
        <v>6878</v>
      </c>
      <c r="Q104" s="302" t="s">
        <v>58</v>
      </c>
      <c r="R104" s="302" t="s">
        <v>7005</v>
      </c>
      <c r="S104" s="302" t="str">
        <f>IF(O216&lt;&gt;0," "&amp;O$119&amp;" +"&amp;O216,"")&amp;IF(P216&lt;&gt;0," "&amp;P$119&amp;" +"&amp;P216,"")&amp;IF(Q216&lt;&gt;0," "&amp;Q$119&amp;" +"&amp;Q216,"")&amp;IF(R216&lt;&gt;0," "&amp;R$119&amp;" +"&amp;R216,"")&amp;IF(S216&lt;&gt;0," "&amp;S$119&amp;" +"&amp;S216,"")&amp;IF(T216&lt;&gt;0," "&amp;T$119&amp;" +"&amp;T216,"")</f>
        <v xml:space="preserve"> FUE +3 DES +3 CON +3 VOL +1</v>
      </c>
    </row>
    <row r="105" spans="1:19" x14ac:dyDescent="0.2">
      <c r="A105" s="302" t="s">
        <v>6840</v>
      </c>
      <c r="B105" s="301" t="s">
        <v>6799</v>
      </c>
      <c r="C105" s="301" t="str">
        <f t="shared" si="3"/>
        <v>Habilidad de esquiva completa+10</v>
      </c>
      <c r="D105" s="302">
        <v>4</v>
      </c>
      <c r="E105" s="302">
        <v>6</v>
      </c>
      <c r="F105" s="302">
        <v>10</v>
      </c>
      <c r="G105" s="302">
        <v>2</v>
      </c>
      <c r="H105" s="302">
        <v>4</v>
      </c>
      <c r="I105" s="302">
        <v>7</v>
      </c>
      <c r="J105" s="302">
        <v>1</v>
      </c>
      <c r="N105" t="s">
        <v>6991</v>
      </c>
      <c r="O105" s="302" t="s">
        <v>430</v>
      </c>
      <c r="P105" s="302" t="s">
        <v>430</v>
      </c>
      <c r="Q105" s="302" t="s">
        <v>58</v>
      </c>
      <c r="R105" s="302" t="s">
        <v>430</v>
      </c>
      <c r="S105" s="302" t="str">
        <f>IF(O217&lt;&gt;0," "&amp;O$119&amp;" +"&amp;O217,"")&amp;IF(P217&lt;&gt;0," "&amp;P$119&amp;" +"&amp;P217,"")&amp;IF(Q217&lt;&gt;0," "&amp;Q$119&amp;" +"&amp;Q217,"")&amp;IF(R217&lt;&gt;0," "&amp;R$119&amp;" +"&amp;R217,"")&amp;IF(S217&lt;&gt;0," "&amp;S$119&amp;" +"&amp;S217,"")&amp;IF(T217&lt;&gt;0," "&amp;T$119&amp;" +"&amp;T217,"")</f>
        <v xml:space="preserve"> FUE +3 DES +3 CON +3 VOL +1</v>
      </c>
    </row>
    <row r="106" spans="1:19" x14ac:dyDescent="0.2">
      <c r="A106" s="302" t="s">
        <v>6840</v>
      </c>
      <c r="B106" s="301" t="s">
        <v>6804</v>
      </c>
      <c r="C106" s="301" t="str">
        <f t="shared" si="3"/>
        <v>Habilidad de esquiva completa+25</v>
      </c>
      <c r="D106" s="302">
        <v>6</v>
      </c>
      <c r="E106" s="302">
        <v>9</v>
      </c>
      <c r="F106" s="302">
        <v>15</v>
      </c>
      <c r="G106" s="302">
        <v>4</v>
      </c>
      <c r="H106" s="302">
        <v>8</v>
      </c>
      <c r="I106" s="302">
        <v>14</v>
      </c>
      <c r="J106" s="302">
        <v>1</v>
      </c>
      <c r="N106" t="s">
        <v>6992</v>
      </c>
      <c r="O106" s="302" t="s">
        <v>430</v>
      </c>
      <c r="P106" s="302" t="s">
        <v>430</v>
      </c>
      <c r="Q106" s="302" t="s">
        <v>58</v>
      </c>
      <c r="R106" s="302" t="s">
        <v>430</v>
      </c>
      <c r="S106" s="302" t="str">
        <f>IF(O218&lt;&gt;0," "&amp;O$119&amp;" +"&amp;O218,"")&amp;IF(P218&lt;&gt;0," "&amp;P$119&amp;" +"&amp;P218,"")&amp;IF(Q218&lt;&gt;0," "&amp;Q$119&amp;" +"&amp;Q218,"")&amp;IF(R218&lt;&gt;0," "&amp;R$119&amp;" +"&amp;R218,"")&amp;IF(S218&lt;&gt;0," "&amp;S$119&amp;" +"&amp;S218,"")&amp;IF(T218&lt;&gt;0," "&amp;T$119&amp;" +"&amp;T218,"")</f>
        <v xml:space="preserve"> FUE +3 DES +3 CON +3 VOL +1</v>
      </c>
    </row>
    <row r="107" spans="1:19" x14ac:dyDescent="0.2">
      <c r="A107" s="302" t="s">
        <v>6840</v>
      </c>
      <c r="B107" s="301" t="s">
        <v>6805</v>
      </c>
      <c r="C107" s="301" t="str">
        <f t="shared" si="3"/>
        <v>Habilidad de esquiva completa+40</v>
      </c>
      <c r="D107" s="302">
        <v>9</v>
      </c>
      <c r="E107" s="302">
        <v>12</v>
      </c>
      <c r="F107" s="302">
        <v>20</v>
      </c>
      <c r="G107" s="302">
        <v>6</v>
      </c>
      <c r="H107" s="302">
        <v>12</v>
      </c>
      <c r="I107" s="302">
        <v>21</v>
      </c>
      <c r="J107" s="302">
        <v>1</v>
      </c>
      <c r="N107" t="s">
        <v>6993</v>
      </c>
      <c r="O107" s="302" t="s">
        <v>175</v>
      </c>
      <c r="P107" s="302" t="s">
        <v>116</v>
      </c>
      <c r="Q107" s="302" t="s">
        <v>58</v>
      </c>
      <c r="R107" s="302" t="s">
        <v>6845</v>
      </c>
      <c r="S107" s="302" t="str">
        <f>IF(O219&lt;&gt;0," "&amp;O$119&amp;" +"&amp;O219,"")&amp;IF(P219&lt;&gt;0," "&amp;P$119&amp;" +"&amp;P219,"")&amp;IF(Q219&lt;&gt;0," "&amp;Q$119&amp;" +"&amp;Q219,"")&amp;IF(R219&lt;&gt;0," "&amp;R$119&amp;" +"&amp;R219,"")&amp;IF(S219&lt;&gt;0," "&amp;S$119&amp;" +"&amp;S219,"")&amp;IF(T219&lt;&gt;0," "&amp;T$119&amp;" +"&amp;T219,"")</f>
        <v xml:space="preserve"> FUE +3 DES +3 CON +2 VOL +1</v>
      </c>
    </row>
    <row r="108" spans="1:19" x14ac:dyDescent="0.2">
      <c r="A108" s="302" t="s">
        <v>6840</v>
      </c>
      <c r="B108" s="301" t="s">
        <v>6806</v>
      </c>
      <c r="C108" s="301" t="str">
        <f t="shared" si="3"/>
        <v>Habilidad de esquiva completa+50</v>
      </c>
      <c r="D108" s="302">
        <v>12</v>
      </c>
      <c r="E108" s="302">
        <v>15</v>
      </c>
      <c r="F108" s="302">
        <v>35</v>
      </c>
      <c r="G108" s="302">
        <v>9</v>
      </c>
      <c r="H108" s="302">
        <v>18</v>
      </c>
      <c r="I108" s="302">
        <v>32</v>
      </c>
      <c r="J108" s="302">
        <v>2</v>
      </c>
      <c r="N108" t="s">
        <v>6994</v>
      </c>
      <c r="O108" s="302" t="s">
        <v>430</v>
      </c>
      <c r="P108" s="302" t="s">
        <v>430</v>
      </c>
      <c r="Q108" s="302" t="s">
        <v>58</v>
      </c>
      <c r="R108" s="302" t="s">
        <v>430</v>
      </c>
      <c r="S108" s="302" t="str">
        <f>IF(O220&lt;&gt;0," "&amp;O$119&amp;" +"&amp;O220,"")&amp;IF(P220&lt;&gt;0," "&amp;P$119&amp;" +"&amp;P220,"")&amp;IF(Q220&lt;&gt;0," "&amp;Q$119&amp;" +"&amp;Q220,"")&amp;IF(R220&lt;&gt;0," "&amp;R$119&amp;" +"&amp;R220,"")&amp;IF(S220&lt;&gt;0," "&amp;S$119&amp;" +"&amp;S220,"")&amp;IF(T220&lt;&gt;0," "&amp;T$119&amp;" +"&amp;T220,"")</f>
        <v xml:space="preserve"> FUE +3 DES +3 CON +2 VOL +1</v>
      </c>
    </row>
    <row r="109" spans="1:19" x14ac:dyDescent="0.2">
      <c r="A109" s="302" t="s">
        <v>6840</v>
      </c>
      <c r="B109" s="301" t="s">
        <v>6807</v>
      </c>
      <c r="C109" s="301" t="str">
        <f t="shared" si="3"/>
        <v>Habilidad de esquiva completa+75</v>
      </c>
      <c r="D109" s="302">
        <v>18</v>
      </c>
      <c r="E109" s="302">
        <v>22</v>
      </c>
      <c r="F109" s="302">
        <v>50</v>
      </c>
      <c r="G109" s="302">
        <v>12</v>
      </c>
      <c r="H109" s="302">
        <v>24</v>
      </c>
      <c r="I109" s="302">
        <v>42</v>
      </c>
      <c r="J109" s="302">
        <v>2</v>
      </c>
      <c r="N109" t="s">
        <v>6995</v>
      </c>
      <c r="O109" s="302" t="s">
        <v>175</v>
      </c>
      <c r="P109" s="302" t="s">
        <v>116</v>
      </c>
      <c r="Q109" s="302" t="s">
        <v>58</v>
      </c>
      <c r="R109" s="302" t="s">
        <v>6858</v>
      </c>
      <c r="S109" s="302" t="str">
        <f>IF(O221&lt;&gt;0," "&amp;O$119&amp;" +"&amp;O221,"")&amp;IF(P221&lt;&gt;0," "&amp;P$119&amp;" +"&amp;P221,"")&amp;IF(Q221&lt;&gt;0," "&amp;Q$119&amp;" +"&amp;Q221,"")&amp;IF(R221&lt;&gt;0," "&amp;R$119&amp;" +"&amp;R221,"")&amp;IF(S221&lt;&gt;0," "&amp;S$119&amp;" +"&amp;S221,"")&amp;IF(T221&lt;&gt;0," "&amp;T$119&amp;" +"&amp;T221,"")</f>
        <v xml:space="preserve"> FUE +1 DES +2 CON +2 VOL +1</v>
      </c>
    </row>
    <row r="110" spans="1:19" x14ac:dyDescent="0.2">
      <c r="A110" s="302" t="s">
        <v>6840</v>
      </c>
      <c r="B110" s="301" t="s">
        <v>6808</v>
      </c>
      <c r="C110" s="301" t="str">
        <f t="shared" si="3"/>
        <v>Habilidad de esquiva completa+90</v>
      </c>
      <c r="D110" s="302">
        <v>26</v>
      </c>
      <c r="E110" s="302">
        <v>32</v>
      </c>
      <c r="F110" s="302">
        <v>65</v>
      </c>
      <c r="G110" s="302">
        <v>15</v>
      </c>
      <c r="H110" s="302">
        <v>30</v>
      </c>
      <c r="I110" s="302">
        <v>53</v>
      </c>
      <c r="J110" s="302">
        <v>3</v>
      </c>
      <c r="N110" t="s">
        <v>6996</v>
      </c>
      <c r="O110" s="302" t="s">
        <v>430</v>
      </c>
      <c r="P110" s="302" t="s">
        <v>430</v>
      </c>
      <c r="Q110" s="302" t="s">
        <v>58</v>
      </c>
      <c r="R110" s="302" t="s">
        <v>430</v>
      </c>
      <c r="S110" s="302" t="str">
        <f>IF(O222&lt;&gt;0," "&amp;O$119&amp;" +"&amp;O222,"")&amp;IF(P222&lt;&gt;0," "&amp;P$119&amp;" +"&amp;P222,"")&amp;IF(Q222&lt;&gt;0," "&amp;Q$119&amp;" +"&amp;Q222,"")&amp;IF(R222&lt;&gt;0," "&amp;R$119&amp;" +"&amp;R222,"")&amp;IF(S222&lt;&gt;0," "&amp;S$119&amp;" +"&amp;S222,"")&amp;IF(T222&lt;&gt;0," "&amp;T$119&amp;" +"&amp;T222,"")</f>
        <v xml:space="preserve"> FUE +1 DES +2 CON +2 VOL +1</v>
      </c>
    </row>
    <row r="111" spans="1:19" x14ac:dyDescent="0.2">
      <c r="A111" s="302" t="s">
        <v>6840</v>
      </c>
      <c r="B111" s="301" t="s">
        <v>6809</v>
      </c>
      <c r="C111" s="301" t="str">
        <f t="shared" si="3"/>
        <v>Habilidad de esquiva completa+100</v>
      </c>
      <c r="D111" s="302">
        <v>30</v>
      </c>
      <c r="E111" s="302">
        <v>36</v>
      </c>
      <c r="F111" s="302">
        <v>75</v>
      </c>
      <c r="G111" s="302">
        <v>18</v>
      </c>
      <c r="H111" s="302">
        <v>36</v>
      </c>
      <c r="I111" s="302">
        <v>63</v>
      </c>
      <c r="J111" s="302">
        <v>3</v>
      </c>
      <c r="N111" t="s">
        <v>6997</v>
      </c>
      <c r="O111" s="302" t="s">
        <v>6817</v>
      </c>
      <c r="P111" s="302" t="s">
        <v>116</v>
      </c>
      <c r="Q111" s="302" t="s">
        <v>58</v>
      </c>
      <c r="R111" s="302" t="s">
        <v>6858</v>
      </c>
      <c r="S111" s="302" t="str">
        <f>IF(O223&lt;&gt;0," "&amp;O$119&amp;" +"&amp;O223,"")&amp;IF(P223&lt;&gt;0," "&amp;P$119&amp;" +"&amp;P223,"")&amp;IF(Q223&lt;&gt;0," "&amp;Q$119&amp;" +"&amp;Q223,"")&amp;IF(R223&lt;&gt;0," "&amp;R$119&amp;" +"&amp;R223,"")&amp;IF(S223&lt;&gt;0," "&amp;S$119&amp;" +"&amp;S223,"")&amp;IF(T223&lt;&gt;0," "&amp;T$119&amp;" +"&amp;T223,"")</f>
        <v xml:space="preserve"> FUE +1 DES +2 CON +2 VOL +1</v>
      </c>
    </row>
    <row r="112" spans="1:19" x14ac:dyDescent="0.2">
      <c r="A112" s="302" t="s">
        <v>6841</v>
      </c>
      <c r="B112" s="301" t="s">
        <v>6799</v>
      </c>
      <c r="C112" s="301" t="str">
        <f t="shared" si="3"/>
        <v>Habilidad de esquiva limitada+10</v>
      </c>
      <c r="D112" s="302">
        <v>1</v>
      </c>
      <c r="E112" s="302">
        <v>2</v>
      </c>
      <c r="F112" s="302">
        <v>5</v>
      </c>
      <c r="G112" s="302">
        <v>1</v>
      </c>
      <c r="H112" s="302">
        <v>2</v>
      </c>
      <c r="I112" s="302">
        <v>4</v>
      </c>
      <c r="J112" s="302">
        <v>1</v>
      </c>
      <c r="N112" t="s">
        <v>6996</v>
      </c>
      <c r="O112" s="302" t="s">
        <v>430</v>
      </c>
      <c r="P112" s="302" t="s">
        <v>430</v>
      </c>
      <c r="Q112" s="302" t="s">
        <v>58</v>
      </c>
      <c r="R112" s="302" t="s">
        <v>430</v>
      </c>
      <c r="S112" s="302" t="str">
        <f>IF(O224&lt;&gt;0," "&amp;O$119&amp;" +"&amp;O224,"")&amp;IF(P224&lt;&gt;0," "&amp;P$119&amp;" +"&amp;P224,"")&amp;IF(Q224&lt;&gt;0," "&amp;Q$119&amp;" +"&amp;Q224,"")&amp;IF(R224&lt;&gt;0," "&amp;R$119&amp;" +"&amp;R224,"")&amp;IF(S224&lt;&gt;0," "&amp;S$119&amp;" +"&amp;S224,"")&amp;IF(T224&lt;&gt;0," "&amp;T$119&amp;" +"&amp;T224,"")</f>
        <v xml:space="preserve"> FUE +1 DES +2 CON +2 VOL +1</v>
      </c>
    </row>
    <row r="113" spans="1:102" x14ac:dyDescent="0.2">
      <c r="A113" s="302" t="s">
        <v>6841</v>
      </c>
      <c r="B113" s="301" t="s">
        <v>6804</v>
      </c>
      <c r="C113" s="301" t="str">
        <f t="shared" si="3"/>
        <v>Habilidad de esquiva limitada+25</v>
      </c>
      <c r="D113" s="302">
        <v>2</v>
      </c>
      <c r="E113" s="302">
        <v>4</v>
      </c>
      <c r="F113" s="302">
        <v>5</v>
      </c>
      <c r="G113" s="302">
        <v>1</v>
      </c>
      <c r="H113" s="302">
        <v>2</v>
      </c>
      <c r="I113" s="302">
        <v>4</v>
      </c>
      <c r="J113" s="302">
        <v>1</v>
      </c>
      <c r="N113" t="s">
        <v>6998</v>
      </c>
      <c r="O113" s="302" t="s">
        <v>175</v>
      </c>
      <c r="P113" s="302" t="s">
        <v>117</v>
      </c>
      <c r="Q113" s="302" t="s">
        <v>58</v>
      </c>
      <c r="R113" s="302" t="s">
        <v>7005</v>
      </c>
      <c r="S113" s="302" t="str">
        <f>IF(O225&lt;&gt;0," "&amp;O$119&amp;" +"&amp;O225,"")&amp;IF(P225&lt;&gt;0," "&amp;P$119&amp;" +"&amp;P225,"")&amp;IF(Q225&lt;&gt;0," "&amp;Q$119&amp;" +"&amp;Q225,"")&amp;IF(R225&lt;&gt;0," "&amp;R$119&amp;" +"&amp;R225,"")&amp;IF(S225&lt;&gt;0," "&amp;S$119&amp;" +"&amp;S225,"")&amp;IF(T225&lt;&gt;0," "&amp;T$119&amp;" +"&amp;T225,"")</f>
        <v xml:space="preserve"> FUE +2 AGI +3 DES +3 VOL +1</v>
      </c>
    </row>
    <row r="114" spans="1:102" x14ac:dyDescent="0.2">
      <c r="A114" s="302" t="s">
        <v>6841</v>
      </c>
      <c r="B114" s="301" t="s">
        <v>6805</v>
      </c>
      <c r="C114" s="301" t="str">
        <f t="shared" si="3"/>
        <v>Habilidad de esquiva limitada+40</v>
      </c>
      <c r="D114" s="302">
        <v>3</v>
      </c>
      <c r="E114" s="302">
        <v>5</v>
      </c>
      <c r="F114" s="302">
        <v>10</v>
      </c>
      <c r="G114" s="302">
        <v>1</v>
      </c>
      <c r="H114" s="302">
        <v>2</v>
      </c>
      <c r="I114" s="302">
        <v>4</v>
      </c>
      <c r="J114" s="302">
        <v>1</v>
      </c>
      <c r="N114" t="s">
        <v>6899</v>
      </c>
      <c r="O114" s="302" t="s">
        <v>430</v>
      </c>
      <c r="P114" s="302" t="s">
        <v>430</v>
      </c>
      <c r="Q114" s="302" t="s">
        <v>58</v>
      </c>
      <c r="R114" s="302" t="s">
        <v>430</v>
      </c>
      <c r="S114" s="302" t="str">
        <f>IF(O226&lt;&gt;0," "&amp;O$119&amp;" +"&amp;O226,"")&amp;IF(P226&lt;&gt;0," "&amp;P$119&amp;" +"&amp;P226,"")&amp;IF(Q226&lt;&gt;0," "&amp;Q$119&amp;" +"&amp;Q226,"")&amp;IF(R226&lt;&gt;0," "&amp;R$119&amp;" +"&amp;R226,"")&amp;IF(S226&lt;&gt;0," "&amp;S$119&amp;" +"&amp;S226,"")&amp;IF(T226&lt;&gt;0," "&amp;T$119&amp;" +"&amp;T226,"")</f>
        <v xml:space="preserve"> FUE +2 AGI +3 DES +3 VOL +1</v>
      </c>
    </row>
    <row r="115" spans="1:102" x14ac:dyDescent="0.2">
      <c r="A115" s="302" t="s">
        <v>6841</v>
      </c>
      <c r="B115" s="301" t="s">
        <v>6806</v>
      </c>
      <c r="C115" s="301" t="str">
        <f t="shared" si="3"/>
        <v>Habilidad de esquiva limitada+50</v>
      </c>
      <c r="D115" s="302">
        <v>4</v>
      </c>
      <c r="E115" s="302">
        <v>6</v>
      </c>
      <c r="F115" s="302">
        <v>10</v>
      </c>
      <c r="G115" s="302">
        <v>2</v>
      </c>
      <c r="H115" s="302">
        <v>4</v>
      </c>
      <c r="I115" s="302">
        <v>7</v>
      </c>
      <c r="J115" s="302">
        <v>1</v>
      </c>
      <c r="N115" t="s">
        <v>6999</v>
      </c>
      <c r="O115" s="302" t="s">
        <v>430</v>
      </c>
      <c r="P115" s="302" t="s">
        <v>430</v>
      </c>
      <c r="Q115" s="302" t="s">
        <v>58</v>
      </c>
      <c r="R115" s="302" t="s">
        <v>430</v>
      </c>
      <c r="S115" s="302" t="str">
        <f>IF(O227&lt;&gt;0," "&amp;O$119&amp;" +"&amp;O227,"")&amp;IF(P227&lt;&gt;0," "&amp;P$119&amp;" +"&amp;P227,"")&amp;IF(Q227&lt;&gt;0," "&amp;Q$119&amp;" +"&amp;Q227,"")&amp;IF(R227&lt;&gt;0," "&amp;R$119&amp;" +"&amp;R227,"")&amp;IF(S227&lt;&gt;0," "&amp;S$119&amp;" +"&amp;S227,"")&amp;IF(T227&lt;&gt;0," "&amp;T$119&amp;" +"&amp;T227,"")</f>
        <v xml:space="preserve"> FUE +2 AGI +3 DES +3 VOL +1</v>
      </c>
    </row>
    <row r="116" spans="1:102" x14ac:dyDescent="0.2">
      <c r="A116" s="302" t="s">
        <v>6841</v>
      </c>
      <c r="B116" s="301" t="s">
        <v>6807</v>
      </c>
      <c r="C116" s="301" t="str">
        <f t="shared" si="3"/>
        <v>Habilidad de esquiva limitada+75</v>
      </c>
      <c r="D116" s="302">
        <v>6</v>
      </c>
      <c r="E116" s="302">
        <v>9</v>
      </c>
      <c r="F116" s="302">
        <v>15</v>
      </c>
      <c r="G116" s="302">
        <v>3</v>
      </c>
      <c r="H116" s="302">
        <v>6</v>
      </c>
      <c r="I116" s="302">
        <v>11</v>
      </c>
      <c r="J116" s="302">
        <v>1</v>
      </c>
    </row>
    <row r="117" spans="1:102" ht="13.5" thickBot="1" x14ac:dyDescent="0.25">
      <c r="A117" s="302" t="s">
        <v>6841</v>
      </c>
      <c r="B117" s="301" t="s">
        <v>6808</v>
      </c>
      <c r="C117" s="301" t="str">
        <f t="shared" si="3"/>
        <v>Habilidad de esquiva limitada+90</v>
      </c>
      <c r="D117" s="302">
        <v>8</v>
      </c>
      <c r="E117" s="302">
        <v>11</v>
      </c>
      <c r="F117" s="302">
        <v>20</v>
      </c>
      <c r="G117" s="302">
        <v>4</v>
      </c>
      <c r="H117" s="302">
        <v>8</v>
      </c>
      <c r="I117" s="302">
        <v>14</v>
      </c>
      <c r="J117" s="302">
        <v>1</v>
      </c>
      <c r="U117" s="535" t="s">
        <v>6890</v>
      </c>
      <c r="AL117" s="301" t="s">
        <v>7173</v>
      </c>
    </row>
    <row r="118" spans="1:102" x14ac:dyDescent="0.2">
      <c r="A118" s="302" t="s">
        <v>6841</v>
      </c>
      <c r="B118" s="301" t="s">
        <v>6809</v>
      </c>
      <c r="C118" s="301" t="str">
        <f t="shared" si="3"/>
        <v>Habilidad de esquiva limitada+100</v>
      </c>
      <c r="D118" s="302">
        <v>10</v>
      </c>
      <c r="E118" s="302">
        <v>13</v>
      </c>
      <c r="F118" s="302">
        <v>25</v>
      </c>
      <c r="G118" s="302">
        <v>6</v>
      </c>
      <c r="H118" s="302">
        <v>12</v>
      </c>
      <c r="I118" s="302">
        <v>21</v>
      </c>
      <c r="J118" s="302">
        <v>1</v>
      </c>
      <c r="N118" s="302" t="s">
        <v>0</v>
      </c>
      <c r="V118" s="617" t="s">
        <v>7164</v>
      </c>
      <c r="W118" s="618"/>
      <c r="X118" s="618"/>
      <c r="Y118" s="618"/>
      <c r="Z118" s="618"/>
      <c r="AA118" s="619"/>
      <c r="AB118" s="536" t="s">
        <v>7165</v>
      </c>
      <c r="AC118" s="536"/>
      <c r="AD118" s="536"/>
      <c r="AE118" s="536"/>
      <c r="AF118" s="536"/>
      <c r="AG118" s="536"/>
      <c r="AH118" s="568"/>
      <c r="AI118" s="568"/>
      <c r="AJ118" s="568"/>
      <c r="AK118" s="568"/>
      <c r="AL118" s="568"/>
      <c r="AM118" s="568"/>
      <c r="AQ118" s="617" t="s">
        <v>7164</v>
      </c>
      <c r="AR118" s="618"/>
      <c r="AS118" s="618"/>
      <c r="AT118" s="618"/>
      <c r="AU118" s="618"/>
      <c r="AV118" s="619"/>
      <c r="AW118" s="536" t="s">
        <v>7165</v>
      </c>
      <c r="AX118" s="536"/>
      <c r="AY118" s="536"/>
      <c r="AZ118" s="536"/>
      <c r="BA118" s="536"/>
      <c r="BB118" s="536"/>
      <c r="BC118" s="568"/>
      <c r="BD118" s="568"/>
      <c r="BE118" s="568"/>
      <c r="BF118" s="568"/>
      <c r="BG118" s="568"/>
      <c r="BH118" s="568"/>
      <c r="BL118" s="617" t="s">
        <v>7164</v>
      </c>
      <c r="BM118" s="618"/>
      <c r="BN118" s="618"/>
      <c r="BO118" s="618"/>
      <c r="BP118" s="618"/>
      <c r="BQ118" s="619"/>
      <c r="BR118" s="536" t="s">
        <v>7165</v>
      </c>
      <c r="BS118" s="536"/>
      <c r="BT118" s="536"/>
      <c r="BU118" s="536"/>
      <c r="BV118" s="536"/>
      <c r="BW118" s="536"/>
      <c r="BX118" s="568"/>
      <c r="BY118" s="568"/>
      <c r="BZ118" s="568"/>
      <c r="CA118" s="568"/>
      <c r="CB118" s="568"/>
      <c r="CC118" s="568"/>
      <c r="CG118" s="617" t="s">
        <v>7164</v>
      </c>
      <c r="CH118" s="618"/>
      <c r="CI118" s="618"/>
      <c r="CJ118" s="618"/>
      <c r="CK118" s="618"/>
      <c r="CL118" s="619"/>
      <c r="CM118" s="536" t="s">
        <v>7165</v>
      </c>
      <c r="CN118" s="536"/>
      <c r="CO118" s="536"/>
      <c r="CP118" s="536"/>
      <c r="CQ118" s="536"/>
      <c r="CR118" s="536"/>
      <c r="CS118" s="568"/>
      <c r="CT118" s="568"/>
      <c r="CU118" s="568"/>
      <c r="CV118" s="568"/>
      <c r="CW118" s="568"/>
      <c r="CX118" s="568"/>
    </row>
    <row r="119" spans="1:102" ht="13.5" thickBot="1" x14ac:dyDescent="0.25">
      <c r="A119" s="302" t="s">
        <v>6841</v>
      </c>
      <c r="B119" s="301" t="s">
        <v>6810</v>
      </c>
      <c r="C119" s="301" t="str">
        <f t="shared" si="3"/>
        <v>Habilidad de esquiva limitada+125</v>
      </c>
      <c r="D119" s="302">
        <v>12</v>
      </c>
      <c r="E119" s="302">
        <v>15</v>
      </c>
      <c r="F119" s="302">
        <v>30</v>
      </c>
      <c r="G119" s="302">
        <v>8</v>
      </c>
      <c r="H119" s="302">
        <v>16</v>
      </c>
      <c r="I119" s="302">
        <v>28</v>
      </c>
      <c r="J119" s="302">
        <v>2</v>
      </c>
      <c r="N119" s="303" t="s">
        <v>6785</v>
      </c>
      <c r="O119" s="298" t="s">
        <v>36</v>
      </c>
      <c r="P119" s="298" t="s">
        <v>46</v>
      </c>
      <c r="Q119" s="298" t="s">
        <v>57</v>
      </c>
      <c r="R119" s="298" t="s">
        <v>66</v>
      </c>
      <c r="S119" s="298" t="s">
        <v>59</v>
      </c>
      <c r="T119" s="298" t="s">
        <v>58</v>
      </c>
      <c r="V119" s="620" t="s">
        <v>36</v>
      </c>
      <c r="W119" s="299" t="s">
        <v>46</v>
      </c>
      <c r="X119" s="299" t="s">
        <v>57</v>
      </c>
      <c r="Y119" s="299" t="s">
        <v>66</v>
      </c>
      <c r="Z119" s="299" t="s">
        <v>59</v>
      </c>
      <c r="AA119" s="621" t="s">
        <v>58</v>
      </c>
      <c r="AB119" s="616" t="s">
        <v>36</v>
      </c>
      <c r="AC119" s="540" t="s">
        <v>46</v>
      </c>
      <c r="AD119" s="540" t="s">
        <v>57</v>
      </c>
      <c r="AE119" s="540" t="s">
        <v>66</v>
      </c>
      <c r="AF119" s="540" t="s">
        <v>59</v>
      </c>
      <c r="AG119" s="544" t="s">
        <v>58</v>
      </c>
      <c r="AH119" s="307"/>
      <c r="AI119" s="569" t="s">
        <v>7171</v>
      </c>
      <c r="AJ119" s="569" t="s">
        <v>7172</v>
      </c>
      <c r="AK119" s="569" t="s">
        <v>6700</v>
      </c>
      <c r="AL119" s="307"/>
      <c r="AM119" s="569"/>
      <c r="AQ119" s="620" t="s">
        <v>36</v>
      </c>
      <c r="AR119" s="299" t="s">
        <v>46</v>
      </c>
      <c r="AS119" s="299" t="s">
        <v>57</v>
      </c>
      <c r="AT119" s="299" t="s">
        <v>66</v>
      </c>
      <c r="AU119" s="299" t="s">
        <v>59</v>
      </c>
      <c r="AV119" s="621" t="s">
        <v>58</v>
      </c>
      <c r="AW119" s="616" t="s">
        <v>36</v>
      </c>
      <c r="AX119" s="540" t="s">
        <v>46</v>
      </c>
      <c r="AY119" s="540" t="s">
        <v>57</v>
      </c>
      <c r="AZ119" s="540" t="s">
        <v>66</v>
      </c>
      <c r="BA119" s="540" t="s">
        <v>59</v>
      </c>
      <c r="BB119" s="544" t="s">
        <v>58</v>
      </c>
      <c r="BC119" s="307"/>
      <c r="BD119" s="569" t="s">
        <v>7171</v>
      </c>
      <c r="BE119" s="569" t="s">
        <v>7172</v>
      </c>
      <c r="BF119" s="569" t="s">
        <v>6700</v>
      </c>
      <c r="BG119" s="307"/>
      <c r="BH119" s="569"/>
      <c r="BL119" s="620" t="s">
        <v>36</v>
      </c>
      <c r="BM119" s="299" t="s">
        <v>46</v>
      </c>
      <c r="BN119" s="299" t="s">
        <v>57</v>
      </c>
      <c r="BO119" s="299" t="s">
        <v>66</v>
      </c>
      <c r="BP119" s="299" t="s">
        <v>59</v>
      </c>
      <c r="BQ119" s="621" t="s">
        <v>58</v>
      </c>
      <c r="BR119" s="616" t="s">
        <v>36</v>
      </c>
      <c r="BS119" s="540" t="s">
        <v>46</v>
      </c>
      <c r="BT119" s="540" t="s">
        <v>57</v>
      </c>
      <c r="BU119" s="540" t="s">
        <v>66</v>
      </c>
      <c r="BV119" s="540" t="s">
        <v>59</v>
      </c>
      <c r="BW119" s="544" t="s">
        <v>58</v>
      </c>
      <c r="BX119" s="307"/>
      <c r="BY119" s="569" t="s">
        <v>7171</v>
      </c>
      <c r="BZ119" s="569" t="s">
        <v>7172</v>
      </c>
      <c r="CA119" s="569" t="s">
        <v>6700</v>
      </c>
      <c r="CB119" s="307"/>
      <c r="CC119" s="569"/>
      <c r="CG119" s="620" t="s">
        <v>36</v>
      </c>
      <c r="CH119" s="299" t="s">
        <v>46</v>
      </c>
      <c r="CI119" s="299" t="s">
        <v>57</v>
      </c>
      <c r="CJ119" s="299" t="s">
        <v>66</v>
      </c>
      <c r="CK119" s="299" t="s">
        <v>59</v>
      </c>
      <c r="CL119" s="621" t="s">
        <v>58</v>
      </c>
      <c r="CM119" s="616" t="s">
        <v>36</v>
      </c>
      <c r="CN119" s="540" t="s">
        <v>46</v>
      </c>
      <c r="CO119" s="540" t="s">
        <v>57</v>
      </c>
      <c r="CP119" s="540" t="s">
        <v>66</v>
      </c>
      <c r="CQ119" s="540" t="s">
        <v>59</v>
      </c>
      <c r="CR119" s="544" t="s">
        <v>58</v>
      </c>
      <c r="CS119" s="307"/>
      <c r="CT119" s="569" t="s">
        <v>7171</v>
      </c>
      <c r="CU119" s="569" t="s">
        <v>7172</v>
      </c>
      <c r="CV119" s="569" t="s">
        <v>6700</v>
      </c>
      <c r="CW119" s="307"/>
      <c r="CX119" s="569"/>
    </row>
    <row r="120" spans="1:102" ht="13.5" thickBot="1" x14ac:dyDescent="0.25">
      <c r="A120" s="302" t="s">
        <v>6841</v>
      </c>
      <c r="B120" s="301" t="s">
        <v>6816</v>
      </c>
      <c r="C120" s="301" t="str">
        <f t="shared" si="3"/>
        <v>Habilidad de esquiva limitada+150</v>
      </c>
      <c r="D120" s="302">
        <v>16</v>
      </c>
      <c r="E120" s="302">
        <v>20</v>
      </c>
      <c r="F120" s="302">
        <v>35</v>
      </c>
      <c r="G120" s="302">
        <v>10</v>
      </c>
      <c r="H120" s="302">
        <v>20</v>
      </c>
      <c r="I120" s="302">
        <v>35</v>
      </c>
      <c r="J120" s="302">
        <v>2</v>
      </c>
      <c r="N120" s="302" t="s">
        <v>6789</v>
      </c>
      <c r="O120" s="302">
        <v>2</v>
      </c>
      <c r="P120" s="302">
        <v>2</v>
      </c>
      <c r="S120" s="302">
        <v>3</v>
      </c>
      <c r="T120" s="302">
        <v>2</v>
      </c>
      <c r="V120" s="537">
        <f>IF('Técnicas de Ki'!B15=0,0,IF('Técnicas de Ki'!I15=TS!V$119,'Técnicas de Ki'!C15-(IF($O120&lt;&gt;0,'Técnicas de Ki'!L15,0)+IF($P120&lt;&gt;0,'Técnicas de Ki'!M15,0)+IF($Q120&lt;&gt;0,'Técnicas de Ki'!N15,0)+IF($R120&lt;&gt;0,'Técnicas de Ki'!O15,0)+IF($S120&lt;&gt;0,'Técnicas de Ki'!P15,0)+IF($T120&lt;&gt;0,'Técnicas de Ki'!Q15,0)),0))</f>
        <v>0</v>
      </c>
      <c r="W120" s="538">
        <f>IF('Técnicas de Ki'!B15=0,0,IF('Técnicas de Ki'!I15=TS!W$119,'Técnicas de Ki'!C15-(IF($O120&lt;&gt;0,'Técnicas de Ki'!L15,0)+IF($P120&lt;&gt;0,'Técnicas de Ki'!M15,0)+IF($Q120&lt;&gt;0,'Técnicas de Ki'!N15,0)+IF($R120&lt;&gt;0,'Técnicas de Ki'!O15,0)+IF($S120&lt;&gt;0,'Técnicas de Ki'!P15,0)+IF($T120&lt;&gt;0,'Técnicas de Ki'!Q15,0)),0))</f>
        <v>0</v>
      </c>
      <c r="X120" s="538">
        <f>IF('Técnicas de Ki'!B15=0,0,IF('Técnicas de Ki'!I15=TS!X$119,'Técnicas de Ki'!C15-(IF($O120&lt;&gt;0,'Técnicas de Ki'!L15,0)+IF($P120&lt;&gt;0,'Técnicas de Ki'!M15,0)+IF($Q120&lt;&gt;0,'Técnicas de Ki'!N15,0)+IF($R120&lt;&gt;0,'Técnicas de Ki'!O15,0)+IF($S120&lt;&gt;0,'Técnicas de Ki'!P15,0)+IF($T120&lt;&gt;0,'Técnicas de Ki'!Q15,0)),0))</f>
        <v>0</v>
      </c>
      <c r="Y120" s="538">
        <f>IF('Técnicas de Ki'!B15=0,0,IF('Técnicas de Ki'!I15=TS!Y$119,'Técnicas de Ki'!C15-(IF($O120&lt;&gt;0,'Técnicas de Ki'!L15,0)+IF($P120&lt;&gt;0,'Técnicas de Ki'!M15,0)+IF($Q120&lt;&gt;0,'Técnicas de Ki'!N15,0)+IF($R120&lt;&gt;0,'Técnicas de Ki'!O15,0)+IF($S120&lt;&gt;0,'Técnicas de Ki'!P15,0)+IF($T120&lt;&gt;0,'Técnicas de Ki'!Q15,0)),0))</f>
        <v>0</v>
      </c>
      <c r="Z120" s="538">
        <f>IF('Técnicas de Ki'!B15=0,0,IF('Técnicas de Ki'!I15=TS!Z$119,'Técnicas de Ki'!C15-(IF($O120&lt;&gt;0,'Técnicas de Ki'!L15,0)+IF($P120&lt;&gt;0,'Técnicas de Ki'!M15,0)+IF($Q120&lt;&gt;0,'Técnicas de Ki'!N15,0)+IF($R120&lt;&gt;0,'Técnicas de Ki'!O15,0)+IF($S120&lt;&gt;0,'Técnicas de Ki'!P15,0)+IF($T120&lt;&gt;0,'Técnicas de Ki'!Q15,0)),0))</f>
        <v>0</v>
      </c>
      <c r="AA120" s="539">
        <f>IF('Técnicas de Ki'!B15=0,0,IF('Técnicas de Ki'!I15=TS!AA$119,'Técnicas de Ki'!C15-(IF($O120&lt;&gt;0,'Técnicas de Ki'!L15,0)+IF($P120&lt;&gt;0,'Técnicas de Ki'!M15,0)+IF($Q120&lt;&gt;0,'Técnicas de Ki'!N15,0)+IF($R120&lt;&gt;0,'Técnicas de Ki'!O15,0)+IF($S120&lt;&gt;0,'Técnicas de Ki'!P15,0)+IF($T120&lt;&gt;0,'Técnicas de Ki'!Q15,0)),0))</f>
        <v>0</v>
      </c>
      <c r="AB120" s="541">
        <f>IF('Técnicas de Ki'!B15=0,0,IFERROR(IF('Técnicas de Ki'!L15&lt;&gt;0,'Técnicas de Ki'!L15+TS!$O120,0)*$O120/$O120,0))</f>
        <v>0</v>
      </c>
      <c r="AC120" s="541">
        <f>IF('Técnicas de Ki'!B15=0,0,IFERROR(IF('Técnicas de Ki'!M15&lt;&gt;0,'Técnicas de Ki'!M15+TS!$P120,0)*$P120/$P120,0))</f>
        <v>0</v>
      </c>
      <c r="AD120" s="541">
        <f>IF('Técnicas de Ki'!B15=0,0,IFERROR(IF('Técnicas de Ki'!N15&lt;&gt;0,'Técnicas de Ki'!N15+TS!$Q120,0)*$Q120/$Q120,0))</f>
        <v>0</v>
      </c>
      <c r="AE120" s="541">
        <f>IF('Técnicas de Ki'!B15=0,0,IFERROR(IF('Técnicas de Ki'!O15&lt;&gt;0,'Técnicas de Ki'!O15+TS!$R120,0)*$R120/$R120,0))</f>
        <v>0</v>
      </c>
      <c r="AF120" s="541">
        <f>IF('Técnicas de Ki'!B15=0,0,IFERROR(IF('Técnicas de Ki'!P15&lt;&gt;0,'Técnicas de Ki'!P15+TS!$S120,0)*$S120/$S120,0))</f>
        <v>0</v>
      </c>
      <c r="AG120" s="542">
        <f>IF('Técnicas de Ki'!B15=0,0,IFERROR(IF('Técnicas de Ki'!Q15&lt;&gt;0,'Técnicas de Ki'!Q15+TS!$T120,0)*$T120/$T120,0))</f>
        <v>0</v>
      </c>
      <c r="AI120" s="570" t="str">
        <f>IF('Técnicas de Ki'!B15&lt;&gt;0,'Técnicas de Ki'!A15&amp;" "&amp;'Técnicas de Ki'!B15,"")</f>
        <v/>
      </c>
      <c r="AJ120" s="302" t="b">
        <v>0</v>
      </c>
      <c r="AK120" s="302" t="str">
        <f>IF(AI120&lt;&gt;"",IF(AJ120,", ","")&amp;AI120,"")</f>
        <v/>
      </c>
      <c r="AL120" s="573" t="str">
        <f>IF(AM120,N119&amp;": "&amp;CONCATENATE(AK120,AK121,AK122,AK123,AK124,AK125,AK126,AK127),"")&amp;IF(AM120,"  ","")</f>
        <v/>
      </c>
      <c r="AM120" s="302" t="b">
        <f>OR(AJ120:AJ127,AI127&lt;&gt;"")</f>
        <v>0</v>
      </c>
      <c r="AQ120" s="537">
        <f>IF('Técnicas de Ki'!W15=0,0,IF('Técnicas de Ki'!AD15=TS!AQ$119,'Técnicas de Ki'!X15-(IF($O120&lt;&gt;0,'Técnicas de Ki'!AG15,0)+IF($P120&lt;&gt;0,'Técnicas de Ki'!AH15,0)+IF($Q120&lt;&gt;0,'Técnicas de Ki'!AI15,0)+IF($R120&lt;&gt;0,'Técnicas de Ki'!AJ15,0)+IF($S120&lt;&gt;0,'Técnicas de Ki'!AK15,0)+IF($T120&lt;&gt;0,'Técnicas de Ki'!AL15,0)),0))</f>
        <v>0</v>
      </c>
      <c r="AR120" s="538">
        <f>IF('Técnicas de Ki'!W15=0,0,IF('Técnicas de Ki'!AD15=TS!AR$119,'Técnicas de Ki'!X15-(IF($O120&lt;&gt;0,'Técnicas de Ki'!AG15,0)+IF($P120&lt;&gt;0,'Técnicas de Ki'!AH15,0)+IF($Q120&lt;&gt;0,'Técnicas de Ki'!AI15,0)+IF($R120&lt;&gt;0,'Técnicas de Ki'!AJ15,0)+IF($S120&lt;&gt;0,'Técnicas de Ki'!AK15,0)+IF($T120&lt;&gt;0,'Técnicas de Ki'!AL15,0)),0))</f>
        <v>0</v>
      </c>
      <c r="AS120" s="538">
        <f>IF('Técnicas de Ki'!W15=0,0,IF('Técnicas de Ki'!AD15=TS!AS$119,'Técnicas de Ki'!X15-(IF($O120&lt;&gt;0,'Técnicas de Ki'!AG15,0)+IF($P120&lt;&gt;0,'Técnicas de Ki'!AH15,0)+IF($Q120&lt;&gt;0,'Técnicas de Ki'!AI15,0)+IF($R120&lt;&gt;0,'Técnicas de Ki'!AJ15,0)+IF($S120&lt;&gt;0,'Técnicas de Ki'!AK15,0)+IF($T120&lt;&gt;0,'Técnicas de Ki'!AL15,0)),0))</f>
        <v>0</v>
      </c>
      <c r="AT120" s="538">
        <f>IF('Técnicas de Ki'!W15=0,0,IF('Técnicas de Ki'!AD15=TS!AT$119,'Técnicas de Ki'!X15-(IF($O120&lt;&gt;0,'Técnicas de Ki'!AG15,0)+IF($P120&lt;&gt;0,'Técnicas de Ki'!AH15,0)+IF($Q120&lt;&gt;0,'Técnicas de Ki'!AI15,0)+IF($R120&lt;&gt;0,'Técnicas de Ki'!AJ15,0)+IF($S120&lt;&gt;0,'Técnicas de Ki'!AK15,0)+IF($T120&lt;&gt;0,'Técnicas de Ki'!AL15,0)),0))</f>
        <v>0</v>
      </c>
      <c r="AU120" s="538">
        <f>IF('Técnicas de Ki'!W15=0,0,IF('Técnicas de Ki'!AD15=TS!AU$119,'Técnicas de Ki'!X15-(IF($O120&lt;&gt;0,'Técnicas de Ki'!AG15,0)+IF($P120&lt;&gt;0,'Técnicas de Ki'!AH15,0)+IF($Q120&lt;&gt;0,'Técnicas de Ki'!AI15,0)+IF($R120&lt;&gt;0,'Técnicas de Ki'!AJ15,0)+IF($S120&lt;&gt;0,'Técnicas de Ki'!AK15,0)+IF($T120&lt;&gt;0,'Técnicas de Ki'!AL15,0)),0))</f>
        <v>0</v>
      </c>
      <c r="AV120" s="539">
        <f>IF('Técnicas de Ki'!W15=0,0,IF('Técnicas de Ki'!AD15=TS!AV$119,'Técnicas de Ki'!X15-(IF($O120&lt;&gt;0,'Técnicas de Ki'!AG15,0)+IF($P120&lt;&gt;0,'Técnicas de Ki'!AH15,0)+IF($Q120&lt;&gt;0,'Técnicas de Ki'!AI15,0)+IF($R120&lt;&gt;0,'Técnicas de Ki'!AJ15,0)+IF($S120&lt;&gt;0,'Técnicas de Ki'!AK15,0)+IF($T120&lt;&gt;0,'Técnicas de Ki'!AL15,0)),0))</f>
        <v>0</v>
      </c>
      <c r="AW120" s="541">
        <f>IF('Técnicas de Ki'!W15=0,0,IFERROR(IF('Técnicas de Ki'!AG15&lt;&gt;0,'Técnicas de Ki'!AG15+TS!$O120,0)*$O120/$O120,0))</f>
        <v>0</v>
      </c>
      <c r="AX120" s="541">
        <f>IF('Técnicas de Ki'!W15=0,0,IFERROR(IF('Técnicas de Ki'!AH15&lt;&gt;0,'Técnicas de Ki'!AH15+TS!$P120,0)*$P120/$P120,0))</f>
        <v>0</v>
      </c>
      <c r="AY120" s="541">
        <f>IF('Técnicas de Ki'!W15=0,0,IFERROR(IF('Técnicas de Ki'!AI15&lt;&gt;0,'Técnicas de Ki'!AI15+TS!$Q120,0)*$Q120/$Q120,0))</f>
        <v>0</v>
      </c>
      <c r="AZ120" s="541">
        <f>IF('Técnicas de Ki'!W15=0,0,IFERROR(IF('Técnicas de Ki'!AJ15&lt;&gt;0,'Técnicas de Ki'!AJ15+TS!$R120,0)*$R120/$R120,0))</f>
        <v>0</v>
      </c>
      <c r="BA120" s="541">
        <f>IF('Técnicas de Ki'!W15=0,0,IFERROR(IF('Técnicas de Ki'!AK15&lt;&gt;0,'Técnicas de Ki'!AK15+TS!$S120,0)*$S120/$S120,0))</f>
        <v>0</v>
      </c>
      <c r="BB120" s="542">
        <f>IF('Técnicas de Ki'!W15=0,0,IFERROR(IF('Técnicas de Ki'!AL15&lt;&gt;0,'Técnicas de Ki'!AL15+TS!$T120,0)*$T120/$T120,0))</f>
        <v>0</v>
      </c>
      <c r="BD120" s="570" t="str">
        <f>IF('Técnicas de Ki'!W15&lt;&gt;0,'Técnicas de Ki'!V15&amp;" "&amp;'Técnicas de Ki'!W15,"")</f>
        <v/>
      </c>
      <c r="BE120" s="302" t="b">
        <v>0</v>
      </c>
      <c r="BF120" s="302" t="str">
        <f>IF(BD120&lt;&gt;"",IF(BE120,", ","")&amp;BD120,"")</f>
        <v/>
      </c>
      <c r="BG120" s="573" t="str">
        <f>IF(BH120,AI119&amp;": "&amp;CONCATENATE(BF120,BF121,BF122,BF123,BF124,BF125,BF126,BF127),"")&amp;IF(BH120,"  ","")</f>
        <v/>
      </c>
      <c r="BH120" s="302" t="b">
        <f>OR(BE120:BE127,BD127&lt;&gt;"")</f>
        <v>0</v>
      </c>
      <c r="BL120" s="537">
        <f>IF('Técnicas de Ki'!AR15=0,0,IF('Técnicas de Ki'!AY15=TS!BL$119,'Técnicas de Ki'!AS15-(IF($O120&lt;&gt;0,'Técnicas de Ki'!BB15,0)+IF($P120&lt;&gt;0,'Técnicas de Ki'!BC15,0)+IF($Q120&lt;&gt;0,'Técnicas de Ki'!BD15,0)+IF($R120&lt;&gt;0,'Técnicas de Ki'!BE15,0)+IF($S120&lt;&gt;0,'Técnicas de Ki'!BF15,0)+IF($T120&lt;&gt;0,'Técnicas de Ki'!BG15,0)),0))</f>
        <v>0</v>
      </c>
      <c r="BM120" s="538">
        <f>IF('Técnicas de Ki'!AR15=0,0,IF('Técnicas de Ki'!AY15=TS!BM$119,'Técnicas de Ki'!AS15-(IF($O120&lt;&gt;0,'Técnicas de Ki'!BB15,0)+IF($P120&lt;&gt;0,'Técnicas de Ki'!BC15,0)+IF($Q120&lt;&gt;0,'Técnicas de Ki'!BD15,0)+IF($R120&lt;&gt;0,'Técnicas de Ki'!BE15,0)+IF($S120&lt;&gt;0,'Técnicas de Ki'!BF15,0)+IF($T120&lt;&gt;0,'Técnicas de Ki'!BG15,0)),0))</f>
        <v>0</v>
      </c>
      <c r="BN120" s="538">
        <f>IF('Técnicas de Ki'!AR15=0,0,IF('Técnicas de Ki'!AY15=TS!BN$119,'Técnicas de Ki'!AS15-(IF($O120&lt;&gt;0,'Técnicas de Ki'!BB15,0)+IF($P120&lt;&gt;0,'Técnicas de Ki'!BC15,0)+IF($Q120&lt;&gt;0,'Técnicas de Ki'!BD15,0)+IF($R120&lt;&gt;0,'Técnicas de Ki'!BE15,0)+IF($S120&lt;&gt;0,'Técnicas de Ki'!BF15,0)+IF($T120&lt;&gt;0,'Técnicas de Ki'!BG15,0)),0))</f>
        <v>0</v>
      </c>
      <c r="BO120" s="538">
        <f>IF('Técnicas de Ki'!AR15=0,0,IF('Técnicas de Ki'!AY15=TS!BO$119,'Técnicas de Ki'!AS15-(IF($O120&lt;&gt;0,'Técnicas de Ki'!BB15,0)+IF($P120&lt;&gt;0,'Técnicas de Ki'!BC15,0)+IF($Q120&lt;&gt;0,'Técnicas de Ki'!BD15,0)+IF($R120&lt;&gt;0,'Técnicas de Ki'!BE15,0)+IF($S120&lt;&gt;0,'Técnicas de Ki'!BF15,0)+IF($T120&lt;&gt;0,'Técnicas de Ki'!BG15,0)),0))</f>
        <v>0</v>
      </c>
      <c r="BP120" s="538">
        <f>IF('Técnicas de Ki'!AR15=0,0,IF('Técnicas de Ki'!AY15=TS!BP$119,'Técnicas de Ki'!AS15-(IF($O120&lt;&gt;0,'Técnicas de Ki'!BB15,0)+IF($P120&lt;&gt;0,'Técnicas de Ki'!BC15,0)+IF($Q120&lt;&gt;0,'Técnicas de Ki'!BD15,0)+IF($R120&lt;&gt;0,'Técnicas de Ki'!BE15,0)+IF($S120&lt;&gt;0,'Técnicas de Ki'!BF15,0)+IF($T120&lt;&gt;0,'Técnicas de Ki'!BG15,0)),0))</f>
        <v>0</v>
      </c>
      <c r="BQ120" s="539">
        <f>IF('Técnicas de Ki'!AR15=0,0,IF('Técnicas de Ki'!AY15=TS!BQ$119,'Técnicas de Ki'!AS15-(IF($O120&lt;&gt;0,'Técnicas de Ki'!BB15,0)+IF($P120&lt;&gt;0,'Técnicas de Ki'!BC15,0)+IF($Q120&lt;&gt;0,'Técnicas de Ki'!BD15,0)+IF($R120&lt;&gt;0,'Técnicas de Ki'!BE15,0)+IF($S120&lt;&gt;0,'Técnicas de Ki'!BF15,0)+IF($T120&lt;&gt;0,'Técnicas de Ki'!BG15,0)),0))</f>
        <v>0</v>
      </c>
      <c r="BR120" s="541">
        <f>IF('Técnicas de Ki'!AR15=0,0,IFERROR(IF('Técnicas de Ki'!BB15&lt;&gt;0,'Técnicas de Ki'!BB15+TS!$O120,0)*$O120/$O120,0))</f>
        <v>0</v>
      </c>
      <c r="BS120" s="541">
        <f>IF('Técnicas de Ki'!AR15=0,0,IFERROR(IF('Técnicas de Ki'!BC15&lt;&gt;0,'Técnicas de Ki'!BC15+TS!$P120,0)*$P120/$P120,0))</f>
        <v>0</v>
      </c>
      <c r="BT120" s="541">
        <f>IF('Técnicas de Ki'!AR15=0,0,IFERROR(IF('Técnicas de Ki'!BD15&lt;&gt;0,'Técnicas de Ki'!BD15+TS!$Q120,0)*$Q120/$Q120,0))</f>
        <v>0</v>
      </c>
      <c r="BU120" s="541">
        <f>IF('Técnicas de Ki'!AR15=0,0,IFERROR(IF('Técnicas de Ki'!BE15&lt;&gt;0,'Técnicas de Ki'!BE15+TS!$R120,0)*$R120/$R120,0))</f>
        <v>0</v>
      </c>
      <c r="BV120" s="541">
        <f>IF('Técnicas de Ki'!AR15=0,0,IFERROR(IF('Técnicas de Ki'!BF15&lt;&gt;0,'Técnicas de Ki'!BF15+TS!$S120,0)*$S120/$S120,0))</f>
        <v>0</v>
      </c>
      <c r="BW120" s="542">
        <f>IF('Técnicas de Ki'!AR15=0,0,IFERROR(IF('Técnicas de Ki'!BG15&lt;&gt;0,'Técnicas de Ki'!BG15+TS!$T120,0)*$T120/$T120,0))</f>
        <v>0</v>
      </c>
      <c r="BY120" s="570" t="str">
        <f>IF('Técnicas de Ki'!AR15&lt;&gt;0,'Técnicas de Ki'!AQ15&amp;" "&amp;'Técnicas de Ki'!AR15,"")</f>
        <v/>
      </c>
      <c r="BZ120" s="302" t="b">
        <v>0</v>
      </c>
      <c r="CA120" s="302" t="str">
        <f>IF(BY120&lt;&gt;"",IF(BZ120,", ","")&amp;BY120,"")</f>
        <v/>
      </c>
      <c r="CB120" s="573" t="str">
        <f>IF(CC120,BD119&amp;": "&amp;CONCATENATE(CA120,CA121,CA122,CA123,CA124,CA125,CA126,CA127),"")&amp;IF(CC120,"  ","")</f>
        <v/>
      </c>
      <c r="CC120" s="302" t="b">
        <f>OR(BZ120:BZ127,BY127&lt;&gt;"")</f>
        <v>0</v>
      </c>
      <c r="CG120" s="537">
        <f>IF('Técnicas de Ki'!BM15=0,0,IF('Técnicas de Ki'!BT15=TS!CG$119,'Técnicas de Ki'!BN15-(IF($O120&lt;&gt;0,'Técnicas de Ki'!BW15,0)+IF($P120&lt;&gt;0,'Técnicas de Ki'!BX15,0)+IF($Q120&lt;&gt;0,'Técnicas de Ki'!BY15,0)+IF($R120&lt;&gt;0,'Técnicas de Ki'!BZ15,0)+IF($S120&lt;&gt;0,'Técnicas de Ki'!CA15,0)+IF($T120&lt;&gt;0,'Técnicas de Ki'!CB15,0)),0))</f>
        <v>0</v>
      </c>
      <c r="CH120" s="538">
        <f>IF('Técnicas de Ki'!BM15=0,0,IF('Técnicas de Ki'!BT15=TS!CH$119,'Técnicas de Ki'!BN15-(IF($O120&lt;&gt;0,'Técnicas de Ki'!BW15,0)+IF($P120&lt;&gt;0,'Técnicas de Ki'!BX15,0)+IF($Q120&lt;&gt;0,'Técnicas de Ki'!BY15,0)+IF($R120&lt;&gt;0,'Técnicas de Ki'!BZ15,0)+IF($S120&lt;&gt;0,'Técnicas de Ki'!CA15,0)+IF($T120&lt;&gt;0,'Técnicas de Ki'!CB15,0)),0))</f>
        <v>0</v>
      </c>
      <c r="CI120" s="538">
        <f>IF('Técnicas de Ki'!BM15=0,0,IF('Técnicas de Ki'!BT15=TS!CI$119,'Técnicas de Ki'!BN15-(IF($O120&lt;&gt;0,'Técnicas de Ki'!BW15,0)+IF($P120&lt;&gt;0,'Técnicas de Ki'!BX15,0)+IF($Q120&lt;&gt;0,'Técnicas de Ki'!BY15,0)+IF($R120&lt;&gt;0,'Técnicas de Ki'!BZ15,0)+IF($S120&lt;&gt;0,'Técnicas de Ki'!CA15,0)+IF($T120&lt;&gt;0,'Técnicas de Ki'!CB15,0)),0))</f>
        <v>0</v>
      </c>
      <c r="CJ120" s="538">
        <f>IF('Técnicas de Ki'!BM15=0,0,IF('Técnicas de Ki'!BT15=TS!CJ$119,'Técnicas de Ki'!BN15-(IF($O120&lt;&gt;0,'Técnicas de Ki'!BW15,0)+IF($P120&lt;&gt;0,'Técnicas de Ki'!BX15,0)+IF($Q120&lt;&gt;0,'Técnicas de Ki'!BY15,0)+IF($R120&lt;&gt;0,'Técnicas de Ki'!BZ15,0)+IF($S120&lt;&gt;0,'Técnicas de Ki'!CA15,0)+IF($T120&lt;&gt;0,'Técnicas de Ki'!CB15,0)),0))</f>
        <v>0</v>
      </c>
      <c r="CK120" s="538">
        <f>IF('Técnicas de Ki'!BM15=0,0,IF('Técnicas de Ki'!BT15=TS!CK$119,'Técnicas de Ki'!BN15-(IF($O120&lt;&gt;0,'Técnicas de Ki'!BW15,0)+IF($P120&lt;&gt;0,'Técnicas de Ki'!BX15,0)+IF($Q120&lt;&gt;0,'Técnicas de Ki'!BY15,0)+IF($R120&lt;&gt;0,'Técnicas de Ki'!BZ15,0)+IF($S120&lt;&gt;0,'Técnicas de Ki'!CA15,0)+IF($T120&lt;&gt;0,'Técnicas de Ki'!CB15,0)),0))</f>
        <v>0</v>
      </c>
      <c r="CL120" s="539">
        <f>IF('Técnicas de Ki'!BM15=0,0,IF('Técnicas de Ki'!BT15=TS!CL$119,'Técnicas de Ki'!BN15-(IF($O120&lt;&gt;0,'Técnicas de Ki'!BW15,0)+IF($P120&lt;&gt;0,'Técnicas de Ki'!BX15,0)+IF($Q120&lt;&gt;0,'Técnicas de Ki'!BY15,0)+IF($R120&lt;&gt;0,'Técnicas de Ki'!BZ15,0)+IF($S120&lt;&gt;0,'Técnicas de Ki'!CA15,0)+IF($T120&lt;&gt;0,'Técnicas de Ki'!CB15,0)),0))</f>
        <v>0</v>
      </c>
      <c r="CM120" s="541">
        <f>IF('Técnicas de Ki'!BM15=0,0,IFERROR(IF('Técnicas de Ki'!BW15&lt;&gt;0,'Técnicas de Ki'!BW15+TS!$O120,0)*$O120/$O120,0))</f>
        <v>0</v>
      </c>
      <c r="CN120" s="541">
        <f>IF('Técnicas de Ki'!BM15=0,0,IFERROR(IF('Técnicas de Ki'!BX15&lt;&gt;0,'Técnicas de Ki'!BX15+TS!$P120,0)*$P120/$P120,0))</f>
        <v>0</v>
      </c>
      <c r="CO120" s="541">
        <f>IF('Técnicas de Ki'!BM15=0,0,IFERROR(IF('Técnicas de Ki'!BY15&lt;&gt;0,'Técnicas de Ki'!BY15+TS!$Q120,0)*$Q120/$Q120,0))</f>
        <v>0</v>
      </c>
      <c r="CP120" s="541">
        <f>IF('Técnicas de Ki'!BM15=0,0,IFERROR(IF('Técnicas de Ki'!BZ15&lt;&gt;0,'Técnicas de Ki'!BZ15+TS!$R120,0)*$R120/$R120,0))</f>
        <v>0</v>
      </c>
      <c r="CQ120" s="541">
        <f>IF('Técnicas de Ki'!BM15=0,0,IFERROR(IF('Técnicas de Ki'!CA15&lt;&gt;0,'Técnicas de Ki'!CA15+TS!$S120,0)*$S120/$S120,0))</f>
        <v>0</v>
      </c>
      <c r="CR120" s="542">
        <f>IF('Técnicas de Ki'!BM15=0,0,IFERROR(IF('Técnicas de Ki'!CB15&lt;&gt;0,'Técnicas de Ki'!CB15+TS!$T120,0)*$T120/$T120,0))</f>
        <v>0</v>
      </c>
      <c r="CT120" s="570" t="str">
        <f>IF('Técnicas de Ki'!BM15&lt;&gt;0,'Técnicas de Ki'!BL15&amp;" "&amp;'Técnicas de Ki'!BM15,"")</f>
        <v/>
      </c>
      <c r="CU120" s="302" t="b">
        <v>0</v>
      </c>
      <c r="CV120" s="302" t="str">
        <f>IF(CT120&lt;&gt;"",IF(CU120,", ","")&amp;CT120,"")</f>
        <v/>
      </c>
      <c r="CW120" s="573" t="str">
        <f>IF(CX120,BY119&amp;": "&amp;CONCATENATE(CV120,CV121,CV122,CV123,CV124,CV125,CV126,CV127),"")&amp;IF(CX120,"  ","")</f>
        <v/>
      </c>
      <c r="CX120" s="302" t="b">
        <f>OR(CU120:CU127,CT127&lt;&gt;"")</f>
        <v>0</v>
      </c>
    </row>
    <row r="121" spans="1:102" x14ac:dyDescent="0.2">
      <c r="A121" s="302" t="s">
        <v>6841</v>
      </c>
      <c r="B121" s="301" t="s">
        <v>6811</v>
      </c>
      <c r="C121" s="301" t="str">
        <f t="shared" si="3"/>
        <v>Habilidad de esquiva limitada+175</v>
      </c>
      <c r="D121" s="302">
        <v>20</v>
      </c>
      <c r="E121" s="302">
        <v>24</v>
      </c>
      <c r="F121" s="302">
        <v>40</v>
      </c>
      <c r="G121" s="302">
        <v>12</v>
      </c>
      <c r="H121" s="302">
        <v>24</v>
      </c>
      <c r="I121" s="302">
        <v>42</v>
      </c>
      <c r="J121" s="302">
        <v>3</v>
      </c>
      <c r="N121" s="302" t="s">
        <v>6788</v>
      </c>
      <c r="O121" s="302">
        <v>2</v>
      </c>
      <c r="P121" s="302">
        <v>2</v>
      </c>
      <c r="S121" s="302">
        <v>3</v>
      </c>
      <c r="T121" s="302">
        <v>2</v>
      </c>
      <c r="V121" s="537">
        <f>IF('Técnicas de Ki'!B16=0,0,IF('Técnicas de Ki'!I16=TS!V$119,'Técnicas de Ki'!C16-(IF($O121&lt;&gt;0,'Técnicas de Ki'!L16,0)+IF($P121&lt;&gt;0,'Técnicas de Ki'!M16,0)+IF($Q121&lt;&gt;0,'Técnicas de Ki'!N16,0)+IF($R121&lt;&gt;0,'Técnicas de Ki'!O16,0)+IF($S121&lt;&gt;0,'Técnicas de Ki'!P16,0)+IF($T121&lt;&gt;0,'Técnicas de Ki'!Q16,0)),0))</f>
        <v>0</v>
      </c>
      <c r="W121" s="538">
        <f>IF('Técnicas de Ki'!B16=0,0,IF('Técnicas de Ki'!I16=TS!W$119,'Técnicas de Ki'!C16-(IF($O121&lt;&gt;0,'Técnicas de Ki'!L16,0)+IF($P121&lt;&gt;0,'Técnicas de Ki'!M16,0)+IF($Q121&lt;&gt;0,'Técnicas de Ki'!N16,0)+IF($R121&lt;&gt;0,'Técnicas de Ki'!O16,0)+IF($S121&lt;&gt;0,'Técnicas de Ki'!P16,0)+IF($T121&lt;&gt;0,'Técnicas de Ki'!Q16,0)),0))</f>
        <v>0</v>
      </c>
      <c r="X121" s="538">
        <f>IF('Técnicas de Ki'!B16=0,0,IF('Técnicas de Ki'!I16=TS!X$119,'Técnicas de Ki'!C16-(IF($O121&lt;&gt;0,'Técnicas de Ki'!L16,0)+IF($P121&lt;&gt;0,'Técnicas de Ki'!M16,0)+IF($Q121&lt;&gt;0,'Técnicas de Ki'!N16,0)+IF($R121&lt;&gt;0,'Técnicas de Ki'!O16,0)+IF($S121&lt;&gt;0,'Técnicas de Ki'!P16,0)+IF($T121&lt;&gt;0,'Técnicas de Ki'!Q16,0)),0))</f>
        <v>0</v>
      </c>
      <c r="Y121" s="538">
        <f>IF('Técnicas de Ki'!B16=0,0,IF('Técnicas de Ki'!I16=TS!Y$119,'Técnicas de Ki'!C16-(IF($O121&lt;&gt;0,'Técnicas de Ki'!L16,0)+IF($P121&lt;&gt;0,'Técnicas de Ki'!M16,0)+IF($Q121&lt;&gt;0,'Técnicas de Ki'!N16,0)+IF($R121&lt;&gt;0,'Técnicas de Ki'!O16,0)+IF($S121&lt;&gt;0,'Técnicas de Ki'!P16,0)+IF($T121&lt;&gt;0,'Técnicas de Ki'!Q16,0)),0))</f>
        <v>0</v>
      </c>
      <c r="Z121" s="538">
        <f>IF('Técnicas de Ki'!B16=0,0,IF('Técnicas de Ki'!I16=TS!Z$119,'Técnicas de Ki'!C16-(IF($O121&lt;&gt;0,'Técnicas de Ki'!L16,0)+IF($P121&lt;&gt;0,'Técnicas de Ki'!M16,0)+IF($Q121&lt;&gt;0,'Técnicas de Ki'!N16,0)+IF($R121&lt;&gt;0,'Técnicas de Ki'!O16,0)+IF($S121&lt;&gt;0,'Técnicas de Ki'!P16,0)+IF($T121&lt;&gt;0,'Técnicas de Ki'!Q16,0)),0))</f>
        <v>0</v>
      </c>
      <c r="AA121" s="539">
        <f>IF('Técnicas de Ki'!B16=0,0,IF('Técnicas de Ki'!I16=TS!AA$119,'Técnicas de Ki'!C16-(IF($O121&lt;&gt;0,'Técnicas de Ki'!L16,0)+IF($P121&lt;&gt;0,'Técnicas de Ki'!M16,0)+IF($Q121&lt;&gt;0,'Técnicas de Ki'!N16,0)+IF($R121&lt;&gt;0,'Técnicas de Ki'!O16,0)+IF($S121&lt;&gt;0,'Técnicas de Ki'!P16,0)+IF($T121&lt;&gt;0,'Técnicas de Ki'!Q16,0)),0))</f>
        <v>0</v>
      </c>
      <c r="AB121" s="538">
        <f>IF('Técnicas de Ki'!B16=0,0,IFERROR(IF('Técnicas de Ki'!L16&lt;&gt;0,'Técnicas de Ki'!L16+TS!$O121,0)*$O121/$O121,0))</f>
        <v>0</v>
      </c>
      <c r="AC121" s="538">
        <f>IF('Técnicas de Ki'!B16=0,0,IFERROR(IF('Técnicas de Ki'!M16&lt;&gt;0,'Técnicas de Ki'!M16+TS!$P121,0)*$P121/$P121,0))</f>
        <v>0</v>
      </c>
      <c r="AD121" s="538">
        <f>IF('Técnicas de Ki'!B16=0,0,IFERROR(IF('Técnicas de Ki'!N16&lt;&gt;0,'Técnicas de Ki'!N16+TS!$Q121,0)*$Q121/$Q121,0))</f>
        <v>0</v>
      </c>
      <c r="AE121" s="538">
        <f>IF('Técnicas de Ki'!B16=0,0,IFERROR(IF('Técnicas de Ki'!O16&lt;&gt;0,'Técnicas de Ki'!O16+TS!$R121,0)*$R121/$R121,0))</f>
        <v>0</v>
      </c>
      <c r="AF121" s="538">
        <f>IF('Técnicas de Ki'!B16=0,0,IFERROR(IF('Técnicas de Ki'!P16&lt;&gt;0,'Técnicas de Ki'!P16+TS!$S121,0)*$S121/$S121,0))</f>
        <v>0</v>
      </c>
      <c r="AG121" s="539">
        <f>IF('Técnicas de Ki'!B16=0,0,IFERROR(IF('Técnicas de Ki'!Q16&lt;&gt;0,'Técnicas de Ki'!Q16+TS!$T121,0)*$T121/$T121,0))</f>
        <v>0</v>
      </c>
      <c r="AI121" s="571" t="str">
        <f>IF('Técnicas de Ki'!B16&lt;&gt;0,'Técnicas de Ki'!A16&amp;" "&amp;'Técnicas de Ki'!B16,"")</f>
        <v/>
      </c>
      <c r="AJ121" s="302" t="b">
        <f>OR(AJ120,AI120&lt;&gt;"")</f>
        <v>0</v>
      </c>
      <c r="AK121" s="302" t="str">
        <f t="shared" ref="AK121:AK184" si="4">IF(AI121&lt;&gt;"",IF(AJ121,", ","")&amp;AI121,"")</f>
        <v/>
      </c>
      <c r="AQ121" s="537">
        <f>IF('Técnicas de Ki'!W16=0,0,IF('Técnicas de Ki'!AD16=TS!AQ$119,'Técnicas de Ki'!X16-(IF($O121&lt;&gt;0,'Técnicas de Ki'!AG16,0)+IF($P121&lt;&gt;0,'Técnicas de Ki'!AH16,0)+IF($Q121&lt;&gt;0,'Técnicas de Ki'!AI16,0)+IF($R121&lt;&gt;0,'Técnicas de Ki'!AJ16,0)+IF($S121&lt;&gt;0,'Técnicas de Ki'!AK16,0)+IF($T121&lt;&gt;0,'Técnicas de Ki'!AL16,0)),0))</f>
        <v>0</v>
      </c>
      <c r="AR121" s="538">
        <f>IF('Técnicas de Ki'!W16=0,0,IF('Técnicas de Ki'!AD16=TS!AR$119,'Técnicas de Ki'!X16-(IF($O121&lt;&gt;0,'Técnicas de Ki'!AG16,0)+IF($P121&lt;&gt;0,'Técnicas de Ki'!AH16,0)+IF($Q121&lt;&gt;0,'Técnicas de Ki'!AI16,0)+IF($R121&lt;&gt;0,'Técnicas de Ki'!AJ16,0)+IF($S121&lt;&gt;0,'Técnicas de Ki'!AK16,0)+IF($T121&lt;&gt;0,'Técnicas de Ki'!AL16,0)),0))</f>
        <v>0</v>
      </c>
      <c r="AS121" s="538">
        <f>IF('Técnicas de Ki'!W16=0,0,IF('Técnicas de Ki'!AD16=TS!AS$119,'Técnicas de Ki'!X16-(IF($O121&lt;&gt;0,'Técnicas de Ki'!AG16,0)+IF($P121&lt;&gt;0,'Técnicas de Ki'!AH16,0)+IF($Q121&lt;&gt;0,'Técnicas de Ki'!AI16,0)+IF($R121&lt;&gt;0,'Técnicas de Ki'!AJ16,0)+IF($S121&lt;&gt;0,'Técnicas de Ki'!AK16,0)+IF($T121&lt;&gt;0,'Técnicas de Ki'!AL16,0)),0))</f>
        <v>0</v>
      </c>
      <c r="AT121" s="538">
        <f>IF('Técnicas de Ki'!W16=0,0,IF('Técnicas de Ki'!AD16=TS!AT$119,'Técnicas de Ki'!X16-(IF($O121&lt;&gt;0,'Técnicas de Ki'!AG16,0)+IF($P121&lt;&gt;0,'Técnicas de Ki'!AH16,0)+IF($Q121&lt;&gt;0,'Técnicas de Ki'!AI16,0)+IF($R121&lt;&gt;0,'Técnicas de Ki'!AJ16,0)+IF($S121&lt;&gt;0,'Técnicas de Ki'!AK16,0)+IF($T121&lt;&gt;0,'Técnicas de Ki'!AL16,0)),0))</f>
        <v>0</v>
      </c>
      <c r="AU121" s="538">
        <f>IF('Técnicas de Ki'!W16=0,0,IF('Técnicas de Ki'!AD16=TS!AU$119,'Técnicas de Ki'!X16-(IF($O121&lt;&gt;0,'Técnicas de Ki'!AG16,0)+IF($P121&lt;&gt;0,'Técnicas de Ki'!AH16,0)+IF($Q121&lt;&gt;0,'Técnicas de Ki'!AI16,0)+IF($R121&lt;&gt;0,'Técnicas de Ki'!AJ16,0)+IF($S121&lt;&gt;0,'Técnicas de Ki'!AK16,0)+IF($T121&lt;&gt;0,'Técnicas de Ki'!AL16,0)),0))</f>
        <v>0</v>
      </c>
      <c r="AV121" s="539">
        <f>IF('Técnicas de Ki'!W16=0,0,IF('Técnicas de Ki'!AD16=TS!AV$119,'Técnicas de Ki'!X16-(IF($O121&lt;&gt;0,'Técnicas de Ki'!AG16,0)+IF($P121&lt;&gt;0,'Técnicas de Ki'!AH16,0)+IF($Q121&lt;&gt;0,'Técnicas de Ki'!AI16,0)+IF($R121&lt;&gt;0,'Técnicas de Ki'!AJ16,0)+IF($S121&lt;&gt;0,'Técnicas de Ki'!AK16,0)+IF($T121&lt;&gt;0,'Técnicas de Ki'!AL16,0)),0))</f>
        <v>0</v>
      </c>
      <c r="AW121" s="538">
        <f>IF('Técnicas de Ki'!W16=0,0,IFERROR(IF('Técnicas de Ki'!AG16&lt;&gt;0,'Técnicas de Ki'!AG16+TS!$O121,0)*$O121/$O121,0))</f>
        <v>0</v>
      </c>
      <c r="AX121" s="538">
        <f>IF('Técnicas de Ki'!W16=0,0,IFERROR(IF('Técnicas de Ki'!AH16&lt;&gt;0,'Técnicas de Ki'!AH16+TS!$P121,0)*$P121/$P121,0))</f>
        <v>0</v>
      </c>
      <c r="AY121" s="538">
        <f>IF('Técnicas de Ki'!W16=0,0,IFERROR(IF('Técnicas de Ki'!AI16&lt;&gt;0,'Técnicas de Ki'!AI16+TS!$Q121,0)*$Q121/$Q121,0))</f>
        <v>0</v>
      </c>
      <c r="AZ121" s="538">
        <f>IF('Técnicas de Ki'!W16=0,0,IFERROR(IF('Técnicas de Ki'!AJ16&lt;&gt;0,'Técnicas de Ki'!AJ16+TS!$R121,0)*$R121/$R121,0))</f>
        <v>0</v>
      </c>
      <c r="BA121" s="538">
        <f>IF('Técnicas de Ki'!W16=0,0,IFERROR(IF('Técnicas de Ki'!AK16&lt;&gt;0,'Técnicas de Ki'!AK16+TS!$S121,0)*$S121/$S121,0))</f>
        <v>0</v>
      </c>
      <c r="BB121" s="539">
        <f>IF('Técnicas de Ki'!W16=0,0,IFERROR(IF('Técnicas de Ki'!AL16&lt;&gt;0,'Técnicas de Ki'!AL16+TS!$T121,0)*$T121/$T121,0))</f>
        <v>0</v>
      </c>
      <c r="BD121" s="571" t="str">
        <f>IF('Técnicas de Ki'!W16&lt;&gt;0,'Técnicas de Ki'!V16&amp;" "&amp;'Técnicas de Ki'!W16,"")</f>
        <v/>
      </c>
      <c r="BE121" s="302" t="b">
        <f>OR(BE120,BD120&lt;&gt;"")</f>
        <v>0</v>
      </c>
      <c r="BF121" s="302" t="str">
        <f t="shared" ref="BF121:BF184" si="5">IF(BD121&lt;&gt;"",IF(BE121,", ","")&amp;BD121,"")</f>
        <v/>
      </c>
      <c r="BL121" s="537">
        <f>IF('Técnicas de Ki'!AR16=0,0,IF('Técnicas de Ki'!AY16=TS!BL$119,'Técnicas de Ki'!AS16-(IF($O121&lt;&gt;0,'Técnicas de Ki'!BB16,0)+IF($P121&lt;&gt;0,'Técnicas de Ki'!BC16,0)+IF($Q121&lt;&gt;0,'Técnicas de Ki'!BD16,0)+IF($R121&lt;&gt;0,'Técnicas de Ki'!BE16,0)+IF($S121&lt;&gt;0,'Técnicas de Ki'!BF16,0)+IF($T121&lt;&gt;0,'Técnicas de Ki'!BG16,0)),0))</f>
        <v>0</v>
      </c>
      <c r="BM121" s="538">
        <f>IF('Técnicas de Ki'!AR16=0,0,IF('Técnicas de Ki'!AY16=TS!BM$119,'Técnicas de Ki'!AS16-(IF($O121&lt;&gt;0,'Técnicas de Ki'!BB16,0)+IF($P121&lt;&gt;0,'Técnicas de Ki'!BC16,0)+IF($Q121&lt;&gt;0,'Técnicas de Ki'!BD16,0)+IF($R121&lt;&gt;0,'Técnicas de Ki'!BE16,0)+IF($S121&lt;&gt;0,'Técnicas de Ki'!BF16,0)+IF($T121&lt;&gt;0,'Técnicas de Ki'!BG16,0)),0))</f>
        <v>0</v>
      </c>
      <c r="BN121" s="538">
        <f>IF('Técnicas de Ki'!AR16=0,0,IF('Técnicas de Ki'!AY16=TS!BN$119,'Técnicas de Ki'!AS16-(IF($O121&lt;&gt;0,'Técnicas de Ki'!BB16,0)+IF($P121&lt;&gt;0,'Técnicas de Ki'!BC16,0)+IF($Q121&lt;&gt;0,'Técnicas de Ki'!BD16,0)+IF($R121&lt;&gt;0,'Técnicas de Ki'!BE16,0)+IF($S121&lt;&gt;0,'Técnicas de Ki'!BF16,0)+IF($T121&lt;&gt;0,'Técnicas de Ki'!BG16,0)),0))</f>
        <v>0</v>
      </c>
      <c r="BO121" s="538">
        <f>IF('Técnicas de Ki'!AR16=0,0,IF('Técnicas de Ki'!AY16=TS!BO$119,'Técnicas de Ki'!AS16-(IF($O121&lt;&gt;0,'Técnicas de Ki'!BB16,0)+IF($P121&lt;&gt;0,'Técnicas de Ki'!BC16,0)+IF($Q121&lt;&gt;0,'Técnicas de Ki'!BD16,0)+IF($R121&lt;&gt;0,'Técnicas de Ki'!BE16,0)+IF($S121&lt;&gt;0,'Técnicas de Ki'!BF16,0)+IF($T121&lt;&gt;0,'Técnicas de Ki'!BG16,0)),0))</f>
        <v>0</v>
      </c>
      <c r="BP121" s="538">
        <f>IF('Técnicas de Ki'!AR16=0,0,IF('Técnicas de Ki'!AY16=TS!BP$119,'Técnicas de Ki'!AS16-(IF($O121&lt;&gt;0,'Técnicas de Ki'!BB16,0)+IF($P121&lt;&gt;0,'Técnicas de Ki'!BC16,0)+IF($Q121&lt;&gt;0,'Técnicas de Ki'!BD16,0)+IF($R121&lt;&gt;0,'Técnicas de Ki'!BE16,0)+IF($S121&lt;&gt;0,'Técnicas de Ki'!BF16,0)+IF($T121&lt;&gt;0,'Técnicas de Ki'!BG16,0)),0))</f>
        <v>0</v>
      </c>
      <c r="BQ121" s="539">
        <f>IF('Técnicas de Ki'!AR16=0,0,IF('Técnicas de Ki'!AY16=TS!BQ$119,'Técnicas de Ki'!AS16-(IF($O121&lt;&gt;0,'Técnicas de Ki'!BB16,0)+IF($P121&lt;&gt;0,'Técnicas de Ki'!BC16,0)+IF($Q121&lt;&gt;0,'Técnicas de Ki'!BD16,0)+IF($R121&lt;&gt;0,'Técnicas de Ki'!BE16,0)+IF($S121&lt;&gt;0,'Técnicas de Ki'!BF16,0)+IF($T121&lt;&gt;0,'Técnicas de Ki'!BG16,0)),0))</f>
        <v>0</v>
      </c>
      <c r="BR121" s="538">
        <f>IF('Técnicas de Ki'!AR16=0,0,IFERROR(IF('Técnicas de Ki'!BB16&lt;&gt;0,'Técnicas de Ki'!BB16+TS!$O121,0)*$O121/$O121,0))</f>
        <v>0</v>
      </c>
      <c r="BS121" s="538">
        <f>IF('Técnicas de Ki'!AR16=0,0,IFERROR(IF('Técnicas de Ki'!BC16&lt;&gt;0,'Técnicas de Ki'!BC16+TS!$P121,0)*$P121/$P121,0))</f>
        <v>0</v>
      </c>
      <c r="BT121" s="538">
        <f>IF('Técnicas de Ki'!AR16=0,0,IFERROR(IF('Técnicas de Ki'!BD16&lt;&gt;0,'Técnicas de Ki'!BD16+TS!$Q121,0)*$Q121/$Q121,0))</f>
        <v>0</v>
      </c>
      <c r="BU121" s="538">
        <f>IF('Técnicas de Ki'!AR16=0,0,IFERROR(IF('Técnicas de Ki'!BE16&lt;&gt;0,'Técnicas de Ki'!BE16+TS!$R121,0)*$R121/$R121,0))</f>
        <v>0</v>
      </c>
      <c r="BV121" s="538">
        <f>IF('Técnicas de Ki'!AR16=0,0,IFERROR(IF('Técnicas de Ki'!BF16&lt;&gt;0,'Técnicas de Ki'!BF16+TS!$S121,0)*$S121/$S121,0))</f>
        <v>0</v>
      </c>
      <c r="BW121" s="539">
        <f>IF('Técnicas de Ki'!AR16=0,0,IFERROR(IF('Técnicas de Ki'!BG16&lt;&gt;0,'Técnicas de Ki'!BG16+TS!$T121,0)*$T121/$T121,0))</f>
        <v>0</v>
      </c>
      <c r="BY121" s="571" t="str">
        <f>IF('Técnicas de Ki'!AR16&lt;&gt;0,'Técnicas de Ki'!AQ16&amp;" "&amp;'Técnicas de Ki'!AR16,"")</f>
        <v/>
      </c>
      <c r="BZ121" s="302" t="b">
        <f>OR(BZ120,BY120&lt;&gt;"")</f>
        <v>0</v>
      </c>
      <c r="CA121" s="302" t="str">
        <f t="shared" ref="CA121:CA184" si="6">IF(BY121&lt;&gt;"",IF(BZ121,", ","")&amp;BY121,"")</f>
        <v/>
      </c>
      <c r="CG121" s="537">
        <f>IF('Técnicas de Ki'!BM16=0,0,IF('Técnicas de Ki'!BT16=TS!CG$119,'Técnicas de Ki'!BN16-(IF($O121&lt;&gt;0,'Técnicas de Ki'!BW16,0)+IF($P121&lt;&gt;0,'Técnicas de Ki'!BX16,0)+IF($Q121&lt;&gt;0,'Técnicas de Ki'!BY16,0)+IF($R121&lt;&gt;0,'Técnicas de Ki'!BZ16,0)+IF($S121&lt;&gt;0,'Técnicas de Ki'!CA16,0)+IF($T121&lt;&gt;0,'Técnicas de Ki'!CB16,0)),0))</f>
        <v>0</v>
      </c>
      <c r="CH121" s="538">
        <f>IF('Técnicas de Ki'!BM16=0,0,IF('Técnicas de Ki'!BT16=TS!CH$119,'Técnicas de Ki'!BN16-(IF($O121&lt;&gt;0,'Técnicas de Ki'!BW16,0)+IF($P121&lt;&gt;0,'Técnicas de Ki'!BX16,0)+IF($Q121&lt;&gt;0,'Técnicas de Ki'!BY16,0)+IF($R121&lt;&gt;0,'Técnicas de Ki'!BZ16,0)+IF($S121&lt;&gt;0,'Técnicas de Ki'!CA16,0)+IF($T121&lt;&gt;0,'Técnicas de Ki'!CB16,0)),0))</f>
        <v>0</v>
      </c>
      <c r="CI121" s="538">
        <f>IF('Técnicas de Ki'!BM16=0,0,IF('Técnicas de Ki'!BT16=TS!CI$119,'Técnicas de Ki'!BN16-(IF($O121&lt;&gt;0,'Técnicas de Ki'!BW16,0)+IF($P121&lt;&gt;0,'Técnicas de Ki'!BX16,0)+IF($Q121&lt;&gt;0,'Técnicas de Ki'!BY16,0)+IF($R121&lt;&gt;0,'Técnicas de Ki'!BZ16,0)+IF($S121&lt;&gt;0,'Técnicas de Ki'!CA16,0)+IF($T121&lt;&gt;0,'Técnicas de Ki'!CB16,0)),0))</f>
        <v>0</v>
      </c>
      <c r="CJ121" s="538">
        <f>IF('Técnicas de Ki'!BM16=0,0,IF('Técnicas de Ki'!BT16=TS!CJ$119,'Técnicas de Ki'!BN16-(IF($O121&lt;&gt;0,'Técnicas de Ki'!BW16,0)+IF($P121&lt;&gt;0,'Técnicas de Ki'!BX16,0)+IF($Q121&lt;&gt;0,'Técnicas de Ki'!BY16,0)+IF($R121&lt;&gt;0,'Técnicas de Ki'!BZ16,0)+IF($S121&lt;&gt;0,'Técnicas de Ki'!CA16,0)+IF($T121&lt;&gt;0,'Técnicas de Ki'!CB16,0)),0))</f>
        <v>0</v>
      </c>
      <c r="CK121" s="538">
        <f>IF('Técnicas de Ki'!BM16=0,0,IF('Técnicas de Ki'!BT16=TS!CK$119,'Técnicas de Ki'!BN16-(IF($O121&lt;&gt;0,'Técnicas de Ki'!BW16,0)+IF($P121&lt;&gt;0,'Técnicas de Ki'!BX16,0)+IF($Q121&lt;&gt;0,'Técnicas de Ki'!BY16,0)+IF($R121&lt;&gt;0,'Técnicas de Ki'!BZ16,0)+IF($S121&lt;&gt;0,'Técnicas de Ki'!CA16,0)+IF($T121&lt;&gt;0,'Técnicas de Ki'!CB16,0)),0))</f>
        <v>0</v>
      </c>
      <c r="CL121" s="539">
        <f>IF('Técnicas de Ki'!BM16=0,0,IF('Técnicas de Ki'!BT16=TS!CL$119,'Técnicas de Ki'!BN16-(IF($O121&lt;&gt;0,'Técnicas de Ki'!BW16,0)+IF($P121&lt;&gt;0,'Técnicas de Ki'!BX16,0)+IF($Q121&lt;&gt;0,'Técnicas de Ki'!BY16,0)+IF($R121&lt;&gt;0,'Técnicas de Ki'!BZ16,0)+IF($S121&lt;&gt;0,'Técnicas de Ki'!CA16,0)+IF($T121&lt;&gt;0,'Técnicas de Ki'!CB16,0)),0))</f>
        <v>0</v>
      </c>
      <c r="CM121" s="538">
        <f>IF('Técnicas de Ki'!BM16=0,0,IFERROR(IF('Técnicas de Ki'!BW16&lt;&gt;0,'Técnicas de Ki'!BW16+TS!$O121,0)*$O121/$O121,0))</f>
        <v>0</v>
      </c>
      <c r="CN121" s="538">
        <f>IF('Técnicas de Ki'!BM16=0,0,IFERROR(IF('Técnicas de Ki'!BX16&lt;&gt;0,'Técnicas de Ki'!BX16+TS!$P121,0)*$P121/$P121,0))</f>
        <v>0</v>
      </c>
      <c r="CO121" s="538">
        <f>IF('Técnicas de Ki'!BM16=0,0,IFERROR(IF('Técnicas de Ki'!BY16&lt;&gt;0,'Técnicas de Ki'!BY16+TS!$Q121,0)*$Q121/$Q121,0))</f>
        <v>0</v>
      </c>
      <c r="CP121" s="538">
        <f>IF('Técnicas de Ki'!BM16=0,0,IFERROR(IF('Técnicas de Ki'!BZ16&lt;&gt;0,'Técnicas de Ki'!BZ16+TS!$R121,0)*$R121/$R121,0))</f>
        <v>0</v>
      </c>
      <c r="CQ121" s="538">
        <f>IF('Técnicas de Ki'!BM16=0,0,IFERROR(IF('Técnicas de Ki'!CA16&lt;&gt;0,'Técnicas de Ki'!CA16+TS!$S121,0)*$S121/$S121,0))</f>
        <v>0</v>
      </c>
      <c r="CR121" s="539">
        <f>IF('Técnicas de Ki'!BM16=0,0,IFERROR(IF('Técnicas de Ki'!CB16&lt;&gt;0,'Técnicas de Ki'!CB16+TS!$T121,0)*$T121/$T121,0))</f>
        <v>0</v>
      </c>
      <c r="CT121" s="571" t="str">
        <f>IF('Técnicas de Ki'!BM16&lt;&gt;0,'Técnicas de Ki'!BL16&amp;" "&amp;'Técnicas de Ki'!BM16,"")</f>
        <v/>
      </c>
      <c r="CU121" s="302" t="b">
        <f>OR(CU120,CT120&lt;&gt;"")</f>
        <v>0</v>
      </c>
      <c r="CV121" s="302" t="str">
        <f t="shared" ref="CV121:CV184" si="7">IF(CT121&lt;&gt;"",IF(CU121,", ","")&amp;CT121,"")</f>
        <v/>
      </c>
    </row>
    <row r="122" spans="1:102" x14ac:dyDescent="0.2">
      <c r="A122" s="302" t="s">
        <v>6841</v>
      </c>
      <c r="B122" s="301" t="s">
        <v>6812</v>
      </c>
      <c r="C122" s="301" t="str">
        <f t="shared" si="3"/>
        <v>Habilidad de esquiva limitada+200</v>
      </c>
      <c r="D122" s="302">
        <v>24</v>
      </c>
      <c r="E122" s="302">
        <v>29</v>
      </c>
      <c r="F122" s="302">
        <v>45</v>
      </c>
      <c r="G122" s="302">
        <v>14</v>
      </c>
      <c r="H122" s="302">
        <v>28</v>
      </c>
      <c r="I122" s="302">
        <v>49</v>
      </c>
      <c r="J122" s="302">
        <v>3</v>
      </c>
      <c r="N122" s="302" t="s">
        <v>6790</v>
      </c>
      <c r="O122" s="302">
        <v>3</v>
      </c>
      <c r="P122" s="302">
        <v>2</v>
      </c>
      <c r="Q122" s="302">
        <v>2</v>
      </c>
      <c r="S122" s="302">
        <v>1</v>
      </c>
      <c r="V122" s="537">
        <f>IF('Técnicas de Ki'!B17=0,0,IF('Técnicas de Ki'!I17=TS!V$119,'Técnicas de Ki'!C17-(IF($O122&lt;&gt;0,'Técnicas de Ki'!L17,0)+IF($P122&lt;&gt;0,'Técnicas de Ki'!M17,0)+IF($Q122&lt;&gt;0,'Técnicas de Ki'!N17,0)+IF($R122&lt;&gt;0,'Técnicas de Ki'!O17,0)+IF($S122&lt;&gt;0,'Técnicas de Ki'!P17,0)+IF($T122&lt;&gt;0,'Técnicas de Ki'!Q17,0)),0))</f>
        <v>0</v>
      </c>
      <c r="W122" s="538">
        <f>IF('Técnicas de Ki'!B17=0,0,IF('Técnicas de Ki'!I17=TS!W$119,'Técnicas de Ki'!C17-(IF($O122&lt;&gt;0,'Técnicas de Ki'!L17,0)+IF($P122&lt;&gt;0,'Técnicas de Ki'!M17,0)+IF($Q122&lt;&gt;0,'Técnicas de Ki'!N17,0)+IF($R122&lt;&gt;0,'Técnicas de Ki'!O17,0)+IF($S122&lt;&gt;0,'Técnicas de Ki'!P17,0)+IF($T122&lt;&gt;0,'Técnicas de Ki'!Q17,0)),0))</f>
        <v>0</v>
      </c>
      <c r="X122" s="538">
        <f>IF('Técnicas de Ki'!B17=0,0,IF('Técnicas de Ki'!I17=TS!X$119,'Técnicas de Ki'!C17-(IF($O122&lt;&gt;0,'Técnicas de Ki'!L17,0)+IF($P122&lt;&gt;0,'Técnicas de Ki'!M17,0)+IF($Q122&lt;&gt;0,'Técnicas de Ki'!N17,0)+IF($R122&lt;&gt;0,'Técnicas de Ki'!O17,0)+IF($S122&lt;&gt;0,'Técnicas de Ki'!P17,0)+IF($T122&lt;&gt;0,'Técnicas de Ki'!Q17,0)),0))</f>
        <v>0</v>
      </c>
      <c r="Y122" s="538">
        <f>IF('Técnicas de Ki'!B17=0,0,IF('Técnicas de Ki'!I17=TS!Y$119,'Técnicas de Ki'!C17-(IF($O122&lt;&gt;0,'Técnicas de Ki'!L17,0)+IF($P122&lt;&gt;0,'Técnicas de Ki'!M17,0)+IF($Q122&lt;&gt;0,'Técnicas de Ki'!N17,0)+IF($R122&lt;&gt;0,'Técnicas de Ki'!O17,0)+IF($S122&lt;&gt;0,'Técnicas de Ki'!P17,0)+IF($T122&lt;&gt;0,'Técnicas de Ki'!Q17,0)),0))</f>
        <v>0</v>
      </c>
      <c r="Z122" s="538">
        <f>IF('Técnicas de Ki'!B17=0,0,IF('Técnicas de Ki'!I17=TS!Z$119,'Técnicas de Ki'!C17-(IF($O122&lt;&gt;0,'Técnicas de Ki'!L17,0)+IF($P122&lt;&gt;0,'Técnicas de Ki'!M17,0)+IF($Q122&lt;&gt;0,'Técnicas de Ki'!N17,0)+IF($R122&lt;&gt;0,'Técnicas de Ki'!O17,0)+IF($S122&lt;&gt;0,'Técnicas de Ki'!P17,0)+IF($T122&lt;&gt;0,'Técnicas de Ki'!Q17,0)),0))</f>
        <v>0</v>
      </c>
      <c r="AA122" s="539">
        <f>IF('Técnicas de Ki'!B17=0,0,IF('Técnicas de Ki'!I17=TS!AA$119,'Técnicas de Ki'!C17-(IF($O122&lt;&gt;0,'Técnicas de Ki'!L17,0)+IF($P122&lt;&gt;0,'Técnicas de Ki'!M17,0)+IF($Q122&lt;&gt;0,'Técnicas de Ki'!N17,0)+IF($R122&lt;&gt;0,'Técnicas de Ki'!O17,0)+IF($S122&lt;&gt;0,'Técnicas de Ki'!P17,0)+IF($T122&lt;&gt;0,'Técnicas de Ki'!Q17,0)),0))</f>
        <v>0</v>
      </c>
      <c r="AB122" s="538">
        <f>IF('Técnicas de Ki'!B17=0,0,IFERROR(IF('Técnicas de Ki'!L17&lt;&gt;0,'Técnicas de Ki'!L17+TS!$O122,0)*$O122/$O122,0))</f>
        <v>0</v>
      </c>
      <c r="AC122" s="538">
        <f>IF('Técnicas de Ki'!B17=0,0,IFERROR(IF('Técnicas de Ki'!M17&lt;&gt;0,'Técnicas de Ki'!M17+TS!$P122,0)*$P122/$P122,0))</f>
        <v>0</v>
      </c>
      <c r="AD122" s="538">
        <f>IF('Técnicas de Ki'!B17=0,0,IFERROR(IF('Técnicas de Ki'!N17&lt;&gt;0,'Técnicas de Ki'!N17+TS!$Q122,0)*$Q122/$Q122,0))</f>
        <v>0</v>
      </c>
      <c r="AE122" s="538">
        <f>IF('Técnicas de Ki'!B17=0,0,IFERROR(IF('Técnicas de Ki'!O17&lt;&gt;0,'Técnicas de Ki'!O17+TS!$R122,0)*$R122/$R122,0))</f>
        <v>0</v>
      </c>
      <c r="AF122" s="538">
        <f>IF('Técnicas de Ki'!B17=0,0,IFERROR(IF('Técnicas de Ki'!P17&lt;&gt;0,'Técnicas de Ki'!P17+TS!$S122,0)*$S122/$S122,0))</f>
        <v>0</v>
      </c>
      <c r="AG122" s="539">
        <f>IF('Técnicas de Ki'!B17=0,0,IFERROR(IF('Técnicas de Ki'!Q17&lt;&gt;0,'Técnicas de Ki'!Q17+TS!$T122,0)*$T122/$T122,0))</f>
        <v>0</v>
      </c>
      <c r="AI122" s="571" t="str">
        <f>IF('Técnicas de Ki'!B17&lt;&gt;0,'Técnicas de Ki'!A17&amp;" "&amp;'Técnicas de Ki'!B17,"")</f>
        <v/>
      </c>
      <c r="AJ122" s="302" t="b">
        <f t="shared" ref="AJ122:AJ185" si="8">OR(AJ121,AI121&lt;&gt;"")</f>
        <v>0</v>
      </c>
      <c r="AK122" s="302" t="str">
        <f t="shared" si="4"/>
        <v/>
      </c>
      <c r="AQ122" s="537">
        <f>IF('Técnicas de Ki'!W17=0,0,IF('Técnicas de Ki'!AD17=TS!AQ$119,'Técnicas de Ki'!X17-(IF($O122&lt;&gt;0,'Técnicas de Ki'!AG17,0)+IF($P122&lt;&gt;0,'Técnicas de Ki'!AH17,0)+IF($Q122&lt;&gt;0,'Técnicas de Ki'!AI17,0)+IF($R122&lt;&gt;0,'Técnicas de Ki'!AJ17,0)+IF($S122&lt;&gt;0,'Técnicas de Ki'!AK17,0)+IF($T122&lt;&gt;0,'Técnicas de Ki'!AL17,0)),0))</f>
        <v>0</v>
      </c>
      <c r="AR122" s="538">
        <f>IF('Técnicas de Ki'!W17=0,0,IF('Técnicas de Ki'!AD17=TS!AR$119,'Técnicas de Ki'!X17-(IF($O122&lt;&gt;0,'Técnicas de Ki'!AG17,0)+IF($P122&lt;&gt;0,'Técnicas de Ki'!AH17,0)+IF($Q122&lt;&gt;0,'Técnicas de Ki'!AI17,0)+IF($R122&lt;&gt;0,'Técnicas de Ki'!AJ17,0)+IF($S122&lt;&gt;0,'Técnicas de Ki'!AK17,0)+IF($T122&lt;&gt;0,'Técnicas de Ki'!AL17,0)),0))</f>
        <v>0</v>
      </c>
      <c r="AS122" s="538">
        <f>IF('Técnicas de Ki'!W17=0,0,IF('Técnicas de Ki'!AD17=TS!AS$119,'Técnicas de Ki'!X17-(IF($O122&lt;&gt;0,'Técnicas de Ki'!AG17,0)+IF($P122&lt;&gt;0,'Técnicas de Ki'!AH17,0)+IF($Q122&lt;&gt;0,'Técnicas de Ki'!AI17,0)+IF($R122&lt;&gt;0,'Técnicas de Ki'!AJ17,0)+IF($S122&lt;&gt;0,'Técnicas de Ki'!AK17,0)+IF($T122&lt;&gt;0,'Técnicas de Ki'!AL17,0)),0))</f>
        <v>0</v>
      </c>
      <c r="AT122" s="538">
        <f>IF('Técnicas de Ki'!W17=0,0,IF('Técnicas de Ki'!AD17=TS!AT$119,'Técnicas de Ki'!X17-(IF($O122&lt;&gt;0,'Técnicas de Ki'!AG17,0)+IF($P122&lt;&gt;0,'Técnicas de Ki'!AH17,0)+IF($Q122&lt;&gt;0,'Técnicas de Ki'!AI17,0)+IF($R122&lt;&gt;0,'Técnicas de Ki'!AJ17,0)+IF($S122&lt;&gt;0,'Técnicas de Ki'!AK17,0)+IF($T122&lt;&gt;0,'Técnicas de Ki'!AL17,0)),0))</f>
        <v>0</v>
      </c>
      <c r="AU122" s="538">
        <f>IF('Técnicas de Ki'!W17=0,0,IF('Técnicas de Ki'!AD17=TS!AU$119,'Técnicas de Ki'!X17-(IF($O122&lt;&gt;0,'Técnicas de Ki'!AG17,0)+IF($P122&lt;&gt;0,'Técnicas de Ki'!AH17,0)+IF($Q122&lt;&gt;0,'Técnicas de Ki'!AI17,0)+IF($R122&lt;&gt;0,'Técnicas de Ki'!AJ17,0)+IF($S122&lt;&gt;0,'Técnicas de Ki'!AK17,0)+IF($T122&lt;&gt;0,'Técnicas de Ki'!AL17,0)),0))</f>
        <v>0</v>
      </c>
      <c r="AV122" s="539">
        <f>IF('Técnicas de Ki'!W17=0,0,IF('Técnicas de Ki'!AD17=TS!AV$119,'Técnicas de Ki'!X17-(IF($O122&lt;&gt;0,'Técnicas de Ki'!AG17,0)+IF($P122&lt;&gt;0,'Técnicas de Ki'!AH17,0)+IF($Q122&lt;&gt;0,'Técnicas de Ki'!AI17,0)+IF($R122&lt;&gt;0,'Técnicas de Ki'!AJ17,0)+IF($S122&lt;&gt;0,'Técnicas de Ki'!AK17,0)+IF($T122&lt;&gt;0,'Técnicas de Ki'!AL17,0)),0))</f>
        <v>0</v>
      </c>
      <c r="AW122" s="538">
        <f>IF('Técnicas de Ki'!W17=0,0,IFERROR(IF('Técnicas de Ki'!AG17&lt;&gt;0,'Técnicas de Ki'!AG17+TS!$O122,0)*$O122/$O122,0))</f>
        <v>0</v>
      </c>
      <c r="AX122" s="538">
        <f>IF('Técnicas de Ki'!W17=0,0,IFERROR(IF('Técnicas de Ki'!AH17&lt;&gt;0,'Técnicas de Ki'!AH17+TS!$P122,0)*$P122/$P122,0))</f>
        <v>0</v>
      </c>
      <c r="AY122" s="538">
        <f>IF('Técnicas de Ki'!W17=0,0,IFERROR(IF('Técnicas de Ki'!AI17&lt;&gt;0,'Técnicas de Ki'!AI17+TS!$Q122,0)*$Q122/$Q122,0))</f>
        <v>0</v>
      </c>
      <c r="AZ122" s="538">
        <f>IF('Técnicas de Ki'!W17=0,0,IFERROR(IF('Técnicas de Ki'!AJ17&lt;&gt;0,'Técnicas de Ki'!AJ17+TS!$R122,0)*$R122/$R122,0))</f>
        <v>0</v>
      </c>
      <c r="BA122" s="538">
        <f>IF('Técnicas de Ki'!W17=0,0,IFERROR(IF('Técnicas de Ki'!AK17&lt;&gt;0,'Técnicas de Ki'!AK17+TS!$S122,0)*$S122/$S122,0))</f>
        <v>0</v>
      </c>
      <c r="BB122" s="539">
        <f>IF('Técnicas de Ki'!W17=0,0,IFERROR(IF('Técnicas de Ki'!AL17&lt;&gt;0,'Técnicas de Ki'!AL17+TS!$T122,0)*$T122/$T122,0))</f>
        <v>0</v>
      </c>
      <c r="BD122" s="571" t="str">
        <f>IF('Técnicas de Ki'!W17&lt;&gt;0,'Técnicas de Ki'!V17&amp;" "&amp;'Técnicas de Ki'!W17,"")</f>
        <v/>
      </c>
      <c r="BE122" s="302" t="b">
        <f t="shared" ref="BE122:BE185" si="9">OR(BE121,BD121&lt;&gt;"")</f>
        <v>0</v>
      </c>
      <c r="BF122" s="302" t="str">
        <f t="shared" si="5"/>
        <v/>
      </c>
      <c r="BL122" s="537">
        <f>IF('Técnicas de Ki'!AR17=0,0,IF('Técnicas de Ki'!AY17=TS!BL$119,'Técnicas de Ki'!AS17-(IF($O122&lt;&gt;0,'Técnicas de Ki'!BB17,0)+IF($P122&lt;&gt;0,'Técnicas de Ki'!BC17,0)+IF($Q122&lt;&gt;0,'Técnicas de Ki'!BD17,0)+IF($R122&lt;&gt;0,'Técnicas de Ki'!BE17,0)+IF($S122&lt;&gt;0,'Técnicas de Ki'!BF17,0)+IF($T122&lt;&gt;0,'Técnicas de Ki'!BG17,0)),0))</f>
        <v>0</v>
      </c>
      <c r="BM122" s="538">
        <f>IF('Técnicas de Ki'!AR17=0,0,IF('Técnicas de Ki'!AY17=TS!BM$119,'Técnicas de Ki'!AS17-(IF($O122&lt;&gt;0,'Técnicas de Ki'!BB17,0)+IF($P122&lt;&gt;0,'Técnicas de Ki'!BC17,0)+IF($Q122&lt;&gt;0,'Técnicas de Ki'!BD17,0)+IF($R122&lt;&gt;0,'Técnicas de Ki'!BE17,0)+IF($S122&lt;&gt;0,'Técnicas de Ki'!BF17,0)+IF($T122&lt;&gt;0,'Técnicas de Ki'!BG17,0)),0))</f>
        <v>0</v>
      </c>
      <c r="BN122" s="538">
        <f>IF('Técnicas de Ki'!AR17=0,0,IF('Técnicas de Ki'!AY17=TS!BN$119,'Técnicas de Ki'!AS17-(IF($O122&lt;&gt;0,'Técnicas de Ki'!BB17,0)+IF($P122&lt;&gt;0,'Técnicas de Ki'!BC17,0)+IF($Q122&lt;&gt;0,'Técnicas de Ki'!BD17,0)+IF($R122&lt;&gt;0,'Técnicas de Ki'!BE17,0)+IF($S122&lt;&gt;0,'Técnicas de Ki'!BF17,0)+IF($T122&lt;&gt;0,'Técnicas de Ki'!BG17,0)),0))</f>
        <v>0</v>
      </c>
      <c r="BO122" s="538">
        <f>IF('Técnicas de Ki'!AR17=0,0,IF('Técnicas de Ki'!AY17=TS!BO$119,'Técnicas de Ki'!AS17-(IF($O122&lt;&gt;0,'Técnicas de Ki'!BB17,0)+IF($P122&lt;&gt;0,'Técnicas de Ki'!BC17,0)+IF($Q122&lt;&gt;0,'Técnicas de Ki'!BD17,0)+IF($R122&lt;&gt;0,'Técnicas de Ki'!BE17,0)+IF($S122&lt;&gt;0,'Técnicas de Ki'!BF17,0)+IF($T122&lt;&gt;0,'Técnicas de Ki'!BG17,0)),0))</f>
        <v>0</v>
      </c>
      <c r="BP122" s="538">
        <f>IF('Técnicas de Ki'!AR17=0,0,IF('Técnicas de Ki'!AY17=TS!BP$119,'Técnicas de Ki'!AS17-(IF($O122&lt;&gt;0,'Técnicas de Ki'!BB17,0)+IF($P122&lt;&gt;0,'Técnicas de Ki'!BC17,0)+IF($Q122&lt;&gt;0,'Técnicas de Ki'!BD17,0)+IF($R122&lt;&gt;0,'Técnicas de Ki'!BE17,0)+IF($S122&lt;&gt;0,'Técnicas de Ki'!BF17,0)+IF($T122&lt;&gt;0,'Técnicas de Ki'!BG17,0)),0))</f>
        <v>0</v>
      </c>
      <c r="BQ122" s="539">
        <f>IF('Técnicas de Ki'!AR17=0,0,IF('Técnicas de Ki'!AY17=TS!BQ$119,'Técnicas de Ki'!AS17-(IF($O122&lt;&gt;0,'Técnicas de Ki'!BB17,0)+IF($P122&lt;&gt;0,'Técnicas de Ki'!BC17,0)+IF($Q122&lt;&gt;0,'Técnicas de Ki'!BD17,0)+IF($R122&lt;&gt;0,'Técnicas de Ki'!BE17,0)+IF($S122&lt;&gt;0,'Técnicas de Ki'!BF17,0)+IF($T122&lt;&gt;0,'Técnicas de Ki'!BG17,0)),0))</f>
        <v>0</v>
      </c>
      <c r="BR122" s="538">
        <f>IF('Técnicas de Ki'!AR17=0,0,IFERROR(IF('Técnicas de Ki'!BB17&lt;&gt;0,'Técnicas de Ki'!BB17+TS!$O122,0)*$O122/$O122,0))</f>
        <v>0</v>
      </c>
      <c r="BS122" s="538">
        <f>IF('Técnicas de Ki'!AR17=0,0,IFERROR(IF('Técnicas de Ki'!BC17&lt;&gt;0,'Técnicas de Ki'!BC17+TS!$P122,0)*$P122/$P122,0))</f>
        <v>0</v>
      </c>
      <c r="BT122" s="538">
        <f>IF('Técnicas de Ki'!AR17=0,0,IFERROR(IF('Técnicas de Ki'!BD17&lt;&gt;0,'Técnicas de Ki'!BD17+TS!$Q122,0)*$Q122/$Q122,0))</f>
        <v>0</v>
      </c>
      <c r="BU122" s="538">
        <f>IF('Técnicas de Ki'!AR17=0,0,IFERROR(IF('Técnicas de Ki'!BE17&lt;&gt;0,'Técnicas de Ki'!BE17+TS!$R122,0)*$R122/$R122,0))</f>
        <v>0</v>
      </c>
      <c r="BV122" s="538">
        <f>IF('Técnicas de Ki'!AR17=0,0,IFERROR(IF('Técnicas de Ki'!BF17&lt;&gt;0,'Técnicas de Ki'!BF17+TS!$S122,0)*$S122/$S122,0))</f>
        <v>0</v>
      </c>
      <c r="BW122" s="539">
        <f>IF('Técnicas de Ki'!AR17=0,0,IFERROR(IF('Técnicas de Ki'!BG17&lt;&gt;0,'Técnicas de Ki'!BG17+TS!$T122,0)*$T122/$T122,0))</f>
        <v>0</v>
      </c>
      <c r="BY122" s="571" t="str">
        <f>IF('Técnicas de Ki'!AR17&lt;&gt;0,'Técnicas de Ki'!AQ17&amp;" "&amp;'Técnicas de Ki'!AR17,"")</f>
        <v/>
      </c>
      <c r="BZ122" s="302" t="b">
        <f t="shared" ref="BZ122:BZ185" si="10">OR(BZ121,BY121&lt;&gt;"")</f>
        <v>0</v>
      </c>
      <c r="CA122" s="302" t="str">
        <f t="shared" si="6"/>
        <v/>
      </c>
      <c r="CG122" s="537">
        <f>IF('Técnicas de Ki'!BM17=0,0,IF('Técnicas de Ki'!BT17=TS!CG$119,'Técnicas de Ki'!BN17-(IF($O122&lt;&gt;0,'Técnicas de Ki'!BW17,0)+IF($P122&lt;&gt;0,'Técnicas de Ki'!BX17,0)+IF($Q122&lt;&gt;0,'Técnicas de Ki'!BY17,0)+IF($R122&lt;&gt;0,'Técnicas de Ki'!BZ17,0)+IF($S122&lt;&gt;0,'Técnicas de Ki'!CA17,0)+IF($T122&lt;&gt;0,'Técnicas de Ki'!CB17,0)),0))</f>
        <v>0</v>
      </c>
      <c r="CH122" s="538">
        <f>IF('Técnicas de Ki'!BM17=0,0,IF('Técnicas de Ki'!BT17=TS!CH$119,'Técnicas de Ki'!BN17-(IF($O122&lt;&gt;0,'Técnicas de Ki'!BW17,0)+IF($P122&lt;&gt;0,'Técnicas de Ki'!BX17,0)+IF($Q122&lt;&gt;0,'Técnicas de Ki'!BY17,0)+IF($R122&lt;&gt;0,'Técnicas de Ki'!BZ17,0)+IF($S122&lt;&gt;0,'Técnicas de Ki'!CA17,0)+IF($T122&lt;&gt;0,'Técnicas de Ki'!CB17,0)),0))</f>
        <v>0</v>
      </c>
      <c r="CI122" s="538">
        <f>IF('Técnicas de Ki'!BM17=0,0,IF('Técnicas de Ki'!BT17=TS!CI$119,'Técnicas de Ki'!BN17-(IF($O122&lt;&gt;0,'Técnicas de Ki'!BW17,0)+IF($P122&lt;&gt;0,'Técnicas de Ki'!BX17,0)+IF($Q122&lt;&gt;0,'Técnicas de Ki'!BY17,0)+IF($R122&lt;&gt;0,'Técnicas de Ki'!BZ17,0)+IF($S122&lt;&gt;0,'Técnicas de Ki'!CA17,0)+IF($T122&lt;&gt;0,'Técnicas de Ki'!CB17,0)),0))</f>
        <v>0</v>
      </c>
      <c r="CJ122" s="538">
        <f>IF('Técnicas de Ki'!BM17=0,0,IF('Técnicas de Ki'!BT17=TS!CJ$119,'Técnicas de Ki'!BN17-(IF($O122&lt;&gt;0,'Técnicas de Ki'!BW17,0)+IF($P122&lt;&gt;0,'Técnicas de Ki'!BX17,0)+IF($Q122&lt;&gt;0,'Técnicas de Ki'!BY17,0)+IF($R122&lt;&gt;0,'Técnicas de Ki'!BZ17,0)+IF($S122&lt;&gt;0,'Técnicas de Ki'!CA17,0)+IF($T122&lt;&gt;0,'Técnicas de Ki'!CB17,0)),0))</f>
        <v>0</v>
      </c>
      <c r="CK122" s="538">
        <f>IF('Técnicas de Ki'!BM17=0,0,IF('Técnicas de Ki'!BT17=TS!CK$119,'Técnicas de Ki'!BN17-(IF($O122&lt;&gt;0,'Técnicas de Ki'!BW17,0)+IF($P122&lt;&gt;0,'Técnicas de Ki'!BX17,0)+IF($Q122&lt;&gt;0,'Técnicas de Ki'!BY17,0)+IF($R122&lt;&gt;0,'Técnicas de Ki'!BZ17,0)+IF($S122&lt;&gt;0,'Técnicas de Ki'!CA17,0)+IF($T122&lt;&gt;0,'Técnicas de Ki'!CB17,0)),0))</f>
        <v>0</v>
      </c>
      <c r="CL122" s="539">
        <f>IF('Técnicas de Ki'!BM17=0,0,IF('Técnicas de Ki'!BT17=TS!CL$119,'Técnicas de Ki'!BN17-(IF($O122&lt;&gt;0,'Técnicas de Ki'!BW17,0)+IF($P122&lt;&gt;0,'Técnicas de Ki'!BX17,0)+IF($Q122&lt;&gt;0,'Técnicas de Ki'!BY17,0)+IF($R122&lt;&gt;0,'Técnicas de Ki'!BZ17,0)+IF($S122&lt;&gt;0,'Técnicas de Ki'!CA17,0)+IF($T122&lt;&gt;0,'Técnicas de Ki'!CB17,0)),0))</f>
        <v>0</v>
      </c>
      <c r="CM122" s="538">
        <f>IF('Técnicas de Ki'!BM17=0,0,IFERROR(IF('Técnicas de Ki'!BW17&lt;&gt;0,'Técnicas de Ki'!BW17+TS!$O122,0)*$O122/$O122,0))</f>
        <v>0</v>
      </c>
      <c r="CN122" s="538">
        <f>IF('Técnicas de Ki'!BM17=0,0,IFERROR(IF('Técnicas de Ki'!BX17&lt;&gt;0,'Técnicas de Ki'!BX17+TS!$P122,0)*$P122/$P122,0))</f>
        <v>0</v>
      </c>
      <c r="CO122" s="538">
        <f>IF('Técnicas de Ki'!BM17=0,0,IFERROR(IF('Técnicas de Ki'!BY17&lt;&gt;0,'Técnicas de Ki'!BY17+TS!$Q122,0)*$Q122/$Q122,0))</f>
        <v>0</v>
      </c>
      <c r="CP122" s="538">
        <f>IF('Técnicas de Ki'!BM17=0,0,IFERROR(IF('Técnicas de Ki'!BZ17&lt;&gt;0,'Técnicas de Ki'!BZ17+TS!$R122,0)*$R122/$R122,0))</f>
        <v>0</v>
      </c>
      <c r="CQ122" s="538">
        <f>IF('Técnicas de Ki'!BM17=0,0,IFERROR(IF('Técnicas de Ki'!CA17&lt;&gt;0,'Técnicas de Ki'!CA17+TS!$S122,0)*$S122/$S122,0))</f>
        <v>0</v>
      </c>
      <c r="CR122" s="539">
        <f>IF('Técnicas de Ki'!BM17=0,0,IFERROR(IF('Técnicas de Ki'!CB17&lt;&gt;0,'Técnicas de Ki'!CB17+TS!$T122,0)*$T122/$T122,0))</f>
        <v>0</v>
      </c>
      <c r="CT122" s="571" t="str">
        <f>IF('Técnicas de Ki'!BM17&lt;&gt;0,'Técnicas de Ki'!BL17&amp;" "&amp;'Técnicas de Ki'!BM17,"")</f>
        <v/>
      </c>
      <c r="CU122" s="302" t="b">
        <f t="shared" ref="CU122:CU185" si="11">OR(CU121,CT121&lt;&gt;"")</f>
        <v>0</v>
      </c>
      <c r="CV122" s="302" t="str">
        <f t="shared" si="7"/>
        <v/>
      </c>
    </row>
    <row r="123" spans="1:102" x14ac:dyDescent="0.2">
      <c r="A123" s="302" t="s">
        <v>6842</v>
      </c>
      <c r="B123" s="302" t="s">
        <v>6819</v>
      </c>
      <c r="C123" s="302" t="str">
        <f t="shared" si="3"/>
        <v>Defensa predeterminadaMedia (80)</v>
      </c>
      <c r="D123" s="302">
        <v>2</v>
      </c>
      <c r="E123" s="302">
        <v>4</v>
      </c>
      <c r="F123" s="302">
        <v>5</v>
      </c>
      <c r="G123" s="302">
        <v>1</v>
      </c>
      <c r="H123" s="302">
        <v>2</v>
      </c>
      <c r="I123" s="302">
        <v>4</v>
      </c>
      <c r="J123" s="302">
        <v>1</v>
      </c>
      <c r="N123" s="302" t="s">
        <v>6793</v>
      </c>
      <c r="O123" s="528">
        <v>2</v>
      </c>
      <c r="P123" s="528">
        <v>2</v>
      </c>
      <c r="S123" s="528">
        <v>3</v>
      </c>
      <c r="T123" s="528">
        <v>2</v>
      </c>
      <c r="V123" s="537">
        <f>IF('Técnicas de Ki'!B18=0,0,IF('Técnicas de Ki'!I18=TS!V$119,'Técnicas de Ki'!C18-(IF($O123&lt;&gt;0,'Técnicas de Ki'!L18,0)+IF($P123&lt;&gt;0,'Técnicas de Ki'!M18,0)+IF($Q123&lt;&gt;0,'Técnicas de Ki'!N18,0)+IF($R123&lt;&gt;0,'Técnicas de Ki'!O18,0)+IF($S123&lt;&gt;0,'Técnicas de Ki'!P18,0)+IF($T123&lt;&gt;0,'Técnicas de Ki'!Q18,0)),0))</f>
        <v>0</v>
      </c>
      <c r="W123" s="538">
        <f>IF('Técnicas de Ki'!B18=0,0,IF('Técnicas de Ki'!I18=TS!W$119,'Técnicas de Ki'!C18-(IF($O123&lt;&gt;0,'Técnicas de Ki'!L18,0)+IF($P123&lt;&gt;0,'Técnicas de Ki'!M18,0)+IF($Q123&lt;&gt;0,'Técnicas de Ki'!N18,0)+IF($R123&lt;&gt;0,'Técnicas de Ki'!O18,0)+IF($S123&lt;&gt;0,'Técnicas de Ki'!P18,0)+IF($T123&lt;&gt;0,'Técnicas de Ki'!Q18,0)),0))</f>
        <v>0</v>
      </c>
      <c r="X123" s="538">
        <f>IF('Técnicas de Ki'!B18=0,0,IF('Técnicas de Ki'!I18=TS!X$119,'Técnicas de Ki'!C18-(IF($O123&lt;&gt;0,'Técnicas de Ki'!L18,0)+IF($P123&lt;&gt;0,'Técnicas de Ki'!M18,0)+IF($Q123&lt;&gt;0,'Técnicas de Ki'!N18,0)+IF($R123&lt;&gt;0,'Técnicas de Ki'!O18,0)+IF($S123&lt;&gt;0,'Técnicas de Ki'!P18,0)+IF($T123&lt;&gt;0,'Técnicas de Ki'!Q18,0)),0))</f>
        <v>0</v>
      </c>
      <c r="Y123" s="538">
        <f>IF('Técnicas de Ki'!B18=0,0,IF('Técnicas de Ki'!I18=TS!Y$119,'Técnicas de Ki'!C18-(IF($O123&lt;&gt;0,'Técnicas de Ki'!L18,0)+IF($P123&lt;&gt;0,'Técnicas de Ki'!M18,0)+IF($Q123&lt;&gt;0,'Técnicas de Ki'!N18,0)+IF($R123&lt;&gt;0,'Técnicas de Ki'!O18,0)+IF($S123&lt;&gt;0,'Técnicas de Ki'!P18,0)+IF($T123&lt;&gt;0,'Técnicas de Ki'!Q18,0)),0))</f>
        <v>0</v>
      </c>
      <c r="Z123" s="538">
        <f>IF('Técnicas de Ki'!B18=0,0,IF('Técnicas de Ki'!I18=TS!Z$119,'Técnicas de Ki'!C18-(IF($O123&lt;&gt;0,'Técnicas de Ki'!L18,0)+IF($P123&lt;&gt;0,'Técnicas de Ki'!M18,0)+IF($Q123&lt;&gt;0,'Técnicas de Ki'!N18,0)+IF($R123&lt;&gt;0,'Técnicas de Ki'!O18,0)+IF($S123&lt;&gt;0,'Técnicas de Ki'!P18,0)+IF($T123&lt;&gt;0,'Técnicas de Ki'!Q18,0)),0))</f>
        <v>0</v>
      </c>
      <c r="AA123" s="539">
        <f>IF('Técnicas de Ki'!B18=0,0,IF('Técnicas de Ki'!I18=TS!AA$119,'Técnicas de Ki'!C18-(IF($O123&lt;&gt;0,'Técnicas de Ki'!L18,0)+IF($P123&lt;&gt;0,'Técnicas de Ki'!M18,0)+IF($Q123&lt;&gt;0,'Técnicas de Ki'!N18,0)+IF($R123&lt;&gt;0,'Técnicas de Ki'!O18,0)+IF($S123&lt;&gt;0,'Técnicas de Ki'!P18,0)+IF($T123&lt;&gt;0,'Técnicas de Ki'!Q18,0)),0))</f>
        <v>0</v>
      </c>
      <c r="AB123" s="538">
        <f>IF('Técnicas de Ki'!B18=0,0,IFERROR(IF('Técnicas de Ki'!L18&lt;&gt;0,'Técnicas de Ki'!L18+TS!$O123,0)*$O123/$O123,0))</f>
        <v>0</v>
      </c>
      <c r="AC123" s="538">
        <f>IF('Técnicas de Ki'!B18=0,0,IFERROR(IF('Técnicas de Ki'!M18&lt;&gt;0,'Técnicas de Ki'!M18+TS!$P123,0)*$P123/$P123,0))</f>
        <v>0</v>
      </c>
      <c r="AD123" s="538">
        <f>IF('Técnicas de Ki'!B18=0,0,IFERROR(IF('Técnicas de Ki'!N18&lt;&gt;0,'Técnicas de Ki'!N18+TS!$Q123,0)*$Q123/$Q123,0))</f>
        <v>0</v>
      </c>
      <c r="AE123" s="538">
        <f>IF('Técnicas de Ki'!B18=0,0,IFERROR(IF('Técnicas de Ki'!O18&lt;&gt;0,'Técnicas de Ki'!O18+TS!$R123,0)*$R123/$R123,0))</f>
        <v>0</v>
      </c>
      <c r="AF123" s="538">
        <f>IF('Técnicas de Ki'!B18=0,0,IFERROR(IF('Técnicas de Ki'!P18&lt;&gt;0,'Técnicas de Ki'!P18+TS!$S123,0)*$S123/$S123,0))</f>
        <v>0</v>
      </c>
      <c r="AG123" s="539">
        <f>IF('Técnicas de Ki'!B18=0,0,IFERROR(IF('Técnicas de Ki'!Q18&lt;&gt;0,'Técnicas de Ki'!Q18+TS!$T123,0)*$T123/$T123,0))</f>
        <v>0</v>
      </c>
      <c r="AI123" s="571" t="str">
        <f>IF('Técnicas de Ki'!B18&lt;&gt;0,'Técnicas de Ki'!A18&amp;" "&amp;'Técnicas de Ki'!B18,"")</f>
        <v/>
      </c>
      <c r="AJ123" s="302" t="b">
        <f t="shared" si="8"/>
        <v>0</v>
      </c>
      <c r="AK123" s="302" t="str">
        <f t="shared" si="4"/>
        <v/>
      </c>
      <c r="AQ123" s="537">
        <f>IF('Técnicas de Ki'!W18=0,0,IF('Técnicas de Ki'!AD18=TS!AQ$119,'Técnicas de Ki'!X18-(IF($O123&lt;&gt;0,'Técnicas de Ki'!AG18,0)+IF($P123&lt;&gt;0,'Técnicas de Ki'!AH18,0)+IF($Q123&lt;&gt;0,'Técnicas de Ki'!AI18,0)+IF($R123&lt;&gt;0,'Técnicas de Ki'!AJ18,0)+IF($S123&lt;&gt;0,'Técnicas de Ki'!AK18,0)+IF($T123&lt;&gt;0,'Técnicas de Ki'!AL18,0)),0))</f>
        <v>0</v>
      </c>
      <c r="AR123" s="538">
        <f>IF('Técnicas de Ki'!W18=0,0,IF('Técnicas de Ki'!AD18=TS!AR$119,'Técnicas de Ki'!X18-(IF($O123&lt;&gt;0,'Técnicas de Ki'!AG18,0)+IF($P123&lt;&gt;0,'Técnicas de Ki'!AH18,0)+IF($Q123&lt;&gt;0,'Técnicas de Ki'!AI18,0)+IF($R123&lt;&gt;0,'Técnicas de Ki'!AJ18,0)+IF($S123&lt;&gt;0,'Técnicas de Ki'!AK18,0)+IF($T123&lt;&gt;0,'Técnicas de Ki'!AL18,0)),0))</f>
        <v>0</v>
      </c>
      <c r="AS123" s="538">
        <f>IF('Técnicas de Ki'!W18=0,0,IF('Técnicas de Ki'!AD18=TS!AS$119,'Técnicas de Ki'!X18-(IF($O123&lt;&gt;0,'Técnicas de Ki'!AG18,0)+IF($P123&lt;&gt;0,'Técnicas de Ki'!AH18,0)+IF($Q123&lt;&gt;0,'Técnicas de Ki'!AI18,0)+IF($R123&lt;&gt;0,'Técnicas de Ki'!AJ18,0)+IF($S123&lt;&gt;0,'Técnicas de Ki'!AK18,0)+IF($T123&lt;&gt;0,'Técnicas de Ki'!AL18,0)),0))</f>
        <v>0</v>
      </c>
      <c r="AT123" s="538">
        <f>IF('Técnicas de Ki'!W18=0,0,IF('Técnicas de Ki'!AD18=TS!AT$119,'Técnicas de Ki'!X18-(IF($O123&lt;&gt;0,'Técnicas de Ki'!AG18,0)+IF($P123&lt;&gt;0,'Técnicas de Ki'!AH18,0)+IF($Q123&lt;&gt;0,'Técnicas de Ki'!AI18,0)+IF($R123&lt;&gt;0,'Técnicas de Ki'!AJ18,0)+IF($S123&lt;&gt;0,'Técnicas de Ki'!AK18,0)+IF($T123&lt;&gt;0,'Técnicas de Ki'!AL18,0)),0))</f>
        <v>0</v>
      </c>
      <c r="AU123" s="538">
        <f>IF('Técnicas de Ki'!W18=0,0,IF('Técnicas de Ki'!AD18=TS!AU$119,'Técnicas de Ki'!X18-(IF($O123&lt;&gt;0,'Técnicas de Ki'!AG18,0)+IF($P123&lt;&gt;0,'Técnicas de Ki'!AH18,0)+IF($Q123&lt;&gt;0,'Técnicas de Ki'!AI18,0)+IF($R123&lt;&gt;0,'Técnicas de Ki'!AJ18,0)+IF($S123&lt;&gt;0,'Técnicas de Ki'!AK18,0)+IF($T123&lt;&gt;0,'Técnicas de Ki'!AL18,0)),0))</f>
        <v>0</v>
      </c>
      <c r="AV123" s="539">
        <f>IF('Técnicas de Ki'!W18=0,0,IF('Técnicas de Ki'!AD18=TS!AV$119,'Técnicas de Ki'!X18-(IF($O123&lt;&gt;0,'Técnicas de Ki'!AG18,0)+IF($P123&lt;&gt;0,'Técnicas de Ki'!AH18,0)+IF($Q123&lt;&gt;0,'Técnicas de Ki'!AI18,0)+IF($R123&lt;&gt;0,'Técnicas de Ki'!AJ18,0)+IF($S123&lt;&gt;0,'Técnicas de Ki'!AK18,0)+IF($T123&lt;&gt;0,'Técnicas de Ki'!AL18,0)),0))</f>
        <v>0</v>
      </c>
      <c r="AW123" s="538">
        <f>IF('Técnicas de Ki'!W18=0,0,IFERROR(IF('Técnicas de Ki'!AG18&lt;&gt;0,'Técnicas de Ki'!AG18+TS!$O123,0)*$O123/$O123,0))</f>
        <v>0</v>
      </c>
      <c r="AX123" s="538">
        <f>IF('Técnicas de Ki'!W18=0,0,IFERROR(IF('Técnicas de Ki'!AH18&lt;&gt;0,'Técnicas de Ki'!AH18+TS!$P123,0)*$P123/$P123,0))</f>
        <v>0</v>
      </c>
      <c r="AY123" s="538">
        <f>IF('Técnicas de Ki'!W18=0,0,IFERROR(IF('Técnicas de Ki'!AI18&lt;&gt;0,'Técnicas de Ki'!AI18+TS!$Q123,0)*$Q123/$Q123,0))</f>
        <v>0</v>
      </c>
      <c r="AZ123" s="538">
        <f>IF('Técnicas de Ki'!W18=0,0,IFERROR(IF('Técnicas de Ki'!AJ18&lt;&gt;0,'Técnicas de Ki'!AJ18+TS!$R123,0)*$R123/$R123,0))</f>
        <v>0</v>
      </c>
      <c r="BA123" s="538">
        <f>IF('Técnicas de Ki'!W18=0,0,IFERROR(IF('Técnicas de Ki'!AK18&lt;&gt;0,'Técnicas de Ki'!AK18+TS!$S123,0)*$S123/$S123,0))</f>
        <v>0</v>
      </c>
      <c r="BB123" s="539">
        <f>IF('Técnicas de Ki'!W18=0,0,IFERROR(IF('Técnicas de Ki'!AL18&lt;&gt;0,'Técnicas de Ki'!AL18+TS!$T123,0)*$T123/$T123,0))</f>
        <v>0</v>
      </c>
      <c r="BD123" s="571" t="str">
        <f>IF('Técnicas de Ki'!W18&lt;&gt;0,'Técnicas de Ki'!V18&amp;" "&amp;'Técnicas de Ki'!W18,"")</f>
        <v/>
      </c>
      <c r="BE123" s="302" t="b">
        <f t="shared" si="9"/>
        <v>0</v>
      </c>
      <c r="BF123" s="302" t="str">
        <f t="shared" si="5"/>
        <v/>
      </c>
      <c r="BL123" s="537">
        <f>IF('Técnicas de Ki'!AR18=0,0,IF('Técnicas de Ki'!AY18=TS!BL$119,'Técnicas de Ki'!AS18-(IF($O123&lt;&gt;0,'Técnicas de Ki'!BB18,0)+IF($P123&lt;&gt;0,'Técnicas de Ki'!BC18,0)+IF($Q123&lt;&gt;0,'Técnicas de Ki'!BD18,0)+IF($R123&lt;&gt;0,'Técnicas de Ki'!BE18,0)+IF($S123&lt;&gt;0,'Técnicas de Ki'!BF18,0)+IF($T123&lt;&gt;0,'Técnicas de Ki'!BG18,0)),0))</f>
        <v>0</v>
      </c>
      <c r="BM123" s="538">
        <f>IF('Técnicas de Ki'!AR18=0,0,IF('Técnicas de Ki'!AY18=TS!BM$119,'Técnicas de Ki'!AS18-(IF($O123&lt;&gt;0,'Técnicas de Ki'!BB18,0)+IF($P123&lt;&gt;0,'Técnicas de Ki'!BC18,0)+IF($Q123&lt;&gt;0,'Técnicas de Ki'!BD18,0)+IF($R123&lt;&gt;0,'Técnicas de Ki'!BE18,0)+IF($S123&lt;&gt;0,'Técnicas de Ki'!BF18,0)+IF($T123&lt;&gt;0,'Técnicas de Ki'!BG18,0)),0))</f>
        <v>0</v>
      </c>
      <c r="BN123" s="538">
        <f>IF('Técnicas de Ki'!AR18=0,0,IF('Técnicas de Ki'!AY18=TS!BN$119,'Técnicas de Ki'!AS18-(IF($O123&lt;&gt;0,'Técnicas de Ki'!BB18,0)+IF($P123&lt;&gt;0,'Técnicas de Ki'!BC18,0)+IF($Q123&lt;&gt;0,'Técnicas de Ki'!BD18,0)+IF($R123&lt;&gt;0,'Técnicas de Ki'!BE18,0)+IF($S123&lt;&gt;0,'Técnicas de Ki'!BF18,0)+IF($T123&lt;&gt;0,'Técnicas de Ki'!BG18,0)),0))</f>
        <v>0</v>
      </c>
      <c r="BO123" s="538">
        <f>IF('Técnicas de Ki'!AR18=0,0,IF('Técnicas de Ki'!AY18=TS!BO$119,'Técnicas de Ki'!AS18-(IF($O123&lt;&gt;0,'Técnicas de Ki'!BB18,0)+IF($P123&lt;&gt;0,'Técnicas de Ki'!BC18,0)+IF($Q123&lt;&gt;0,'Técnicas de Ki'!BD18,0)+IF($R123&lt;&gt;0,'Técnicas de Ki'!BE18,0)+IF($S123&lt;&gt;0,'Técnicas de Ki'!BF18,0)+IF($T123&lt;&gt;0,'Técnicas de Ki'!BG18,0)),0))</f>
        <v>0</v>
      </c>
      <c r="BP123" s="538">
        <f>IF('Técnicas de Ki'!AR18=0,0,IF('Técnicas de Ki'!AY18=TS!BP$119,'Técnicas de Ki'!AS18-(IF($O123&lt;&gt;0,'Técnicas de Ki'!BB18,0)+IF($P123&lt;&gt;0,'Técnicas de Ki'!BC18,0)+IF($Q123&lt;&gt;0,'Técnicas de Ki'!BD18,0)+IF($R123&lt;&gt;0,'Técnicas de Ki'!BE18,0)+IF($S123&lt;&gt;0,'Técnicas de Ki'!BF18,0)+IF($T123&lt;&gt;0,'Técnicas de Ki'!BG18,0)),0))</f>
        <v>0</v>
      </c>
      <c r="BQ123" s="539">
        <f>IF('Técnicas de Ki'!AR18=0,0,IF('Técnicas de Ki'!AY18=TS!BQ$119,'Técnicas de Ki'!AS18-(IF($O123&lt;&gt;0,'Técnicas de Ki'!BB18,0)+IF($P123&lt;&gt;0,'Técnicas de Ki'!BC18,0)+IF($Q123&lt;&gt;0,'Técnicas de Ki'!BD18,0)+IF($R123&lt;&gt;0,'Técnicas de Ki'!BE18,0)+IF($S123&lt;&gt;0,'Técnicas de Ki'!BF18,0)+IF($T123&lt;&gt;0,'Técnicas de Ki'!BG18,0)),0))</f>
        <v>0</v>
      </c>
      <c r="BR123" s="538">
        <f>IF('Técnicas de Ki'!AR18=0,0,IFERROR(IF('Técnicas de Ki'!BB18&lt;&gt;0,'Técnicas de Ki'!BB18+TS!$O123,0)*$O123/$O123,0))</f>
        <v>0</v>
      </c>
      <c r="BS123" s="538">
        <f>IF('Técnicas de Ki'!AR18=0,0,IFERROR(IF('Técnicas de Ki'!BC18&lt;&gt;0,'Técnicas de Ki'!BC18+TS!$P123,0)*$P123/$P123,0))</f>
        <v>0</v>
      </c>
      <c r="BT123" s="538">
        <f>IF('Técnicas de Ki'!AR18=0,0,IFERROR(IF('Técnicas de Ki'!BD18&lt;&gt;0,'Técnicas de Ki'!BD18+TS!$Q123,0)*$Q123/$Q123,0))</f>
        <v>0</v>
      </c>
      <c r="BU123" s="538">
        <f>IF('Técnicas de Ki'!AR18=0,0,IFERROR(IF('Técnicas de Ki'!BE18&lt;&gt;0,'Técnicas de Ki'!BE18+TS!$R123,0)*$R123/$R123,0))</f>
        <v>0</v>
      </c>
      <c r="BV123" s="538">
        <f>IF('Técnicas de Ki'!AR18=0,0,IFERROR(IF('Técnicas de Ki'!BF18&lt;&gt;0,'Técnicas de Ki'!BF18+TS!$S123,0)*$S123/$S123,0))</f>
        <v>0</v>
      </c>
      <c r="BW123" s="539">
        <f>IF('Técnicas de Ki'!AR18=0,0,IFERROR(IF('Técnicas de Ki'!BG18&lt;&gt;0,'Técnicas de Ki'!BG18+TS!$T123,0)*$T123/$T123,0))</f>
        <v>0</v>
      </c>
      <c r="BY123" s="571" t="str">
        <f>IF('Técnicas de Ki'!AR18&lt;&gt;0,'Técnicas de Ki'!AQ18&amp;" "&amp;'Técnicas de Ki'!AR18,"")</f>
        <v/>
      </c>
      <c r="BZ123" s="302" t="b">
        <f t="shared" si="10"/>
        <v>0</v>
      </c>
      <c r="CA123" s="302" t="str">
        <f t="shared" si="6"/>
        <v/>
      </c>
      <c r="CG123" s="537">
        <f>IF('Técnicas de Ki'!BM18=0,0,IF('Técnicas de Ki'!BT18=TS!CG$119,'Técnicas de Ki'!BN18-(IF($O123&lt;&gt;0,'Técnicas de Ki'!BW18,0)+IF($P123&lt;&gt;0,'Técnicas de Ki'!BX18,0)+IF($Q123&lt;&gt;0,'Técnicas de Ki'!BY18,0)+IF($R123&lt;&gt;0,'Técnicas de Ki'!BZ18,0)+IF($S123&lt;&gt;0,'Técnicas de Ki'!CA18,0)+IF($T123&lt;&gt;0,'Técnicas de Ki'!CB18,0)),0))</f>
        <v>0</v>
      </c>
      <c r="CH123" s="538">
        <f>IF('Técnicas de Ki'!BM18=0,0,IF('Técnicas de Ki'!BT18=TS!CH$119,'Técnicas de Ki'!BN18-(IF($O123&lt;&gt;0,'Técnicas de Ki'!BW18,0)+IF($P123&lt;&gt;0,'Técnicas de Ki'!BX18,0)+IF($Q123&lt;&gt;0,'Técnicas de Ki'!BY18,0)+IF($R123&lt;&gt;0,'Técnicas de Ki'!BZ18,0)+IF($S123&lt;&gt;0,'Técnicas de Ki'!CA18,0)+IF($T123&lt;&gt;0,'Técnicas de Ki'!CB18,0)),0))</f>
        <v>0</v>
      </c>
      <c r="CI123" s="538">
        <f>IF('Técnicas de Ki'!BM18=0,0,IF('Técnicas de Ki'!BT18=TS!CI$119,'Técnicas de Ki'!BN18-(IF($O123&lt;&gt;0,'Técnicas de Ki'!BW18,0)+IF($P123&lt;&gt;0,'Técnicas de Ki'!BX18,0)+IF($Q123&lt;&gt;0,'Técnicas de Ki'!BY18,0)+IF($R123&lt;&gt;0,'Técnicas de Ki'!BZ18,0)+IF($S123&lt;&gt;0,'Técnicas de Ki'!CA18,0)+IF($T123&lt;&gt;0,'Técnicas de Ki'!CB18,0)),0))</f>
        <v>0</v>
      </c>
      <c r="CJ123" s="538">
        <f>IF('Técnicas de Ki'!BM18=0,0,IF('Técnicas de Ki'!BT18=TS!CJ$119,'Técnicas de Ki'!BN18-(IF($O123&lt;&gt;0,'Técnicas de Ki'!BW18,0)+IF($P123&lt;&gt;0,'Técnicas de Ki'!BX18,0)+IF($Q123&lt;&gt;0,'Técnicas de Ki'!BY18,0)+IF($R123&lt;&gt;0,'Técnicas de Ki'!BZ18,0)+IF($S123&lt;&gt;0,'Técnicas de Ki'!CA18,0)+IF($T123&lt;&gt;0,'Técnicas de Ki'!CB18,0)),0))</f>
        <v>0</v>
      </c>
      <c r="CK123" s="538">
        <f>IF('Técnicas de Ki'!BM18=0,0,IF('Técnicas de Ki'!BT18=TS!CK$119,'Técnicas de Ki'!BN18-(IF($O123&lt;&gt;0,'Técnicas de Ki'!BW18,0)+IF($P123&lt;&gt;0,'Técnicas de Ki'!BX18,0)+IF($Q123&lt;&gt;0,'Técnicas de Ki'!BY18,0)+IF($R123&lt;&gt;0,'Técnicas de Ki'!BZ18,0)+IF($S123&lt;&gt;0,'Técnicas de Ki'!CA18,0)+IF($T123&lt;&gt;0,'Técnicas de Ki'!CB18,0)),0))</f>
        <v>0</v>
      </c>
      <c r="CL123" s="539">
        <f>IF('Técnicas de Ki'!BM18=0,0,IF('Técnicas de Ki'!BT18=TS!CL$119,'Técnicas de Ki'!BN18-(IF($O123&lt;&gt;0,'Técnicas de Ki'!BW18,0)+IF($P123&lt;&gt;0,'Técnicas de Ki'!BX18,0)+IF($Q123&lt;&gt;0,'Técnicas de Ki'!BY18,0)+IF($R123&lt;&gt;0,'Técnicas de Ki'!BZ18,0)+IF($S123&lt;&gt;0,'Técnicas de Ki'!CA18,0)+IF($T123&lt;&gt;0,'Técnicas de Ki'!CB18,0)),0))</f>
        <v>0</v>
      </c>
      <c r="CM123" s="538">
        <f>IF('Técnicas de Ki'!BM18=0,0,IFERROR(IF('Técnicas de Ki'!BW18&lt;&gt;0,'Técnicas de Ki'!BW18+TS!$O123,0)*$O123/$O123,0))</f>
        <v>0</v>
      </c>
      <c r="CN123" s="538">
        <f>IF('Técnicas de Ki'!BM18=0,0,IFERROR(IF('Técnicas de Ki'!BX18&lt;&gt;0,'Técnicas de Ki'!BX18+TS!$P123,0)*$P123/$P123,0))</f>
        <v>0</v>
      </c>
      <c r="CO123" s="538">
        <f>IF('Técnicas de Ki'!BM18=0,0,IFERROR(IF('Técnicas de Ki'!BY18&lt;&gt;0,'Técnicas de Ki'!BY18+TS!$Q123,0)*$Q123/$Q123,0))</f>
        <v>0</v>
      </c>
      <c r="CP123" s="538">
        <f>IF('Técnicas de Ki'!BM18=0,0,IFERROR(IF('Técnicas de Ki'!BZ18&lt;&gt;0,'Técnicas de Ki'!BZ18+TS!$R123,0)*$R123/$R123,0))</f>
        <v>0</v>
      </c>
      <c r="CQ123" s="538">
        <f>IF('Técnicas de Ki'!BM18=0,0,IFERROR(IF('Técnicas de Ki'!CA18&lt;&gt;0,'Técnicas de Ki'!CA18+TS!$S123,0)*$S123/$S123,0))</f>
        <v>0</v>
      </c>
      <c r="CR123" s="539">
        <f>IF('Técnicas de Ki'!BM18=0,0,IFERROR(IF('Técnicas de Ki'!CB18&lt;&gt;0,'Técnicas de Ki'!CB18+TS!$T123,0)*$T123/$T123,0))</f>
        <v>0</v>
      </c>
      <c r="CT123" s="571" t="str">
        <f>IF('Técnicas de Ki'!BM18&lt;&gt;0,'Técnicas de Ki'!BL18&amp;" "&amp;'Técnicas de Ki'!BM18,"")</f>
        <v/>
      </c>
      <c r="CU123" s="302" t="b">
        <f t="shared" si="11"/>
        <v>0</v>
      </c>
      <c r="CV123" s="302" t="str">
        <f t="shared" si="7"/>
        <v/>
      </c>
    </row>
    <row r="124" spans="1:102" x14ac:dyDescent="0.2">
      <c r="A124" s="302" t="s">
        <v>6842</v>
      </c>
      <c r="B124" s="302" t="s">
        <v>6820</v>
      </c>
      <c r="C124" s="302" t="str">
        <f t="shared" si="3"/>
        <v>Defensa predeterminadaDifícil (120)</v>
      </c>
      <c r="D124" s="302">
        <v>4</v>
      </c>
      <c r="E124" s="302">
        <v>6</v>
      </c>
      <c r="F124" s="302">
        <v>5</v>
      </c>
      <c r="G124" s="302">
        <v>2</v>
      </c>
      <c r="H124" s="302">
        <v>4</v>
      </c>
      <c r="I124" s="302">
        <v>7</v>
      </c>
      <c r="J124" s="302">
        <v>1</v>
      </c>
      <c r="N124" s="302" t="s">
        <v>6794</v>
      </c>
      <c r="P124" s="528">
        <v>1</v>
      </c>
      <c r="R124" s="302">
        <v>2</v>
      </c>
      <c r="S124" s="528">
        <v>2</v>
      </c>
      <c r="T124" s="528">
        <v>2</v>
      </c>
      <c r="V124" s="537">
        <f>IF('Técnicas de Ki'!B19=0,0,IF('Técnicas de Ki'!I19=TS!V$119,'Técnicas de Ki'!C19-(IF($O124&lt;&gt;0,'Técnicas de Ki'!L19,0)+IF($P124&lt;&gt;0,'Técnicas de Ki'!M19,0)+IF($Q124&lt;&gt;0,'Técnicas de Ki'!N19,0)+IF($R124&lt;&gt;0,'Técnicas de Ki'!O19,0)+IF($S124&lt;&gt;0,'Técnicas de Ki'!P19,0)+IF($T124&lt;&gt;0,'Técnicas de Ki'!Q19,0)),0))</f>
        <v>0</v>
      </c>
      <c r="W124" s="538">
        <f>IF('Técnicas de Ki'!B19=0,0,IF('Técnicas de Ki'!I19=TS!W$119,'Técnicas de Ki'!C19-(IF($O124&lt;&gt;0,'Técnicas de Ki'!L19,0)+IF($P124&lt;&gt;0,'Técnicas de Ki'!M19,0)+IF($Q124&lt;&gt;0,'Técnicas de Ki'!N19,0)+IF($R124&lt;&gt;0,'Técnicas de Ki'!O19,0)+IF($S124&lt;&gt;0,'Técnicas de Ki'!P19,0)+IF($T124&lt;&gt;0,'Técnicas de Ki'!Q19,0)),0))</f>
        <v>0</v>
      </c>
      <c r="X124" s="538">
        <f>IF('Técnicas de Ki'!B19=0,0,IF('Técnicas de Ki'!I19=TS!X$119,'Técnicas de Ki'!C19-(IF($O124&lt;&gt;0,'Técnicas de Ki'!L19,0)+IF($P124&lt;&gt;0,'Técnicas de Ki'!M19,0)+IF($Q124&lt;&gt;0,'Técnicas de Ki'!N19,0)+IF($R124&lt;&gt;0,'Técnicas de Ki'!O19,0)+IF($S124&lt;&gt;0,'Técnicas de Ki'!P19,0)+IF($T124&lt;&gt;0,'Técnicas de Ki'!Q19,0)),0))</f>
        <v>0</v>
      </c>
      <c r="Y124" s="538">
        <f>IF('Técnicas de Ki'!B19=0,0,IF('Técnicas de Ki'!I19=TS!Y$119,'Técnicas de Ki'!C19-(IF($O124&lt;&gt;0,'Técnicas de Ki'!L19,0)+IF($P124&lt;&gt;0,'Técnicas de Ki'!M19,0)+IF($Q124&lt;&gt;0,'Técnicas de Ki'!N19,0)+IF($R124&lt;&gt;0,'Técnicas de Ki'!O19,0)+IF($S124&lt;&gt;0,'Técnicas de Ki'!P19,0)+IF($T124&lt;&gt;0,'Técnicas de Ki'!Q19,0)),0))</f>
        <v>0</v>
      </c>
      <c r="Z124" s="538">
        <f>IF('Técnicas de Ki'!B19=0,0,IF('Técnicas de Ki'!I19=TS!Z$119,'Técnicas de Ki'!C19-(IF($O124&lt;&gt;0,'Técnicas de Ki'!L19,0)+IF($P124&lt;&gt;0,'Técnicas de Ki'!M19,0)+IF($Q124&lt;&gt;0,'Técnicas de Ki'!N19,0)+IF($R124&lt;&gt;0,'Técnicas de Ki'!O19,0)+IF($S124&lt;&gt;0,'Técnicas de Ki'!P19,0)+IF($T124&lt;&gt;0,'Técnicas de Ki'!Q19,0)),0))</f>
        <v>0</v>
      </c>
      <c r="AA124" s="539">
        <f>IF('Técnicas de Ki'!B19=0,0,IF('Técnicas de Ki'!I19=TS!AA$119,'Técnicas de Ki'!C19-(IF($O124&lt;&gt;0,'Técnicas de Ki'!L19,0)+IF($P124&lt;&gt;0,'Técnicas de Ki'!M19,0)+IF($Q124&lt;&gt;0,'Técnicas de Ki'!N19,0)+IF($R124&lt;&gt;0,'Técnicas de Ki'!O19,0)+IF($S124&lt;&gt;0,'Técnicas de Ki'!P19,0)+IF($T124&lt;&gt;0,'Técnicas de Ki'!Q19,0)),0))</f>
        <v>0</v>
      </c>
      <c r="AB124" s="538">
        <f>IF('Técnicas de Ki'!B19=0,0,IFERROR(IF('Técnicas de Ki'!L19&lt;&gt;0,'Técnicas de Ki'!L19+TS!$O124,0)*$O124/$O124,0))</f>
        <v>0</v>
      </c>
      <c r="AC124" s="538">
        <f>IF('Técnicas de Ki'!B19=0,0,IFERROR(IF('Técnicas de Ki'!M19&lt;&gt;0,'Técnicas de Ki'!M19+TS!$P124,0)*$P124/$P124,0))</f>
        <v>0</v>
      </c>
      <c r="AD124" s="538">
        <f>IF('Técnicas de Ki'!B19=0,0,IFERROR(IF('Técnicas de Ki'!N19&lt;&gt;0,'Técnicas de Ki'!N19+TS!$Q124,0)*$Q124/$Q124,0))</f>
        <v>0</v>
      </c>
      <c r="AE124" s="538">
        <f>IF('Técnicas de Ki'!B19=0,0,IFERROR(IF('Técnicas de Ki'!O19&lt;&gt;0,'Técnicas de Ki'!O19+TS!$R124,0)*$R124/$R124,0))</f>
        <v>0</v>
      </c>
      <c r="AF124" s="538">
        <f>IF('Técnicas de Ki'!B19=0,0,IFERROR(IF('Técnicas de Ki'!P19&lt;&gt;0,'Técnicas de Ki'!P19+TS!$S124,0)*$S124/$S124,0))</f>
        <v>0</v>
      </c>
      <c r="AG124" s="539">
        <f>IF('Técnicas de Ki'!B19=0,0,IFERROR(IF('Técnicas de Ki'!Q19&lt;&gt;0,'Técnicas de Ki'!Q19+TS!$T124,0)*$T124/$T124,0))</f>
        <v>0</v>
      </c>
      <c r="AI124" s="571" t="str">
        <f>IF('Técnicas de Ki'!B19&lt;&gt;0,'Técnicas de Ki'!A19&amp;" "&amp;'Técnicas de Ki'!B19,"")</f>
        <v/>
      </c>
      <c r="AJ124" s="302" t="b">
        <f t="shared" si="8"/>
        <v>0</v>
      </c>
      <c r="AK124" s="302" t="str">
        <f t="shared" si="4"/>
        <v/>
      </c>
      <c r="AQ124" s="537">
        <f>IF('Técnicas de Ki'!W19=0,0,IF('Técnicas de Ki'!AD19=TS!AQ$119,'Técnicas de Ki'!X19-(IF($O124&lt;&gt;0,'Técnicas de Ki'!AG19,0)+IF($P124&lt;&gt;0,'Técnicas de Ki'!AH19,0)+IF($Q124&lt;&gt;0,'Técnicas de Ki'!AI19,0)+IF($R124&lt;&gt;0,'Técnicas de Ki'!AJ19,0)+IF($S124&lt;&gt;0,'Técnicas de Ki'!AK19,0)+IF($T124&lt;&gt;0,'Técnicas de Ki'!AL19,0)),0))</f>
        <v>0</v>
      </c>
      <c r="AR124" s="538">
        <f>IF('Técnicas de Ki'!W19=0,0,IF('Técnicas de Ki'!AD19=TS!AR$119,'Técnicas de Ki'!X19-(IF($O124&lt;&gt;0,'Técnicas de Ki'!AG19,0)+IF($P124&lt;&gt;0,'Técnicas de Ki'!AH19,0)+IF($Q124&lt;&gt;0,'Técnicas de Ki'!AI19,0)+IF($R124&lt;&gt;0,'Técnicas de Ki'!AJ19,0)+IF($S124&lt;&gt;0,'Técnicas de Ki'!AK19,0)+IF($T124&lt;&gt;0,'Técnicas de Ki'!AL19,0)),0))</f>
        <v>0</v>
      </c>
      <c r="AS124" s="538">
        <f>IF('Técnicas de Ki'!W19=0,0,IF('Técnicas de Ki'!AD19=TS!AS$119,'Técnicas de Ki'!X19-(IF($O124&lt;&gt;0,'Técnicas de Ki'!AG19,0)+IF($P124&lt;&gt;0,'Técnicas de Ki'!AH19,0)+IF($Q124&lt;&gt;0,'Técnicas de Ki'!AI19,0)+IF($R124&lt;&gt;0,'Técnicas de Ki'!AJ19,0)+IF($S124&lt;&gt;0,'Técnicas de Ki'!AK19,0)+IF($T124&lt;&gt;0,'Técnicas de Ki'!AL19,0)),0))</f>
        <v>0</v>
      </c>
      <c r="AT124" s="538">
        <f>IF('Técnicas de Ki'!W19=0,0,IF('Técnicas de Ki'!AD19=TS!AT$119,'Técnicas de Ki'!X19-(IF($O124&lt;&gt;0,'Técnicas de Ki'!AG19,0)+IF($P124&lt;&gt;0,'Técnicas de Ki'!AH19,0)+IF($Q124&lt;&gt;0,'Técnicas de Ki'!AI19,0)+IF($R124&lt;&gt;0,'Técnicas de Ki'!AJ19,0)+IF($S124&lt;&gt;0,'Técnicas de Ki'!AK19,0)+IF($T124&lt;&gt;0,'Técnicas de Ki'!AL19,0)),0))</f>
        <v>0</v>
      </c>
      <c r="AU124" s="538">
        <f>IF('Técnicas de Ki'!W19=0,0,IF('Técnicas de Ki'!AD19=TS!AU$119,'Técnicas de Ki'!X19-(IF($O124&lt;&gt;0,'Técnicas de Ki'!AG19,0)+IF($P124&lt;&gt;0,'Técnicas de Ki'!AH19,0)+IF($Q124&lt;&gt;0,'Técnicas de Ki'!AI19,0)+IF($R124&lt;&gt;0,'Técnicas de Ki'!AJ19,0)+IF($S124&lt;&gt;0,'Técnicas de Ki'!AK19,0)+IF($T124&lt;&gt;0,'Técnicas de Ki'!AL19,0)),0))</f>
        <v>0</v>
      </c>
      <c r="AV124" s="539">
        <f>IF('Técnicas de Ki'!W19=0,0,IF('Técnicas de Ki'!AD19=TS!AV$119,'Técnicas de Ki'!X19-(IF($O124&lt;&gt;0,'Técnicas de Ki'!AG19,0)+IF($P124&lt;&gt;0,'Técnicas de Ki'!AH19,0)+IF($Q124&lt;&gt;0,'Técnicas de Ki'!AI19,0)+IF($R124&lt;&gt;0,'Técnicas de Ki'!AJ19,0)+IF($S124&lt;&gt;0,'Técnicas de Ki'!AK19,0)+IF($T124&lt;&gt;0,'Técnicas de Ki'!AL19,0)),0))</f>
        <v>0</v>
      </c>
      <c r="AW124" s="538">
        <f>IF('Técnicas de Ki'!W19=0,0,IFERROR(IF('Técnicas de Ki'!AG19&lt;&gt;0,'Técnicas de Ki'!AG19+TS!$O124,0)*$O124/$O124,0))</f>
        <v>0</v>
      </c>
      <c r="AX124" s="538">
        <f>IF('Técnicas de Ki'!W19=0,0,IFERROR(IF('Técnicas de Ki'!AH19&lt;&gt;0,'Técnicas de Ki'!AH19+TS!$P124,0)*$P124/$P124,0))</f>
        <v>0</v>
      </c>
      <c r="AY124" s="538">
        <f>IF('Técnicas de Ki'!W19=0,0,IFERROR(IF('Técnicas de Ki'!AI19&lt;&gt;0,'Técnicas de Ki'!AI19+TS!$Q124,0)*$Q124/$Q124,0))</f>
        <v>0</v>
      </c>
      <c r="AZ124" s="538">
        <f>IF('Técnicas de Ki'!W19=0,0,IFERROR(IF('Técnicas de Ki'!AJ19&lt;&gt;0,'Técnicas de Ki'!AJ19+TS!$R124,0)*$R124/$R124,0))</f>
        <v>0</v>
      </c>
      <c r="BA124" s="538">
        <f>IF('Técnicas de Ki'!W19=0,0,IFERROR(IF('Técnicas de Ki'!AK19&lt;&gt;0,'Técnicas de Ki'!AK19+TS!$S124,0)*$S124/$S124,0))</f>
        <v>0</v>
      </c>
      <c r="BB124" s="539">
        <f>IF('Técnicas de Ki'!W19=0,0,IFERROR(IF('Técnicas de Ki'!AL19&lt;&gt;0,'Técnicas de Ki'!AL19+TS!$T124,0)*$T124/$T124,0))</f>
        <v>0</v>
      </c>
      <c r="BD124" s="571" t="str">
        <f>IF('Técnicas de Ki'!W19&lt;&gt;0,'Técnicas de Ki'!V19&amp;" "&amp;'Técnicas de Ki'!W19,"")</f>
        <v/>
      </c>
      <c r="BE124" s="302" t="b">
        <f t="shared" si="9"/>
        <v>0</v>
      </c>
      <c r="BF124" s="302" t="str">
        <f t="shared" si="5"/>
        <v/>
      </c>
      <c r="BL124" s="537">
        <f>IF('Técnicas de Ki'!AR19=0,0,IF('Técnicas de Ki'!AY19=TS!BL$119,'Técnicas de Ki'!AS19-(IF($O124&lt;&gt;0,'Técnicas de Ki'!BB19,0)+IF($P124&lt;&gt;0,'Técnicas de Ki'!BC19,0)+IF($Q124&lt;&gt;0,'Técnicas de Ki'!BD19,0)+IF($R124&lt;&gt;0,'Técnicas de Ki'!BE19,0)+IF($S124&lt;&gt;0,'Técnicas de Ki'!BF19,0)+IF($T124&lt;&gt;0,'Técnicas de Ki'!BG19,0)),0))</f>
        <v>0</v>
      </c>
      <c r="BM124" s="538">
        <f>IF('Técnicas de Ki'!AR19=0,0,IF('Técnicas de Ki'!AY19=TS!BM$119,'Técnicas de Ki'!AS19-(IF($O124&lt;&gt;0,'Técnicas de Ki'!BB19,0)+IF($P124&lt;&gt;0,'Técnicas de Ki'!BC19,0)+IF($Q124&lt;&gt;0,'Técnicas de Ki'!BD19,0)+IF($R124&lt;&gt;0,'Técnicas de Ki'!BE19,0)+IF($S124&lt;&gt;0,'Técnicas de Ki'!BF19,0)+IF($T124&lt;&gt;0,'Técnicas de Ki'!BG19,0)),0))</f>
        <v>0</v>
      </c>
      <c r="BN124" s="538">
        <f>IF('Técnicas de Ki'!AR19=0,0,IF('Técnicas de Ki'!AY19=TS!BN$119,'Técnicas de Ki'!AS19-(IF($O124&lt;&gt;0,'Técnicas de Ki'!BB19,0)+IF($P124&lt;&gt;0,'Técnicas de Ki'!BC19,0)+IF($Q124&lt;&gt;0,'Técnicas de Ki'!BD19,0)+IF($R124&lt;&gt;0,'Técnicas de Ki'!BE19,0)+IF($S124&lt;&gt;0,'Técnicas de Ki'!BF19,0)+IF($T124&lt;&gt;0,'Técnicas de Ki'!BG19,0)),0))</f>
        <v>0</v>
      </c>
      <c r="BO124" s="538">
        <f>IF('Técnicas de Ki'!AR19=0,0,IF('Técnicas de Ki'!AY19=TS!BO$119,'Técnicas de Ki'!AS19-(IF($O124&lt;&gt;0,'Técnicas de Ki'!BB19,0)+IF($P124&lt;&gt;0,'Técnicas de Ki'!BC19,0)+IF($Q124&lt;&gt;0,'Técnicas de Ki'!BD19,0)+IF($R124&lt;&gt;0,'Técnicas de Ki'!BE19,0)+IF($S124&lt;&gt;0,'Técnicas de Ki'!BF19,0)+IF($T124&lt;&gt;0,'Técnicas de Ki'!BG19,0)),0))</f>
        <v>0</v>
      </c>
      <c r="BP124" s="538">
        <f>IF('Técnicas de Ki'!AR19=0,0,IF('Técnicas de Ki'!AY19=TS!BP$119,'Técnicas de Ki'!AS19-(IF($O124&lt;&gt;0,'Técnicas de Ki'!BB19,0)+IF($P124&lt;&gt;0,'Técnicas de Ki'!BC19,0)+IF($Q124&lt;&gt;0,'Técnicas de Ki'!BD19,0)+IF($R124&lt;&gt;0,'Técnicas de Ki'!BE19,0)+IF($S124&lt;&gt;0,'Técnicas de Ki'!BF19,0)+IF($T124&lt;&gt;0,'Técnicas de Ki'!BG19,0)),0))</f>
        <v>0</v>
      </c>
      <c r="BQ124" s="539">
        <f>IF('Técnicas de Ki'!AR19=0,0,IF('Técnicas de Ki'!AY19=TS!BQ$119,'Técnicas de Ki'!AS19-(IF($O124&lt;&gt;0,'Técnicas de Ki'!BB19,0)+IF($P124&lt;&gt;0,'Técnicas de Ki'!BC19,0)+IF($Q124&lt;&gt;0,'Técnicas de Ki'!BD19,0)+IF($R124&lt;&gt;0,'Técnicas de Ki'!BE19,0)+IF($S124&lt;&gt;0,'Técnicas de Ki'!BF19,0)+IF($T124&lt;&gt;0,'Técnicas de Ki'!BG19,0)),0))</f>
        <v>0</v>
      </c>
      <c r="BR124" s="538">
        <f>IF('Técnicas de Ki'!AR19=0,0,IFERROR(IF('Técnicas de Ki'!BB19&lt;&gt;0,'Técnicas de Ki'!BB19+TS!$O124,0)*$O124/$O124,0))</f>
        <v>0</v>
      </c>
      <c r="BS124" s="538">
        <f>IF('Técnicas de Ki'!AR19=0,0,IFERROR(IF('Técnicas de Ki'!BC19&lt;&gt;0,'Técnicas de Ki'!BC19+TS!$P124,0)*$P124/$P124,0))</f>
        <v>0</v>
      </c>
      <c r="BT124" s="538">
        <f>IF('Técnicas de Ki'!AR19=0,0,IFERROR(IF('Técnicas de Ki'!BD19&lt;&gt;0,'Técnicas de Ki'!BD19+TS!$Q124,0)*$Q124/$Q124,0))</f>
        <v>0</v>
      </c>
      <c r="BU124" s="538">
        <f>IF('Técnicas de Ki'!AR19=0,0,IFERROR(IF('Técnicas de Ki'!BE19&lt;&gt;0,'Técnicas de Ki'!BE19+TS!$R124,0)*$R124/$R124,0))</f>
        <v>0</v>
      </c>
      <c r="BV124" s="538">
        <f>IF('Técnicas de Ki'!AR19=0,0,IFERROR(IF('Técnicas de Ki'!BF19&lt;&gt;0,'Técnicas de Ki'!BF19+TS!$S124,0)*$S124/$S124,0))</f>
        <v>0</v>
      </c>
      <c r="BW124" s="539">
        <f>IF('Técnicas de Ki'!AR19=0,0,IFERROR(IF('Técnicas de Ki'!BG19&lt;&gt;0,'Técnicas de Ki'!BG19+TS!$T124,0)*$T124/$T124,0))</f>
        <v>0</v>
      </c>
      <c r="BY124" s="571" t="str">
        <f>IF('Técnicas de Ki'!AR19&lt;&gt;0,'Técnicas de Ki'!AQ19&amp;" "&amp;'Técnicas de Ki'!AR19,"")</f>
        <v/>
      </c>
      <c r="BZ124" s="302" t="b">
        <f t="shared" si="10"/>
        <v>0</v>
      </c>
      <c r="CA124" s="302" t="str">
        <f t="shared" si="6"/>
        <v/>
      </c>
      <c r="CG124" s="537">
        <f>IF('Técnicas de Ki'!BM19=0,0,IF('Técnicas de Ki'!BT19=TS!CG$119,'Técnicas de Ki'!BN19-(IF($O124&lt;&gt;0,'Técnicas de Ki'!BW19,0)+IF($P124&lt;&gt;0,'Técnicas de Ki'!BX19,0)+IF($Q124&lt;&gt;0,'Técnicas de Ki'!BY19,0)+IF($R124&lt;&gt;0,'Técnicas de Ki'!BZ19,0)+IF($S124&lt;&gt;0,'Técnicas de Ki'!CA19,0)+IF($T124&lt;&gt;0,'Técnicas de Ki'!CB19,0)),0))</f>
        <v>0</v>
      </c>
      <c r="CH124" s="538">
        <f>IF('Técnicas de Ki'!BM19=0,0,IF('Técnicas de Ki'!BT19=TS!CH$119,'Técnicas de Ki'!BN19-(IF($O124&lt;&gt;0,'Técnicas de Ki'!BW19,0)+IF($P124&lt;&gt;0,'Técnicas de Ki'!BX19,0)+IF($Q124&lt;&gt;0,'Técnicas de Ki'!BY19,0)+IF($R124&lt;&gt;0,'Técnicas de Ki'!BZ19,0)+IF($S124&lt;&gt;0,'Técnicas de Ki'!CA19,0)+IF($T124&lt;&gt;0,'Técnicas de Ki'!CB19,0)),0))</f>
        <v>0</v>
      </c>
      <c r="CI124" s="538">
        <f>IF('Técnicas de Ki'!BM19=0,0,IF('Técnicas de Ki'!BT19=TS!CI$119,'Técnicas de Ki'!BN19-(IF($O124&lt;&gt;0,'Técnicas de Ki'!BW19,0)+IF($P124&lt;&gt;0,'Técnicas de Ki'!BX19,0)+IF($Q124&lt;&gt;0,'Técnicas de Ki'!BY19,0)+IF($R124&lt;&gt;0,'Técnicas de Ki'!BZ19,0)+IF($S124&lt;&gt;0,'Técnicas de Ki'!CA19,0)+IF($T124&lt;&gt;0,'Técnicas de Ki'!CB19,0)),0))</f>
        <v>0</v>
      </c>
      <c r="CJ124" s="538">
        <f>IF('Técnicas de Ki'!BM19=0,0,IF('Técnicas de Ki'!BT19=TS!CJ$119,'Técnicas de Ki'!BN19-(IF($O124&lt;&gt;0,'Técnicas de Ki'!BW19,0)+IF($P124&lt;&gt;0,'Técnicas de Ki'!BX19,0)+IF($Q124&lt;&gt;0,'Técnicas de Ki'!BY19,0)+IF($R124&lt;&gt;0,'Técnicas de Ki'!BZ19,0)+IF($S124&lt;&gt;0,'Técnicas de Ki'!CA19,0)+IF($T124&lt;&gt;0,'Técnicas de Ki'!CB19,0)),0))</f>
        <v>0</v>
      </c>
      <c r="CK124" s="538">
        <f>IF('Técnicas de Ki'!BM19=0,0,IF('Técnicas de Ki'!BT19=TS!CK$119,'Técnicas de Ki'!BN19-(IF($O124&lt;&gt;0,'Técnicas de Ki'!BW19,0)+IF($P124&lt;&gt;0,'Técnicas de Ki'!BX19,0)+IF($Q124&lt;&gt;0,'Técnicas de Ki'!BY19,0)+IF($R124&lt;&gt;0,'Técnicas de Ki'!BZ19,0)+IF($S124&lt;&gt;0,'Técnicas de Ki'!CA19,0)+IF($T124&lt;&gt;0,'Técnicas de Ki'!CB19,0)),0))</f>
        <v>0</v>
      </c>
      <c r="CL124" s="539">
        <f>IF('Técnicas de Ki'!BM19=0,0,IF('Técnicas de Ki'!BT19=TS!CL$119,'Técnicas de Ki'!BN19-(IF($O124&lt;&gt;0,'Técnicas de Ki'!BW19,0)+IF($P124&lt;&gt;0,'Técnicas de Ki'!BX19,0)+IF($Q124&lt;&gt;0,'Técnicas de Ki'!BY19,0)+IF($R124&lt;&gt;0,'Técnicas de Ki'!BZ19,0)+IF($S124&lt;&gt;0,'Técnicas de Ki'!CA19,0)+IF($T124&lt;&gt;0,'Técnicas de Ki'!CB19,0)),0))</f>
        <v>0</v>
      </c>
      <c r="CM124" s="538">
        <f>IF('Técnicas de Ki'!BM19=0,0,IFERROR(IF('Técnicas de Ki'!BW19&lt;&gt;0,'Técnicas de Ki'!BW19+TS!$O124,0)*$O124/$O124,0))</f>
        <v>0</v>
      </c>
      <c r="CN124" s="538">
        <f>IF('Técnicas de Ki'!BM19=0,0,IFERROR(IF('Técnicas de Ki'!BX19&lt;&gt;0,'Técnicas de Ki'!BX19+TS!$P124,0)*$P124/$P124,0))</f>
        <v>0</v>
      </c>
      <c r="CO124" s="538">
        <f>IF('Técnicas de Ki'!BM19=0,0,IFERROR(IF('Técnicas de Ki'!BY19&lt;&gt;0,'Técnicas de Ki'!BY19+TS!$Q124,0)*$Q124/$Q124,0))</f>
        <v>0</v>
      </c>
      <c r="CP124" s="538">
        <f>IF('Técnicas de Ki'!BM19=0,0,IFERROR(IF('Técnicas de Ki'!BZ19&lt;&gt;0,'Técnicas de Ki'!BZ19+TS!$R124,0)*$R124/$R124,0))</f>
        <v>0</v>
      </c>
      <c r="CQ124" s="538">
        <f>IF('Técnicas de Ki'!BM19=0,0,IFERROR(IF('Técnicas de Ki'!CA19&lt;&gt;0,'Técnicas de Ki'!CA19+TS!$S124,0)*$S124/$S124,0))</f>
        <v>0</v>
      </c>
      <c r="CR124" s="539">
        <f>IF('Técnicas de Ki'!BM19=0,0,IFERROR(IF('Técnicas de Ki'!CB19&lt;&gt;0,'Técnicas de Ki'!CB19+TS!$T124,0)*$T124/$T124,0))</f>
        <v>0</v>
      </c>
      <c r="CT124" s="571" t="str">
        <f>IF('Técnicas de Ki'!BM19&lt;&gt;0,'Técnicas de Ki'!BL19&amp;" "&amp;'Técnicas de Ki'!BM19,"")</f>
        <v/>
      </c>
      <c r="CU124" s="302" t="b">
        <f t="shared" si="11"/>
        <v>0</v>
      </c>
      <c r="CV124" s="302" t="str">
        <f t="shared" si="7"/>
        <v/>
      </c>
    </row>
    <row r="125" spans="1:102" x14ac:dyDescent="0.2">
      <c r="A125" s="302" t="s">
        <v>6842</v>
      </c>
      <c r="B125" s="302" t="s">
        <v>6821</v>
      </c>
      <c r="C125" s="302" t="str">
        <f t="shared" si="3"/>
        <v>Defensa predeterminadaMuy Difícil (140)</v>
      </c>
      <c r="D125" s="302">
        <v>6</v>
      </c>
      <c r="E125" s="302">
        <v>9</v>
      </c>
      <c r="F125" s="302">
        <v>5</v>
      </c>
      <c r="G125" s="302">
        <v>3</v>
      </c>
      <c r="H125" s="302">
        <v>6</v>
      </c>
      <c r="I125" s="302">
        <v>11</v>
      </c>
      <c r="J125" s="302">
        <v>1</v>
      </c>
      <c r="N125" s="302" t="s">
        <v>6795</v>
      </c>
      <c r="P125" s="528">
        <v>1</v>
      </c>
      <c r="R125" s="302">
        <v>2</v>
      </c>
      <c r="S125" s="528">
        <v>2</v>
      </c>
      <c r="T125" s="528">
        <v>2</v>
      </c>
      <c r="V125" s="537">
        <f>IF('Técnicas de Ki'!B20=0,0,IF('Técnicas de Ki'!I20=TS!V$119,'Técnicas de Ki'!C20-(IF($O125&lt;&gt;0,'Técnicas de Ki'!L20,0)+IF($P125&lt;&gt;0,'Técnicas de Ki'!M20,0)+IF($Q125&lt;&gt;0,'Técnicas de Ki'!N20,0)+IF($R125&lt;&gt;0,'Técnicas de Ki'!O20,0)+IF($S125&lt;&gt;0,'Técnicas de Ki'!P20,0)+IF($T125&lt;&gt;0,'Técnicas de Ki'!Q20,0)),0))</f>
        <v>0</v>
      </c>
      <c r="W125" s="538">
        <f>IF('Técnicas de Ki'!B20=0,0,IF('Técnicas de Ki'!I20=TS!W$119,'Técnicas de Ki'!C20-(IF($O125&lt;&gt;0,'Técnicas de Ki'!L20,0)+IF($P125&lt;&gt;0,'Técnicas de Ki'!M20,0)+IF($Q125&lt;&gt;0,'Técnicas de Ki'!N20,0)+IF($R125&lt;&gt;0,'Técnicas de Ki'!O20,0)+IF($S125&lt;&gt;0,'Técnicas de Ki'!P20,0)+IF($T125&lt;&gt;0,'Técnicas de Ki'!Q20,0)),0))</f>
        <v>0</v>
      </c>
      <c r="X125" s="538">
        <f>IF('Técnicas de Ki'!B20=0,0,IF('Técnicas de Ki'!I20=TS!X$119,'Técnicas de Ki'!C20-(IF($O125&lt;&gt;0,'Técnicas de Ki'!L20,0)+IF($P125&lt;&gt;0,'Técnicas de Ki'!M20,0)+IF($Q125&lt;&gt;0,'Técnicas de Ki'!N20,0)+IF($R125&lt;&gt;0,'Técnicas de Ki'!O20,0)+IF($S125&lt;&gt;0,'Técnicas de Ki'!P20,0)+IF($T125&lt;&gt;0,'Técnicas de Ki'!Q20,0)),0))</f>
        <v>0</v>
      </c>
      <c r="Y125" s="538">
        <f>IF('Técnicas de Ki'!B20=0,0,IF('Técnicas de Ki'!I20=TS!Y$119,'Técnicas de Ki'!C20-(IF($O125&lt;&gt;0,'Técnicas de Ki'!L20,0)+IF($P125&lt;&gt;0,'Técnicas de Ki'!M20,0)+IF($Q125&lt;&gt;0,'Técnicas de Ki'!N20,0)+IF($R125&lt;&gt;0,'Técnicas de Ki'!O20,0)+IF($S125&lt;&gt;0,'Técnicas de Ki'!P20,0)+IF($T125&lt;&gt;0,'Técnicas de Ki'!Q20,0)),0))</f>
        <v>0</v>
      </c>
      <c r="Z125" s="538">
        <f>IF('Técnicas de Ki'!B20=0,0,IF('Técnicas de Ki'!I20=TS!Z$119,'Técnicas de Ki'!C20-(IF($O125&lt;&gt;0,'Técnicas de Ki'!L20,0)+IF($P125&lt;&gt;0,'Técnicas de Ki'!M20,0)+IF($Q125&lt;&gt;0,'Técnicas de Ki'!N20,0)+IF($R125&lt;&gt;0,'Técnicas de Ki'!O20,0)+IF($S125&lt;&gt;0,'Técnicas de Ki'!P20,0)+IF($T125&lt;&gt;0,'Técnicas de Ki'!Q20,0)),0))</f>
        <v>0</v>
      </c>
      <c r="AA125" s="539">
        <f>IF('Técnicas de Ki'!B20=0,0,IF('Técnicas de Ki'!I20=TS!AA$119,'Técnicas de Ki'!C20-(IF($O125&lt;&gt;0,'Técnicas de Ki'!L20,0)+IF($P125&lt;&gt;0,'Técnicas de Ki'!M20,0)+IF($Q125&lt;&gt;0,'Técnicas de Ki'!N20,0)+IF($R125&lt;&gt;0,'Técnicas de Ki'!O20,0)+IF($S125&lt;&gt;0,'Técnicas de Ki'!P20,0)+IF($T125&lt;&gt;0,'Técnicas de Ki'!Q20,0)),0))</f>
        <v>0</v>
      </c>
      <c r="AB125" s="538">
        <f>IF('Técnicas de Ki'!B20=0,0,IFERROR(IF('Técnicas de Ki'!L20&lt;&gt;0,'Técnicas de Ki'!L20+TS!$O125,0)*$O125/$O125,0))</f>
        <v>0</v>
      </c>
      <c r="AC125" s="538">
        <f>IF('Técnicas de Ki'!B20=0,0,IFERROR(IF('Técnicas de Ki'!M20&lt;&gt;0,'Técnicas de Ki'!M20+TS!$P125,0)*$P125/$P125,0))</f>
        <v>0</v>
      </c>
      <c r="AD125" s="538">
        <f>IF('Técnicas de Ki'!B20=0,0,IFERROR(IF('Técnicas de Ki'!N20&lt;&gt;0,'Técnicas de Ki'!N20+TS!$Q125,0)*$Q125/$Q125,0))</f>
        <v>0</v>
      </c>
      <c r="AE125" s="538">
        <f>IF('Técnicas de Ki'!B20=0,0,IFERROR(IF('Técnicas de Ki'!O20&lt;&gt;0,'Técnicas de Ki'!O20+TS!$R125,0)*$R125/$R125,0))</f>
        <v>0</v>
      </c>
      <c r="AF125" s="538">
        <f>IF('Técnicas de Ki'!B20=0,0,IFERROR(IF('Técnicas de Ki'!P20&lt;&gt;0,'Técnicas de Ki'!P20+TS!$S125,0)*$S125/$S125,0))</f>
        <v>0</v>
      </c>
      <c r="AG125" s="539">
        <f>IF('Técnicas de Ki'!B20=0,0,IFERROR(IF('Técnicas de Ki'!Q20&lt;&gt;0,'Técnicas de Ki'!Q20+TS!$T125,0)*$T125/$T125,0))</f>
        <v>0</v>
      </c>
      <c r="AI125" s="571" t="str">
        <f>IF('Técnicas de Ki'!B20&lt;&gt;0,'Técnicas de Ki'!A20&amp;" "&amp;'Técnicas de Ki'!B20,"")</f>
        <v/>
      </c>
      <c r="AJ125" s="302" t="b">
        <f t="shared" si="8"/>
        <v>0</v>
      </c>
      <c r="AK125" s="302" t="str">
        <f t="shared" si="4"/>
        <v/>
      </c>
      <c r="AQ125" s="537">
        <f>IF('Técnicas de Ki'!W20=0,0,IF('Técnicas de Ki'!AD20=TS!AQ$119,'Técnicas de Ki'!X20-(IF($O125&lt;&gt;0,'Técnicas de Ki'!AG20,0)+IF($P125&lt;&gt;0,'Técnicas de Ki'!AH20,0)+IF($Q125&lt;&gt;0,'Técnicas de Ki'!AI20,0)+IF($R125&lt;&gt;0,'Técnicas de Ki'!AJ20,0)+IF($S125&lt;&gt;0,'Técnicas de Ki'!AK20,0)+IF($T125&lt;&gt;0,'Técnicas de Ki'!AL20,0)),0))</f>
        <v>0</v>
      </c>
      <c r="AR125" s="538">
        <f>IF('Técnicas de Ki'!W20=0,0,IF('Técnicas de Ki'!AD20=TS!AR$119,'Técnicas de Ki'!X20-(IF($O125&lt;&gt;0,'Técnicas de Ki'!AG20,0)+IF($P125&lt;&gt;0,'Técnicas de Ki'!AH20,0)+IF($Q125&lt;&gt;0,'Técnicas de Ki'!AI20,0)+IF($R125&lt;&gt;0,'Técnicas de Ki'!AJ20,0)+IF($S125&lt;&gt;0,'Técnicas de Ki'!AK20,0)+IF($T125&lt;&gt;0,'Técnicas de Ki'!AL20,0)),0))</f>
        <v>0</v>
      </c>
      <c r="AS125" s="538">
        <f>IF('Técnicas de Ki'!W20=0,0,IF('Técnicas de Ki'!AD20=TS!AS$119,'Técnicas de Ki'!X20-(IF($O125&lt;&gt;0,'Técnicas de Ki'!AG20,0)+IF($P125&lt;&gt;0,'Técnicas de Ki'!AH20,0)+IF($Q125&lt;&gt;0,'Técnicas de Ki'!AI20,0)+IF($R125&lt;&gt;0,'Técnicas de Ki'!AJ20,0)+IF($S125&lt;&gt;0,'Técnicas de Ki'!AK20,0)+IF($T125&lt;&gt;0,'Técnicas de Ki'!AL20,0)),0))</f>
        <v>0</v>
      </c>
      <c r="AT125" s="538">
        <f>IF('Técnicas de Ki'!W20=0,0,IF('Técnicas de Ki'!AD20=TS!AT$119,'Técnicas de Ki'!X20-(IF($O125&lt;&gt;0,'Técnicas de Ki'!AG20,0)+IF($P125&lt;&gt;0,'Técnicas de Ki'!AH20,0)+IF($Q125&lt;&gt;0,'Técnicas de Ki'!AI20,0)+IF($R125&lt;&gt;0,'Técnicas de Ki'!AJ20,0)+IF($S125&lt;&gt;0,'Técnicas de Ki'!AK20,0)+IF($T125&lt;&gt;0,'Técnicas de Ki'!AL20,0)),0))</f>
        <v>0</v>
      </c>
      <c r="AU125" s="538">
        <f>IF('Técnicas de Ki'!W20=0,0,IF('Técnicas de Ki'!AD20=TS!AU$119,'Técnicas de Ki'!X20-(IF($O125&lt;&gt;0,'Técnicas de Ki'!AG20,0)+IF($P125&lt;&gt;0,'Técnicas de Ki'!AH20,0)+IF($Q125&lt;&gt;0,'Técnicas de Ki'!AI20,0)+IF($R125&lt;&gt;0,'Técnicas de Ki'!AJ20,0)+IF($S125&lt;&gt;0,'Técnicas de Ki'!AK20,0)+IF($T125&lt;&gt;0,'Técnicas de Ki'!AL20,0)),0))</f>
        <v>0</v>
      </c>
      <c r="AV125" s="539">
        <f>IF('Técnicas de Ki'!W20=0,0,IF('Técnicas de Ki'!AD20=TS!AV$119,'Técnicas de Ki'!X20-(IF($O125&lt;&gt;0,'Técnicas de Ki'!AG20,0)+IF($P125&lt;&gt;0,'Técnicas de Ki'!AH20,0)+IF($Q125&lt;&gt;0,'Técnicas de Ki'!AI20,0)+IF($R125&lt;&gt;0,'Técnicas de Ki'!AJ20,0)+IF($S125&lt;&gt;0,'Técnicas de Ki'!AK20,0)+IF($T125&lt;&gt;0,'Técnicas de Ki'!AL20,0)),0))</f>
        <v>0</v>
      </c>
      <c r="AW125" s="538">
        <f>IF('Técnicas de Ki'!W20=0,0,IFERROR(IF('Técnicas de Ki'!AG20&lt;&gt;0,'Técnicas de Ki'!AG20+TS!$O125,0)*$O125/$O125,0))</f>
        <v>0</v>
      </c>
      <c r="AX125" s="538">
        <f>IF('Técnicas de Ki'!W20=0,0,IFERROR(IF('Técnicas de Ki'!AH20&lt;&gt;0,'Técnicas de Ki'!AH20+TS!$P125,0)*$P125/$P125,0))</f>
        <v>0</v>
      </c>
      <c r="AY125" s="538">
        <f>IF('Técnicas de Ki'!W20=0,0,IFERROR(IF('Técnicas de Ki'!AI20&lt;&gt;0,'Técnicas de Ki'!AI20+TS!$Q125,0)*$Q125/$Q125,0))</f>
        <v>0</v>
      </c>
      <c r="AZ125" s="538">
        <f>IF('Técnicas de Ki'!W20=0,0,IFERROR(IF('Técnicas de Ki'!AJ20&lt;&gt;0,'Técnicas de Ki'!AJ20+TS!$R125,0)*$R125/$R125,0))</f>
        <v>0</v>
      </c>
      <c r="BA125" s="538">
        <f>IF('Técnicas de Ki'!W20=0,0,IFERROR(IF('Técnicas de Ki'!AK20&lt;&gt;0,'Técnicas de Ki'!AK20+TS!$S125,0)*$S125/$S125,0))</f>
        <v>0</v>
      </c>
      <c r="BB125" s="539">
        <f>IF('Técnicas de Ki'!W20=0,0,IFERROR(IF('Técnicas de Ki'!AL20&lt;&gt;0,'Técnicas de Ki'!AL20+TS!$T125,0)*$T125/$T125,0))</f>
        <v>0</v>
      </c>
      <c r="BD125" s="571" t="str">
        <f>IF('Técnicas de Ki'!W20&lt;&gt;0,'Técnicas de Ki'!V20&amp;" "&amp;'Técnicas de Ki'!W20,"")</f>
        <v/>
      </c>
      <c r="BE125" s="302" t="b">
        <f t="shared" si="9"/>
        <v>0</v>
      </c>
      <c r="BF125" s="302" t="str">
        <f t="shared" si="5"/>
        <v/>
      </c>
      <c r="BL125" s="537">
        <f>IF('Técnicas de Ki'!AR20=0,0,IF('Técnicas de Ki'!AY20=TS!BL$119,'Técnicas de Ki'!AS20-(IF($O125&lt;&gt;0,'Técnicas de Ki'!BB20,0)+IF($P125&lt;&gt;0,'Técnicas de Ki'!BC20,0)+IF($Q125&lt;&gt;0,'Técnicas de Ki'!BD20,0)+IF($R125&lt;&gt;0,'Técnicas de Ki'!BE20,0)+IF($S125&lt;&gt;0,'Técnicas de Ki'!BF20,0)+IF($T125&lt;&gt;0,'Técnicas de Ki'!BG20,0)),0))</f>
        <v>0</v>
      </c>
      <c r="BM125" s="538">
        <f>IF('Técnicas de Ki'!AR20=0,0,IF('Técnicas de Ki'!AY20=TS!BM$119,'Técnicas de Ki'!AS20-(IF($O125&lt;&gt;0,'Técnicas de Ki'!BB20,0)+IF($P125&lt;&gt;0,'Técnicas de Ki'!BC20,0)+IF($Q125&lt;&gt;0,'Técnicas de Ki'!BD20,0)+IF($R125&lt;&gt;0,'Técnicas de Ki'!BE20,0)+IF($S125&lt;&gt;0,'Técnicas de Ki'!BF20,0)+IF($T125&lt;&gt;0,'Técnicas de Ki'!BG20,0)),0))</f>
        <v>0</v>
      </c>
      <c r="BN125" s="538">
        <f>IF('Técnicas de Ki'!AR20=0,0,IF('Técnicas de Ki'!AY20=TS!BN$119,'Técnicas de Ki'!AS20-(IF($O125&lt;&gt;0,'Técnicas de Ki'!BB20,0)+IF($P125&lt;&gt;0,'Técnicas de Ki'!BC20,0)+IF($Q125&lt;&gt;0,'Técnicas de Ki'!BD20,0)+IF($R125&lt;&gt;0,'Técnicas de Ki'!BE20,0)+IF($S125&lt;&gt;0,'Técnicas de Ki'!BF20,0)+IF($T125&lt;&gt;0,'Técnicas de Ki'!BG20,0)),0))</f>
        <v>0</v>
      </c>
      <c r="BO125" s="538">
        <f>IF('Técnicas de Ki'!AR20=0,0,IF('Técnicas de Ki'!AY20=TS!BO$119,'Técnicas de Ki'!AS20-(IF($O125&lt;&gt;0,'Técnicas de Ki'!BB20,0)+IF($P125&lt;&gt;0,'Técnicas de Ki'!BC20,0)+IF($Q125&lt;&gt;0,'Técnicas de Ki'!BD20,0)+IF($R125&lt;&gt;0,'Técnicas de Ki'!BE20,0)+IF($S125&lt;&gt;0,'Técnicas de Ki'!BF20,0)+IF($T125&lt;&gt;0,'Técnicas de Ki'!BG20,0)),0))</f>
        <v>0</v>
      </c>
      <c r="BP125" s="538">
        <f>IF('Técnicas de Ki'!AR20=0,0,IF('Técnicas de Ki'!AY20=TS!BP$119,'Técnicas de Ki'!AS20-(IF($O125&lt;&gt;0,'Técnicas de Ki'!BB20,0)+IF($P125&lt;&gt;0,'Técnicas de Ki'!BC20,0)+IF($Q125&lt;&gt;0,'Técnicas de Ki'!BD20,0)+IF($R125&lt;&gt;0,'Técnicas de Ki'!BE20,0)+IF($S125&lt;&gt;0,'Técnicas de Ki'!BF20,0)+IF($T125&lt;&gt;0,'Técnicas de Ki'!BG20,0)),0))</f>
        <v>0</v>
      </c>
      <c r="BQ125" s="539">
        <f>IF('Técnicas de Ki'!AR20=0,0,IF('Técnicas de Ki'!AY20=TS!BQ$119,'Técnicas de Ki'!AS20-(IF($O125&lt;&gt;0,'Técnicas de Ki'!BB20,0)+IF($P125&lt;&gt;0,'Técnicas de Ki'!BC20,0)+IF($Q125&lt;&gt;0,'Técnicas de Ki'!BD20,0)+IF($R125&lt;&gt;0,'Técnicas de Ki'!BE20,0)+IF($S125&lt;&gt;0,'Técnicas de Ki'!BF20,0)+IF($T125&lt;&gt;0,'Técnicas de Ki'!BG20,0)),0))</f>
        <v>0</v>
      </c>
      <c r="BR125" s="538">
        <f>IF('Técnicas de Ki'!AR20=0,0,IFERROR(IF('Técnicas de Ki'!BB20&lt;&gt;0,'Técnicas de Ki'!BB20+TS!$O125,0)*$O125/$O125,0))</f>
        <v>0</v>
      </c>
      <c r="BS125" s="538">
        <f>IF('Técnicas de Ki'!AR20=0,0,IFERROR(IF('Técnicas de Ki'!BC20&lt;&gt;0,'Técnicas de Ki'!BC20+TS!$P125,0)*$P125/$P125,0))</f>
        <v>0</v>
      </c>
      <c r="BT125" s="538">
        <f>IF('Técnicas de Ki'!AR20=0,0,IFERROR(IF('Técnicas de Ki'!BD20&lt;&gt;0,'Técnicas de Ki'!BD20+TS!$Q125,0)*$Q125/$Q125,0))</f>
        <v>0</v>
      </c>
      <c r="BU125" s="538">
        <f>IF('Técnicas de Ki'!AR20=0,0,IFERROR(IF('Técnicas de Ki'!BE20&lt;&gt;0,'Técnicas de Ki'!BE20+TS!$R125,0)*$R125/$R125,0))</f>
        <v>0</v>
      </c>
      <c r="BV125" s="538">
        <f>IF('Técnicas de Ki'!AR20=0,0,IFERROR(IF('Técnicas de Ki'!BF20&lt;&gt;0,'Técnicas de Ki'!BF20+TS!$S125,0)*$S125/$S125,0))</f>
        <v>0</v>
      </c>
      <c r="BW125" s="539">
        <f>IF('Técnicas de Ki'!AR20=0,0,IFERROR(IF('Técnicas de Ki'!BG20&lt;&gt;0,'Técnicas de Ki'!BG20+TS!$T125,0)*$T125/$T125,0))</f>
        <v>0</v>
      </c>
      <c r="BY125" s="571" t="str">
        <f>IF('Técnicas de Ki'!AR20&lt;&gt;0,'Técnicas de Ki'!AQ20&amp;" "&amp;'Técnicas de Ki'!AR20,"")</f>
        <v/>
      </c>
      <c r="BZ125" s="302" t="b">
        <f t="shared" si="10"/>
        <v>0</v>
      </c>
      <c r="CA125" s="302" t="str">
        <f t="shared" si="6"/>
        <v/>
      </c>
      <c r="CG125" s="537">
        <f>IF('Técnicas de Ki'!BM20=0,0,IF('Técnicas de Ki'!BT20=TS!CG$119,'Técnicas de Ki'!BN20-(IF($O125&lt;&gt;0,'Técnicas de Ki'!BW20,0)+IF($P125&lt;&gt;0,'Técnicas de Ki'!BX20,0)+IF($Q125&lt;&gt;0,'Técnicas de Ki'!BY20,0)+IF($R125&lt;&gt;0,'Técnicas de Ki'!BZ20,0)+IF($S125&lt;&gt;0,'Técnicas de Ki'!CA20,0)+IF($T125&lt;&gt;0,'Técnicas de Ki'!CB20,0)),0))</f>
        <v>0</v>
      </c>
      <c r="CH125" s="538">
        <f>IF('Técnicas de Ki'!BM20=0,0,IF('Técnicas de Ki'!BT20=TS!CH$119,'Técnicas de Ki'!BN20-(IF($O125&lt;&gt;0,'Técnicas de Ki'!BW20,0)+IF($P125&lt;&gt;0,'Técnicas de Ki'!BX20,0)+IF($Q125&lt;&gt;0,'Técnicas de Ki'!BY20,0)+IF($R125&lt;&gt;0,'Técnicas de Ki'!BZ20,0)+IF($S125&lt;&gt;0,'Técnicas de Ki'!CA20,0)+IF($T125&lt;&gt;0,'Técnicas de Ki'!CB20,0)),0))</f>
        <v>0</v>
      </c>
      <c r="CI125" s="538">
        <f>IF('Técnicas de Ki'!BM20=0,0,IF('Técnicas de Ki'!BT20=TS!CI$119,'Técnicas de Ki'!BN20-(IF($O125&lt;&gt;0,'Técnicas de Ki'!BW20,0)+IF($P125&lt;&gt;0,'Técnicas de Ki'!BX20,0)+IF($Q125&lt;&gt;0,'Técnicas de Ki'!BY20,0)+IF($R125&lt;&gt;0,'Técnicas de Ki'!BZ20,0)+IF($S125&lt;&gt;0,'Técnicas de Ki'!CA20,0)+IF($T125&lt;&gt;0,'Técnicas de Ki'!CB20,0)),0))</f>
        <v>0</v>
      </c>
      <c r="CJ125" s="538">
        <f>IF('Técnicas de Ki'!BM20=0,0,IF('Técnicas de Ki'!BT20=TS!CJ$119,'Técnicas de Ki'!BN20-(IF($O125&lt;&gt;0,'Técnicas de Ki'!BW20,0)+IF($P125&lt;&gt;0,'Técnicas de Ki'!BX20,0)+IF($Q125&lt;&gt;0,'Técnicas de Ki'!BY20,0)+IF($R125&lt;&gt;0,'Técnicas de Ki'!BZ20,0)+IF($S125&lt;&gt;0,'Técnicas de Ki'!CA20,0)+IF($T125&lt;&gt;0,'Técnicas de Ki'!CB20,0)),0))</f>
        <v>0</v>
      </c>
      <c r="CK125" s="538">
        <f>IF('Técnicas de Ki'!BM20=0,0,IF('Técnicas de Ki'!BT20=TS!CK$119,'Técnicas de Ki'!BN20-(IF($O125&lt;&gt;0,'Técnicas de Ki'!BW20,0)+IF($P125&lt;&gt;0,'Técnicas de Ki'!BX20,0)+IF($Q125&lt;&gt;0,'Técnicas de Ki'!BY20,0)+IF($R125&lt;&gt;0,'Técnicas de Ki'!BZ20,0)+IF($S125&lt;&gt;0,'Técnicas de Ki'!CA20,0)+IF($T125&lt;&gt;0,'Técnicas de Ki'!CB20,0)),0))</f>
        <v>0</v>
      </c>
      <c r="CL125" s="539">
        <f>IF('Técnicas de Ki'!BM20=0,0,IF('Técnicas de Ki'!BT20=TS!CL$119,'Técnicas de Ki'!BN20-(IF($O125&lt;&gt;0,'Técnicas de Ki'!BW20,0)+IF($P125&lt;&gt;0,'Técnicas de Ki'!BX20,0)+IF($Q125&lt;&gt;0,'Técnicas de Ki'!BY20,0)+IF($R125&lt;&gt;0,'Técnicas de Ki'!BZ20,0)+IF($S125&lt;&gt;0,'Técnicas de Ki'!CA20,0)+IF($T125&lt;&gt;0,'Técnicas de Ki'!CB20,0)),0))</f>
        <v>0</v>
      </c>
      <c r="CM125" s="538">
        <f>IF('Técnicas de Ki'!BM20=0,0,IFERROR(IF('Técnicas de Ki'!BW20&lt;&gt;0,'Técnicas de Ki'!BW20+TS!$O125,0)*$O125/$O125,0))</f>
        <v>0</v>
      </c>
      <c r="CN125" s="538">
        <f>IF('Técnicas de Ki'!BM20=0,0,IFERROR(IF('Técnicas de Ki'!BX20&lt;&gt;0,'Técnicas de Ki'!BX20+TS!$P125,0)*$P125/$P125,0))</f>
        <v>0</v>
      </c>
      <c r="CO125" s="538">
        <f>IF('Técnicas de Ki'!BM20=0,0,IFERROR(IF('Técnicas de Ki'!BY20&lt;&gt;0,'Técnicas de Ki'!BY20+TS!$Q125,0)*$Q125/$Q125,0))</f>
        <v>0</v>
      </c>
      <c r="CP125" s="538">
        <f>IF('Técnicas de Ki'!BM20=0,0,IFERROR(IF('Técnicas de Ki'!BZ20&lt;&gt;0,'Técnicas de Ki'!BZ20+TS!$R125,0)*$R125/$R125,0))</f>
        <v>0</v>
      </c>
      <c r="CQ125" s="538">
        <f>IF('Técnicas de Ki'!BM20=0,0,IFERROR(IF('Técnicas de Ki'!CA20&lt;&gt;0,'Técnicas de Ki'!CA20+TS!$S125,0)*$S125/$S125,0))</f>
        <v>0</v>
      </c>
      <c r="CR125" s="539">
        <f>IF('Técnicas de Ki'!BM20=0,0,IFERROR(IF('Técnicas de Ki'!CB20&lt;&gt;0,'Técnicas de Ki'!CB20+TS!$T125,0)*$T125/$T125,0))</f>
        <v>0</v>
      </c>
      <c r="CT125" s="571" t="str">
        <f>IF('Técnicas de Ki'!BM20&lt;&gt;0,'Técnicas de Ki'!BL20&amp;" "&amp;'Técnicas de Ki'!BM20,"")</f>
        <v/>
      </c>
      <c r="CU125" s="302" t="b">
        <f t="shared" si="11"/>
        <v>0</v>
      </c>
      <c r="CV125" s="302" t="str">
        <f t="shared" si="7"/>
        <v/>
      </c>
    </row>
    <row r="126" spans="1:102" x14ac:dyDescent="0.2">
      <c r="A126" s="302" t="s">
        <v>6842</v>
      </c>
      <c r="B126" s="302" t="s">
        <v>6822</v>
      </c>
      <c r="C126" s="302" t="str">
        <f t="shared" si="3"/>
        <v>Defensa predeterminadaAbsurdo (180)</v>
      </c>
      <c r="D126" s="302">
        <v>8</v>
      </c>
      <c r="E126" s="302">
        <v>11</v>
      </c>
      <c r="F126" s="302">
        <v>10</v>
      </c>
      <c r="G126" s="302">
        <v>4</v>
      </c>
      <c r="H126" s="302">
        <v>8</v>
      </c>
      <c r="I126" s="302">
        <v>14</v>
      </c>
      <c r="J126" s="302">
        <v>1</v>
      </c>
      <c r="N126" s="302" t="s">
        <v>6796</v>
      </c>
      <c r="P126" s="528">
        <v>2</v>
      </c>
      <c r="Q126" s="302">
        <v>2</v>
      </c>
      <c r="R126" s="302">
        <v>2</v>
      </c>
      <c r="S126" s="528">
        <v>2</v>
      </c>
      <c r="V126" s="537">
        <f>IF('Técnicas de Ki'!B21=0,0,IF('Técnicas de Ki'!I21=TS!V$119,'Técnicas de Ki'!C21-(IF($O126&lt;&gt;0,'Técnicas de Ki'!L21,0)+IF($P126&lt;&gt;0,'Técnicas de Ki'!M21,0)+IF($Q126&lt;&gt;0,'Técnicas de Ki'!N21,0)+IF($R126&lt;&gt;0,'Técnicas de Ki'!O21,0)+IF($S126&lt;&gt;0,'Técnicas de Ki'!P21,0)+IF($T126&lt;&gt;0,'Técnicas de Ki'!Q21,0)),0))</f>
        <v>0</v>
      </c>
      <c r="W126" s="538">
        <f>IF('Técnicas de Ki'!B21=0,0,IF('Técnicas de Ki'!I21=TS!W$119,'Técnicas de Ki'!C21-(IF($O126&lt;&gt;0,'Técnicas de Ki'!L21,0)+IF($P126&lt;&gt;0,'Técnicas de Ki'!M21,0)+IF($Q126&lt;&gt;0,'Técnicas de Ki'!N21,0)+IF($R126&lt;&gt;0,'Técnicas de Ki'!O21,0)+IF($S126&lt;&gt;0,'Técnicas de Ki'!P21,0)+IF($T126&lt;&gt;0,'Técnicas de Ki'!Q21,0)),0))</f>
        <v>0</v>
      </c>
      <c r="X126" s="538">
        <f>IF('Técnicas de Ki'!B21=0,0,IF('Técnicas de Ki'!I21=TS!X$119,'Técnicas de Ki'!C21-(IF($O126&lt;&gt;0,'Técnicas de Ki'!L21,0)+IF($P126&lt;&gt;0,'Técnicas de Ki'!M21,0)+IF($Q126&lt;&gt;0,'Técnicas de Ki'!N21,0)+IF($R126&lt;&gt;0,'Técnicas de Ki'!O21,0)+IF($S126&lt;&gt;0,'Técnicas de Ki'!P21,0)+IF($T126&lt;&gt;0,'Técnicas de Ki'!Q21,0)),0))</f>
        <v>0</v>
      </c>
      <c r="Y126" s="538">
        <f>IF('Técnicas de Ki'!B21=0,0,IF('Técnicas de Ki'!I21=TS!Y$119,'Técnicas de Ki'!C21-(IF($O126&lt;&gt;0,'Técnicas de Ki'!L21,0)+IF($P126&lt;&gt;0,'Técnicas de Ki'!M21,0)+IF($Q126&lt;&gt;0,'Técnicas de Ki'!N21,0)+IF($R126&lt;&gt;0,'Técnicas de Ki'!O21,0)+IF($S126&lt;&gt;0,'Técnicas de Ki'!P21,0)+IF($T126&lt;&gt;0,'Técnicas de Ki'!Q21,0)),0))</f>
        <v>0</v>
      </c>
      <c r="Z126" s="538">
        <f>IF('Técnicas de Ki'!B21=0,0,IF('Técnicas de Ki'!I21=TS!Z$119,'Técnicas de Ki'!C21-(IF($O126&lt;&gt;0,'Técnicas de Ki'!L21,0)+IF($P126&lt;&gt;0,'Técnicas de Ki'!M21,0)+IF($Q126&lt;&gt;0,'Técnicas de Ki'!N21,0)+IF($R126&lt;&gt;0,'Técnicas de Ki'!O21,0)+IF($S126&lt;&gt;0,'Técnicas de Ki'!P21,0)+IF($T126&lt;&gt;0,'Técnicas de Ki'!Q21,0)),0))</f>
        <v>0</v>
      </c>
      <c r="AA126" s="539">
        <f>IF('Técnicas de Ki'!B21=0,0,IF('Técnicas de Ki'!I21=TS!AA$119,'Técnicas de Ki'!C21-(IF($O126&lt;&gt;0,'Técnicas de Ki'!L21,0)+IF($P126&lt;&gt;0,'Técnicas de Ki'!M21,0)+IF($Q126&lt;&gt;0,'Técnicas de Ki'!N21,0)+IF($R126&lt;&gt;0,'Técnicas de Ki'!O21,0)+IF($S126&lt;&gt;0,'Técnicas de Ki'!P21,0)+IF($T126&lt;&gt;0,'Técnicas de Ki'!Q21,0)),0))</f>
        <v>0</v>
      </c>
      <c r="AB126" s="538">
        <f>IF('Técnicas de Ki'!B21=0,0,IFERROR(IF('Técnicas de Ki'!L21&lt;&gt;0,'Técnicas de Ki'!L21+TS!$O126,0)*$O126/$O126,0))</f>
        <v>0</v>
      </c>
      <c r="AC126" s="538">
        <f>IF('Técnicas de Ki'!B21=0,0,IFERROR(IF('Técnicas de Ki'!M21&lt;&gt;0,'Técnicas de Ki'!M21+TS!$P126,0)*$P126/$P126,0))</f>
        <v>0</v>
      </c>
      <c r="AD126" s="538">
        <f>IF('Técnicas de Ki'!B21=0,0,IFERROR(IF('Técnicas de Ki'!N21&lt;&gt;0,'Técnicas de Ki'!N21+TS!$Q126,0)*$Q126/$Q126,0))</f>
        <v>0</v>
      </c>
      <c r="AE126" s="538">
        <f>IF('Técnicas de Ki'!B21=0,0,IFERROR(IF('Técnicas de Ki'!O21&lt;&gt;0,'Técnicas de Ki'!O21+TS!$R126,0)*$R126/$R126,0))</f>
        <v>0</v>
      </c>
      <c r="AF126" s="538">
        <f>IF('Técnicas de Ki'!B21=0,0,IFERROR(IF('Técnicas de Ki'!P21&lt;&gt;0,'Técnicas de Ki'!P21+TS!$S126,0)*$S126/$S126,0))</f>
        <v>0</v>
      </c>
      <c r="AG126" s="539">
        <f>IF('Técnicas de Ki'!B21=0,0,IFERROR(IF('Técnicas de Ki'!Q21&lt;&gt;0,'Técnicas de Ki'!Q21+TS!$T126,0)*$T126/$T126,0))</f>
        <v>0</v>
      </c>
      <c r="AI126" s="571" t="str">
        <f>IF('Técnicas de Ki'!B21&lt;&gt;0,'Técnicas de Ki'!A21&amp;" "&amp;'Técnicas de Ki'!B21,"")</f>
        <v/>
      </c>
      <c r="AJ126" s="302" t="b">
        <f t="shared" si="8"/>
        <v>0</v>
      </c>
      <c r="AK126" s="302" t="str">
        <f t="shared" si="4"/>
        <v/>
      </c>
      <c r="AQ126" s="537">
        <f>IF('Técnicas de Ki'!W21=0,0,IF('Técnicas de Ki'!AD21=TS!AQ$119,'Técnicas de Ki'!X21-(IF($O126&lt;&gt;0,'Técnicas de Ki'!AG21,0)+IF($P126&lt;&gt;0,'Técnicas de Ki'!AH21,0)+IF($Q126&lt;&gt;0,'Técnicas de Ki'!AI21,0)+IF($R126&lt;&gt;0,'Técnicas de Ki'!AJ21,0)+IF($S126&lt;&gt;0,'Técnicas de Ki'!AK21,0)+IF($T126&lt;&gt;0,'Técnicas de Ki'!AL21,0)),0))</f>
        <v>0</v>
      </c>
      <c r="AR126" s="538">
        <f>IF('Técnicas de Ki'!W21=0,0,IF('Técnicas de Ki'!AD21=TS!AR$119,'Técnicas de Ki'!X21-(IF($O126&lt;&gt;0,'Técnicas de Ki'!AG21,0)+IF($P126&lt;&gt;0,'Técnicas de Ki'!AH21,0)+IF($Q126&lt;&gt;0,'Técnicas de Ki'!AI21,0)+IF($R126&lt;&gt;0,'Técnicas de Ki'!AJ21,0)+IF($S126&lt;&gt;0,'Técnicas de Ki'!AK21,0)+IF($T126&lt;&gt;0,'Técnicas de Ki'!AL21,0)),0))</f>
        <v>0</v>
      </c>
      <c r="AS126" s="538">
        <f>IF('Técnicas de Ki'!W21=0,0,IF('Técnicas de Ki'!AD21=TS!AS$119,'Técnicas de Ki'!X21-(IF($O126&lt;&gt;0,'Técnicas de Ki'!AG21,0)+IF($P126&lt;&gt;0,'Técnicas de Ki'!AH21,0)+IF($Q126&lt;&gt;0,'Técnicas de Ki'!AI21,0)+IF($R126&lt;&gt;0,'Técnicas de Ki'!AJ21,0)+IF($S126&lt;&gt;0,'Técnicas de Ki'!AK21,0)+IF($T126&lt;&gt;0,'Técnicas de Ki'!AL21,0)),0))</f>
        <v>0</v>
      </c>
      <c r="AT126" s="538">
        <f>IF('Técnicas de Ki'!W21=0,0,IF('Técnicas de Ki'!AD21=TS!AT$119,'Técnicas de Ki'!X21-(IF($O126&lt;&gt;0,'Técnicas de Ki'!AG21,0)+IF($P126&lt;&gt;0,'Técnicas de Ki'!AH21,0)+IF($Q126&lt;&gt;0,'Técnicas de Ki'!AI21,0)+IF($R126&lt;&gt;0,'Técnicas de Ki'!AJ21,0)+IF($S126&lt;&gt;0,'Técnicas de Ki'!AK21,0)+IF($T126&lt;&gt;0,'Técnicas de Ki'!AL21,0)),0))</f>
        <v>0</v>
      </c>
      <c r="AU126" s="538">
        <f>IF('Técnicas de Ki'!W21=0,0,IF('Técnicas de Ki'!AD21=TS!AU$119,'Técnicas de Ki'!X21-(IF($O126&lt;&gt;0,'Técnicas de Ki'!AG21,0)+IF($P126&lt;&gt;0,'Técnicas de Ki'!AH21,0)+IF($Q126&lt;&gt;0,'Técnicas de Ki'!AI21,0)+IF($R126&lt;&gt;0,'Técnicas de Ki'!AJ21,0)+IF($S126&lt;&gt;0,'Técnicas de Ki'!AK21,0)+IF($T126&lt;&gt;0,'Técnicas de Ki'!AL21,0)),0))</f>
        <v>0</v>
      </c>
      <c r="AV126" s="539">
        <f>IF('Técnicas de Ki'!W21=0,0,IF('Técnicas de Ki'!AD21=TS!AV$119,'Técnicas de Ki'!X21-(IF($O126&lt;&gt;0,'Técnicas de Ki'!AG21,0)+IF($P126&lt;&gt;0,'Técnicas de Ki'!AH21,0)+IF($Q126&lt;&gt;0,'Técnicas de Ki'!AI21,0)+IF($R126&lt;&gt;0,'Técnicas de Ki'!AJ21,0)+IF($S126&lt;&gt;0,'Técnicas de Ki'!AK21,0)+IF($T126&lt;&gt;0,'Técnicas de Ki'!AL21,0)),0))</f>
        <v>0</v>
      </c>
      <c r="AW126" s="538">
        <f>IF('Técnicas de Ki'!W21=0,0,IFERROR(IF('Técnicas de Ki'!AG21&lt;&gt;0,'Técnicas de Ki'!AG21+TS!$O126,0)*$O126/$O126,0))</f>
        <v>0</v>
      </c>
      <c r="AX126" s="538">
        <f>IF('Técnicas de Ki'!W21=0,0,IFERROR(IF('Técnicas de Ki'!AH21&lt;&gt;0,'Técnicas de Ki'!AH21+TS!$P126,0)*$P126/$P126,0))</f>
        <v>0</v>
      </c>
      <c r="AY126" s="538">
        <f>IF('Técnicas de Ki'!W21=0,0,IFERROR(IF('Técnicas de Ki'!AI21&lt;&gt;0,'Técnicas de Ki'!AI21+TS!$Q126,0)*$Q126/$Q126,0))</f>
        <v>0</v>
      </c>
      <c r="AZ126" s="538">
        <f>IF('Técnicas de Ki'!W21=0,0,IFERROR(IF('Técnicas de Ki'!AJ21&lt;&gt;0,'Técnicas de Ki'!AJ21+TS!$R126,0)*$R126/$R126,0))</f>
        <v>0</v>
      </c>
      <c r="BA126" s="538">
        <f>IF('Técnicas de Ki'!W21=0,0,IFERROR(IF('Técnicas de Ki'!AK21&lt;&gt;0,'Técnicas de Ki'!AK21+TS!$S126,0)*$S126/$S126,0))</f>
        <v>0</v>
      </c>
      <c r="BB126" s="539">
        <f>IF('Técnicas de Ki'!W21=0,0,IFERROR(IF('Técnicas de Ki'!AL21&lt;&gt;0,'Técnicas de Ki'!AL21+TS!$T126,0)*$T126/$T126,0))</f>
        <v>0</v>
      </c>
      <c r="BD126" s="571" t="str">
        <f>IF('Técnicas de Ki'!W21&lt;&gt;0,'Técnicas de Ki'!V21&amp;" "&amp;'Técnicas de Ki'!W21,"")</f>
        <v/>
      </c>
      <c r="BE126" s="302" t="b">
        <f t="shared" si="9"/>
        <v>0</v>
      </c>
      <c r="BF126" s="302" t="str">
        <f t="shared" si="5"/>
        <v/>
      </c>
      <c r="BL126" s="537">
        <f>IF('Técnicas de Ki'!AR21=0,0,IF('Técnicas de Ki'!AY21=TS!BL$119,'Técnicas de Ki'!AS21-(IF($O126&lt;&gt;0,'Técnicas de Ki'!BB21,0)+IF($P126&lt;&gt;0,'Técnicas de Ki'!BC21,0)+IF($Q126&lt;&gt;0,'Técnicas de Ki'!BD21,0)+IF($R126&lt;&gt;0,'Técnicas de Ki'!BE21,0)+IF($S126&lt;&gt;0,'Técnicas de Ki'!BF21,0)+IF($T126&lt;&gt;0,'Técnicas de Ki'!BG21,0)),0))</f>
        <v>0</v>
      </c>
      <c r="BM126" s="538">
        <f>IF('Técnicas de Ki'!AR21=0,0,IF('Técnicas de Ki'!AY21=TS!BM$119,'Técnicas de Ki'!AS21-(IF($O126&lt;&gt;0,'Técnicas de Ki'!BB21,0)+IF($P126&lt;&gt;0,'Técnicas de Ki'!BC21,0)+IF($Q126&lt;&gt;0,'Técnicas de Ki'!BD21,0)+IF($R126&lt;&gt;0,'Técnicas de Ki'!BE21,0)+IF($S126&lt;&gt;0,'Técnicas de Ki'!BF21,0)+IF($T126&lt;&gt;0,'Técnicas de Ki'!BG21,0)),0))</f>
        <v>0</v>
      </c>
      <c r="BN126" s="538">
        <f>IF('Técnicas de Ki'!AR21=0,0,IF('Técnicas de Ki'!AY21=TS!BN$119,'Técnicas de Ki'!AS21-(IF($O126&lt;&gt;0,'Técnicas de Ki'!BB21,0)+IF($P126&lt;&gt;0,'Técnicas de Ki'!BC21,0)+IF($Q126&lt;&gt;0,'Técnicas de Ki'!BD21,0)+IF($R126&lt;&gt;0,'Técnicas de Ki'!BE21,0)+IF($S126&lt;&gt;0,'Técnicas de Ki'!BF21,0)+IF($T126&lt;&gt;0,'Técnicas de Ki'!BG21,0)),0))</f>
        <v>0</v>
      </c>
      <c r="BO126" s="538">
        <f>IF('Técnicas de Ki'!AR21=0,0,IF('Técnicas de Ki'!AY21=TS!BO$119,'Técnicas de Ki'!AS21-(IF($O126&lt;&gt;0,'Técnicas de Ki'!BB21,0)+IF($P126&lt;&gt;0,'Técnicas de Ki'!BC21,0)+IF($Q126&lt;&gt;0,'Técnicas de Ki'!BD21,0)+IF($R126&lt;&gt;0,'Técnicas de Ki'!BE21,0)+IF($S126&lt;&gt;0,'Técnicas de Ki'!BF21,0)+IF($T126&lt;&gt;0,'Técnicas de Ki'!BG21,0)),0))</f>
        <v>0</v>
      </c>
      <c r="BP126" s="538">
        <f>IF('Técnicas de Ki'!AR21=0,0,IF('Técnicas de Ki'!AY21=TS!BP$119,'Técnicas de Ki'!AS21-(IF($O126&lt;&gt;0,'Técnicas de Ki'!BB21,0)+IF($P126&lt;&gt;0,'Técnicas de Ki'!BC21,0)+IF($Q126&lt;&gt;0,'Técnicas de Ki'!BD21,0)+IF($R126&lt;&gt;0,'Técnicas de Ki'!BE21,0)+IF($S126&lt;&gt;0,'Técnicas de Ki'!BF21,0)+IF($T126&lt;&gt;0,'Técnicas de Ki'!BG21,0)),0))</f>
        <v>0</v>
      </c>
      <c r="BQ126" s="539">
        <f>IF('Técnicas de Ki'!AR21=0,0,IF('Técnicas de Ki'!AY21=TS!BQ$119,'Técnicas de Ki'!AS21-(IF($O126&lt;&gt;0,'Técnicas de Ki'!BB21,0)+IF($P126&lt;&gt;0,'Técnicas de Ki'!BC21,0)+IF($Q126&lt;&gt;0,'Técnicas de Ki'!BD21,0)+IF($R126&lt;&gt;0,'Técnicas de Ki'!BE21,0)+IF($S126&lt;&gt;0,'Técnicas de Ki'!BF21,0)+IF($T126&lt;&gt;0,'Técnicas de Ki'!BG21,0)),0))</f>
        <v>0</v>
      </c>
      <c r="BR126" s="538">
        <f>IF('Técnicas de Ki'!AR21=0,0,IFERROR(IF('Técnicas de Ki'!BB21&lt;&gt;0,'Técnicas de Ki'!BB21+TS!$O126,0)*$O126/$O126,0))</f>
        <v>0</v>
      </c>
      <c r="BS126" s="538">
        <f>IF('Técnicas de Ki'!AR21=0,0,IFERROR(IF('Técnicas de Ki'!BC21&lt;&gt;0,'Técnicas de Ki'!BC21+TS!$P126,0)*$P126/$P126,0))</f>
        <v>0</v>
      </c>
      <c r="BT126" s="538">
        <f>IF('Técnicas de Ki'!AR21=0,0,IFERROR(IF('Técnicas de Ki'!BD21&lt;&gt;0,'Técnicas de Ki'!BD21+TS!$Q126,0)*$Q126/$Q126,0))</f>
        <v>0</v>
      </c>
      <c r="BU126" s="538">
        <f>IF('Técnicas de Ki'!AR21=0,0,IFERROR(IF('Técnicas de Ki'!BE21&lt;&gt;0,'Técnicas de Ki'!BE21+TS!$R126,0)*$R126/$R126,0))</f>
        <v>0</v>
      </c>
      <c r="BV126" s="538">
        <f>IF('Técnicas de Ki'!AR21=0,0,IFERROR(IF('Técnicas de Ki'!BF21&lt;&gt;0,'Técnicas de Ki'!BF21+TS!$S126,0)*$S126/$S126,0))</f>
        <v>0</v>
      </c>
      <c r="BW126" s="539">
        <f>IF('Técnicas de Ki'!AR21=0,0,IFERROR(IF('Técnicas de Ki'!BG21&lt;&gt;0,'Técnicas de Ki'!BG21+TS!$T126,0)*$T126/$T126,0))</f>
        <v>0</v>
      </c>
      <c r="BY126" s="571" t="str">
        <f>IF('Técnicas de Ki'!AR21&lt;&gt;0,'Técnicas de Ki'!AQ21&amp;" "&amp;'Técnicas de Ki'!AR21,"")</f>
        <v/>
      </c>
      <c r="BZ126" s="302" t="b">
        <f t="shared" si="10"/>
        <v>0</v>
      </c>
      <c r="CA126" s="302" t="str">
        <f t="shared" si="6"/>
        <v/>
      </c>
      <c r="CG126" s="537">
        <f>IF('Técnicas de Ki'!BM21=0,0,IF('Técnicas de Ki'!BT21=TS!CG$119,'Técnicas de Ki'!BN21-(IF($O126&lt;&gt;0,'Técnicas de Ki'!BW21,0)+IF($P126&lt;&gt;0,'Técnicas de Ki'!BX21,0)+IF($Q126&lt;&gt;0,'Técnicas de Ki'!BY21,0)+IF($R126&lt;&gt;0,'Técnicas de Ki'!BZ21,0)+IF($S126&lt;&gt;0,'Técnicas de Ki'!CA21,0)+IF($T126&lt;&gt;0,'Técnicas de Ki'!CB21,0)),0))</f>
        <v>0</v>
      </c>
      <c r="CH126" s="538">
        <f>IF('Técnicas de Ki'!BM21=0,0,IF('Técnicas de Ki'!BT21=TS!CH$119,'Técnicas de Ki'!BN21-(IF($O126&lt;&gt;0,'Técnicas de Ki'!BW21,0)+IF($P126&lt;&gt;0,'Técnicas de Ki'!BX21,0)+IF($Q126&lt;&gt;0,'Técnicas de Ki'!BY21,0)+IF($R126&lt;&gt;0,'Técnicas de Ki'!BZ21,0)+IF($S126&lt;&gt;0,'Técnicas de Ki'!CA21,0)+IF($T126&lt;&gt;0,'Técnicas de Ki'!CB21,0)),0))</f>
        <v>0</v>
      </c>
      <c r="CI126" s="538">
        <f>IF('Técnicas de Ki'!BM21=0,0,IF('Técnicas de Ki'!BT21=TS!CI$119,'Técnicas de Ki'!BN21-(IF($O126&lt;&gt;0,'Técnicas de Ki'!BW21,0)+IF($P126&lt;&gt;0,'Técnicas de Ki'!BX21,0)+IF($Q126&lt;&gt;0,'Técnicas de Ki'!BY21,0)+IF($R126&lt;&gt;0,'Técnicas de Ki'!BZ21,0)+IF($S126&lt;&gt;0,'Técnicas de Ki'!CA21,0)+IF($T126&lt;&gt;0,'Técnicas de Ki'!CB21,0)),0))</f>
        <v>0</v>
      </c>
      <c r="CJ126" s="538">
        <f>IF('Técnicas de Ki'!BM21=0,0,IF('Técnicas de Ki'!BT21=TS!CJ$119,'Técnicas de Ki'!BN21-(IF($O126&lt;&gt;0,'Técnicas de Ki'!BW21,0)+IF($P126&lt;&gt;0,'Técnicas de Ki'!BX21,0)+IF($Q126&lt;&gt;0,'Técnicas de Ki'!BY21,0)+IF($R126&lt;&gt;0,'Técnicas de Ki'!BZ21,0)+IF($S126&lt;&gt;0,'Técnicas de Ki'!CA21,0)+IF($T126&lt;&gt;0,'Técnicas de Ki'!CB21,0)),0))</f>
        <v>0</v>
      </c>
      <c r="CK126" s="538">
        <f>IF('Técnicas de Ki'!BM21=0,0,IF('Técnicas de Ki'!BT21=TS!CK$119,'Técnicas de Ki'!BN21-(IF($O126&lt;&gt;0,'Técnicas de Ki'!BW21,0)+IF($P126&lt;&gt;0,'Técnicas de Ki'!BX21,0)+IF($Q126&lt;&gt;0,'Técnicas de Ki'!BY21,0)+IF($R126&lt;&gt;0,'Técnicas de Ki'!BZ21,0)+IF($S126&lt;&gt;0,'Técnicas de Ki'!CA21,0)+IF($T126&lt;&gt;0,'Técnicas de Ki'!CB21,0)),0))</f>
        <v>0</v>
      </c>
      <c r="CL126" s="539">
        <f>IF('Técnicas de Ki'!BM21=0,0,IF('Técnicas de Ki'!BT21=TS!CL$119,'Técnicas de Ki'!BN21-(IF($O126&lt;&gt;0,'Técnicas de Ki'!BW21,0)+IF($P126&lt;&gt;0,'Técnicas de Ki'!BX21,0)+IF($Q126&lt;&gt;0,'Técnicas de Ki'!BY21,0)+IF($R126&lt;&gt;0,'Técnicas de Ki'!BZ21,0)+IF($S126&lt;&gt;0,'Técnicas de Ki'!CA21,0)+IF($T126&lt;&gt;0,'Técnicas de Ki'!CB21,0)),0))</f>
        <v>0</v>
      </c>
      <c r="CM126" s="538">
        <f>IF('Técnicas de Ki'!BM21=0,0,IFERROR(IF('Técnicas de Ki'!BW21&lt;&gt;0,'Técnicas de Ki'!BW21+TS!$O126,0)*$O126/$O126,0))</f>
        <v>0</v>
      </c>
      <c r="CN126" s="538">
        <f>IF('Técnicas de Ki'!BM21=0,0,IFERROR(IF('Técnicas de Ki'!BX21&lt;&gt;0,'Técnicas de Ki'!BX21+TS!$P126,0)*$P126/$P126,0))</f>
        <v>0</v>
      </c>
      <c r="CO126" s="538">
        <f>IF('Técnicas de Ki'!BM21=0,0,IFERROR(IF('Técnicas de Ki'!BY21&lt;&gt;0,'Técnicas de Ki'!BY21+TS!$Q126,0)*$Q126/$Q126,0))</f>
        <v>0</v>
      </c>
      <c r="CP126" s="538">
        <f>IF('Técnicas de Ki'!BM21=0,0,IFERROR(IF('Técnicas de Ki'!BZ21&lt;&gt;0,'Técnicas de Ki'!BZ21+TS!$R126,0)*$R126/$R126,0))</f>
        <v>0</v>
      </c>
      <c r="CQ126" s="538">
        <f>IF('Técnicas de Ki'!BM21=0,0,IFERROR(IF('Técnicas de Ki'!CA21&lt;&gt;0,'Técnicas de Ki'!CA21+TS!$S126,0)*$S126/$S126,0))</f>
        <v>0</v>
      </c>
      <c r="CR126" s="539">
        <f>IF('Técnicas de Ki'!BM21=0,0,IFERROR(IF('Técnicas de Ki'!CB21&lt;&gt;0,'Técnicas de Ki'!CB21+TS!$T126,0)*$T126/$T126,0))</f>
        <v>0</v>
      </c>
      <c r="CT126" s="571" t="str">
        <f>IF('Técnicas de Ki'!BM21&lt;&gt;0,'Técnicas de Ki'!BL21&amp;" "&amp;'Técnicas de Ki'!BM21,"")</f>
        <v/>
      </c>
      <c r="CU126" s="302" t="b">
        <f t="shared" si="11"/>
        <v>0</v>
      </c>
      <c r="CV126" s="302" t="str">
        <f t="shared" si="7"/>
        <v/>
      </c>
    </row>
    <row r="127" spans="1:102" ht="13.5" thickBot="1" x14ac:dyDescent="0.25">
      <c r="A127" s="302" t="s">
        <v>6842</v>
      </c>
      <c r="B127" s="302" t="s">
        <v>6823</v>
      </c>
      <c r="C127" s="302" t="str">
        <f t="shared" si="3"/>
        <v>Defensa predeterminadaCasi Imposible (240)</v>
      </c>
      <c r="D127" s="302">
        <v>12</v>
      </c>
      <c r="E127" s="302">
        <v>15</v>
      </c>
      <c r="F127" s="302">
        <v>15</v>
      </c>
      <c r="G127" s="302">
        <v>6</v>
      </c>
      <c r="H127" s="302">
        <v>12</v>
      </c>
      <c r="I127" s="302">
        <v>21</v>
      </c>
      <c r="J127" s="302">
        <v>1</v>
      </c>
      <c r="N127" s="302" t="s">
        <v>6797</v>
      </c>
      <c r="P127" s="528">
        <v>2</v>
      </c>
      <c r="Q127" s="302">
        <v>1</v>
      </c>
      <c r="R127" s="302">
        <v>3</v>
      </c>
      <c r="S127" s="528">
        <v>2</v>
      </c>
      <c r="V127" s="537">
        <f>IF('Técnicas de Ki'!B22=0,0,IF('Técnicas de Ki'!I22=TS!V$119,'Técnicas de Ki'!C22-(IF($O127&lt;&gt;0,'Técnicas de Ki'!L22,0)+IF($P127&lt;&gt;0,'Técnicas de Ki'!M22,0)+IF($Q127&lt;&gt;0,'Técnicas de Ki'!N22,0)+IF($R127&lt;&gt;0,'Técnicas de Ki'!O22,0)+IF($S127&lt;&gt;0,'Técnicas de Ki'!P22,0)+IF($T127&lt;&gt;0,'Técnicas de Ki'!Q22,0)),0))</f>
        <v>0</v>
      </c>
      <c r="W127" s="538">
        <f>IF('Técnicas de Ki'!B22=0,0,IF('Técnicas de Ki'!I22=TS!W$119,'Técnicas de Ki'!C22-(IF($O127&lt;&gt;0,'Técnicas de Ki'!L22,0)+IF($P127&lt;&gt;0,'Técnicas de Ki'!M22,0)+IF($Q127&lt;&gt;0,'Técnicas de Ki'!N22,0)+IF($R127&lt;&gt;0,'Técnicas de Ki'!O22,0)+IF($S127&lt;&gt;0,'Técnicas de Ki'!P22,0)+IF($T127&lt;&gt;0,'Técnicas de Ki'!Q22,0)),0))</f>
        <v>0</v>
      </c>
      <c r="X127" s="538">
        <f>IF('Técnicas de Ki'!B22=0,0,IF('Técnicas de Ki'!I22=TS!X$119,'Técnicas de Ki'!C22-(IF($O127&lt;&gt;0,'Técnicas de Ki'!L22,0)+IF($P127&lt;&gt;0,'Técnicas de Ki'!M22,0)+IF($Q127&lt;&gt;0,'Técnicas de Ki'!N22,0)+IF($R127&lt;&gt;0,'Técnicas de Ki'!O22,0)+IF($S127&lt;&gt;0,'Técnicas de Ki'!P22,0)+IF($T127&lt;&gt;0,'Técnicas de Ki'!Q22,0)),0))</f>
        <v>0</v>
      </c>
      <c r="Y127" s="538">
        <f>IF('Técnicas de Ki'!B22=0,0,IF('Técnicas de Ki'!I22=TS!Y$119,'Técnicas de Ki'!C22-(IF($O127&lt;&gt;0,'Técnicas de Ki'!L22,0)+IF($P127&lt;&gt;0,'Técnicas de Ki'!M22,0)+IF($Q127&lt;&gt;0,'Técnicas de Ki'!N22,0)+IF($R127&lt;&gt;0,'Técnicas de Ki'!O22,0)+IF($S127&lt;&gt;0,'Técnicas de Ki'!P22,0)+IF($T127&lt;&gt;0,'Técnicas de Ki'!Q22,0)),0))</f>
        <v>0</v>
      </c>
      <c r="Z127" s="538">
        <f>IF('Técnicas de Ki'!B22=0,0,IF('Técnicas de Ki'!I22=TS!Z$119,'Técnicas de Ki'!C22-(IF($O127&lt;&gt;0,'Técnicas de Ki'!L22,0)+IF($P127&lt;&gt;0,'Técnicas de Ki'!M22,0)+IF($Q127&lt;&gt;0,'Técnicas de Ki'!N22,0)+IF($R127&lt;&gt;0,'Técnicas de Ki'!O22,0)+IF($S127&lt;&gt;0,'Técnicas de Ki'!P22,0)+IF($T127&lt;&gt;0,'Técnicas de Ki'!Q22,0)),0))</f>
        <v>0</v>
      </c>
      <c r="AA127" s="539">
        <f>IF('Técnicas de Ki'!B22=0,0,IF('Técnicas de Ki'!I22=TS!AA$119,'Técnicas de Ki'!C22-(IF($O127&lt;&gt;0,'Técnicas de Ki'!L22,0)+IF($P127&lt;&gt;0,'Técnicas de Ki'!M22,0)+IF($Q127&lt;&gt;0,'Técnicas de Ki'!N22,0)+IF($R127&lt;&gt;0,'Técnicas de Ki'!O22,0)+IF($S127&lt;&gt;0,'Técnicas de Ki'!P22,0)+IF($T127&lt;&gt;0,'Técnicas de Ki'!Q22,0)),0))</f>
        <v>0</v>
      </c>
      <c r="AB127" s="538">
        <f>IF('Técnicas de Ki'!B22=0,0,IFERROR(IF('Técnicas de Ki'!L22&lt;&gt;0,'Técnicas de Ki'!L22+TS!$O127,0)*$O127/$O127,0))</f>
        <v>0</v>
      </c>
      <c r="AC127" s="538">
        <f>IF('Técnicas de Ki'!B22=0,0,IFERROR(IF('Técnicas de Ki'!M22&lt;&gt;0,'Técnicas de Ki'!M22+TS!$P127,0)*$P127/$P127,0))</f>
        <v>0</v>
      </c>
      <c r="AD127" s="538">
        <f>IF('Técnicas de Ki'!B22=0,0,IFERROR(IF('Técnicas de Ki'!N22&lt;&gt;0,'Técnicas de Ki'!N22+TS!$Q127,0)*$Q127/$Q127,0))</f>
        <v>0</v>
      </c>
      <c r="AE127" s="538">
        <f>IF('Técnicas de Ki'!B22=0,0,IFERROR(IF('Técnicas de Ki'!O22&lt;&gt;0,'Técnicas de Ki'!O22+TS!$R127,0)*$R127/$R127,0))</f>
        <v>0</v>
      </c>
      <c r="AF127" s="538">
        <f>IF('Técnicas de Ki'!B22=0,0,IFERROR(IF('Técnicas de Ki'!P22&lt;&gt;0,'Técnicas de Ki'!P22+TS!$S127,0)*$S127/$S127,0))</f>
        <v>0</v>
      </c>
      <c r="AG127" s="539">
        <f>IF('Técnicas de Ki'!B22=0,0,IFERROR(IF('Técnicas de Ki'!Q22&lt;&gt;0,'Técnicas de Ki'!Q22+TS!$T127,0)*$T127/$T127,0))</f>
        <v>0</v>
      </c>
      <c r="AI127" s="572" t="str">
        <f>IF('Técnicas de Ki'!B22&lt;&gt;0,'Técnicas de Ki'!A22&amp;" "&amp;'Técnicas de Ki'!B22,"")</f>
        <v/>
      </c>
      <c r="AJ127" s="302" t="b">
        <f t="shared" si="8"/>
        <v>0</v>
      </c>
      <c r="AK127" s="302" t="str">
        <f t="shared" si="4"/>
        <v/>
      </c>
      <c r="AQ127" s="537">
        <f>IF('Técnicas de Ki'!W22=0,0,IF('Técnicas de Ki'!AD22=TS!AQ$119,'Técnicas de Ki'!X22-(IF($O127&lt;&gt;0,'Técnicas de Ki'!AG22,0)+IF($P127&lt;&gt;0,'Técnicas de Ki'!AH22,0)+IF($Q127&lt;&gt;0,'Técnicas de Ki'!AI22,0)+IF($R127&lt;&gt;0,'Técnicas de Ki'!AJ22,0)+IF($S127&lt;&gt;0,'Técnicas de Ki'!AK22,0)+IF($T127&lt;&gt;0,'Técnicas de Ki'!AL22,0)),0))</f>
        <v>0</v>
      </c>
      <c r="AR127" s="538">
        <f>IF('Técnicas de Ki'!W22=0,0,IF('Técnicas de Ki'!AD22=TS!AR$119,'Técnicas de Ki'!X22-(IF($O127&lt;&gt;0,'Técnicas de Ki'!AG22,0)+IF($P127&lt;&gt;0,'Técnicas de Ki'!AH22,0)+IF($Q127&lt;&gt;0,'Técnicas de Ki'!AI22,0)+IF($R127&lt;&gt;0,'Técnicas de Ki'!AJ22,0)+IF($S127&lt;&gt;0,'Técnicas de Ki'!AK22,0)+IF($T127&lt;&gt;0,'Técnicas de Ki'!AL22,0)),0))</f>
        <v>0</v>
      </c>
      <c r="AS127" s="538">
        <f>IF('Técnicas de Ki'!W22=0,0,IF('Técnicas de Ki'!AD22=TS!AS$119,'Técnicas de Ki'!X22-(IF($O127&lt;&gt;0,'Técnicas de Ki'!AG22,0)+IF($P127&lt;&gt;0,'Técnicas de Ki'!AH22,0)+IF($Q127&lt;&gt;0,'Técnicas de Ki'!AI22,0)+IF($R127&lt;&gt;0,'Técnicas de Ki'!AJ22,0)+IF($S127&lt;&gt;0,'Técnicas de Ki'!AK22,0)+IF($T127&lt;&gt;0,'Técnicas de Ki'!AL22,0)),0))</f>
        <v>0</v>
      </c>
      <c r="AT127" s="538">
        <f>IF('Técnicas de Ki'!W22=0,0,IF('Técnicas de Ki'!AD22=TS!AT$119,'Técnicas de Ki'!X22-(IF($O127&lt;&gt;0,'Técnicas de Ki'!AG22,0)+IF($P127&lt;&gt;0,'Técnicas de Ki'!AH22,0)+IF($Q127&lt;&gt;0,'Técnicas de Ki'!AI22,0)+IF($R127&lt;&gt;0,'Técnicas de Ki'!AJ22,0)+IF($S127&lt;&gt;0,'Técnicas de Ki'!AK22,0)+IF($T127&lt;&gt;0,'Técnicas de Ki'!AL22,0)),0))</f>
        <v>0</v>
      </c>
      <c r="AU127" s="538">
        <f>IF('Técnicas de Ki'!W22=0,0,IF('Técnicas de Ki'!AD22=TS!AU$119,'Técnicas de Ki'!X22-(IF($O127&lt;&gt;0,'Técnicas de Ki'!AG22,0)+IF($P127&lt;&gt;0,'Técnicas de Ki'!AH22,0)+IF($Q127&lt;&gt;0,'Técnicas de Ki'!AI22,0)+IF($R127&lt;&gt;0,'Técnicas de Ki'!AJ22,0)+IF($S127&lt;&gt;0,'Técnicas de Ki'!AK22,0)+IF($T127&lt;&gt;0,'Técnicas de Ki'!AL22,0)),0))</f>
        <v>0</v>
      </c>
      <c r="AV127" s="539">
        <f>IF('Técnicas de Ki'!W22=0,0,IF('Técnicas de Ki'!AD22=TS!AV$119,'Técnicas de Ki'!X22-(IF($O127&lt;&gt;0,'Técnicas de Ki'!AG22,0)+IF($P127&lt;&gt;0,'Técnicas de Ki'!AH22,0)+IF($Q127&lt;&gt;0,'Técnicas de Ki'!AI22,0)+IF($R127&lt;&gt;0,'Técnicas de Ki'!AJ22,0)+IF($S127&lt;&gt;0,'Técnicas de Ki'!AK22,0)+IF($T127&lt;&gt;0,'Técnicas de Ki'!AL22,0)),0))</f>
        <v>0</v>
      </c>
      <c r="AW127" s="538">
        <f>IF('Técnicas de Ki'!W22=0,0,IFERROR(IF('Técnicas de Ki'!AG22&lt;&gt;0,'Técnicas de Ki'!AG22+TS!$O127,0)*$O127/$O127,0))</f>
        <v>0</v>
      </c>
      <c r="AX127" s="538">
        <f>IF('Técnicas de Ki'!W22=0,0,IFERROR(IF('Técnicas de Ki'!AH22&lt;&gt;0,'Técnicas de Ki'!AH22+TS!$P127,0)*$P127/$P127,0))</f>
        <v>0</v>
      </c>
      <c r="AY127" s="538">
        <f>IF('Técnicas de Ki'!W22=0,0,IFERROR(IF('Técnicas de Ki'!AI22&lt;&gt;0,'Técnicas de Ki'!AI22+TS!$Q127,0)*$Q127/$Q127,0))</f>
        <v>0</v>
      </c>
      <c r="AZ127" s="538">
        <f>IF('Técnicas de Ki'!W22=0,0,IFERROR(IF('Técnicas de Ki'!AJ22&lt;&gt;0,'Técnicas de Ki'!AJ22+TS!$R127,0)*$R127/$R127,0))</f>
        <v>0</v>
      </c>
      <c r="BA127" s="538">
        <f>IF('Técnicas de Ki'!W22=0,0,IFERROR(IF('Técnicas de Ki'!AK22&lt;&gt;0,'Técnicas de Ki'!AK22+TS!$S127,0)*$S127/$S127,0))</f>
        <v>0</v>
      </c>
      <c r="BB127" s="539">
        <f>IF('Técnicas de Ki'!W22=0,0,IFERROR(IF('Técnicas de Ki'!AL22&lt;&gt;0,'Técnicas de Ki'!AL22+TS!$T127,0)*$T127/$T127,0))</f>
        <v>0</v>
      </c>
      <c r="BD127" s="572" t="str">
        <f>IF('Técnicas de Ki'!W22&lt;&gt;0,'Técnicas de Ki'!V22&amp;" "&amp;'Técnicas de Ki'!W22,"")</f>
        <v/>
      </c>
      <c r="BE127" s="302" t="b">
        <f t="shared" si="9"/>
        <v>0</v>
      </c>
      <c r="BF127" s="302" t="str">
        <f t="shared" si="5"/>
        <v/>
      </c>
      <c r="BL127" s="537">
        <f>IF('Técnicas de Ki'!AR22=0,0,IF('Técnicas de Ki'!AY22=TS!BL$119,'Técnicas de Ki'!AS22-(IF($O127&lt;&gt;0,'Técnicas de Ki'!BB22,0)+IF($P127&lt;&gt;0,'Técnicas de Ki'!BC22,0)+IF($Q127&lt;&gt;0,'Técnicas de Ki'!BD22,0)+IF($R127&lt;&gt;0,'Técnicas de Ki'!BE22,0)+IF($S127&lt;&gt;0,'Técnicas de Ki'!BF22,0)+IF($T127&lt;&gt;0,'Técnicas de Ki'!BG22,0)),0))</f>
        <v>0</v>
      </c>
      <c r="BM127" s="538">
        <f>IF('Técnicas de Ki'!AR22=0,0,IF('Técnicas de Ki'!AY22=TS!BM$119,'Técnicas de Ki'!AS22-(IF($O127&lt;&gt;0,'Técnicas de Ki'!BB22,0)+IF($P127&lt;&gt;0,'Técnicas de Ki'!BC22,0)+IF($Q127&lt;&gt;0,'Técnicas de Ki'!BD22,0)+IF($R127&lt;&gt;0,'Técnicas de Ki'!BE22,0)+IF($S127&lt;&gt;0,'Técnicas de Ki'!BF22,0)+IF($T127&lt;&gt;0,'Técnicas de Ki'!BG22,0)),0))</f>
        <v>0</v>
      </c>
      <c r="BN127" s="538">
        <f>IF('Técnicas de Ki'!AR22=0,0,IF('Técnicas de Ki'!AY22=TS!BN$119,'Técnicas de Ki'!AS22-(IF($O127&lt;&gt;0,'Técnicas de Ki'!BB22,0)+IF($P127&lt;&gt;0,'Técnicas de Ki'!BC22,0)+IF($Q127&lt;&gt;0,'Técnicas de Ki'!BD22,0)+IF($R127&lt;&gt;0,'Técnicas de Ki'!BE22,0)+IF($S127&lt;&gt;0,'Técnicas de Ki'!BF22,0)+IF($T127&lt;&gt;0,'Técnicas de Ki'!BG22,0)),0))</f>
        <v>0</v>
      </c>
      <c r="BO127" s="538">
        <f>IF('Técnicas de Ki'!AR22=0,0,IF('Técnicas de Ki'!AY22=TS!BO$119,'Técnicas de Ki'!AS22-(IF($O127&lt;&gt;0,'Técnicas de Ki'!BB22,0)+IF($P127&lt;&gt;0,'Técnicas de Ki'!BC22,0)+IF($Q127&lt;&gt;0,'Técnicas de Ki'!BD22,0)+IF($R127&lt;&gt;0,'Técnicas de Ki'!BE22,0)+IF($S127&lt;&gt;0,'Técnicas de Ki'!BF22,0)+IF($T127&lt;&gt;0,'Técnicas de Ki'!BG22,0)),0))</f>
        <v>0</v>
      </c>
      <c r="BP127" s="538">
        <f>IF('Técnicas de Ki'!AR22=0,0,IF('Técnicas de Ki'!AY22=TS!BP$119,'Técnicas de Ki'!AS22-(IF($O127&lt;&gt;0,'Técnicas de Ki'!BB22,0)+IF($P127&lt;&gt;0,'Técnicas de Ki'!BC22,0)+IF($Q127&lt;&gt;0,'Técnicas de Ki'!BD22,0)+IF($R127&lt;&gt;0,'Técnicas de Ki'!BE22,0)+IF($S127&lt;&gt;0,'Técnicas de Ki'!BF22,0)+IF($T127&lt;&gt;0,'Técnicas de Ki'!BG22,0)),0))</f>
        <v>0</v>
      </c>
      <c r="BQ127" s="539">
        <f>IF('Técnicas de Ki'!AR22=0,0,IF('Técnicas de Ki'!AY22=TS!BQ$119,'Técnicas de Ki'!AS22-(IF($O127&lt;&gt;0,'Técnicas de Ki'!BB22,0)+IF($P127&lt;&gt;0,'Técnicas de Ki'!BC22,0)+IF($Q127&lt;&gt;0,'Técnicas de Ki'!BD22,0)+IF($R127&lt;&gt;0,'Técnicas de Ki'!BE22,0)+IF($S127&lt;&gt;0,'Técnicas de Ki'!BF22,0)+IF($T127&lt;&gt;0,'Técnicas de Ki'!BG22,0)),0))</f>
        <v>0</v>
      </c>
      <c r="BR127" s="538">
        <f>IF('Técnicas de Ki'!AR22=0,0,IFERROR(IF('Técnicas de Ki'!BB22&lt;&gt;0,'Técnicas de Ki'!BB22+TS!$O127,0)*$O127/$O127,0))</f>
        <v>0</v>
      </c>
      <c r="BS127" s="538">
        <f>IF('Técnicas de Ki'!AR22=0,0,IFERROR(IF('Técnicas de Ki'!BC22&lt;&gt;0,'Técnicas de Ki'!BC22+TS!$P127,0)*$P127/$P127,0))</f>
        <v>0</v>
      </c>
      <c r="BT127" s="538">
        <f>IF('Técnicas de Ki'!AR22=0,0,IFERROR(IF('Técnicas de Ki'!BD22&lt;&gt;0,'Técnicas de Ki'!BD22+TS!$Q127,0)*$Q127/$Q127,0))</f>
        <v>0</v>
      </c>
      <c r="BU127" s="538">
        <f>IF('Técnicas de Ki'!AR22=0,0,IFERROR(IF('Técnicas de Ki'!BE22&lt;&gt;0,'Técnicas de Ki'!BE22+TS!$R127,0)*$R127/$R127,0))</f>
        <v>0</v>
      </c>
      <c r="BV127" s="538">
        <f>IF('Técnicas de Ki'!AR22=0,0,IFERROR(IF('Técnicas de Ki'!BF22&lt;&gt;0,'Técnicas de Ki'!BF22+TS!$S127,0)*$S127/$S127,0))</f>
        <v>0</v>
      </c>
      <c r="BW127" s="539">
        <f>IF('Técnicas de Ki'!AR22=0,0,IFERROR(IF('Técnicas de Ki'!BG22&lt;&gt;0,'Técnicas de Ki'!BG22+TS!$T127,0)*$T127/$T127,0))</f>
        <v>0</v>
      </c>
      <c r="BY127" s="572" t="str">
        <f>IF('Técnicas de Ki'!AR22&lt;&gt;0,'Técnicas de Ki'!AQ22&amp;" "&amp;'Técnicas de Ki'!AR22,"")</f>
        <v/>
      </c>
      <c r="BZ127" s="302" t="b">
        <f t="shared" si="10"/>
        <v>0</v>
      </c>
      <c r="CA127" s="302" t="str">
        <f t="shared" si="6"/>
        <v/>
      </c>
      <c r="CG127" s="537">
        <f>IF('Técnicas de Ki'!BM22=0,0,IF('Técnicas de Ki'!BT22=TS!CG$119,'Técnicas de Ki'!BN22-(IF($O127&lt;&gt;0,'Técnicas de Ki'!BW22,0)+IF($P127&lt;&gt;0,'Técnicas de Ki'!BX22,0)+IF($Q127&lt;&gt;0,'Técnicas de Ki'!BY22,0)+IF($R127&lt;&gt;0,'Técnicas de Ki'!BZ22,0)+IF($S127&lt;&gt;0,'Técnicas de Ki'!CA22,0)+IF($T127&lt;&gt;0,'Técnicas de Ki'!CB22,0)),0))</f>
        <v>0</v>
      </c>
      <c r="CH127" s="538">
        <f>IF('Técnicas de Ki'!BM22=0,0,IF('Técnicas de Ki'!BT22=TS!CH$119,'Técnicas de Ki'!BN22-(IF($O127&lt;&gt;0,'Técnicas de Ki'!BW22,0)+IF($P127&lt;&gt;0,'Técnicas de Ki'!BX22,0)+IF($Q127&lt;&gt;0,'Técnicas de Ki'!BY22,0)+IF($R127&lt;&gt;0,'Técnicas de Ki'!BZ22,0)+IF($S127&lt;&gt;0,'Técnicas de Ki'!CA22,0)+IF($T127&lt;&gt;0,'Técnicas de Ki'!CB22,0)),0))</f>
        <v>0</v>
      </c>
      <c r="CI127" s="538">
        <f>IF('Técnicas de Ki'!BM22=0,0,IF('Técnicas de Ki'!BT22=TS!CI$119,'Técnicas de Ki'!BN22-(IF($O127&lt;&gt;0,'Técnicas de Ki'!BW22,0)+IF($P127&lt;&gt;0,'Técnicas de Ki'!BX22,0)+IF($Q127&lt;&gt;0,'Técnicas de Ki'!BY22,0)+IF($R127&lt;&gt;0,'Técnicas de Ki'!BZ22,0)+IF($S127&lt;&gt;0,'Técnicas de Ki'!CA22,0)+IF($T127&lt;&gt;0,'Técnicas de Ki'!CB22,0)),0))</f>
        <v>0</v>
      </c>
      <c r="CJ127" s="538">
        <f>IF('Técnicas de Ki'!BM22=0,0,IF('Técnicas de Ki'!BT22=TS!CJ$119,'Técnicas de Ki'!BN22-(IF($O127&lt;&gt;0,'Técnicas de Ki'!BW22,0)+IF($P127&lt;&gt;0,'Técnicas de Ki'!BX22,0)+IF($Q127&lt;&gt;0,'Técnicas de Ki'!BY22,0)+IF($R127&lt;&gt;0,'Técnicas de Ki'!BZ22,0)+IF($S127&lt;&gt;0,'Técnicas de Ki'!CA22,0)+IF($T127&lt;&gt;0,'Técnicas de Ki'!CB22,0)),0))</f>
        <v>0</v>
      </c>
      <c r="CK127" s="538">
        <f>IF('Técnicas de Ki'!BM22=0,0,IF('Técnicas de Ki'!BT22=TS!CK$119,'Técnicas de Ki'!BN22-(IF($O127&lt;&gt;0,'Técnicas de Ki'!BW22,0)+IF($P127&lt;&gt;0,'Técnicas de Ki'!BX22,0)+IF($Q127&lt;&gt;0,'Técnicas de Ki'!BY22,0)+IF($R127&lt;&gt;0,'Técnicas de Ki'!BZ22,0)+IF($S127&lt;&gt;0,'Técnicas de Ki'!CA22,0)+IF($T127&lt;&gt;0,'Técnicas de Ki'!CB22,0)),0))</f>
        <v>0</v>
      </c>
      <c r="CL127" s="539">
        <f>IF('Técnicas de Ki'!BM22=0,0,IF('Técnicas de Ki'!BT22=TS!CL$119,'Técnicas de Ki'!BN22-(IF($O127&lt;&gt;0,'Técnicas de Ki'!BW22,0)+IF($P127&lt;&gt;0,'Técnicas de Ki'!BX22,0)+IF($Q127&lt;&gt;0,'Técnicas de Ki'!BY22,0)+IF($R127&lt;&gt;0,'Técnicas de Ki'!BZ22,0)+IF($S127&lt;&gt;0,'Técnicas de Ki'!CA22,0)+IF($T127&lt;&gt;0,'Técnicas de Ki'!CB22,0)),0))</f>
        <v>0</v>
      </c>
      <c r="CM127" s="538">
        <f>IF('Técnicas de Ki'!BM22=0,0,IFERROR(IF('Técnicas de Ki'!BW22&lt;&gt;0,'Técnicas de Ki'!BW22+TS!$O127,0)*$O127/$O127,0))</f>
        <v>0</v>
      </c>
      <c r="CN127" s="538">
        <f>IF('Técnicas de Ki'!BM22=0,0,IFERROR(IF('Técnicas de Ki'!BX22&lt;&gt;0,'Técnicas de Ki'!BX22+TS!$P127,0)*$P127/$P127,0))</f>
        <v>0</v>
      </c>
      <c r="CO127" s="538">
        <f>IF('Técnicas de Ki'!BM22=0,0,IFERROR(IF('Técnicas de Ki'!BY22&lt;&gt;0,'Técnicas de Ki'!BY22+TS!$Q127,0)*$Q127/$Q127,0))</f>
        <v>0</v>
      </c>
      <c r="CP127" s="538">
        <f>IF('Técnicas de Ki'!BM22=0,0,IFERROR(IF('Técnicas de Ki'!BZ22&lt;&gt;0,'Técnicas de Ki'!BZ22+TS!$R127,0)*$R127/$R127,0))</f>
        <v>0</v>
      </c>
      <c r="CQ127" s="538">
        <f>IF('Técnicas de Ki'!BM22=0,0,IFERROR(IF('Técnicas de Ki'!CA22&lt;&gt;0,'Técnicas de Ki'!CA22+TS!$S127,0)*$S127/$S127,0))</f>
        <v>0</v>
      </c>
      <c r="CR127" s="539">
        <f>IF('Técnicas de Ki'!BM22=0,0,IFERROR(IF('Técnicas de Ki'!CB22&lt;&gt;0,'Técnicas de Ki'!CB22+TS!$T127,0)*$T127/$T127,0))</f>
        <v>0</v>
      </c>
      <c r="CT127" s="572" t="str">
        <f>IF('Técnicas de Ki'!BM22&lt;&gt;0,'Técnicas de Ki'!BL22&amp;" "&amp;'Técnicas de Ki'!BM22,"")</f>
        <v/>
      </c>
      <c r="CU127" s="302" t="b">
        <f t="shared" si="11"/>
        <v>0</v>
      </c>
      <c r="CV127" s="302" t="str">
        <f t="shared" si="7"/>
        <v/>
      </c>
    </row>
    <row r="128" spans="1:102" ht="13.5" thickBot="1" x14ac:dyDescent="0.25">
      <c r="A128" s="302" t="s">
        <v>6842</v>
      </c>
      <c r="B128" s="302" t="s">
        <v>6824</v>
      </c>
      <c r="C128" s="302" t="str">
        <f t="shared" si="3"/>
        <v>Defensa predeterminadaImposible (280)</v>
      </c>
      <c r="D128" s="302">
        <v>16</v>
      </c>
      <c r="E128" s="302">
        <v>20</v>
      </c>
      <c r="F128" s="302">
        <v>25</v>
      </c>
      <c r="G128" s="302">
        <v>8</v>
      </c>
      <c r="H128" s="302">
        <v>16</v>
      </c>
      <c r="I128" s="302">
        <v>28</v>
      </c>
      <c r="J128" s="302">
        <v>2</v>
      </c>
      <c r="N128" s="303" t="s">
        <v>6798</v>
      </c>
      <c r="O128" s="298"/>
      <c r="P128" s="298"/>
      <c r="Q128" s="298"/>
      <c r="R128" s="298"/>
      <c r="S128" s="298"/>
      <c r="T128" s="545"/>
      <c r="V128" s="622"/>
      <c r="W128" s="546"/>
      <c r="X128" s="546"/>
      <c r="Y128" s="546"/>
      <c r="Z128" s="546"/>
      <c r="AA128" s="623"/>
      <c r="AB128" s="615"/>
      <c r="AC128" s="545"/>
      <c r="AD128" s="545"/>
      <c r="AE128" s="545"/>
      <c r="AF128" s="545"/>
      <c r="AG128" s="614"/>
      <c r="AI128" s="570" t="str">
        <f>IF('Técnicas de Ki'!B24&lt;&gt;0,'Técnicas de Ki'!A24&amp;" "&amp;'Técnicas de Ki'!B24,"")</f>
        <v/>
      </c>
      <c r="AJ128" s="302" t="b">
        <v>0</v>
      </c>
      <c r="AK128" s="302" t="str">
        <f t="shared" si="4"/>
        <v/>
      </c>
      <c r="AL128" s="573" t="str">
        <f>IF(AM128,N128&amp;": "&amp;CONCATENATE(AK128,AK129,AK130,AK131,AK132,AK133,AK134),"")&amp;IF(AM128,"  ","")</f>
        <v/>
      </c>
      <c r="AM128" s="302" t="b">
        <f>OR(AJ128:AJ134,AI134&lt;&gt;"")</f>
        <v>0</v>
      </c>
      <c r="AQ128" s="622"/>
      <c r="AR128" s="546"/>
      <c r="AS128" s="546"/>
      <c r="AT128" s="546"/>
      <c r="AU128" s="546"/>
      <c r="AV128" s="623"/>
      <c r="AW128" s="615"/>
      <c r="AX128" s="545"/>
      <c r="AY128" s="545"/>
      <c r="AZ128" s="545"/>
      <c r="BA128" s="545"/>
      <c r="BB128" s="614"/>
      <c r="BD128" s="570" t="str">
        <f>IF('Técnicas de Ki'!W24&lt;&gt;0,'Técnicas de Ki'!V24&amp;" "&amp;'Técnicas de Ki'!W24,"")</f>
        <v/>
      </c>
      <c r="BE128" s="302" t="b">
        <v>0</v>
      </c>
      <c r="BF128" s="302" t="str">
        <f t="shared" si="5"/>
        <v/>
      </c>
      <c r="BG128" s="573" t="str">
        <f>IF(BH128,AI128&amp;": "&amp;CONCATENATE(BF128,BF129,BF130,BF131,BF132,BF133,BF134),"")&amp;IF(BH128,"  ","")</f>
        <v/>
      </c>
      <c r="BH128" s="302" t="b">
        <f>OR(BE128:BE134,BD134&lt;&gt;"")</f>
        <v>0</v>
      </c>
      <c r="BL128" s="622"/>
      <c r="BM128" s="546"/>
      <c r="BN128" s="546"/>
      <c r="BO128" s="546"/>
      <c r="BP128" s="546"/>
      <c r="BQ128" s="623"/>
      <c r="BR128" s="615"/>
      <c r="BS128" s="545"/>
      <c r="BT128" s="545"/>
      <c r="BU128" s="545"/>
      <c r="BV128" s="545"/>
      <c r="BW128" s="614"/>
      <c r="BY128" s="570" t="str">
        <f>IF('Técnicas de Ki'!AR24&lt;&gt;0,'Técnicas de Ki'!AQ24&amp;" "&amp;'Técnicas de Ki'!AR24,"")</f>
        <v/>
      </c>
      <c r="BZ128" s="302" t="b">
        <v>0</v>
      </c>
      <c r="CA128" s="302" t="str">
        <f t="shared" si="6"/>
        <v/>
      </c>
      <c r="CB128" s="573" t="str">
        <f>IF(CC128,BD128&amp;": "&amp;CONCATENATE(CA128,CA129,CA130,CA131,CA132,CA133,CA134),"")&amp;IF(CC128,"  ","")</f>
        <v/>
      </c>
      <c r="CC128" s="302" t="b">
        <f>OR(BZ128:BZ134,BY134&lt;&gt;"")</f>
        <v>0</v>
      </c>
      <c r="CG128" s="622"/>
      <c r="CH128" s="546"/>
      <c r="CI128" s="546"/>
      <c r="CJ128" s="546"/>
      <c r="CK128" s="546"/>
      <c r="CL128" s="623"/>
      <c r="CM128" s="615"/>
      <c r="CN128" s="545"/>
      <c r="CO128" s="545"/>
      <c r="CP128" s="545"/>
      <c r="CQ128" s="545"/>
      <c r="CR128" s="614"/>
      <c r="CT128" s="570" t="str">
        <f>IF('Técnicas de Ki'!BM24&lt;&gt;0,'Técnicas de Ki'!BL24&amp;" "&amp;'Técnicas de Ki'!BM24,"")</f>
        <v/>
      </c>
      <c r="CU128" s="302" t="b">
        <v>0</v>
      </c>
      <c r="CV128" s="302" t="str">
        <f t="shared" si="7"/>
        <v/>
      </c>
      <c r="CW128" s="573" t="str">
        <f>IF(CX128,BY128&amp;": "&amp;CONCATENATE(CV128,CV129,CV130,CV131,CV132,CV133,CV134),"")&amp;IF(CX128,"  ","")</f>
        <v/>
      </c>
      <c r="CX128" s="302" t="b">
        <f>OR(CU128:CU134,CT134&lt;&gt;"")</f>
        <v>0</v>
      </c>
    </row>
    <row r="129" spans="1:102" x14ac:dyDescent="0.2">
      <c r="A129" s="302" t="s">
        <v>6842</v>
      </c>
      <c r="B129" s="302" t="s">
        <v>6825</v>
      </c>
      <c r="C129" s="302" t="str">
        <f t="shared" si="3"/>
        <v>Defensa predeterminadaInhumano (320)</v>
      </c>
      <c r="D129" s="302">
        <v>20</v>
      </c>
      <c r="E129" s="302">
        <v>24</v>
      </c>
      <c r="F129" s="302">
        <v>35</v>
      </c>
      <c r="G129" s="302">
        <v>10</v>
      </c>
      <c r="H129" s="302">
        <v>20</v>
      </c>
      <c r="I129" s="302">
        <v>35</v>
      </c>
      <c r="J129" s="302">
        <v>2</v>
      </c>
      <c r="N129" s="302" t="s">
        <v>6836</v>
      </c>
      <c r="O129" s="302">
        <v>2</v>
      </c>
      <c r="P129" s="302">
        <v>2</v>
      </c>
      <c r="S129" s="302">
        <v>3</v>
      </c>
      <c r="T129" s="302">
        <v>2</v>
      </c>
      <c r="V129" s="537">
        <f>IF('Técnicas de Ki'!B24=0,0,IF('Técnicas de Ki'!I24=TS!V$119,'Técnicas de Ki'!C24-(IF($O129&lt;&gt;0,'Técnicas de Ki'!L24,0)+IF($P129&lt;&gt;0,'Técnicas de Ki'!M24,0)+IF($Q129&lt;&gt;0,'Técnicas de Ki'!N24,0)+IF($R129&lt;&gt;0,'Técnicas de Ki'!O24,0)+IF($S129&lt;&gt;0,'Técnicas de Ki'!P24,0)+IF($T129&lt;&gt;0,'Técnicas de Ki'!Q24,0)),0))</f>
        <v>0</v>
      </c>
      <c r="W129" s="538">
        <f>IF('Técnicas de Ki'!B24=0,0,IF('Técnicas de Ki'!I24=TS!W$119,'Técnicas de Ki'!C24-(IF($O129&lt;&gt;0,'Técnicas de Ki'!L24,0)+IF($P129&lt;&gt;0,'Técnicas de Ki'!M24,0)+IF($Q129&lt;&gt;0,'Técnicas de Ki'!N24,0)+IF($R129&lt;&gt;0,'Técnicas de Ki'!O24,0)+IF($S129&lt;&gt;0,'Técnicas de Ki'!P24,0)+IF($T129&lt;&gt;0,'Técnicas de Ki'!Q24,0)),0))</f>
        <v>0</v>
      </c>
      <c r="X129" s="538">
        <f>IF('Técnicas de Ki'!B24=0,0,IF('Técnicas de Ki'!I24=TS!X$119,'Técnicas de Ki'!C24-(IF($O129&lt;&gt;0,'Técnicas de Ki'!L24,0)+IF($P129&lt;&gt;0,'Técnicas de Ki'!M24,0)+IF($Q129&lt;&gt;0,'Técnicas de Ki'!N24,0)+IF($R129&lt;&gt;0,'Técnicas de Ki'!O24,0)+IF($S129&lt;&gt;0,'Técnicas de Ki'!P24,0)+IF($T129&lt;&gt;0,'Técnicas de Ki'!Q24,0)),0))</f>
        <v>0</v>
      </c>
      <c r="Y129" s="538">
        <f>IF('Técnicas de Ki'!B24=0,0,IF('Técnicas de Ki'!I24=TS!Y$119,'Técnicas de Ki'!C24-(IF($O129&lt;&gt;0,'Técnicas de Ki'!L24,0)+IF($P129&lt;&gt;0,'Técnicas de Ki'!M24,0)+IF($Q129&lt;&gt;0,'Técnicas de Ki'!N24,0)+IF($R129&lt;&gt;0,'Técnicas de Ki'!O24,0)+IF($S129&lt;&gt;0,'Técnicas de Ki'!P24,0)+IF($T129&lt;&gt;0,'Técnicas de Ki'!Q24,0)),0))</f>
        <v>0</v>
      </c>
      <c r="Z129" s="538">
        <f>IF('Técnicas de Ki'!B24=0,0,IF('Técnicas de Ki'!I24=TS!Z$119,'Técnicas de Ki'!C24-(IF($O129&lt;&gt;0,'Técnicas de Ki'!L24,0)+IF($P129&lt;&gt;0,'Técnicas de Ki'!M24,0)+IF($Q129&lt;&gt;0,'Técnicas de Ki'!N24,0)+IF($R129&lt;&gt;0,'Técnicas de Ki'!O24,0)+IF($S129&lt;&gt;0,'Técnicas de Ki'!P24,0)+IF($T129&lt;&gt;0,'Técnicas de Ki'!Q24,0)),0))</f>
        <v>0</v>
      </c>
      <c r="AA129" s="539">
        <f>IF('Técnicas de Ki'!B24=0,0,IF('Técnicas de Ki'!I24=TS!AA$119,'Técnicas de Ki'!C24-(IF($O129&lt;&gt;0,'Técnicas de Ki'!L24,0)+IF($P129&lt;&gt;0,'Técnicas de Ki'!M24,0)+IF($Q129&lt;&gt;0,'Técnicas de Ki'!N24,0)+IF($R129&lt;&gt;0,'Técnicas de Ki'!O24,0)+IF($S129&lt;&gt;0,'Técnicas de Ki'!P24,0)+IF($T129&lt;&gt;0,'Técnicas de Ki'!Q24,0)),0))</f>
        <v>0</v>
      </c>
      <c r="AB129" s="538">
        <f>IF('Técnicas de Ki'!B24=0,0,IFERROR(IF('Técnicas de Ki'!L24&lt;&gt;0,'Técnicas de Ki'!L24+TS!$O129,0)*$O129/$O129,0))</f>
        <v>0</v>
      </c>
      <c r="AC129" s="538">
        <f>IF('Técnicas de Ki'!B24=0,0,IFERROR(IF('Técnicas de Ki'!M24&lt;&gt;0,'Técnicas de Ki'!M24+TS!$P129,0)*$P129/$P129,0))</f>
        <v>0</v>
      </c>
      <c r="AD129" s="538">
        <f>IF('Técnicas de Ki'!B24=0,0,IFERROR(IF('Técnicas de Ki'!N24&lt;&gt;0,'Técnicas de Ki'!N24+TS!$Q129,0)*$Q129/$Q129,0))</f>
        <v>0</v>
      </c>
      <c r="AE129" s="538">
        <f>IF('Técnicas de Ki'!B24=0,0,IFERROR(IF('Técnicas de Ki'!O24&lt;&gt;0,'Técnicas de Ki'!O24+TS!$R129,0)*$R129/$R129,0))</f>
        <v>0</v>
      </c>
      <c r="AF129" s="538">
        <f>IF('Técnicas de Ki'!B24=0,0,IFERROR(IF('Técnicas de Ki'!P24&lt;&gt;0,'Técnicas de Ki'!P24+TS!$S129,0)*$S129/$S129,0))</f>
        <v>0</v>
      </c>
      <c r="AG129" s="539">
        <f>IF('Técnicas de Ki'!B24=0,0,IFERROR(IF('Técnicas de Ki'!Q24&lt;&gt;0,'Técnicas de Ki'!Q24+TS!$T129,0)*$T129/$T129,0))</f>
        <v>0</v>
      </c>
      <c r="AI129" s="571" t="str">
        <f>IF('Técnicas de Ki'!B25&lt;&gt;0,'Técnicas de Ki'!A25&amp;" "&amp;'Técnicas de Ki'!B25,"")</f>
        <v/>
      </c>
      <c r="AJ129" s="302" t="b">
        <f t="shared" si="8"/>
        <v>0</v>
      </c>
      <c r="AK129" s="302" t="str">
        <f t="shared" si="4"/>
        <v/>
      </c>
      <c r="AQ129" s="537">
        <f>IF('Técnicas de Ki'!W24=0,0,IF('Técnicas de Ki'!AD24=TS!AQ$119,'Técnicas de Ki'!X24-(IF($O129&lt;&gt;0,'Técnicas de Ki'!AG24,0)+IF($P129&lt;&gt;0,'Técnicas de Ki'!AH24,0)+IF($Q129&lt;&gt;0,'Técnicas de Ki'!AI24,0)+IF($R129&lt;&gt;0,'Técnicas de Ki'!AJ24,0)+IF($S129&lt;&gt;0,'Técnicas de Ki'!AK24,0)+IF($T129&lt;&gt;0,'Técnicas de Ki'!AL24,0)),0))</f>
        <v>0</v>
      </c>
      <c r="AR129" s="538">
        <f>IF('Técnicas de Ki'!W24=0,0,IF('Técnicas de Ki'!AD24=TS!AR$119,'Técnicas de Ki'!X24-(IF($O129&lt;&gt;0,'Técnicas de Ki'!AG24,0)+IF($P129&lt;&gt;0,'Técnicas de Ki'!AH24,0)+IF($Q129&lt;&gt;0,'Técnicas de Ki'!AI24,0)+IF($R129&lt;&gt;0,'Técnicas de Ki'!AJ24,0)+IF($S129&lt;&gt;0,'Técnicas de Ki'!AK24,0)+IF($T129&lt;&gt;0,'Técnicas de Ki'!AL24,0)),0))</f>
        <v>0</v>
      </c>
      <c r="AS129" s="538">
        <f>IF('Técnicas de Ki'!W24=0,0,IF('Técnicas de Ki'!AD24=TS!AS$119,'Técnicas de Ki'!X24-(IF($O129&lt;&gt;0,'Técnicas de Ki'!AG24,0)+IF($P129&lt;&gt;0,'Técnicas de Ki'!AH24,0)+IF($Q129&lt;&gt;0,'Técnicas de Ki'!AI24,0)+IF($R129&lt;&gt;0,'Técnicas de Ki'!AJ24,0)+IF($S129&lt;&gt;0,'Técnicas de Ki'!AK24,0)+IF($T129&lt;&gt;0,'Técnicas de Ki'!AL24,0)),0))</f>
        <v>0</v>
      </c>
      <c r="AT129" s="538">
        <f>IF('Técnicas de Ki'!W24=0,0,IF('Técnicas de Ki'!AD24=TS!AT$119,'Técnicas de Ki'!X24-(IF($O129&lt;&gt;0,'Técnicas de Ki'!AG24,0)+IF($P129&lt;&gt;0,'Técnicas de Ki'!AH24,0)+IF($Q129&lt;&gt;0,'Técnicas de Ki'!AI24,0)+IF($R129&lt;&gt;0,'Técnicas de Ki'!AJ24,0)+IF($S129&lt;&gt;0,'Técnicas de Ki'!AK24,0)+IF($T129&lt;&gt;0,'Técnicas de Ki'!AL24,0)),0))</f>
        <v>0</v>
      </c>
      <c r="AU129" s="538">
        <f>IF('Técnicas de Ki'!W24=0,0,IF('Técnicas de Ki'!AD24=TS!AU$119,'Técnicas de Ki'!X24-(IF($O129&lt;&gt;0,'Técnicas de Ki'!AG24,0)+IF($P129&lt;&gt;0,'Técnicas de Ki'!AH24,0)+IF($Q129&lt;&gt;0,'Técnicas de Ki'!AI24,0)+IF($R129&lt;&gt;0,'Técnicas de Ki'!AJ24,0)+IF($S129&lt;&gt;0,'Técnicas de Ki'!AK24,0)+IF($T129&lt;&gt;0,'Técnicas de Ki'!AL24,0)),0))</f>
        <v>0</v>
      </c>
      <c r="AV129" s="539">
        <f>IF('Técnicas de Ki'!W24=0,0,IF('Técnicas de Ki'!AD24=TS!AV$119,'Técnicas de Ki'!X24-(IF($O129&lt;&gt;0,'Técnicas de Ki'!AG24,0)+IF($P129&lt;&gt;0,'Técnicas de Ki'!AH24,0)+IF($Q129&lt;&gt;0,'Técnicas de Ki'!AI24,0)+IF($R129&lt;&gt;0,'Técnicas de Ki'!AJ24,0)+IF($S129&lt;&gt;0,'Técnicas de Ki'!AK24,0)+IF($T129&lt;&gt;0,'Técnicas de Ki'!AL24,0)),0))</f>
        <v>0</v>
      </c>
      <c r="AW129" s="538">
        <f>IF('Técnicas de Ki'!W24=0,0,IFERROR(IF('Técnicas de Ki'!AG24&lt;&gt;0,'Técnicas de Ki'!AG24+TS!$O129,0)*$O129/$O129,0))</f>
        <v>0</v>
      </c>
      <c r="AX129" s="538">
        <f>IF('Técnicas de Ki'!W24=0,0,IFERROR(IF('Técnicas de Ki'!AH24&lt;&gt;0,'Técnicas de Ki'!AH24+TS!$P129,0)*$P129/$P129,0))</f>
        <v>0</v>
      </c>
      <c r="AY129" s="538">
        <f>IF('Técnicas de Ki'!W24=0,0,IFERROR(IF('Técnicas de Ki'!AI24&lt;&gt;0,'Técnicas de Ki'!AI24+TS!$Q129,0)*$Q129/$Q129,0))</f>
        <v>0</v>
      </c>
      <c r="AZ129" s="538">
        <f>IF('Técnicas de Ki'!W24=0,0,IFERROR(IF('Técnicas de Ki'!AJ24&lt;&gt;0,'Técnicas de Ki'!AJ24+TS!$R129,0)*$R129/$R129,0))</f>
        <v>0</v>
      </c>
      <c r="BA129" s="538">
        <f>IF('Técnicas de Ki'!W24=0,0,IFERROR(IF('Técnicas de Ki'!AK24&lt;&gt;0,'Técnicas de Ki'!AK24+TS!$S129,0)*$S129/$S129,0))</f>
        <v>0</v>
      </c>
      <c r="BB129" s="539">
        <f>IF('Técnicas de Ki'!W24=0,0,IFERROR(IF('Técnicas de Ki'!AL24&lt;&gt;0,'Técnicas de Ki'!AL24+TS!$T129,0)*$T129/$T129,0))</f>
        <v>0</v>
      </c>
      <c r="BD129" s="571" t="str">
        <f>IF('Técnicas de Ki'!W25&lt;&gt;0,'Técnicas de Ki'!V25&amp;" "&amp;'Técnicas de Ki'!W25,"")</f>
        <v/>
      </c>
      <c r="BE129" s="302" t="b">
        <f t="shared" ref="BE129:BE192" si="12">OR(BE128,BD128&lt;&gt;"")</f>
        <v>0</v>
      </c>
      <c r="BF129" s="302" t="str">
        <f t="shared" si="5"/>
        <v/>
      </c>
      <c r="BL129" s="537">
        <f>IF('Técnicas de Ki'!AR24=0,0,IF('Técnicas de Ki'!AY24=TS!BL$119,'Técnicas de Ki'!AS24-(IF($O129&lt;&gt;0,'Técnicas de Ki'!BB24,0)+IF($P129&lt;&gt;0,'Técnicas de Ki'!BC24,0)+IF($Q129&lt;&gt;0,'Técnicas de Ki'!BD24,0)+IF($R129&lt;&gt;0,'Técnicas de Ki'!BE24,0)+IF($S129&lt;&gt;0,'Técnicas de Ki'!BF24,0)+IF($T129&lt;&gt;0,'Técnicas de Ki'!BG24,0)),0))</f>
        <v>0</v>
      </c>
      <c r="BM129" s="538">
        <f>IF('Técnicas de Ki'!AR24=0,0,IF('Técnicas de Ki'!AY24=TS!BM$119,'Técnicas de Ki'!AS24-(IF($O129&lt;&gt;0,'Técnicas de Ki'!BB24,0)+IF($P129&lt;&gt;0,'Técnicas de Ki'!BC24,0)+IF($Q129&lt;&gt;0,'Técnicas de Ki'!BD24,0)+IF($R129&lt;&gt;0,'Técnicas de Ki'!BE24,0)+IF($S129&lt;&gt;0,'Técnicas de Ki'!BF24,0)+IF($T129&lt;&gt;0,'Técnicas de Ki'!BG24,0)),0))</f>
        <v>0</v>
      </c>
      <c r="BN129" s="538">
        <f>IF('Técnicas de Ki'!AR24=0,0,IF('Técnicas de Ki'!AY24=TS!BN$119,'Técnicas de Ki'!AS24-(IF($O129&lt;&gt;0,'Técnicas de Ki'!BB24,0)+IF($P129&lt;&gt;0,'Técnicas de Ki'!BC24,0)+IF($Q129&lt;&gt;0,'Técnicas de Ki'!BD24,0)+IF($R129&lt;&gt;0,'Técnicas de Ki'!BE24,0)+IF($S129&lt;&gt;0,'Técnicas de Ki'!BF24,0)+IF($T129&lt;&gt;0,'Técnicas de Ki'!BG24,0)),0))</f>
        <v>0</v>
      </c>
      <c r="BO129" s="538">
        <f>IF('Técnicas de Ki'!AR24=0,0,IF('Técnicas de Ki'!AY24=TS!BO$119,'Técnicas de Ki'!AS24-(IF($O129&lt;&gt;0,'Técnicas de Ki'!BB24,0)+IF($P129&lt;&gt;0,'Técnicas de Ki'!BC24,0)+IF($Q129&lt;&gt;0,'Técnicas de Ki'!BD24,0)+IF($R129&lt;&gt;0,'Técnicas de Ki'!BE24,0)+IF($S129&lt;&gt;0,'Técnicas de Ki'!BF24,0)+IF($T129&lt;&gt;0,'Técnicas de Ki'!BG24,0)),0))</f>
        <v>0</v>
      </c>
      <c r="BP129" s="538">
        <f>IF('Técnicas de Ki'!AR24=0,0,IF('Técnicas de Ki'!AY24=TS!BP$119,'Técnicas de Ki'!AS24-(IF($O129&lt;&gt;0,'Técnicas de Ki'!BB24,0)+IF($P129&lt;&gt;0,'Técnicas de Ki'!BC24,0)+IF($Q129&lt;&gt;0,'Técnicas de Ki'!BD24,0)+IF($R129&lt;&gt;0,'Técnicas de Ki'!BE24,0)+IF($S129&lt;&gt;0,'Técnicas de Ki'!BF24,0)+IF($T129&lt;&gt;0,'Técnicas de Ki'!BG24,0)),0))</f>
        <v>0</v>
      </c>
      <c r="BQ129" s="539">
        <f>IF('Técnicas de Ki'!AR24=0,0,IF('Técnicas de Ki'!AY24=TS!BQ$119,'Técnicas de Ki'!AS24-(IF($O129&lt;&gt;0,'Técnicas de Ki'!BB24,0)+IF($P129&lt;&gt;0,'Técnicas de Ki'!BC24,0)+IF($Q129&lt;&gt;0,'Técnicas de Ki'!BD24,0)+IF($R129&lt;&gt;0,'Técnicas de Ki'!BE24,0)+IF($S129&lt;&gt;0,'Técnicas de Ki'!BF24,0)+IF($T129&lt;&gt;0,'Técnicas de Ki'!BG24,0)),0))</f>
        <v>0</v>
      </c>
      <c r="BR129" s="538">
        <f>IF('Técnicas de Ki'!AR24=0,0,IFERROR(IF('Técnicas de Ki'!BB24&lt;&gt;0,'Técnicas de Ki'!BB24+TS!$O129,0)*$O129/$O129,0))</f>
        <v>0</v>
      </c>
      <c r="BS129" s="538">
        <f>IF('Técnicas de Ki'!AR24=0,0,IFERROR(IF('Técnicas de Ki'!BC24&lt;&gt;0,'Técnicas de Ki'!BC24+TS!$P129,0)*$P129/$P129,0))</f>
        <v>0</v>
      </c>
      <c r="BT129" s="538">
        <f>IF('Técnicas de Ki'!AR24=0,0,IFERROR(IF('Técnicas de Ki'!BD24&lt;&gt;0,'Técnicas de Ki'!BD24+TS!$Q129,0)*$Q129/$Q129,0))</f>
        <v>0</v>
      </c>
      <c r="BU129" s="538">
        <f>IF('Técnicas de Ki'!AR24=0,0,IFERROR(IF('Técnicas de Ki'!BE24&lt;&gt;0,'Técnicas de Ki'!BE24+TS!$R129,0)*$R129/$R129,0))</f>
        <v>0</v>
      </c>
      <c r="BV129" s="538">
        <f>IF('Técnicas de Ki'!AR24=0,0,IFERROR(IF('Técnicas de Ki'!BF24&lt;&gt;0,'Técnicas de Ki'!BF24+TS!$S129,0)*$S129/$S129,0))</f>
        <v>0</v>
      </c>
      <c r="BW129" s="539">
        <f>IF('Técnicas de Ki'!AR24=0,0,IFERROR(IF('Técnicas de Ki'!BG24&lt;&gt;0,'Técnicas de Ki'!BG24+TS!$T129,0)*$T129/$T129,0))</f>
        <v>0</v>
      </c>
      <c r="BY129" s="571" t="str">
        <f>IF('Técnicas de Ki'!AR25&lt;&gt;0,'Técnicas de Ki'!AQ25&amp;" "&amp;'Técnicas de Ki'!AR25,"")</f>
        <v/>
      </c>
      <c r="BZ129" s="302" t="b">
        <f t="shared" ref="BZ129:BZ192" si="13">OR(BZ128,BY128&lt;&gt;"")</f>
        <v>0</v>
      </c>
      <c r="CA129" s="302" t="str">
        <f t="shared" si="6"/>
        <v/>
      </c>
      <c r="CG129" s="537">
        <f>IF('Técnicas de Ki'!BM24=0,0,IF('Técnicas de Ki'!BT24=TS!CG$119,'Técnicas de Ki'!BN24-(IF($O129&lt;&gt;0,'Técnicas de Ki'!BW24,0)+IF($P129&lt;&gt;0,'Técnicas de Ki'!BX24,0)+IF($Q129&lt;&gt;0,'Técnicas de Ki'!BY24,0)+IF($R129&lt;&gt;0,'Técnicas de Ki'!BZ24,0)+IF($S129&lt;&gt;0,'Técnicas de Ki'!CA24,0)+IF($T129&lt;&gt;0,'Técnicas de Ki'!CB24,0)),0))</f>
        <v>0</v>
      </c>
      <c r="CH129" s="538">
        <f>IF('Técnicas de Ki'!BM24=0,0,IF('Técnicas de Ki'!BT24=TS!CH$119,'Técnicas de Ki'!BN24-(IF($O129&lt;&gt;0,'Técnicas de Ki'!BW24,0)+IF($P129&lt;&gt;0,'Técnicas de Ki'!BX24,0)+IF($Q129&lt;&gt;0,'Técnicas de Ki'!BY24,0)+IF($R129&lt;&gt;0,'Técnicas de Ki'!BZ24,0)+IF($S129&lt;&gt;0,'Técnicas de Ki'!CA24,0)+IF($T129&lt;&gt;0,'Técnicas de Ki'!CB24,0)),0))</f>
        <v>0</v>
      </c>
      <c r="CI129" s="538">
        <f>IF('Técnicas de Ki'!BM24=0,0,IF('Técnicas de Ki'!BT24=TS!CI$119,'Técnicas de Ki'!BN24-(IF($O129&lt;&gt;0,'Técnicas de Ki'!BW24,0)+IF($P129&lt;&gt;0,'Técnicas de Ki'!BX24,0)+IF($Q129&lt;&gt;0,'Técnicas de Ki'!BY24,0)+IF($R129&lt;&gt;0,'Técnicas de Ki'!BZ24,0)+IF($S129&lt;&gt;0,'Técnicas de Ki'!CA24,0)+IF($T129&lt;&gt;0,'Técnicas de Ki'!CB24,0)),0))</f>
        <v>0</v>
      </c>
      <c r="CJ129" s="538">
        <f>IF('Técnicas de Ki'!BM24=0,0,IF('Técnicas de Ki'!BT24=TS!CJ$119,'Técnicas de Ki'!BN24-(IF($O129&lt;&gt;0,'Técnicas de Ki'!BW24,0)+IF($P129&lt;&gt;0,'Técnicas de Ki'!BX24,0)+IF($Q129&lt;&gt;0,'Técnicas de Ki'!BY24,0)+IF($R129&lt;&gt;0,'Técnicas de Ki'!BZ24,0)+IF($S129&lt;&gt;0,'Técnicas de Ki'!CA24,0)+IF($T129&lt;&gt;0,'Técnicas de Ki'!CB24,0)),0))</f>
        <v>0</v>
      </c>
      <c r="CK129" s="538">
        <f>IF('Técnicas de Ki'!BM24=0,0,IF('Técnicas de Ki'!BT24=TS!CK$119,'Técnicas de Ki'!BN24-(IF($O129&lt;&gt;0,'Técnicas de Ki'!BW24,0)+IF($P129&lt;&gt;0,'Técnicas de Ki'!BX24,0)+IF($Q129&lt;&gt;0,'Técnicas de Ki'!BY24,0)+IF($R129&lt;&gt;0,'Técnicas de Ki'!BZ24,0)+IF($S129&lt;&gt;0,'Técnicas de Ki'!CA24,0)+IF($T129&lt;&gt;0,'Técnicas de Ki'!CB24,0)),0))</f>
        <v>0</v>
      </c>
      <c r="CL129" s="539">
        <f>IF('Técnicas de Ki'!BM24=0,0,IF('Técnicas de Ki'!BT24=TS!CL$119,'Técnicas de Ki'!BN24-(IF($O129&lt;&gt;0,'Técnicas de Ki'!BW24,0)+IF($P129&lt;&gt;0,'Técnicas de Ki'!BX24,0)+IF($Q129&lt;&gt;0,'Técnicas de Ki'!BY24,0)+IF($R129&lt;&gt;0,'Técnicas de Ki'!BZ24,0)+IF($S129&lt;&gt;0,'Técnicas de Ki'!CA24,0)+IF($T129&lt;&gt;0,'Técnicas de Ki'!CB24,0)),0))</f>
        <v>0</v>
      </c>
      <c r="CM129" s="538">
        <f>IF('Técnicas de Ki'!BM24=0,0,IFERROR(IF('Técnicas de Ki'!BW24&lt;&gt;0,'Técnicas de Ki'!BW24+TS!$O129,0)*$O129/$O129,0))</f>
        <v>0</v>
      </c>
      <c r="CN129" s="538">
        <f>IF('Técnicas de Ki'!BM24=0,0,IFERROR(IF('Técnicas de Ki'!BX24&lt;&gt;0,'Técnicas de Ki'!BX24+TS!$P129,0)*$P129/$P129,0))</f>
        <v>0</v>
      </c>
      <c r="CO129" s="538">
        <f>IF('Técnicas de Ki'!BM24=0,0,IFERROR(IF('Técnicas de Ki'!BY24&lt;&gt;0,'Técnicas de Ki'!BY24+TS!$Q129,0)*$Q129/$Q129,0))</f>
        <v>0</v>
      </c>
      <c r="CP129" s="538">
        <f>IF('Técnicas de Ki'!BM24=0,0,IFERROR(IF('Técnicas de Ki'!BZ24&lt;&gt;0,'Técnicas de Ki'!BZ24+TS!$R129,0)*$R129/$R129,0))</f>
        <v>0</v>
      </c>
      <c r="CQ129" s="538">
        <f>IF('Técnicas de Ki'!BM24=0,0,IFERROR(IF('Técnicas de Ki'!CA24&lt;&gt;0,'Técnicas de Ki'!CA24+TS!$S129,0)*$S129/$S129,0))</f>
        <v>0</v>
      </c>
      <c r="CR129" s="539">
        <f>IF('Técnicas de Ki'!BM24=0,0,IFERROR(IF('Técnicas de Ki'!CB24&lt;&gt;0,'Técnicas de Ki'!CB24+TS!$T129,0)*$T129/$T129,0))</f>
        <v>0</v>
      </c>
      <c r="CT129" s="571" t="str">
        <f>IF('Técnicas de Ki'!BM25&lt;&gt;0,'Técnicas de Ki'!BL25&amp;" "&amp;'Técnicas de Ki'!BM25,"")</f>
        <v/>
      </c>
      <c r="CU129" s="302" t="b">
        <f t="shared" ref="CU129:CU192" si="14">OR(CU128,CT128&lt;&gt;"")</f>
        <v>0</v>
      </c>
      <c r="CV129" s="302" t="str">
        <f t="shared" si="7"/>
        <v/>
      </c>
    </row>
    <row r="130" spans="1:102" x14ac:dyDescent="0.2">
      <c r="A130" s="302" t="s">
        <v>6842</v>
      </c>
      <c r="B130" s="302" t="s">
        <v>6826</v>
      </c>
      <c r="C130" s="302" t="str">
        <f t="shared" si="3"/>
        <v>Defensa predeterminadaZen (440)</v>
      </c>
      <c r="D130" s="302">
        <v>26</v>
      </c>
      <c r="E130" s="302">
        <v>32</v>
      </c>
      <c r="F130" s="302">
        <v>45</v>
      </c>
      <c r="G130" s="302">
        <v>12</v>
      </c>
      <c r="H130" s="302">
        <v>24</v>
      </c>
      <c r="I130" s="302">
        <v>42</v>
      </c>
      <c r="J130" s="302">
        <v>3</v>
      </c>
      <c r="N130" s="302" t="s">
        <v>6837</v>
      </c>
      <c r="O130" s="302">
        <v>2</v>
      </c>
      <c r="P130" s="302">
        <v>2</v>
      </c>
      <c r="S130" s="302">
        <v>3</v>
      </c>
      <c r="T130" s="302">
        <v>2</v>
      </c>
      <c r="V130" s="537">
        <f>IF('Técnicas de Ki'!B25=0,0,IF('Técnicas de Ki'!I25=TS!V$119,'Técnicas de Ki'!C25-(IF($O130&lt;&gt;0,'Técnicas de Ki'!L25,0)+IF($P130&lt;&gt;0,'Técnicas de Ki'!M25,0)+IF($Q130&lt;&gt;0,'Técnicas de Ki'!N25,0)+IF($R130&lt;&gt;0,'Técnicas de Ki'!O25,0)+IF($S130&lt;&gt;0,'Técnicas de Ki'!P25,0)+IF($T130&lt;&gt;0,'Técnicas de Ki'!Q25,0)),0))</f>
        <v>0</v>
      </c>
      <c r="W130" s="538">
        <f>IF('Técnicas de Ki'!B25=0,0,IF('Técnicas de Ki'!I25=TS!W$119,'Técnicas de Ki'!C25-(IF($O130&lt;&gt;0,'Técnicas de Ki'!L25,0)+IF($P130&lt;&gt;0,'Técnicas de Ki'!M25,0)+IF($Q130&lt;&gt;0,'Técnicas de Ki'!N25,0)+IF($R130&lt;&gt;0,'Técnicas de Ki'!O25,0)+IF($S130&lt;&gt;0,'Técnicas de Ki'!P25,0)+IF($T130&lt;&gt;0,'Técnicas de Ki'!Q25,0)),0))</f>
        <v>0</v>
      </c>
      <c r="X130" s="538">
        <f>IF('Técnicas de Ki'!B25=0,0,IF('Técnicas de Ki'!I25=TS!X$119,'Técnicas de Ki'!C25-(IF($O130&lt;&gt;0,'Técnicas de Ki'!L25,0)+IF($P130&lt;&gt;0,'Técnicas de Ki'!M25,0)+IF($Q130&lt;&gt;0,'Técnicas de Ki'!N25,0)+IF($R130&lt;&gt;0,'Técnicas de Ki'!O25,0)+IF($S130&lt;&gt;0,'Técnicas de Ki'!P25,0)+IF($T130&lt;&gt;0,'Técnicas de Ki'!Q25,0)),0))</f>
        <v>0</v>
      </c>
      <c r="Y130" s="538">
        <f>IF('Técnicas de Ki'!B25=0,0,IF('Técnicas de Ki'!I25=TS!Y$119,'Técnicas de Ki'!C25-(IF($O130&lt;&gt;0,'Técnicas de Ki'!L25,0)+IF($P130&lt;&gt;0,'Técnicas de Ki'!M25,0)+IF($Q130&lt;&gt;0,'Técnicas de Ki'!N25,0)+IF($R130&lt;&gt;0,'Técnicas de Ki'!O25,0)+IF($S130&lt;&gt;0,'Técnicas de Ki'!P25,0)+IF($T130&lt;&gt;0,'Técnicas de Ki'!Q25,0)),0))</f>
        <v>0</v>
      </c>
      <c r="Z130" s="538">
        <f>IF('Técnicas de Ki'!B25=0,0,IF('Técnicas de Ki'!I25=TS!Z$119,'Técnicas de Ki'!C25-(IF($O130&lt;&gt;0,'Técnicas de Ki'!L25,0)+IF($P130&lt;&gt;0,'Técnicas de Ki'!M25,0)+IF($Q130&lt;&gt;0,'Técnicas de Ki'!N25,0)+IF($R130&lt;&gt;0,'Técnicas de Ki'!O25,0)+IF($S130&lt;&gt;0,'Técnicas de Ki'!P25,0)+IF($T130&lt;&gt;0,'Técnicas de Ki'!Q25,0)),0))</f>
        <v>0</v>
      </c>
      <c r="AA130" s="539">
        <f>IF('Técnicas de Ki'!B25=0,0,IF('Técnicas de Ki'!I25=TS!AA$119,'Técnicas de Ki'!C25-(IF($O130&lt;&gt;0,'Técnicas de Ki'!L25,0)+IF($P130&lt;&gt;0,'Técnicas de Ki'!M25,0)+IF($Q130&lt;&gt;0,'Técnicas de Ki'!N25,0)+IF($R130&lt;&gt;0,'Técnicas de Ki'!O25,0)+IF($S130&lt;&gt;0,'Técnicas de Ki'!P25,0)+IF($T130&lt;&gt;0,'Técnicas de Ki'!Q25,0)),0))</f>
        <v>0</v>
      </c>
      <c r="AB130" s="538">
        <f>IF('Técnicas de Ki'!B25=0,0,IFERROR(IF('Técnicas de Ki'!L25&lt;&gt;0,'Técnicas de Ki'!L25+TS!$O130,0)*$O130/$O130,0))</f>
        <v>0</v>
      </c>
      <c r="AC130" s="538">
        <f>IF('Técnicas de Ki'!B25=0,0,IFERROR(IF('Técnicas de Ki'!M25&lt;&gt;0,'Técnicas de Ki'!M25+TS!$P130,0)*$P130/$P130,0))</f>
        <v>0</v>
      </c>
      <c r="AD130" s="538">
        <f>IF('Técnicas de Ki'!B25=0,0,IFERROR(IF('Técnicas de Ki'!N25&lt;&gt;0,'Técnicas de Ki'!N25+TS!$Q130,0)*$Q130/$Q130,0))</f>
        <v>0</v>
      </c>
      <c r="AE130" s="538">
        <f>IF('Técnicas de Ki'!B25=0,0,IFERROR(IF('Técnicas de Ki'!O25&lt;&gt;0,'Técnicas de Ki'!O25+TS!$R130,0)*$R130/$R130,0))</f>
        <v>0</v>
      </c>
      <c r="AF130" s="538">
        <f>IF('Técnicas de Ki'!B25=0,0,IFERROR(IF('Técnicas de Ki'!P25&lt;&gt;0,'Técnicas de Ki'!P25+TS!$S130,0)*$S130/$S130,0))</f>
        <v>0</v>
      </c>
      <c r="AG130" s="539">
        <f>IF('Técnicas de Ki'!B25=0,0,IFERROR(IF('Técnicas de Ki'!Q25&lt;&gt;0,'Técnicas de Ki'!Q25+TS!$T130,0)*$T130/$T130,0))</f>
        <v>0</v>
      </c>
      <c r="AI130" s="571" t="str">
        <f>IF('Técnicas de Ki'!B26&lt;&gt;0,'Técnicas de Ki'!A26&amp;" "&amp;'Técnicas de Ki'!B26,"")</f>
        <v/>
      </c>
      <c r="AJ130" s="302" t="b">
        <f t="shared" si="8"/>
        <v>0</v>
      </c>
      <c r="AK130" s="302" t="str">
        <f t="shared" si="4"/>
        <v/>
      </c>
      <c r="AQ130" s="537">
        <f>IF('Técnicas de Ki'!W25=0,0,IF('Técnicas de Ki'!AD25=TS!AQ$119,'Técnicas de Ki'!X25-(IF($O130&lt;&gt;0,'Técnicas de Ki'!AG25,0)+IF($P130&lt;&gt;0,'Técnicas de Ki'!AH25,0)+IF($Q130&lt;&gt;0,'Técnicas de Ki'!AI25,0)+IF($R130&lt;&gt;0,'Técnicas de Ki'!AJ25,0)+IF($S130&lt;&gt;0,'Técnicas de Ki'!AK25,0)+IF($T130&lt;&gt;0,'Técnicas de Ki'!AL25,0)),0))</f>
        <v>0</v>
      </c>
      <c r="AR130" s="538">
        <f>IF('Técnicas de Ki'!W25=0,0,IF('Técnicas de Ki'!AD25=TS!AR$119,'Técnicas de Ki'!X25-(IF($O130&lt;&gt;0,'Técnicas de Ki'!AG25,0)+IF($P130&lt;&gt;0,'Técnicas de Ki'!AH25,0)+IF($Q130&lt;&gt;0,'Técnicas de Ki'!AI25,0)+IF($R130&lt;&gt;0,'Técnicas de Ki'!AJ25,0)+IF($S130&lt;&gt;0,'Técnicas de Ki'!AK25,0)+IF($T130&lt;&gt;0,'Técnicas de Ki'!AL25,0)),0))</f>
        <v>0</v>
      </c>
      <c r="AS130" s="538">
        <f>IF('Técnicas de Ki'!W25=0,0,IF('Técnicas de Ki'!AD25=TS!AS$119,'Técnicas de Ki'!X25-(IF($O130&lt;&gt;0,'Técnicas de Ki'!AG25,0)+IF($P130&lt;&gt;0,'Técnicas de Ki'!AH25,0)+IF($Q130&lt;&gt;0,'Técnicas de Ki'!AI25,0)+IF($R130&lt;&gt;0,'Técnicas de Ki'!AJ25,0)+IF($S130&lt;&gt;0,'Técnicas de Ki'!AK25,0)+IF($T130&lt;&gt;0,'Técnicas de Ki'!AL25,0)),0))</f>
        <v>0</v>
      </c>
      <c r="AT130" s="538">
        <f>IF('Técnicas de Ki'!W25=0,0,IF('Técnicas de Ki'!AD25=TS!AT$119,'Técnicas de Ki'!X25-(IF($O130&lt;&gt;0,'Técnicas de Ki'!AG25,0)+IF($P130&lt;&gt;0,'Técnicas de Ki'!AH25,0)+IF($Q130&lt;&gt;0,'Técnicas de Ki'!AI25,0)+IF($R130&lt;&gt;0,'Técnicas de Ki'!AJ25,0)+IF($S130&lt;&gt;0,'Técnicas de Ki'!AK25,0)+IF($T130&lt;&gt;0,'Técnicas de Ki'!AL25,0)),0))</f>
        <v>0</v>
      </c>
      <c r="AU130" s="538">
        <f>IF('Técnicas de Ki'!W25=0,0,IF('Técnicas de Ki'!AD25=TS!AU$119,'Técnicas de Ki'!X25-(IF($O130&lt;&gt;0,'Técnicas de Ki'!AG25,0)+IF($P130&lt;&gt;0,'Técnicas de Ki'!AH25,0)+IF($Q130&lt;&gt;0,'Técnicas de Ki'!AI25,0)+IF($R130&lt;&gt;0,'Técnicas de Ki'!AJ25,0)+IF($S130&lt;&gt;0,'Técnicas de Ki'!AK25,0)+IF($T130&lt;&gt;0,'Técnicas de Ki'!AL25,0)),0))</f>
        <v>0</v>
      </c>
      <c r="AV130" s="539">
        <f>IF('Técnicas de Ki'!W25=0,0,IF('Técnicas de Ki'!AD25=TS!AV$119,'Técnicas de Ki'!X25-(IF($O130&lt;&gt;0,'Técnicas de Ki'!AG25,0)+IF($P130&lt;&gt;0,'Técnicas de Ki'!AH25,0)+IF($Q130&lt;&gt;0,'Técnicas de Ki'!AI25,0)+IF($R130&lt;&gt;0,'Técnicas de Ki'!AJ25,0)+IF($S130&lt;&gt;0,'Técnicas de Ki'!AK25,0)+IF($T130&lt;&gt;0,'Técnicas de Ki'!AL25,0)),0))</f>
        <v>0</v>
      </c>
      <c r="AW130" s="538">
        <f>IF('Técnicas de Ki'!W25=0,0,IFERROR(IF('Técnicas de Ki'!AG25&lt;&gt;0,'Técnicas de Ki'!AG25+TS!$O130,0)*$O130/$O130,0))</f>
        <v>0</v>
      </c>
      <c r="AX130" s="538">
        <f>IF('Técnicas de Ki'!W25=0,0,IFERROR(IF('Técnicas de Ki'!AH25&lt;&gt;0,'Técnicas de Ki'!AH25+TS!$P130,0)*$P130/$P130,0))</f>
        <v>0</v>
      </c>
      <c r="AY130" s="538">
        <f>IF('Técnicas de Ki'!W25=0,0,IFERROR(IF('Técnicas de Ki'!AI25&lt;&gt;0,'Técnicas de Ki'!AI25+TS!$Q130,0)*$Q130/$Q130,0))</f>
        <v>0</v>
      </c>
      <c r="AZ130" s="538">
        <f>IF('Técnicas de Ki'!W25=0,0,IFERROR(IF('Técnicas de Ki'!AJ25&lt;&gt;0,'Técnicas de Ki'!AJ25+TS!$R130,0)*$R130/$R130,0))</f>
        <v>0</v>
      </c>
      <c r="BA130" s="538">
        <f>IF('Técnicas de Ki'!W25=0,0,IFERROR(IF('Técnicas de Ki'!AK25&lt;&gt;0,'Técnicas de Ki'!AK25+TS!$S130,0)*$S130/$S130,0))</f>
        <v>0</v>
      </c>
      <c r="BB130" s="539">
        <f>IF('Técnicas de Ki'!W25=0,0,IFERROR(IF('Técnicas de Ki'!AL25&lt;&gt;0,'Técnicas de Ki'!AL25+TS!$T130,0)*$T130/$T130,0))</f>
        <v>0</v>
      </c>
      <c r="BD130" s="571" t="str">
        <f>IF('Técnicas de Ki'!W26&lt;&gt;0,'Técnicas de Ki'!V26&amp;" "&amp;'Técnicas de Ki'!W26,"")</f>
        <v/>
      </c>
      <c r="BE130" s="302" t="b">
        <f t="shared" si="12"/>
        <v>0</v>
      </c>
      <c r="BF130" s="302" t="str">
        <f t="shared" si="5"/>
        <v/>
      </c>
      <c r="BL130" s="537">
        <f>IF('Técnicas de Ki'!AR25=0,0,IF('Técnicas de Ki'!AY25=TS!BL$119,'Técnicas de Ki'!AS25-(IF($O130&lt;&gt;0,'Técnicas de Ki'!BB25,0)+IF($P130&lt;&gt;0,'Técnicas de Ki'!BC25,0)+IF($Q130&lt;&gt;0,'Técnicas de Ki'!BD25,0)+IF($R130&lt;&gt;0,'Técnicas de Ki'!BE25,0)+IF($S130&lt;&gt;0,'Técnicas de Ki'!BF25,0)+IF($T130&lt;&gt;0,'Técnicas de Ki'!BG25,0)),0))</f>
        <v>0</v>
      </c>
      <c r="BM130" s="538">
        <f>IF('Técnicas de Ki'!AR25=0,0,IF('Técnicas de Ki'!AY25=TS!BM$119,'Técnicas de Ki'!AS25-(IF($O130&lt;&gt;0,'Técnicas de Ki'!BB25,0)+IF($P130&lt;&gt;0,'Técnicas de Ki'!BC25,0)+IF($Q130&lt;&gt;0,'Técnicas de Ki'!BD25,0)+IF($R130&lt;&gt;0,'Técnicas de Ki'!BE25,0)+IF($S130&lt;&gt;0,'Técnicas de Ki'!BF25,0)+IF($T130&lt;&gt;0,'Técnicas de Ki'!BG25,0)),0))</f>
        <v>0</v>
      </c>
      <c r="BN130" s="538">
        <f>IF('Técnicas de Ki'!AR25=0,0,IF('Técnicas de Ki'!AY25=TS!BN$119,'Técnicas de Ki'!AS25-(IF($O130&lt;&gt;0,'Técnicas de Ki'!BB25,0)+IF($P130&lt;&gt;0,'Técnicas de Ki'!BC25,0)+IF($Q130&lt;&gt;0,'Técnicas de Ki'!BD25,0)+IF($R130&lt;&gt;0,'Técnicas de Ki'!BE25,0)+IF($S130&lt;&gt;0,'Técnicas de Ki'!BF25,0)+IF($T130&lt;&gt;0,'Técnicas de Ki'!BG25,0)),0))</f>
        <v>0</v>
      </c>
      <c r="BO130" s="538">
        <f>IF('Técnicas de Ki'!AR25=0,0,IF('Técnicas de Ki'!AY25=TS!BO$119,'Técnicas de Ki'!AS25-(IF($O130&lt;&gt;0,'Técnicas de Ki'!BB25,0)+IF($P130&lt;&gt;0,'Técnicas de Ki'!BC25,0)+IF($Q130&lt;&gt;0,'Técnicas de Ki'!BD25,0)+IF($R130&lt;&gt;0,'Técnicas de Ki'!BE25,0)+IF($S130&lt;&gt;0,'Técnicas de Ki'!BF25,0)+IF($T130&lt;&gt;0,'Técnicas de Ki'!BG25,0)),0))</f>
        <v>0</v>
      </c>
      <c r="BP130" s="538">
        <f>IF('Técnicas de Ki'!AR25=0,0,IF('Técnicas de Ki'!AY25=TS!BP$119,'Técnicas de Ki'!AS25-(IF($O130&lt;&gt;0,'Técnicas de Ki'!BB25,0)+IF($P130&lt;&gt;0,'Técnicas de Ki'!BC25,0)+IF($Q130&lt;&gt;0,'Técnicas de Ki'!BD25,0)+IF($R130&lt;&gt;0,'Técnicas de Ki'!BE25,0)+IF($S130&lt;&gt;0,'Técnicas de Ki'!BF25,0)+IF($T130&lt;&gt;0,'Técnicas de Ki'!BG25,0)),0))</f>
        <v>0</v>
      </c>
      <c r="BQ130" s="539">
        <f>IF('Técnicas de Ki'!AR25=0,0,IF('Técnicas de Ki'!AY25=TS!BQ$119,'Técnicas de Ki'!AS25-(IF($O130&lt;&gt;0,'Técnicas de Ki'!BB25,0)+IF($P130&lt;&gt;0,'Técnicas de Ki'!BC25,0)+IF($Q130&lt;&gt;0,'Técnicas de Ki'!BD25,0)+IF($R130&lt;&gt;0,'Técnicas de Ki'!BE25,0)+IF($S130&lt;&gt;0,'Técnicas de Ki'!BF25,0)+IF($T130&lt;&gt;0,'Técnicas de Ki'!BG25,0)),0))</f>
        <v>0</v>
      </c>
      <c r="BR130" s="538">
        <f>IF('Técnicas de Ki'!AR25=0,0,IFERROR(IF('Técnicas de Ki'!BB25&lt;&gt;0,'Técnicas de Ki'!BB25+TS!$O130,0)*$O130/$O130,0))</f>
        <v>0</v>
      </c>
      <c r="BS130" s="538">
        <f>IF('Técnicas de Ki'!AR25=0,0,IFERROR(IF('Técnicas de Ki'!BC25&lt;&gt;0,'Técnicas de Ki'!BC25+TS!$P130,0)*$P130/$P130,0))</f>
        <v>0</v>
      </c>
      <c r="BT130" s="538">
        <f>IF('Técnicas de Ki'!AR25=0,0,IFERROR(IF('Técnicas de Ki'!BD25&lt;&gt;0,'Técnicas de Ki'!BD25+TS!$Q130,0)*$Q130/$Q130,0))</f>
        <v>0</v>
      </c>
      <c r="BU130" s="538">
        <f>IF('Técnicas de Ki'!AR25=0,0,IFERROR(IF('Técnicas de Ki'!BE25&lt;&gt;0,'Técnicas de Ki'!BE25+TS!$R130,0)*$R130/$R130,0))</f>
        <v>0</v>
      </c>
      <c r="BV130" s="538">
        <f>IF('Técnicas de Ki'!AR25=0,0,IFERROR(IF('Técnicas de Ki'!BF25&lt;&gt;0,'Técnicas de Ki'!BF25+TS!$S130,0)*$S130/$S130,0))</f>
        <v>0</v>
      </c>
      <c r="BW130" s="539">
        <f>IF('Técnicas de Ki'!AR25=0,0,IFERROR(IF('Técnicas de Ki'!BG25&lt;&gt;0,'Técnicas de Ki'!BG25+TS!$T130,0)*$T130/$T130,0))</f>
        <v>0</v>
      </c>
      <c r="BY130" s="571" t="str">
        <f>IF('Técnicas de Ki'!AR26&lt;&gt;0,'Técnicas de Ki'!AQ26&amp;" "&amp;'Técnicas de Ki'!AR26,"")</f>
        <v/>
      </c>
      <c r="BZ130" s="302" t="b">
        <f t="shared" si="13"/>
        <v>0</v>
      </c>
      <c r="CA130" s="302" t="str">
        <f t="shared" si="6"/>
        <v/>
      </c>
      <c r="CG130" s="537">
        <f>IF('Técnicas de Ki'!BM25=0,0,IF('Técnicas de Ki'!BT25=TS!CG$119,'Técnicas de Ki'!BN25-(IF($O130&lt;&gt;0,'Técnicas de Ki'!BW25,0)+IF($P130&lt;&gt;0,'Técnicas de Ki'!BX25,0)+IF($Q130&lt;&gt;0,'Técnicas de Ki'!BY25,0)+IF($R130&lt;&gt;0,'Técnicas de Ki'!BZ25,0)+IF($S130&lt;&gt;0,'Técnicas de Ki'!CA25,0)+IF($T130&lt;&gt;0,'Técnicas de Ki'!CB25,0)),0))</f>
        <v>0</v>
      </c>
      <c r="CH130" s="538">
        <f>IF('Técnicas de Ki'!BM25=0,0,IF('Técnicas de Ki'!BT25=TS!CH$119,'Técnicas de Ki'!BN25-(IF($O130&lt;&gt;0,'Técnicas de Ki'!BW25,0)+IF($P130&lt;&gt;0,'Técnicas de Ki'!BX25,0)+IF($Q130&lt;&gt;0,'Técnicas de Ki'!BY25,0)+IF($R130&lt;&gt;0,'Técnicas de Ki'!BZ25,0)+IF($S130&lt;&gt;0,'Técnicas de Ki'!CA25,0)+IF($T130&lt;&gt;0,'Técnicas de Ki'!CB25,0)),0))</f>
        <v>0</v>
      </c>
      <c r="CI130" s="538">
        <f>IF('Técnicas de Ki'!BM25=0,0,IF('Técnicas de Ki'!BT25=TS!CI$119,'Técnicas de Ki'!BN25-(IF($O130&lt;&gt;0,'Técnicas de Ki'!BW25,0)+IF($P130&lt;&gt;0,'Técnicas de Ki'!BX25,0)+IF($Q130&lt;&gt;0,'Técnicas de Ki'!BY25,0)+IF($R130&lt;&gt;0,'Técnicas de Ki'!BZ25,0)+IF($S130&lt;&gt;0,'Técnicas de Ki'!CA25,0)+IF($T130&lt;&gt;0,'Técnicas de Ki'!CB25,0)),0))</f>
        <v>0</v>
      </c>
      <c r="CJ130" s="538">
        <f>IF('Técnicas de Ki'!BM25=0,0,IF('Técnicas de Ki'!BT25=TS!CJ$119,'Técnicas de Ki'!BN25-(IF($O130&lt;&gt;0,'Técnicas de Ki'!BW25,0)+IF($P130&lt;&gt;0,'Técnicas de Ki'!BX25,0)+IF($Q130&lt;&gt;0,'Técnicas de Ki'!BY25,0)+IF($R130&lt;&gt;0,'Técnicas de Ki'!BZ25,0)+IF($S130&lt;&gt;0,'Técnicas de Ki'!CA25,0)+IF($T130&lt;&gt;0,'Técnicas de Ki'!CB25,0)),0))</f>
        <v>0</v>
      </c>
      <c r="CK130" s="538">
        <f>IF('Técnicas de Ki'!BM25=0,0,IF('Técnicas de Ki'!BT25=TS!CK$119,'Técnicas de Ki'!BN25-(IF($O130&lt;&gt;0,'Técnicas de Ki'!BW25,0)+IF($P130&lt;&gt;0,'Técnicas de Ki'!BX25,0)+IF($Q130&lt;&gt;0,'Técnicas de Ki'!BY25,0)+IF($R130&lt;&gt;0,'Técnicas de Ki'!BZ25,0)+IF($S130&lt;&gt;0,'Técnicas de Ki'!CA25,0)+IF($T130&lt;&gt;0,'Técnicas de Ki'!CB25,0)),0))</f>
        <v>0</v>
      </c>
      <c r="CL130" s="539">
        <f>IF('Técnicas de Ki'!BM25=0,0,IF('Técnicas de Ki'!BT25=TS!CL$119,'Técnicas de Ki'!BN25-(IF($O130&lt;&gt;0,'Técnicas de Ki'!BW25,0)+IF($P130&lt;&gt;0,'Técnicas de Ki'!BX25,0)+IF($Q130&lt;&gt;0,'Técnicas de Ki'!BY25,0)+IF($R130&lt;&gt;0,'Técnicas de Ki'!BZ25,0)+IF($S130&lt;&gt;0,'Técnicas de Ki'!CA25,0)+IF($T130&lt;&gt;0,'Técnicas de Ki'!CB25,0)),0))</f>
        <v>0</v>
      </c>
      <c r="CM130" s="538">
        <f>IF('Técnicas de Ki'!BM25=0,0,IFERROR(IF('Técnicas de Ki'!BW25&lt;&gt;0,'Técnicas de Ki'!BW25+TS!$O130,0)*$O130/$O130,0))</f>
        <v>0</v>
      </c>
      <c r="CN130" s="538">
        <f>IF('Técnicas de Ki'!BM25=0,0,IFERROR(IF('Técnicas de Ki'!BX25&lt;&gt;0,'Técnicas de Ki'!BX25+TS!$P130,0)*$P130/$P130,0))</f>
        <v>0</v>
      </c>
      <c r="CO130" s="538">
        <f>IF('Técnicas de Ki'!BM25=0,0,IFERROR(IF('Técnicas de Ki'!BY25&lt;&gt;0,'Técnicas de Ki'!BY25+TS!$Q130,0)*$Q130/$Q130,0))</f>
        <v>0</v>
      </c>
      <c r="CP130" s="538">
        <f>IF('Técnicas de Ki'!BM25=0,0,IFERROR(IF('Técnicas de Ki'!BZ25&lt;&gt;0,'Técnicas de Ki'!BZ25+TS!$R130,0)*$R130/$R130,0))</f>
        <v>0</v>
      </c>
      <c r="CQ130" s="538">
        <f>IF('Técnicas de Ki'!BM25=0,0,IFERROR(IF('Técnicas de Ki'!CA25&lt;&gt;0,'Técnicas de Ki'!CA25+TS!$S130,0)*$S130/$S130,0))</f>
        <v>0</v>
      </c>
      <c r="CR130" s="539">
        <f>IF('Técnicas de Ki'!BM25=0,0,IFERROR(IF('Técnicas de Ki'!CB25&lt;&gt;0,'Técnicas de Ki'!CB25+TS!$T130,0)*$T130/$T130,0))</f>
        <v>0</v>
      </c>
      <c r="CT130" s="571" t="str">
        <f>IF('Técnicas de Ki'!BM26&lt;&gt;0,'Técnicas de Ki'!BL26&amp;" "&amp;'Técnicas de Ki'!BM26,"")</f>
        <v/>
      </c>
      <c r="CU130" s="302" t="b">
        <f t="shared" si="14"/>
        <v>0</v>
      </c>
      <c r="CV130" s="302" t="str">
        <f t="shared" si="7"/>
        <v/>
      </c>
    </row>
    <row r="131" spans="1:102" x14ac:dyDescent="0.2">
      <c r="A131" s="302" t="s">
        <v>6847</v>
      </c>
      <c r="B131" s="301" t="s">
        <v>6799</v>
      </c>
      <c r="C131" s="301" t="str">
        <f t="shared" si="3"/>
        <v>Aumento de daño+10</v>
      </c>
      <c r="D131" s="302">
        <v>1</v>
      </c>
      <c r="E131" s="302">
        <v>2</v>
      </c>
      <c r="F131" s="302">
        <v>5</v>
      </c>
      <c r="G131" s="302">
        <v>1</v>
      </c>
      <c r="H131" s="302">
        <v>2</v>
      </c>
      <c r="I131" s="302">
        <v>4</v>
      </c>
      <c r="J131" s="302">
        <v>1</v>
      </c>
      <c r="N131" s="302" t="s">
        <v>6838</v>
      </c>
      <c r="O131" s="302">
        <v>2</v>
      </c>
      <c r="P131" s="302">
        <v>2</v>
      </c>
      <c r="S131" s="302">
        <v>3</v>
      </c>
      <c r="T131" s="302">
        <v>2</v>
      </c>
      <c r="V131" s="537">
        <f>IF('Técnicas de Ki'!B26=0,0,IF('Técnicas de Ki'!I26=TS!V$119,'Técnicas de Ki'!C26-(IF($O131&lt;&gt;0,'Técnicas de Ki'!L26,0)+IF($P131&lt;&gt;0,'Técnicas de Ki'!M26,0)+IF($Q131&lt;&gt;0,'Técnicas de Ki'!N26,0)+IF($R131&lt;&gt;0,'Técnicas de Ki'!O26,0)+IF($S131&lt;&gt;0,'Técnicas de Ki'!P26,0)+IF($T131&lt;&gt;0,'Técnicas de Ki'!Q26,0)),0))</f>
        <v>0</v>
      </c>
      <c r="W131" s="538">
        <f>IF('Técnicas de Ki'!B26=0,0,IF('Técnicas de Ki'!I26=TS!W$119,'Técnicas de Ki'!C26-(IF($O131&lt;&gt;0,'Técnicas de Ki'!L26,0)+IF($P131&lt;&gt;0,'Técnicas de Ki'!M26,0)+IF($Q131&lt;&gt;0,'Técnicas de Ki'!N26,0)+IF($R131&lt;&gt;0,'Técnicas de Ki'!O26,0)+IF($S131&lt;&gt;0,'Técnicas de Ki'!P26,0)+IF($T131&lt;&gt;0,'Técnicas de Ki'!Q26,0)),0))</f>
        <v>0</v>
      </c>
      <c r="X131" s="538">
        <f>IF('Técnicas de Ki'!B26=0,0,IF('Técnicas de Ki'!I26=TS!X$119,'Técnicas de Ki'!C26-(IF($O131&lt;&gt;0,'Técnicas de Ki'!L26,0)+IF($P131&lt;&gt;0,'Técnicas de Ki'!M26,0)+IF($Q131&lt;&gt;0,'Técnicas de Ki'!N26,0)+IF($R131&lt;&gt;0,'Técnicas de Ki'!O26,0)+IF($S131&lt;&gt;0,'Técnicas de Ki'!P26,0)+IF($T131&lt;&gt;0,'Técnicas de Ki'!Q26,0)),0))</f>
        <v>0</v>
      </c>
      <c r="Y131" s="538">
        <f>IF('Técnicas de Ki'!B26=0,0,IF('Técnicas de Ki'!I26=TS!Y$119,'Técnicas de Ki'!C26-(IF($O131&lt;&gt;0,'Técnicas de Ki'!L26,0)+IF($P131&lt;&gt;0,'Técnicas de Ki'!M26,0)+IF($Q131&lt;&gt;0,'Técnicas de Ki'!N26,0)+IF($R131&lt;&gt;0,'Técnicas de Ki'!O26,0)+IF($S131&lt;&gt;0,'Técnicas de Ki'!P26,0)+IF($T131&lt;&gt;0,'Técnicas de Ki'!Q26,0)),0))</f>
        <v>0</v>
      </c>
      <c r="Z131" s="538">
        <f>IF('Técnicas de Ki'!B26=0,0,IF('Técnicas de Ki'!I26=TS!Z$119,'Técnicas de Ki'!C26-(IF($O131&lt;&gt;0,'Técnicas de Ki'!L26,0)+IF($P131&lt;&gt;0,'Técnicas de Ki'!M26,0)+IF($Q131&lt;&gt;0,'Técnicas de Ki'!N26,0)+IF($R131&lt;&gt;0,'Técnicas de Ki'!O26,0)+IF($S131&lt;&gt;0,'Técnicas de Ki'!P26,0)+IF($T131&lt;&gt;0,'Técnicas de Ki'!Q26,0)),0))</f>
        <v>0</v>
      </c>
      <c r="AA131" s="539">
        <f>IF('Técnicas de Ki'!B26=0,0,IF('Técnicas de Ki'!I26=TS!AA$119,'Técnicas de Ki'!C26-(IF($O131&lt;&gt;0,'Técnicas de Ki'!L26,0)+IF($P131&lt;&gt;0,'Técnicas de Ki'!M26,0)+IF($Q131&lt;&gt;0,'Técnicas de Ki'!N26,0)+IF($R131&lt;&gt;0,'Técnicas de Ki'!O26,0)+IF($S131&lt;&gt;0,'Técnicas de Ki'!P26,0)+IF($T131&lt;&gt;0,'Técnicas de Ki'!Q26,0)),0))</f>
        <v>0</v>
      </c>
      <c r="AB131" s="538">
        <f>IF('Técnicas de Ki'!B26=0,0,IFERROR(IF('Técnicas de Ki'!L26&lt;&gt;0,'Técnicas de Ki'!L26+TS!$O131,0)*$O131/$O131,0))</f>
        <v>0</v>
      </c>
      <c r="AC131" s="538">
        <f>IF('Técnicas de Ki'!B26=0,0,IFERROR(IF('Técnicas de Ki'!M26&lt;&gt;0,'Técnicas de Ki'!M26+TS!$P131,0)*$P131/$P131,0))</f>
        <v>0</v>
      </c>
      <c r="AD131" s="538">
        <f>IF('Técnicas de Ki'!B26=0,0,IFERROR(IF('Técnicas de Ki'!N26&lt;&gt;0,'Técnicas de Ki'!N26+TS!$Q131,0)*$Q131/$Q131,0))</f>
        <v>0</v>
      </c>
      <c r="AE131" s="538">
        <f>IF('Técnicas de Ki'!B26=0,0,IFERROR(IF('Técnicas de Ki'!O26&lt;&gt;0,'Técnicas de Ki'!O26+TS!$R131,0)*$R131/$R131,0))</f>
        <v>0</v>
      </c>
      <c r="AF131" s="538">
        <f>IF('Técnicas de Ki'!B26=0,0,IFERROR(IF('Técnicas de Ki'!P26&lt;&gt;0,'Técnicas de Ki'!P26+TS!$S131,0)*$S131/$S131,0))</f>
        <v>0</v>
      </c>
      <c r="AG131" s="539">
        <f>IF('Técnicas de Ki'!B26=0,0,IFERROR(IF('Técnicas de Ki'!Q26&lt;&gt;0,'Técnicas de Ki'!Q26+TS!$T131,0)*$T131/$T131,0))</f>
        <v>0</v>
      </c>
      <c r="AI131" s="571" t="str">
        <f>IF('Técnicas de Ki'!B27&lt;&gt;0,'Técnicas de Ki'!A27&amp;" "&amp;'Técnicas de Ki'!B27,"")</f>
        <v/>
      </c>
      <c r="AJ131" s="302" t="b">
        <f t="shared" si="8"/>
        <v>0</v>
      </c>
      <c r="AK131" s="302" t="str">
        <f t="shared" si="4"/>
        <v/>
      </c>
      <c r="AQ131" s="537">
        <f>IF('Técnicas de Ki'!W26=0,0,IF('Técnicas de Ki'!AD26=TS!AQ$119,'Técnicas de Ki'!X26-(IF($O131&lt;&gt;0,'Técnicas de Ki'!AG26,0)+IF($P131&lt;&gt;0,'Técnicas de Ki'!AH26,0)+IF($Q131&lt;&gt;0,'Técnicas de Ki'!AI26,0)+IF($R131&lt;&gt;0,'Técnicas de Ki'!AJ26,0)+IF($S131&lt;&gt;0,'Técnicas de Ki'!AK26,0)+IF($T131&lt;&gt;0,'Técnicas de Ki'!AL26,0)),0))</f>
        <v>0</v>
      </c>
      <c r="AR131" s="538">
        <f>IF('Técnicas de Ki'!W26=0,0,IF('Técnicas de Ki'!AD26=TS!AR$119,'Técnicas de Ki'!X26-(IF($O131&lt;&gt;0,'Técnicas de Ki'!AG26,0)+IF($P131&lt;&gt;0,'Técnicas de Ki'!AH26,0)+IF($Q131&lt;&gt;0,'Técnicas de Ki'!AI26,0)+IF($R131&lt;&gt;0,'Técnicas de Ki'!AJ26,0)+IF($S131&lt;&gt;0,'Técnicas de Ki'!AK26,0)+IF($T131&lt;&gt;0,'Técnicas de Ki'!AL26,0)),0))</f>
        <v>0</v>
      </c>
      <c r="AS131" s="538">
        <f>IF('Técnicas de Ki'!W26=0,0,IF('Técnicas de Ki'!AD26=TS!AS$119,'Técnicas de Ki'!X26-(IF($O131&lt;&gt;0,'Técnicas de Ki'!AG26,0)+IF($P131&lt;&gt;0,'Técnicas de Ki'!AH26,0)+IF($Q131&lt;&gt;0,'Técnicas de Ki'!AI26,0)+IF($R131&lt;&gt;0,'Técnicas de Ki'!AJ26,0)+IF($S131&lt;&gt;0,'Técnicas de Ki'!AK26,0)+IF($T131&lt;&gt;0,'Técnicas de Ki'!AL26,0)),0))</f>
        <v>0</v>
      </c>
      <c r="AT131" s="538">
        <f>IF('Técnicas de Ki'!W26=0,0,IF('Técnicas de Ki'!AD26=TS!AT$119,'Técnicas de Ki'!X26-(IF($O131&lt;&gt;0,'Técnicas de Ki'!AG26,0)+IF($P131&lt;&gt;0,'Técnicas de Ki'!AH26,0)+IF($Q131&lt;&gt;0,'Técnicas de Ki'!AI26,0)+IF($R131&lt;&gt;0,'Técnicas de Ki'!AJ26,0)+IF($S131&lt;&gt;0,'Técnicas de Ki'!AK26,0)+IF($T131&lt;&gt;0,'Técnicas de Ki'!AL26,0)),0))</f>
        <v>0</v>
      </c>
      <c r="AU131" s="538">
        <f>IF('Técnicas de Ki'!W26=0,0,IF('Técnicas de Ki'!AD26=TS!AU$119,'Técnicas de Ki'!X26-(IF($O131&lt;&gt;0,'Técnicas de Ki'!AG26,0)+IF($P131&lt;&gt;0,'Técnicas de Ki'!AH26,0)+IF($Q131&lt;&gt;0,'Técnicas de Ki'!AI26,0)+IF($R131&lt;&gt;0,'Técnicas de Ki'!AJ26,0)+IF($S131&lt;&gt;0,'Técnicas de Ki'!AK26,0)+IF($T131&lt;&gt;0,'Técnicas de Ki'!AL26,0)),0))</f>
        <v>0</v>
      </c>
      <c r="AV131" s="539">
        <f>IF('Técnicas de Ki'!W26=0,0,IF('Técnicas de Ki'!AD26=TS!AV$119,'Técnicas de Ki'!X26-(IF($O131&lt;&gt;0,'Técnicas de Ki'!AG26,0)+IF($P131&lt;&gt;0,'Técnicas de Ki'!AH26,0)+IF($Q131&lt;&gt;0,'Técnicas de Ki'!AI26,0)+IF($R131&lt;&gt;0,'Técnicas de Ki'!AJ26,0)+IF($S131&lt;&gt;0,'Técnicas de Ki'!AK26,0)+IF($T131&lt;&gt;0,'Técnicas de Ki'!AL26,0)),0))</f>
        <v>0</v>
      </c>
      <c r="AW131" s="538">
        <f>IF('Técnicas de Ki'!W26=0,0,IFERROR(IF('Técnicas de Ki'!AG26&lt;&gt;0,'Técnicas de Ki'!AG26+TS!$O131,0)*$O131/$O131,0))</f>
        <v>0</v>
      </c>
      <c r="AX131" s="538">
        <f>IF('Técnicas de Ki'!W26=0,0,IFERROR(IF('Técnicas de Ki'!AH26&lt;&gt;0,'Técnicas de Ki'!AH26+TS!$P131,0)*$P131/$P131,0))</f>
        <v>0</v>
      </c>
      <c r="AY131" s="538">
        <f>IF('Técnicas de Ki'!W26=0,0,IFERROR(IF('Técnicas de Ki'!AI26&lt;&gt;0,'Técnicas de Ki'!AI26+TS!$Q131,0)*$Q131/$Q131,0))</f>
        <v>0</v>
      </c>
      <c r="AZ131" s="538">
        <f>IF('Técnicas de Ki'!W26=0,0,IFERROR(IF('Técnicas de Ki'!AJ26&lt;&gt;0,'Técnicas de Ki'!AJ26+TS!$R131,0)*$R131/$R131,0))</f>
        <v>0</v>
      </c>
      <c r="BA131" s="538">
        <f>IF('Técnicas de Ki'!W26=0,0,IFERROR(IF('Técnicas de Ki'!AK26&lt;&gt;0,'Técnicas de Ki'!AK26+TS!$S131,0)*$S131/$S131,0))</f>
        <v>0</v>
      </c>
      <c r="BB131" s="539">
        <f>IF('Técnicas de Ki'!W26=0,0,IFERROR(IF('Técnicas de Ki'!AL26&lt;&gt;0,'Técnicas de Ki'!AL26+TS!$T131,0)*$T131/$T131,0))</f>
        <v>0</v>
      </c>
      <c r="BD131" s="571" t="str">
        <f>IF('Técnicas de Ki'!W27&lt;&gt;0,'Técnicas de Ki'!V27&amp;" "&amp;'Técnicas de Ki'!W27,"")</f>
        <v/>
      </c>
      <c r="BE131" s="302" t="b">
        <f t="shared" si="12"/>
        <v>0</v>
      </c>
      <c r="BF131" s="302" t="str">
        <f t="shared" si="5"/>
        <v/>
      </c>
      <c r="BL131" s="537">
        <f>IF('Técnicas de Ki'!AR26=0,0,IF('Técnicas de Ki'!AY26=TS!BL$119,'Técnicas de Ki'!AS26-(IF($O131&lt;&gt;0,'Técnicas de Ki'!BB26,0)+IF($P131&lt;&gt;0,'Técnicas de Ki'!BC26,0)+IF($Q131&lt;&gt;0,'Técnicas de Ki'!BD26,0)+IF($R131&lt;&gt;0,'Técnicas de Ki'!BE26,0)+IF($S131&lt;&gt;0,'Técnicas de Ki'!BF26,0)+IF($T131&lt;&gt;0,'Técnicas de Ki'!BG26,0)),0))</f>
        <v>0</v>
      </c>
      <c r="BM131" s="538">
        <f>IF('Técnicas de Ki'!AR26=0,0,IF('Técnicas de Ki'!AY26=TS!BM$119,'Técnicas de Ki'!AS26-(IF($O131&lt;&gt;0,'Técnicas de Ki'!BB26,0)+IF($P131&lt;&gt;0,'Técnicas de Ki'!BC26,0)+IF($Q131&lt;&gt;0,'Técnicas de Ki'!BD26,0)+IF($R131&lt;&gt;0,'Técnicas de Ki'!BE26,0)+IF($S131&lt;&gt;0,'Técnicas de Ki'!BF26,0)+IF($T131&lt;&gt;0,'Técnicas de Ki'!BG26,0)),0))</f>
        <v>0</v>
      </c>
      <c r="BN131" s="538">
        <f>IF('Técnicas de Ki'!AR26=0,0,IF('Técnicas de Ki'!AY26=TS!BN$119,'Técnicas de Ki'!AS26-(IF($O131&lt;&gt;0,'Técnicas de Ki'!BB26,0)+IF($P131&lt;&gt;0,'Técnicas de Ki'!BC26,0)+IF($Q131&lt;&gt;0,'Técnicas de Ki'!BD26,0)+IF($R131&lt;&gt;0,'Técnicas de Ki'!BE26,0)+IF($S131&lt;&gt;0,'Técnicas de Ki'!BF26,0)+IF($T131&lt;&gt;0,'Técnicas de Ki'!BG26,0)),0))</f>
        <v>0</v>
      </c>
      <c r="BO131" s="538">
        <f>IF('Técnicas de Ki'!AR26=0,0,IF('Técnicas de Ki'!AY26=TS!BO$119,'Técnicas de Ki'!AS26-(IF($O131&lt;&gt;0,'Técnicas de Ki'!BB26,0)+IF($P131&lt;&gt;0,'Técnicas de Ki'!BC26,0)+IF($Q131&lt;&gt;0,'Técnicas de Ki'!BD26,0)+IF($R131&lt;&gt;0,'Técnicas de Ki'!BE26,0)+IF($S131&lt;&gt;0,'Técnicas de Ki'!BF26,0)+IF($T131&lt;&gt;0,'Técnicas de Ki'!BG26,0)),0))</f>
        <v>0</v>
      </c>
      <c r="BP131" s="538">
        <f>IF('Técnicas de Ki'!AR26=0,0,IF('Técnicas de Ki'!AY26=TS!BP$119,'Técnicas de Ki'!AS26-(IF($O131&lt;&gt;0,'Técnicas de Ki'!BB26,0)+IF($P131&lt;&gt;0,'Técnicas de Ki'!BC26,0)+IF($Q131&lt;&gt;0,'Técnicas de Ki'!BD26,0)+IF($R131&lt;&gt;0,'Técnicas de Ki'!BE26,0)+IF($S131&lt;&gt;0,'Técnicas de Ki'!BF26,0)+IF($T131&lt;&gt;0,'Técnicas de Ki'!BG26,0)),0))</f>
        <v>0</v>
      </c>
      <c r="BQ131" s="539">
        <f>IF('Técnicas de Ki'!AR26=0,0,IF('Técnicas de Ki'!AY26=TS!BQ$119,'Técnicas de Ki'!AS26-(IF($O131&lt;&gt;0,'Técnicas de Ki'!BB26,0)+IF($P131&lt;&gt;0,'Técnicas de Ki'!BC26,0)+IF($Q131&lt;&gt;0,'Técnicas de Ki'!BD26,0)+IF($R131&lt;&gt;0,'Técnicas de Ki'!BE26,0)+IF($S131&lt;&gt;0,'Técnicas de Ki'!BF26,0)+IF($T131&lt;&gt;0,'Técnicas de Ki'!BG26,0)),0))</f>
        <v>0</v>
      </c>
      <c r="BR131" s="538">
        <f>IF('Técnicas de Ki'!AR26=0,0,IFERROR(IF('Técnicas de Ki'!BB26&lt;&gt;0,'Técnicas de Ki'!BB26+TS!$O131,0)*$O131/$O131,0))</f>
        <v>0</v>
      </c>
      <c r="BS131" s="538">
        <f>IF('Técnicas de Ki'!AR26=0,0,IFERROR(IF('Técnicas de Ki'!BC26&lt;&gt;0,'Técnicas de Ki'!BC26+TS!$P131,0)*$P131/$P131,0))</f>
        <v>0</v>
      </c>
      <c r="BT131" s="538">
        <f>IF('Técnicas de Ki'!AR26=0,0,IFERROR(IF('Técnicas de Ki'!BD26&lt;&gt;0,'Técnicas de Ki'!BD26+TS!$Q131,0)*$Q131/$Q131,0))</f>
        <v>0</v>
      </c>
      <c r="BU131" s="538">
        <f>IF('Técnicas de Ki'!AR26=0,0,IFERROR(IF('Técnicas de Ki'!BE26&lt;&gt;0,'Técnicas de Ki'!BE26+TS!$R131,0)*$R131/$R131,0))</f>
        <v>0</v>
      </c>
      <c r="BV131" s="538">
        <f>IF('Técnicas de Ki'!AR26=0,0,IFERROR(IF('Técnicas de Ki'!BF26&lt;&gt;0,'Técnicas de Ki'!BF26+TS!$S131,0)*$S131/$S131,0))</f>
        <v>0</v>
      </c>
      <c r="BW131" s="539">
        <f>IF('Técnicas de Ki'!AR26=0,0,IFERROR(IF('Técnicas de Ki'!BG26&lt;&gt;0,'Técnicas de Ki'!BG26+TS!$T131,0)*$T131/$T131,0))</f>
        <v>0</v>
      </c>
      <c r="BY131" s="571" t="str">
        <f>IF('Técnicas de Ki'!AR27&lt;&gt;0,'Técnicas de Ki'!AQ27&amp;" "&amp;'Técnicas de Ki'!AR27,"")</f>
        <v/>
      </c>
      <c r="BZ131" s="302" t="b">
        <f t="shared" si="13"/>
        <v>0</v>
      </c>
      <c r="CA131" s="302" t="str">
        <f t="shared" si="6"/>
        <v/>
      </c>
      <c r="CG131" s="537">
        <f>IF('Técnicas de Ki'!BM26=0,0,IF('Técnicas de Ki'!BT26=TS!CG$119,'Técnicas de Ki'!BN26-(IF($O131&lt;&gt;0,'Técnicas de Ki'!BW26,0)+IF($P131&lt;&gt;0,'Técnicas de Ki'!BX26,0)+IF($Q131&lt;&gt;0,'Técnicas de Ki'!BY26,0)+IF($R131&lt;&gt;0,'Técnicas de Ki'!BZ26,0)+IF($S131&lt;&gt;0,'Técnicas de Ki'!CA26,0)+IF($T131&lt;&gt;0,'Técnicas de Ki'!CB26,0)),0))</f>
        <v>0</v>
      </c>
      <c r="CH131" s="538">
        <f>IF('Técnicas de Ki'!BM26=0,0,IF('Técnicas de Ki'!BT26=TS!CH$119,'Técnicas de Ki'!BN26-(IF($O131&lt;&gt;0,'Técnicas de Ki'!BW26,0)+IF($P131&lt;&gt;0,'Técnicas de Ki'!BX26,0)+IF($Q131&lt;&gt;0,'Técnicas de Ki'!BY26,0)+IF($R131&lt;&gt;0,'Técnicas de Ki'!BZ26,0)+IF($S131&lt;&gt;0,'Técnicas de Ki'!CA26,0)+IF($T131&lt;&gt;0,'Técnicas de Ki'!CB26,0)),0))</f>
        <v>0</v>
      </c>
      <c r="CI131" s="538">
        <f>IF('Técnicas de Ki'!BM26=0,0,IF('Técnicas de Ki'!BT26=TS!CI$119,'Técnicas de Ki'!BN26-(IF($O131&lt;&gt;0,'Técnicas de Ki'!BW26,0)+IF($P131&lt;&gt;0,'Técnicas de Ki'!BX26,0)+IF($Q131&lt;&gt;0,'Técnicas de Ki'!BY26,0)+IF($R131&lt;&gt;0,'Técnicas de Ki'!BZ26,0)+IF($S131&lt;&gt;0,'Técnicas de Ki'!CA26,0)+IF($T131&lt;&gt;0,'Técnicas de Ki'!CB26,0)),0))</f>
        <v>0</v>
      </c>
      <c r="CJ131" s="538">
        <f>IF('Técnicas de Ki'!BM26=0,0,IF('Técnicas de Ki'!BT26=TS!CJ$119,'Técnicas de Ki'!BN26-(IF($O131&lt;&gt;0,'Técnicas de Ki'!BW26,0)+IF($P131&lt;&gt;0,'Técnicas de Ki'!BX26,0)+IF($Q131&lt;&gt;0,'Técnicas de Ki'!BY26,0)+IF($R131&lt;&gt;0,'Técnicas de Ki'!BZ26,0)+IF($S131&lt;&gt;0,'Técnicas de Ki'!CA26,0)+IF($T131&lt;&gt;0,'Técnicas de Ki'!CB26,0)),0))</f>
        <v>0</v>
      </c>
      <c r="CK131" s="538">
        <f>IF('Técnicas de Ki'!BM26=0,0,IF('Técnicas de Ki'!BT26=TS!CK$119,'Técnicas de Ki'!BN26-(IF($O131&lt;&gt;0,'Técnicas de Ki'!BW26,0)+IF($P131&lt;&gt;0,'Técnicas de Ki'!BX26,0)+IF($Q131&lt;&gt;0,'Técnicas de Ki'!BY26,0)+IF($R131&lt;&gt;0,'Técnicas de Ki'!BZ26,0)+IF($S131&lt;&gt;0,'Técnicas de Ki'!CA26,0)+IF($T131&lt;&gt;0,'Técnicas de Ki'!CB26,0)),0))</f>
        <v>0</v>
      </c>
      <c r="CL131" s="539">
        <f>IF('Técnicas de Ki'!BM26=0,0,IF('Técnicas de Ki'!BT26=TS!CL$119,'Técnicas de Ki'!BN26-(IF($O131&lt;&gt;0,'Técnicas de Ki'!BW26,0)+IF($P131&lt;&gt;0,'Técnicas de Ki'!BX26,0)+IF($Q131&lt;&gt;0,'Técnicas de Ki'!BY26,0)+IF($R131&lt;&gt;0,'Técnicas de Ki'!BZ26,0)+IF($S131&lt;&gt;0,'Técnicas de Ki'!CA26,0)+IF($T131&lt;&gt;0,'Técnicas de Ki'!CB26,0)),0))</f>
        <v>0</v>
      </c>
      <c r="CM131" s="538">
        <f>IF('Técnicas de Ki'!BM26=0,0,IFERROR(IF('Técnicas de Ki'!BW26&lt;&gt;0,'Técnicas de Ki'!BW26+TS!$O131,0)*$O131/$O131,0))</f>
        <v>0</v>
      </c>
      <c r="CN131" s="538">
        <f>IF('Técnicas de Ki'!BM26=0,0,IFERROR(IF('Técnicas de Ki'!BX26&lt;&gt;0,'Técnicas de Ki'!BX26+TS!$P131,0)*$P131/$P131,0))</f>
        <v>0</v>
      </c>
      <c r="CO131" s="538">
        <f>IF('Técnicas de Ki'!BM26=0,0,IFERROR(IF('Técnicas de Ki'!BY26&lt;&gt;0,'Técnicas de Ki'!BY26+TS!$Q131,0)*$Q131/$Q131,0))</f>
        <v>0</v>
      </c>
      <c r="CP131" s="538">
        <f>IF('Técnicas de Ki'!BM26=0,0,IFERROR(IF('Técnicas de Ki'!BZ26&lt;&gt;0,'Técnicas de Ki'!BZ26+TS!$R131,0)*$R131/$R131,0))</f>
        <v>0</v>
      </c>
      <c r="CQ131" s="538">
        <f>IF('Técnicas de Ki'!BM26=0,0,IFERROR(IF('Técnicas de Ki'!CA26&lt;&gt;0,'Técnicas de Ki'!CA26+TS!$S131,0)*$S131/$S131,0))</f>
        <v>0</v>
      </c>
      <c r="CR131" s="539">
        <f>IF('Técnicas de Ki'!BM26=0,0,IFERROR(IF('Técnicas de Ki'!CB26&lt;&gt;0,'Técnicas de Ki'!CB26+TS!$T131,0)*$T131/$T131,0))</f>
        <v>0</v>
      </c>
      <c r="CT131" s="571" t="str">
        <f>IF('Técnicas de Ki'!BM27&lt;&gt;0,'Técnicas de Ki'!BL27&amp;" "&amp;'Técnicas de Ki'!BM27,"")</f>
        <v/>
      </c>
      <c r="CU131" s="302" t="b">
        <f t="shared" si="14"/>
        <v>0</v>
      </c>
      <c r="CV131" s="302" t="str">
        <f t="shared" si="7"/>
        <v/>
      </c>
    </row>
    <row r="132" spans="1:102" x14ac:dyDescent="0.2">
      <c r="A132" s="302" t="s">
        <v>6847</v>
      </c>
      <c r="B132" s="301" t="s">
        <v>6804</v>
      </c>
      <c r="C132" s="301" t="str">
        <f t="shared" si="3"/>
        <v>Aumento de daño+25</v>
      </c>
      <c r="D132" s="302">
        <v>2</v>
      </c>
      <c r="E132" s="302">
        <v>4</v>
      </c>
      <c r="F132" s="302">
        <v>5</v>
      </c>
      <c r="G132" s="302">
        <v>1</v>
      </c>
      <c r="H132" s="302">
        <v>2</v>
      </c>
      <c r="I132" s="302">
        <v>4</v>
      </c>
      <c r="J132" s="302">
        <v>1</v>
      </c>
      <c r="N132" s="302" t="s">
        <v>6839</v>
      </c>
      <c r="Q132" s="302">
        <v>2</v>
      </c>
      <c r="R132" s="302">
        <v>2</v>
      </c>
      <c r="S132" s="302">
        <v>3</v>
      </c>
      <c r="T132" s="302">
        <v>2</v>
      </c>
      <c r="V132" s="537">
        <f>IF('Técnicas de Ki'!B27=0,0,IF('Técnicas de Ki'!I27=TS!V$119,'Técnicas de Ki'!C27-(IF($O132&lt;&gt;0,'Técnicas de Ki'!L27,0)+IF($P132&lt;&gt;0,'Técnicas de Ki'!M27,0)+IF($Q132&lt;&gt;0,'Técnicas de Ki'!N27,0)+IF($R132&lt;&gt;0,'Técnicas de Ki'!O27,0)+IF($S132&lt;&gt;0,'Técnicas de Ki'!P27,0)+IF($T132&lt;&gt;0,'Técnicas de Ki'!Q27,0)),0))</f>
        <v>0</v>
      </c>
      <c r="W132" s="538">
        <f>IF('Técnicas de Ki'!B27=0,0,IF('Técnicas de Ki'!I27=TS!W$119,'Técnicas de Ki'!C27-(IF($O132&lt;&gt;0,'Técnicas de Ki'!L27,0)+IF($P132&lt;&gt;0,'Técnicas de Ki'!M27,0)+IF($Q132&lt;&gt;0,'Técnicas de Ki'!N27,0)+IF($R132&lt;&gt;0,'Técnicas de Ki'!O27,0)+IF($S132&lt;&gt;0,'Técnicas de Ki'!P27,0)+IF($T132&lt;&gt;0,'Técnicas de Ki'!Q27,0)),0))</f>
        <v>0</v>
      </c>
      <c r="X132" s="538">
        <f>IF('Técnicas de Ki'!B27=0,0,IF('Técnicas de Ki'!I27=TS!X$119,'Técnicas de Ki'!C27-(IF($O132&lt;&gt;0,'Técnicas de Ki'!L27,0)+IF($P132&lt;&gt;0,'Técnicas de Ki'!M27,0)+IF($Q132&lt;&gt;0,'Técnicas de Ki'!N27,0)+IF($R132&lt;&gt;0,'Técnicas de Ki'!O27,0)+IF($S132&lt;&gt;0,'Técnicas de Ki'!P27,0)+IF($T132&lt;&gt;0,'Técnicas de Ki'!Q27,0)),0))</f>
        <v>0</v>
      </c>
      <c r="Y132" s="538">
        <f>IF('Técnicas de Ki'!B27=0,0,IF('Técnicas de Ki'!I27=TS!Y$119,'Técnicas de Ki'!C27-(IF($O132&lt;&gt;0,'Técnicas de Ki'!L27,0)+IF($P132&lt;&gt;0,'Técnicas de Ki'!M27,0)+IF($Q132&lt;&gt;0,'Técnicas de Ki'!N27,0)+IF($R132&lt;&gt;0,'Técnicas de Ki'!O27,0)+IF($S132&lt;&gt;0,'Técnicas de Ki'!P27,0)+IF($T132&lt;&gt;0,'Técnicas de Ki'!Q27,0)),0))</f>
        <v>0</v>
      </c>
      <c r="Z132" s="538">
        <f>IF('Técnicas de Ki'!B27=0,0,IF('Técnicas de Ki'!I27=TS!Z$119,'Técnicas de Ki'!C27-(IF($O132&lt;&gt;0,'Técnicas de Ki'!L27,0)+IF($P132&lt;&gt;0,'Técnicas de Ki'!M27,0)+IF($Q132&lt;&gt;0,'Técnicas de Ki'!N27,0)+IF($R132&lt;&gt;0,'Técnicas de Ki'!O27,0)+IF($S132&lt;&gt;0,'Técnicas de Ki'!P27,0)+IF($T132&lt;&gt;0,'Técnicas de Ki'!Q27,0)),0))</f>
        <v>0</v>
      </c>
      <c r="AA132" s="539">
        <f>IF('Técnicas de Ki'!B27=0,0,IF('Técnicas de Ki'!I27=TS!AA$119,'Técnicas de Ki'!C27-(IF($O132&lt;&gt;0,'Técnicas de Ki'!L27,0)+IF($P132&lt;&gt;0,'Técnicas de Ki'!M27,0)+IF($Q132&lt;&gt;0,'Técnicas de Ki'!N27,0)+IF($R132&lt;&gt;0,'Técnicas de Ki'!O27,0)+IF($S132&lt;&gt;0,'Técnicas de Ki'!P27,0)+IF($T132&lt;&gt;0,'Técnicas de Ki'!Q27,0)),0))</f>
        <v>0</v>
      </c>
      <c r="AB132" s="538">
        <f>IF('Técnicas de Ki'!B27=0,0,IFERROR(IF('Técnicas de Ki'!L27&lt;&gt;0,'Técnicas de Ki'!L27+TS!$O132,0)*$O132/$O132,0))</f>
        <v>0</v>
      </c>
      <c r="AC132" s="538">
        <f>IF('Técnicas de Ki'!B27=0,0,IFERROR(IF('Técnicas de Ki'!M27&lt;&gt;0,'Técnicas de Ki'!M27+TS!$P132,0)*$P132/$P132,0))</f>
        <v>0</v>
      </c>
      <c r="AD132" s="538">
        <f>IF('Técnicas de Ki'!B27=0,0,IFERROR(IF('Técnicas de Ki'!N27&lt;&gt;0,'Técnicas de Ki'!N27+TS!$Q132,0)*$Q132/$Q132,0))</f>
        <v>0</v>
      </c>
      <c r="AE132" s="538">
        <f>IF('Técnicas de Ki'!B27=0,0,IFERROR(IF('Técnicas de Ki'!O27&lt;&gt;0,'Técnicas de Ki'!O27+TS!$R132,0)*$R132/$R132,0))</f>
        <v>0</v>
      </c>
      <c r="AF132" s="538">
        <f>IF('Técnicas de Ki'!B27=0,0,IFERROR(IF('Técnicas de Ki'!P27&lt;&gt;0,'Técnicas de Ki'!P27+TS!$S132,0)*$S132/$S132,0))</f>
        <v>0</v>
      </c>
      <c r="AG132" s="539">
        <f>IF('Técnicas de Ki'!B27=0,0,IFERROR(IF('Técnicas de Ki'!Q27&lt;&gt;0,'Técnicas de Ki'!Q27+TS!$T132,0)*$T132/$T132,0))</f>
        <v>0</v>
      </c>
      <c r="AI132" s="571" t="str">
        <f>IF('Técnicas de Ki'!B28&lt;&gt;0,'Técnicas de Ki'!A28&amp;" "&amp;'Técnicas de Ki'!B28,"")</f>
        <v/>
      </c>
      <c r="AJ132" s="302" t="b">
        <f t="shared" si="8"/>
        <v>0</v>
      </c>
      <c r="AK132" s="302" t="str">
        <f t="shared" si="4"/>
        <v/>
      </c>
      <c r="AQ132" s="537">
        <f>IF('Técnicas de Ki'!W27=0,0,IF('Técnicas de Ki'!AD27=TS!AQ$119,'Técnicas de Ki'!X27-(IF($O132&lt;&gt;0,'Técnicas de Ki'!AG27,0)+IF($P132&lt;&gt;0,'Técnicas de Ki'!AH27,0)+IF($Q132&lt;&gt;0,'Técnicas de Ki'!AI27,0)+IF($R132&lt;&gt;0,'Técnicas de Ki'!AJ27,0)+IF($S132&lt;&gt;0,'Técnicas de Ki'!AK27,0)+IF($T132&lt;&gt;0,'Técnicas de Ki'!AL27,0)),0))</f>
        <v>0</v>
      </c>
      <c r="AR132" s="538">
        <f>IF('Técnicas de Ki'!W27=0,0,IF('Técnicas de Ki'!AD27=TS!AR$119,'Técnicas de Ki'!X27-(IF($O132&lt;&gt;0,'Técnicas de Ki'!AG27,0)+IF($P132&lt;&gt;0,'Técnicas de Ki'!AH27,0)+IF($Q132&lt;&gt;0,'Técnicas de Ki'!AI27,0)+IF($R132&lt;&gt;0,'Técnicas de Ki'!AJ27,0)+IF($S132&lt;&gt;0,'Técnicas de Ki'!AK27,0)+IF($T132&lt;&gt;0,'Técnicas de Ki'!AL27,0)),0))</f>
        <v>0</v>
      </c>
      <c r="AS132" s="538">
        <f>IF('Técnicas de Ki'!W27=0,0,IF('Técnicas de Ki'!AD27=TS!AS$119,'Técnicas de Ki'!X27-(IF($O132&lt;&gt;0,'Técnicas de Ki'!AG27,0)+IF($P132&lt;&gt;0,'Técnicas de Ki'!AH27,0)+IF($Q132&lt;&gt;0,'Técnicas de Ki'!AI27,0)+IF($R132&lt;&gt;0,'Técnicas de Ki'!AJ27,0)+IF($S132&lt;&gt;0,'Técnicas de Ki'!AK27,0)+IF($T132&lt;&gt;0,'Técnicas de Ki'!AL27,0)),0))</f>
        <v>0</v>
      </c>
      <c r="AT132" s="538">
        <f>IF('Técnicas de Ki'!W27=0,0,IF('Técnicas de Ki'!AD27=TS!AT$119,'Técnicas de Ki'!X27-(IF($O132&lt;&gt;0,'Técnicas de Ki'!AG27,0)+IF($P132&lt;&gt;0,'Técnicas de Ki'!AH27,0)+IF($Q132&lt;&gt;0,'Técnicas de Ki'!AI27,0)+IF($R132&lt;&gt;0,'Técnicas de Ki'!AJ27,0)+IF($S132&lt;&gt;0,'Técnicas de Ki'!AK27,0)+IF($T132&lt;&gt;0,'Técnicas de Ki'!AL27,0)),0))</f>
        <v>0</v>
      </c>
      <c r="AU132" s="538">
        <f>IF('Técnicas de Ki'!W27=0,0,IF('Técnicas de Ki'!AD27=TS!AU$119,'Técnicas de Ki'!X27-(IF($O132&lt;&gt;0,'Técnicas de Ki'!AG27,0)+IF($P132&lt;&gt;0,'Técnicas de Ki'!AH27,0)+IF($Q132&lt;&gt;0,'Técnicas de Ki'!AI27,0)+IF($R132&lt;&gt;0,'Técnicas de Ki'!AJ27,0)+IF($S132&lt;&gt;0,'Técnicas de Ki'!AK27,0)+IF($T132&lt;&gt;0,'Técnicas de Ki'!AL27,0)),0))</f>
        <v>0</v>
      </c>
      <c r="AV132" s="539">
        <f>IF('Técnicas de Ki'!W27=0,0,IF('Técnicas de Ki'!AD27=TS!AV$119,'Técnicas de Ki'!X27-(IF($O132&lt;&gt;0,'Técnicas de Ki'!AG27,0)+IF($P132&lt;&gt;0,'Técnicas de Ki'!AH27,0)+IF($Q132&lt;&gt;0,'Técnicas de Ki'!AI27,0)+IF($R132&lt;&gt;0,'Técnicas de Ki'!AJ27,0)+IF($S132&lt;&gt;0,'Técnicas de Ki'!AK27,0)+IF($T132&lt;&gt;0,'Técnicas de Ki'!AL27,0)),0))</f>
        <v>0</v>
      </c>
      <c r="AW132" s="538">
        <f>IF('Técnicas de Ki'!W27=0,0,IFERROR(IF('Técnicas de Ki'!AG27&lt;&gt;0,'Técnicas de Ki'!AG27+TS!$O132,0)*$O132/$O132,0))</f>
        <v>0</v>
      </c>
      <c r="AX132" s="538">
        <f>IF('Técnicas de Ki'!W27=0,0,IFERROR(IF('Técnicas de Ki'!AH27&lt;&gt;0,'Técnicas de Ki'!AH27+TS!$P132,0)*$P132/$P132,0))</f>
        <v>0</v>
      </c>
      <c r="AY132" s="538">
        <f>IF('Técnicas de Ki'!W27=0,0,IFERROR(IF('Técnicas de Ki'!AI27&lt;&gt;0,'Técnicas de Ki'!AI27+TS!$Q132,0)*$Q132/$Q132,0))</f>
        <v>0</v>
      </c>
      <c r="AZ132" s="538">
        <f>IF('Técnicas de Ki'!W27=0,0,IFERROR(IF('Técnicas de Ki'!AJ27&lt;&gt;0,'Técnicas de Ki'!AJ27+TS!$R132,0)*$R132/$R132,0))</f>
        <v>0</v>
      </c>
      <c r="BA132" s="538">
        <f>IF('Técnicas de Ki'!W27=0,0,IFERROR(IF('Técnicas de Ki'!AK27&lt;&gt;0,'Técnicas de Ki'!AK27+TS!$S132,0)*$S132/$S132,0))</f>
        <v>0</v>
      </c>
      <c r="BB132" s="539">
        <f>IF('Técnicas de Ki'!W27=0,0,IFERROR(IF('Técnicas de Ki'!AL27&lt;&gt;0,'Técnicas de Ki'!AL27+TS!$T132,0)*$T132/$T132,0))</f>
        <v>0</v>
      </c>
      <c r="BD132" s="571" t="str">
        <f>IF('Técnicas de Ki'!W28&lt;&gt;0,'Técnicas de Ki'!V28&amp;" "&amp;'Técnicas de Ki'!W28,"")</f>
        <v/>
      </c>
      <c r="BE132" s="302" t="b">
        <f t="shared" si="12"/>
        <v>0</v>
      </c>
      <c r="BF132" s="302" t="str">
        <f t="shared" si="5"/>
        <v/>
      </c>
      <c r="BL132" s="537">
        <f>IF('Técnicas de Ki'!AR27=0,0,IF('Técnicas de Ki'!AY27=TS!BL$119,'Técnicas de Ki'!AS27-(IF($O132&lt;&gt;0,'Técnicas de Ki'!BB27,0)+IF($P132&lt;&gt;0,'Técnicas de Ki'!BC27,0)+IF($Q132&lt;&gt;0,'Técnicas de Ki'!BD27,0)+IF($R132&lt;&gt;0,'Técnicas de Ki'!BE27,0)+IF($S132&lt;&gt;0,'Técnicas de Ki'!BF27,0)+IF($T132&lt;&gt;0,'Técnicas de Ki'!BG27,0)),0))</f>
        <v>0</v>
      </c>
      <c r="BM132" s="538">
        <f>IF('Técnicas de Ki'!AR27=0,0,IF('Técnicas de Ki'!AY27=TS!BM$119,'Técnicas de Ki'!AS27-(IF($O132&lt;&gt;0,'Técnicas de Ki'!BB27,0)+IF($P132&lt;&gt;0,'Técnicas de Ki'!BC27,0)+IF($Q132&lt;&gt;0,'Técnicas de Ki'!BD27,0)+IF($R132&lt;&gt;0,'Técnicas de Ki'!BE27,0)+IF($S132&lt;&gt;0,'Técnicas de Ki'!BF27,0)+IF($T132&lt;&gt;0,'Técnicas de Ki'!BG27,0)),0))</f>
        <v>0</v>
      </c>
      <c r="BN132" s="538">
        <f>IF('Técnicas de Ki'!AR27=0,0,IF('Técnicas de Ki'!AY27=TS!BN$119,'Técnicas de Ki'!AS27-(IF($O132&lt;&gt;0,'Técnicas de Ki'!BB27,0)+IF($P132&lt;&gt;0,'Técnicas de Ki'!BC27,0)+IF($Q132&lt;&gt;0,'Técnicas de Ki'!BD27,0)+IF($R132&lt;&gt;0,'Técnicas de Ki'!BE27,0)+IF($S132&lt;&gt;0,'Técnicas de Ki'!BF27,0)+IF($T132&lt;&gt;0,'Técnicas de Ki'!BG27,0)),0))</f>
        <v>0</v>
      </c>
      <c r="BO132" s="538">
        <f>IF('Técnicas de Ki'!AR27=0,0,IF('Técnicas de Ki'!AY27=TS!BO$119,'Técnicas de Ki'!AS27-(IF($O132&lt;&gt;0,'Técnicas de Ki'!BB27,0)+IF($P132&lt;&gt;0,'Técnicas de Ki'!BC27,0)+IF($Q132&lt;&gt;0,'Técnicas de Ki'!BD27,0)+IF($R132&lt;&gt;0,'Técnicas de Ki'!BE27,0)+IF($S132&lt;&gt;0,'Técnicas de Ki'!BF27,0)+IF($T132&lt;&gt;0,'Técnicas de Ki'!BG27,0)),0))</f>
        <v>0</v>
      </c>
      <c r="BP132" s="538">
        <f>IF('Técnicas de Ki'!AR27=0,0,IF('Técnicas de Ki'!AY27=TS!BP$119,'Técnicas de Ki'!AS27-(IF($O132&lt;&gt;0,'Técnicas de Ki'!BB27,0)+IF($P132&lt;&gt;0,'Técnicas de Ki'!BC27,0)+IF($Q132&lt;&gt;0,'Técnicas de Ki'!BD27,0)+IF($R132&lt;&gt;0,'Técnicas de Ki'!BE27,0)+IF($S132&lt;&gt;0,'Técnicas de Ki'!BF27,0)+IF($T132&lt;&gt;0,'Técnicas de Ki'!BG27,0)),0))</f>
        <v>0</v>
      </c>
      <c r="BQ132" s="539">
        <f>IF('Técnicas de Ki'!AR27=0,0,IF('Técnicas de Ki'!AY27=TS!BQ$119,'Técnicas de Ki'!AS27-(IF($O132&lt;&gt;0,'Técnicas de Ki'!BB27,0)+IF($P132&lt;&gt;0,'Técnicas de Ki'!BC27,0)+IF($Q132&lt;&gt;0,'Técnicas de Ki'!BD27,0)+IF($R132&lt;&gt;0,'Técnicas de Ki'!BE27,0)+IF($S132&lt;&gt;0,'Técnicas de Ki'!BF27,0)+IF($T132&lt;&gt;0,'Técnicas de Ki'!BG27,0)),0))</f>
        <v>0</v>
      </c>
      <c r="BR132" s="538">
        <f>IF('Técnicas de Ki'!AR27=0,0,IFERROR(IF('Técnicas de Ki'!BB27&lt;&gt;0,'Técnicas de Ki'!BB27+TS!$O132,0)*$O132/$O132,0))</f>
        <v>0</v>
      </c>
      <c r="BS132" s="538">
        <f>IF('Técnicas de Ki'!AR27=0,0,IFERROR(IF('Técnicas de Ki'!BC27&lt;&gt;0,'Técnicas de Ki'!BC27+TS!$P132,0)*$P132/$P132,0))</f>
        <v>0</v>
      </c>
      <c r="BT132" s="538">
        <f>IF('Técnicas de Ki'!AR27=0,0,IFERROR(IF('Técnicas de Ki'!BD27&lt;&gt;0,'Técnicas de Ki'!BD27+TS!$Q132,0)*$Q132/$Q132,0))</f>
        <v>0</v>
      </c>
      <c r="BU132" s="538">
        <f>IF('Técnicas de Ki'!AR27=0,0,IFERROR(IF('Técnicas de Ki'!BE27&lt;&gt;0,'Técnicas de Ki'!BE27+TS!$R132,0)*$R132/$R132,0))</f>
        <v>0</v>
      </c>
      <c r="BV132" s="538">
        <f>IF('Técnicas de Ki'!AR27=0,0,IFERROR(IF('Técnicas de Ki'!BF27&lt;&gt;0,'Técnicas de Ki'!BF27+TS!$S132,0)*$S132/$S132,0))</f>
        <v>0</v>
      </c>
      <c r="BW132" s="539">
        <f>IF('Técnicas de Ki'!AR27=0,0,IFERROR(IF('Técnicas de Ki'!BG27&lt;&gt;0,'Técnicas de Ki'!BG27+TS!$T132,0)*$T132/$T132,0))</f>
        <v>0</v>
      </c>
      <c r="BY132" s="571" t="str">
        <f>IF('Técnicas de Ki'!AR28&lt;&gt;0,'Técnicas de Ki'!AQ28&amp;" "&amp;'Técnicas de Ki'!AR28,"")</f>
        <v/>
      </c>
      <c r="BZ132" s="302" t="b">
        <f t="shared" si="13"/>
        <v>0</v>
      </c>
      <c r="CA132" s="302" t="str">
        <f t="shared" si="6"/>
        <v/>
      </c>
      <c r="CG132" s="537">
        <f>IF('Técnicas de Ki'!BM27=0,0,IF('Técnicas de Ki'!BT27=TS!CG$119,'Técnicas de Ki'!BN27-(IF($O132&lt;&gt;0,'Técnicas de Ki'!BW27,0)+IF($P132&lt;&gt;0,'Técnicas de Ki'!BX27,0)+IF($Q132&lt;&gt;0,'Técnicas de Ki'!BY27,0)+IF($R132&lt;&gt;0,'Técnicas de Ki'!BZ27,0)+IF($S132&lt;&gt;0,'Técnicas de Ki'!CA27,0)+IF($T132&lt;&gt;0,'Técnicas de Ki'!CB27,0)),0))</f>
        <v>0</v>
      </c>
      <c r="CH132" s="538">
        <f>IF('Técnicas de Ki'!BM27=0,0,IF('Técnicas de Ki'!BT27=TS!CH$119,'Técnicas de Ki'!BN27-(IF($O132&lt;&gt;0,'Técnicas de Ki'!BW27,0)+IF($P132&lt;&gt;0,'Técnicas de Ki'!BX27,0)+IF($Q132&lt;&gt;0,'Técnicas de Ki'!BY27,0)+IF($R132&lt;&gt;0,'Técnicas de Ki'!BZ27,0)+IF($S132&lt;&gt;0,'Técnicas de Ki'!CA27,0)+IF($T132&lt;&gt;0,'Técnicas de Ki'!CB27,0)),0))</f>
        <v>0</v>
      </c>
      <c r="CI132" s="538">
        <f>IF('Técnicas de Ki'!BM27=0,0,IF('Técnicas de Ki'!BT27=TS!CI$119,'Técnicas de Ki'!BN27-(IF($O132&lt;&gt;0,'Técnicas de Ki'!BW27,0)+IF($P132&lt;&gt;0,'Técnicas de Ki'!BX27,0)+IF($Q132&lt;&gt;0,'Técnicas de Ki'!BY27,0)+IF($R132&lt;&gt;0,'Técnicas de Ki'!BZ27,0)+IF($S132&lt;&gt;0,'Técnicas de Ki'!CA27,0)+IF($T132&lt;&gt;0,'Técnicas de Ki'!CB27,0)),0))</f>
        <v>0</v>
      </c>
      <c r="CJ132" s="538">
        <f>IF('Técnicas de Ki'!BM27=0,0,IF('Técnicas de Ki'!BT27=TS!CJ$119,'Técnicas de Ki'!BN27-(IF($O132&lt;&gt;0,'Técnicas de Ki'!BW27,0)+IF($P132&lt;&gt;0,'Técnicas de Ki'!BX27,0)+IF($Q132&lt;&gt;0,'Técnicas de Ki'!BY27,0)+IF($R132&lt;&gt;0,'Técnicas de Ki'!BZ27,0)+IF($S132&lt;&gt;0,'Técnicas de Ki'!CA27,0)+IF($T132&lt;&gt;0,'Técnicas de Ki'!CB27,0)),0))</f>
        <v>0</v>
      </c>
      <c r="CK132" s="538">
        <f>IF('Técnicas de Ki'!BM27=0,0,IF('Técnicas de Ki'!BT27=TS!CK$119,'Técnicas de Ki'!BN27-(IF($O132&lt;&gt;0,'Técnicas de Ki'!BW27,0)+IF($P132&lt;&gt;0,'Técnicas de Ki'!BX27,0)+IF($Q132&lt;&gt;0,'Técnicas de Ki'!BY27,0)+IF($R132&lt;&gt;0,'Técnicas de Ki'!BZ27,0)+IF($S132&lt;&gt;0,'Técnicas de Ki'!CA27,0)+IF($T132&lt;&gt;0,'Técnicas de Ki'!CB27,0)),0))</f>
        <v>0</v>
      </c>
      <c r="CL132" s="539">
        <f>IF('Técnicas de Ki'!BM27=0,0,IF('Técnicas de Ki'!BT27=TS!CL$119,'Técnicas de Ki'!BN27-(IF($O132&lt;&gt;0,'Técnicas de Ki'!BW27,0)+IF($P132&lt;&gt;0,'Técnicas de Ki'!BX27,0)+IF($Q132&lt;&gt;0,'Técnicas de Ki'!BY27,0)+IF($R132&lt;&gt;0,'Técnicas de Ki'!BZ27,0)+IF($S132&lt;&gt;0,'Técnicas de Ki'!CA27,0)+IF($T132&lt;&gt;0,'Técnicas de Ki'!CB27,0)),0))</f>
        <v>0</v>
      </c>
      <c r="CM132" s="538">
        <f>IF('Técnicas de Ki'!BM27=0,0,IFERROR(IF('Técnicas de Ki'!BW27&lt;&gt;0,'Técnicas de Ki'!BW27+TS!$O132,0)*$O132/$O132,0))</f>
        <v>0</v>
      </c>
      <c r="CN132" s="538">
        <f>IF('Técnicas de Ki'!BM27=0,0,IFERROR(IF('Técnicas de Ki'!BX27&lt;&gt;0,'Técnicas de Ki'!BX27+TS!$P132,0)*$P132/$P132,0))</f>
        <v>0</v>
      </c>
      <c r="CO132" s="538">
        <f>IF('Técnicas de Ki'!BM27=0,0,IFERROR(IF('Técnicas de Ki'!BY27&lt;&gt;0,'Técnicas de Ki'!BY27+TS!$Q132,0)*$Q132/$Q132,0))</f>
        <v>0</v>
      </c>
      <c r="CP132" s="538">
        <f>IF('Técnicas de Ki'!BM27=0,0,IFERROR(IF('Técnicas de Ki'!BZ27&lt;&gt;0,'Técnicas de Ki'!BZ27+TS!$R132,0)*$R132/$R132,0))</f>
        <v>0</v>
      </c>
      <c r="CQ132" s="538">
        <f>IF('Técnicas de Ki'!BM27=0,0,IFERROR(IF('Técnicas de Ki'!CA27&lt;&gt;0,'Técnicas de Ki'!CA27+TS!$S132,0)*$S132/$S132,0))</f>
        <v>0</v>
      </c>
      <c r="CR132" s="539">
        <f>IF('Técnicas de Ki'!BM27=0,0,IFERROR(IF('Técnicas de Ki'!CB27&lt;&gt;0,'Técnicas de Ki'!CB27+TS!$T132,0)*$T132/$T132,0))</f>
        <v>0</v>
      </c>
      <c r="CT132" s="571" t="str">
        <f>IF('Técnicas de Ki'!BM28&lt;&gt;0,'Técnicas de Ki'!BL28&amp;" "&amp;'Técnicas de Ki'!BM28,"")</f>
        <v/>
      </c>
      <c r="CU132" s="302" t="b">
        <f t="shared" si="14"/>
        <v>0</v>
      </c>
      <c r="CV132" s="302" t="str">
        <f t="shared" si="7"/>
        <v/>
      </c>
    </row>
    <row r="133" spans="1:102" x14ac:dyDescent="0.2">
      <c r="A133" s="302" t="s">
        <v>6847</v>
      </c>
      <c r="B133" s="301" t="s">
        <v>6805</v>
      </c>
      <c r="C133" s="301" t="str">
        <f t="shared" si="3"/>
        <v>Aumento de daño+40</v>
      </c>
      <c r="D133" s="302">
        <v>3</v>
      </c>
      <c r="E133" s="302">
        <v>5</v>
      </c>
      <c r="F133" s="302">
        <v>10</v>
      </c>
      <c r="G133" s="302">
        <v>1</v>
      </c>
      <c r="H133" s="302">
        <v>2</v>
      </c>
      <c r="I133" s="302">
        <v>4</v>
      </c>
      <c r="J133" s="302">
        <v>1</v>
      </c>
      <c r="N133" s="302" t="s">
        <v>6840</v>
      </c>
      <c r="Q133" s="302">
        <v>2</v>
      </c>
      <c r="R133" s="302">
        <v>2</v>
      </c>
      <c r="S133" s="302">
        <v>3</v>
      </c>
      <c r="T133" s="302">
        <v>2</v>
      </c>
      <c r="V133" s="537">
        <f>IF('Técnicas de Ki'!B28=0,0,IF('Técnicas de Ki'!I28=TS!V$119,'Técnicas de Ki'!C28-(IF($O133&lt;&gt;0,'Técnicas de Ki'!L28,0)+IF($P133&lt;&gt;0,'Técnicas de Ki'!M28,0)+IF($Q133&lt;&gt;0,'Técnicas de Ki'!N28,0)+IF($R133&lt;&gt;0,'Técnicas de Ki'!O28,0)+IF($S133&lt;&gt;0,'Técnicas de Ki'!P28,0)+IF($T133&lt;&gt;0,'Técnicas de Ki'!Q28,0)),0))</f>
        <v>0</v>
      </c>
      <c r="W133" s="538">
        <f>IF('Técnicas de Ki'!B28=0,0,IF('Técnicas de Ki'!I28=TS!W$119,'Técnicas de Ki'!C28-(IF($O133&lt;&gt;0,'Técnicas de Ki'!L28,0)+IF($P133&lt;&gt;0,'Técnicas de Ki'!M28,0)+IF($Q133&lt;&gt;0,'Técnicas de Ki'!N28,0)+IF($R133&lt;&gt;0,'Técnicas de Ki'!O28,0)+IF($S133&lt;&gt;0,'Técnicas de Ki'!P28,0)+IF($T133&lt;&gt;0,'Técnicas de Ki'!Q28,0)),0))</f>
        <v>0</v>
      </c>
      <c r="X133" s="538">
        <f>IF('Técnicas de Ki'!B28=0,0,IF('Técnicas de Ki'!I28=TS!X$119,'Técnicas de Ki'!C28-(IF($O133&lt;&gt;0,'Técnicas de Ki'!L28,0)+IF($P133&lt;&gt;0,'Técnicas de Ki'!M28,0)+IF($Q133&lt;&gt;0,'Técnicas de Ki'!N28,0)+IF($R133&lt;&gt;0,'Técnicas de Ki'!O28,0)+IF($S133&lt;&gt;0,'Técnicas de Ki'!P28,0)+IF($T133&lt;&gt;0,'Técnicas de Ki'!Q28,0)),0))</f>
        <v>0</v>
      </c>
      <c r="Y133" s="538">
        <f>IF('Técnicas de Ki'!B28=0,0,IF('Técnicas de Ki'!I28=TS!Y$119,'Técnicas de Ki'!C28-(IF($O133&lt;&gt;0,'Técnicas de Ki'!L28,0)+IF($P133&lt;&gt;0,'Técnicas de Ki'!M28,0)+IF($Q133&lt;&gt;0,'Técnicas de Ki'!N28,0)+IF($R133&lt;&gt;0,'Técnicas de Ki'!O28,0)+IF($S133&lt;&gt;0,'Técnicas de Ki'!P28,0)+IF($T133&lt;&gt;0,'Técnicas de Ki'!Q28,0)),0))</f>
        <v>0</v>
      </c>
      <c r="Z133" s="538">
        <f>IF('Técnicas de Ki'!B28=0,0,IF('Técnicas de Ki'!I28=TS!Z$119,'Técnicas de Ki'!C28-(IF($O133&lt;&gt;0,'Técnicas de Ki'!L28,0)+IF($P133&lt;&gt;0,'Técnicas de Ki'!M28,0)+IF($Q133&lt;&gt;0,'Técnicas de Ki'!N28,0)+IF($R133&lt;&gt;0,'Técnicas de Ki'!O28,0)+IF($S133&lt;&gt;0,'Técnicas de Ki'!P28,0)+IF($T133&lt;&gt;0,'Técnicas de Ki'!Q28,0)),0))</f>
        <v>0</v>
      </c>
      <c r="AA133" s="539">
        <f>IF('Técnicas de Ki'!B28=0,0,IF('Técnicas de Ki'!I28=TS!AA$119,'Técnicas de Ki'!C28-(IF($O133&lt;&gt;0,'Técnicas de Ki'!L28,0)+IF($P133&lt;&gt;0,'Técnicas de Ki'!M28,0)+IF($Q133&lt;&gt;0,'Técnicas de Ki'!N28,0)+IF($R133&lt;&gt;0,'Técnicas de Ki'!O28,0)+IF($S133&lt;&gt;0,'Técnicas de Ki'!P28,0)+IF($T133&lt;&gt;0,'Técnicas de Ki'!Q28,0)),0))</f>
        <v>0</v>
      </c>
      <c r="AB133" s="538">
        <f>IF('Técnicas de Ki'!B28=0,0,IFERROR(IF('Técnicas de Ki'!L28&lt;&gt;0,'Técnicas de Ki'!L28+TS!$O133,0)*$O133/$O133,0))</f>
        <v>0</v>
      </c>
      <c r="AC133" s="538">
        <f>IF('Técnicas de Ki'!B28=0,0,IFERROR(IF('Técnicas de Ki'!M28&lt;&gt;0,'Técnicas de Ki'!M28+TS!$P133,0)*$P133/$P133,0))</f>
        <v>0</v>
      </c>
      <c r="AD133" s="538">
        <f>IF('Técnicas de Ki'!B28=0,0,IFERROR(IF('Técnicas de Ki'!N28&lt;&gt;0,'Técnicas de Ki'!N28+TS!$Q133,0)*$Q133/$Q133,0))</f>
        <v>0</v>
      </c>
      <c r="AE133" s="538">
        <f>IF('Técnicas de Ki'!B28=0,0,IFERROR(IF('Técnicas de Ki'!O28&lt;&gt;0,'Técnicas de Ki'!O28+TS!$R133,0)*$R133/$R133,0))</f>
        <v>0</v>
      </c>
      <c r="AF133" s="538">
        <f>IF('Técnicas de Ki'!B28=0,0,IFERROR(IF('Técnicas de Ki'!P28&lt;&gt;0,'Técnicas de Ki'!P28+TS!$S133,0)*$S133/$S133,0))</f>
        <v>0</v>
      </c>
      <c r="AG133" s="539">
        <f>IF('Técnicas de Ki'!B28=0,0,IFERROR(IF('Técnicas de Ki'!Q28&lt;&gt;0,'Técnicas de Ki'!Q28+TS!$T133,0)*$T133/$T133,0))</f>
        <v>0</v>
      </c>
      <c r="AI133" s="571" t="str">
        <f>IF('Técnicas de Ki'!B29&lt;&gt;0,'Técnicas de Ki'!A29&amp;" "&amp;'Técnicas de Ki'!B29,"")</f>
        <v/>
      </c>
      <c r="AJ133" s="302" t="b">
        <f t="shared" si="8"/>
        <v>0</v>
      </c>
      <c r="AK133" s="302" t="str">
        <f t="shared" si="4"/>
        <v/>
      </c>
      <c r="AQ133" s="537">
        <f>IF('Técnicas de Ki'!W28=0,0,IF('Técnicas de Ki'!AD28=TS!AQ$119,'Técnicas de Ki'!X28-(IF($O133&lt;&gt;0,'Técnicas de Ki'!AG28,0)+IF($P133&lt;&gt;0,'Técnicas de Ki'!AH28,0)+IF($Q133&lt;&gt;0,'Técnicas de Ki'!AI28,0)+IF($R133&lt;&gt;0,'Técnicas de Ki'!AJ28,0)+IF($S133&lt;&gt;0,'Técnicas de Ki'!AK28,0)+IF($T133&lt;&gt;0,'Técnicas de Ki'!AL28,0)),0))</f>
        <v>0</v>
      </c>
      <c r="AR133" s="538">
        <f>IF('Técnicas de Ki'!W28=0,0,IF('Técnicas de Ki'!AD28=TS!AR$119,'Técnicas de Ki'!X28-(IF($O133&lt;&gt;0,'Técnicas de Ki'!AG28,0)+IF($P133&lt;&gt;0,'Técnicas de Ki'!AH28,0)+IF($Q133&lt;&gt;0,'Técnicas de Ki'!AI28,0)+IF($R133&lt;&gt;0,'Técnicas de Ki'!AJ28,0)+IF($S133&lt;&gt;0,'Técnicas de Ki'!AK28,0)+IF($T133&lt;&gt;0,'Técnicas de Ki'!AL28,0)),0))</f>
        <v>0</v>
      </c>
      <c r="AS133" s="538">
        <f>IF('Técnicas de Ki'!W28=0,0,IF('Técnicas de Ki'!AD28=TS!AS$119,'Técnicas de Ki'!X28-(IF($O133&lt;&gt;0,'Técnicas de Ki'!AG28,0)+IF($P133&lt;&gt;0,'Técnicas de Ki'!AH28,0)+IF($Q133&lt;&gt;0,'Técnicas de Ki'!AI28,0)+IF($R133&lt;&gt;0,'Técnicas de Ki'!AJ28,0)+IF($S133&lt;&gt;0,'Técnicas de Ki'!AK28,0)+IF($T133&lt;&gt;0,'Técnicas de Ki'!AL28,0)),0))</f>
        <v>0</v>
      </c>
      <c r="AT133" s="538">
        <f>IF('Técnicas de Ki'!W28=0,0,IF('Técnicas de Ki'!AD28=TS!AT$119,'Técnicas de Ki'!X28-(IF($O133&lt;&gt;0,'Técnicas de Ki'!AG28,0)+IF($P133&lt;&gt;0,'Técnicas de Ki'!AH28,0)+IF($Q133&lt;&gt;0,'Técnicas de Ki'!AI28,0)+IF($R133&lt;&gt;0,'Técnicas de Ki'!AJ28,0)+IF($S133&lt;&gt;0,'Técnicas de Ki'!AK28,0)+IF($T133&lt;&gt;0,'Técnicas de Ki'!AL28,0)),0))</f>
        <v>0</v>
      </c>
      <c r="AU133" s="538">
        <f>IF('Técnicas de Ki'!W28=0,0,IF('Técnicas de Ki'!AD28=TS!AU$119,'Técnicas de Ki'!X28-(IF($O133&lt;&gt;0,'Técnicas de Ki'!AG28,0)+IF($P133&lt;&gt;0,'Técnicas de Ki'!AH28,0)+IF($Q133&lt;&gt;0,'Técnicas de Ki'!AI28,0)+IF($R133&lt;&gt;0,'Técnicas de Ki'!AJ28,0)+IF($S133&lt;&gt;0,'Técnicas de Ki'!AK28,0)+IF($T133&lt;&gt;0,'Técnicas de Ki'!AL28,0)),0))</f>
        <v>0</v>
      </c>
      <c r="AV133" s="539">
        <f>IF('Técnicas de Ki'!W28=0,0,IF('Técnicas de Ki'!AD28=TS!AV$119,'Técnicas de Ki'!X28-(IF($O133&lt;&gt;0,'Técnicas de Ki'!AG28,0)+IF($P133&lt;&gt;0,'Técnicas de Ki'!AH28,0)+IF($Q133&lt;&gt;0,'Técnicas de Ki'!AI28,0)+IF($R133&lt;&gt;0,'Técnicas de Ki'!AJ28,0)+IF($S133&lt;&gt;0,'Técnicas de Ki'!AK28,0)+IF($T133&lt;&gt;0,'Técnicas de Ki'!AL28,0)),0))</f>
        <v>0</v>
      </c>
      <c r="AW133" s="538">
        <f>IF('Técnicas de Ki'!W28=0,0,IFERROR(IF('Técnicas de Ki'!AG28&lt;&gt;0,'Técnicas de Ki'!AG28+TS!$O133,0)*$O133/$O133,0))</f>
        <v>0</v>
      </c>
      <c r="AX133" s="538">
        <f>IF('Técnicas de Ki'!W28=0,0,IFERROR(IF('Técnicas de Ki'!AH28&lt;&gt;0,'Técnicas de Ki'!AH28+TS!$P133,0)*$P133/$P133,0))</f>
        <v>0</v>
      </c>
      <c r="AY133" s="538">
        <f>IF('Técnicas de Ki'!W28=0,0,IFERROR(IF('Técnicas de Ki'!AI28&lt;&gt;0,'Técnicas de Ki'!AI28+TS!$Q133,0)*$Q133/$Q133,0))</f>
        <v>0</v>
      </c>
      <c r="AZ133" s="538">
        <f>IF('Técnicas de Ki'!W28=0,0,IFERROR(IF('Técnicas de Ki'!AJ28&lt;&gt;0,'Técnicas de Ki'!AJ28+TS!$R133,0)*$R133/$R133,0))</f>
        <v>0</v>
      </c>
      <c r="BA133" s="538">
        <f>IF('Técnicas de Ki'!W28=0,0,IFERROR(IF('Técnicas de Ki'!AK28&lt;&gt;0,'Técnicas de Ki'!AK28+TS!$S133,0)*$S133/$S133,0))</f>
        <v>0</v>
      </c>
      <c r="BB133" s="539">
        <f>IF('Técnicas de Ki'!W28=0,0,IFERROR(IF('Técnicas de Ki'!AL28&lt;&gt;0,'Técnicas de Ki'!AL28+TS!$T133,0)*$T133/$T133,0))</f>
        <v>0</v>
      </c>
      <c r="BD133" s="571" t="str">
        <f>IF('Técnicas de Ki'!W29&lt;&gt;0,'Técnicas de Ki'!V29&amp;" "&amp;'Técnicas de Ki'!W29,"")</f>
        <v/>
      </c>
      <c r="BE133" s="302" t="b">
        <f t="shared" si="12"/>
        <v>0</v>
      </c>
      <c r="BF133" s="302" t="str">
        <f t="shared" si="5"/>
        <v/>
      </c>
      <c r="BL133" s="537">
        <f>IF('Técnicas de Ki'!AR28=0,0,IF('Técnicas de Ki'!AY28=TS!BL$119,'Técnicas de Ki'!AS28-(IF($O133&lt;&gt;0,'Técnicas de Ki'!BB28,0)+IF($P133&lt;&gt;0,'Técnicas de Ki'!BC28,0)+IF($Q133&lt;&gt;0,'Técnicas de Ki'!BD28,0)+IF($R133&lt;&gt;0,'Técnicas de Ki'!BE28,0)+IF($S133&lt;&gt;0,'Técnicas de Ki'!BF28,0)+IF($T133&lt;&gt;0,'Técnicas de Ki'!BG28,0)),0))</f>
        <v>0</v>
      </c>
      <c r="BM133" s="538">
        <f>IF('Técnicas de Ki'!AR28=0,0,IF('Técnicas de Ki'!AY28=TS!BM$119,'Técnicas de Ki'!AS28-(IF($O133&lt;&gt;0,'Técnicas de Ki'!BB28,0)+IF($P133&lt;&gt;0,'Técnicas de Ki'!BC28,0)+IF($Q133&lt;&gt;0,'Técnicas de Ki'!BD28,0)+IF($R133&lt;&gt;0,'Técnicas de Ki'!BE28,0)+IF($S133&lt;&gt;0,'Técnicas de Ki'!BF28,0)+IF($T133&lt;&gt;0,'Técnicas de Ki'!BG28,0)),0))</f>
        <v>0</v>
      </c>
      <c r="BN133" s="538">
        <f>IF('Técnicas de Ki'!AR28=0,0,IF('Técnicas de Ki'!AY28=TS!BN$119,'Técnicas de Ki'!AS28-(IF($O133&lt;&gt;0,'Técnicas de Ki'!BB28,0)+IF($P133&lt;&gt;0,'Técnicas de Ki'!BC28,0)+IF($Q133&lt;&gt;0,'Técnicas de Ki'!BD28,0)+IF($R133&lt;&gt;0,'Técnicas de Ki'!BE28,0)+IF($S133&lt;&gt;0,'Técnicas de Ki'!BF28,0)+IF($T133&lt;&gt;0,'Técnicas de Ki'!BG28,0)),0))</f>
        <v>0</v>
      </c>
      <c r="BO133" s="538">
        <f>IF('Técnicas de Ki'!AR28=0,0,IF('Técnicas de Ki'!AY28=TS!BO$119,'Técnicas de Ki'!AS28-(IF($O133&lt;&gt;0,'Técnicas de Ki'!BB28,0)+IF($P133&lt;&gt;0,'Técnicas de Ki'!BC28,0)+IF($Q133&lt;&gt;0,'Técnicas de Ki'!BD28,0)+IF($R133&lt;&gt;0,'Técnicas de Ki'!BE28,0)+IF($S133&lt;&gt;0,'Técnicas de Ki'!BF28,0)+IF($T133&lt;&gt;0,'Técnicas de Ki'!BG28,0)),0))</f>
        <v>0</v>
      </c>
      <c r="BP133" s="538">
        <f>IF('Técnicas de Ki'!AR28=0,0,IF('Técnicas de Ki'!AY28=TS!BP$119,'Técnicas de Ki'!AS28-(IF($O133&lt;&gt;0,'Técnicas de Ki'!BB28,0)+IF($P133&lt;&gt;0,'Técnicas de Ki'!BC28,0)+IF($Q133&lt;&gt;0,'Técnicas de Ki'!BD28,0)+IF($R133&lt;&gt;0,'Técnicas de Ki'!BE28,0)+IF($S133&lt;&gt;0,'Técnicas de Ki'!BF28,0)+IF($T133&lt;&gt;0,'Técnicas de Ki'!BG28,0)),0))</f>
        <v>0</v>
      </c>
      <c r="BQ133" s="539">
        <f>IF('Técnicas de Ki'!AR28=0,0,IF('Técnicas de Ki'!AY28=TS!BQ$119,'Técnicas de Ki'!AS28-(IF($O133&lt;&gt;0,'Técnicas de Ki'!BB28,0)+IF($P133&lt;&gt;0,'Técnicas de Ki'!BC28,0)+IF($Q133&lt;&gt;0,'Técnicas de Ki'!BD28,0)+IF($R133&lt;&gt;0,'Técnicas de Ki'!BE28,0)+IF($S133&lt;&gt;0,'Técnicas de Ki'!BF28,0)+IF($T133&lt;&gt;0,'Técnicas de Ki'!BG28,0)),0))</f>
        <v>0</v>
      </c>
      <c r="BR133" s="538">
        <f>IF('Técnicas de Ki'!AR28=0,0,IFERROR(IF('Técnicas de Ki'!BB28&lt;&gt;0,'Técnicas de Ki'!BB28+TS!$O133,0)*$O133/$O133,0))</f>
        <v>0</v>
      </c>
      <c r="BS133" s="538">
        <f>IF('Técnicas de Ki'!AR28=0,0,IFERROR(IF('Técnicas de Ki'!BC28&lt;&gt;0,'Técnicas de Ki'!BC28+TS!$P133,0)*$P133/$P133,0))</f>
        <v>0</v>
      </c>
      <c r="BT133" s="538">
        <f>IF('Técnicas de Ki'!AR28=0,0,IFERROR(IF('Técnicas de Ki'!BD28&lt;&gt;0,'Técnicas de Ki'!BD28+TS!$Q133,0)*$Q133/$Q133,0))</f>
        <v>0</v>
      </c>
      <c r="BU133" s="538">
        <f>IF('Técnicas de Ki'!AR28=0,0,IFERROR(IF('Técnicas de Ki'!BE28&lt;&gt;0,'Técnicas de Ki'!BE28+TS!$R133,0)*$R133/$R133,0))</f>
        <v>0</v>
      </c>
      <c r="BV133" s="538">
        <f>IF('Técnicas de Ki'!AR28=0,0,IFERROR(IF('Técnicas de Ki'!BF28&lt;&gt;0,'Técnicas de Ki'!BF28+TS!$S133,0)*$S133/$S133,0))</f>
        <v>0</v>
      </c>
      <c r="BW133" s="539">
        <f>IF('Técnicas de Ki'!AR28=0,0,IFERROR(IF('Técnicas de Ki'!BG28&lt;&gt;0,'Técnicas de Ki'!BG28+TS!$T133,0)*$T133/$T133,0))</f>
        <v>0</v>
      </c>
      <c r="BY133" s="571" t="str">
        <f>IF('Técnicas de Ki'!AR29&lt;&gt;0,'Técnicas de Ki'!AQ29&amp;" "&amp;'Técnicas de Ki'!AR29,"")</f>
        <v/>
      </c>
      <c r="BZ133" s="302" t="b">
        <f t="shared" si="13"/>
        <v>0</v>
      </c>
      <c r="CA133" s="302" t="str">
        <f t="shared" si="6"/>
        <v/>
      </c>
      <c r="CG133" s="537">
        <f>IF('Técnicas de Ki'!BM28=0,0,IF('Técnicas de Ki'!BT28=TS!CG$119,'Técnicas de Ki'!BN28-(IF($O133&lt;&gt;0,'Técnicas de Ki'!BW28,0)+IF($P133&lt;&gt;0,'Técnicas de Ki'!BX28,0)+IF($Q133&lt;&gt;0,'Técnicas de Ki'!BY28,0)+IF($R133&lt;&gt;0,'Técnicas de Ki'!BZ28,0)+IF($S133&lt;&gt;0,'Técnicas de Ki'!CA28,0)+IF($T133&lt;&gt;0,'Técnicas de Ki'!CB28,0)),0))</f>
        <v>0</v>
      </c>
      <c r="CH133" s="538">
        <f>IF('Técnicas de Ki'!BM28=0,0,IF('Técnicas de Ki'!BT28=TS!CH$119,'Técnicas de Ki'!BN28-(IF($O133&lt;&gt;0,'Técnicas de Ki'!BW28,0)+IF($P133&lt;&gt;0,'Técnicas de Ki'!BX28,0)+IF($Q133&lt;&gt;0,'Técnicas de Ki'!BY28,0)+IF($R133&lt;&gt;0,'Técnicas de Ki'!BZ28,0)+IF($S133&lt;&gt;0,'Técnicas de Ki'!CA28,0)+IF($T133&lt;&gt;0,'Técnicas de Ki'!CB28,0)),0))</f>
        <v>0</v>
      </c>
      <c r="CI133" s="538">
        <f>IF('Técnicas de Ki'!BM28=0,0,IF('Técnicas de Ki'!BT28=TS!CI$119,'Técnicas de Ki'!BN28-(IF($O133&lt;&gt;0,'Técnicas de Ki'!BW28,0)+IF($P133&lt;&gt;0,'Técnicas de Ki'!BX28,0)+IF($Q133&lt;&gt;0,'Técnicas de Ki'!BY28,0)+IF($R133&lt;&gt;0,'Técnicas de Ki'!BZ28,0)+IF($S133&lt;&gt;0,'Técnicas de Ki'!CA28,0)+IF($T133&lt;&gt;0,'Técnicas de Ki'!CB28,0)),0))</f>
        <v>0</v>
      </c>
      <c r="CJ133" s="538">
        <f>IF('Técnicas de Ki'!BM28=0,0,IF('Técnicas de Ki'!BT28=TS!CJ$119,'Técnicas de Ki'!BN28-(IF($O133&lt;&gt;0,'Técnicas de Ki'!BW28,0)+IF($P133&lt;&gt;0,'Técnicas de Ki'!BX28,0)+IF($Q133&lt;&gt;0,'Técnicas de Ki'!BY28,0)+IF($R133&lt;&gt;0,'Técnicas de Ki'!BZ28,0)+IF($S133&lt;&gt;0,'Técnicas de Ki'!CA28,0)+IF($T133&lt;&gt;0,'Técnicas de Ki'!CB28,0)),0))</f>
        <v>0</v>
      </c>
      <c r="CK133" s="538">
        <f>IF('Técnicas de Ki'!BM28=0,0,IF('Técnicas de Ki'!BT28=TS!CK$119,'Técnicas de Ki'!BN28-(IF($O133&lt;&gt;0,'Técnicas de Ki'!BW28,0)+IF($P133&lt;&gt;0,'Técnicas de Ki'!BX28,0)+IF($Q133&lt;&gt;0,'Técnicas de Ki'!BY28,0)+IF($R133&lt;&gt;0,'Técnicas de Ki'!BZ28,0)+IF($S133&lt;&gt;0,'Técnicas de Ki'!CA28,0)+IF($T133&lt;&gt;0,'Técnicas de Ki'!CB28,0)),0))</f>
        <v>0</v>
      </c>
      <c r="CL133" s="539">
        <f>IF('Técnicas de Ki'!BM28=0,0,IF('Técnicas de Ki'!BT28=TS!CL$119,'Técnicas de Ki'!BN28-(IF($O133&lt;&gt;0,'Técnicas de Ki'!BW28,0)+IF($P133&lt;&gt;0,'Técnicas de Ki'!BX28,0)+IF($Q133&lt;&gt;0,'Técnicas de Ki'!BY28,0)+IF($R133&lt;&gt;0,'Técnicas de Ki'!BZ28,0)+IF($S133&lt;&gt;0,'Técnicas de Ki'!CA28,0)+IF($T133&lt;&gt;0,'Técnicas de Ki'!CB28,0)),0))</f>
        <v>0</v>
      </c>
      <c r="CM133" s="538">
        <f>IF('Técnicas de Ki'!BM28=0,0,IFERROR(IF('Técnicas de Ki'!BW28&lt;&gt;0,'Técnicas de Ki'!BW28+TS!$O133,0)*$O133/$O133,0))</f>
        <v>0</v>
      </c>
      <c r="CN133" s="538">
        <f>IF('Técnicas de Ki'!BM28=0,0,IFERROR(IF('Técnicas de Ki'!BX28&lt;&gt;0,'Técnicas de Ki'!BX28+TS!$P133,0)*$P133/$P133,0))</f>
        <v>0</v>
      </c>
      <c r="CO133" s="538">
        <f>IF('Técnicas de Ki'!BM28=0,0,IFERROR(IF('Técnicas de Ki'!BY28&lt;&gt;0,'Técnicas de Ki'!BY28+TS!$Q133,0)*$Q133/$Q133,0))</f>
        <v>0</v>
      </c>
      <c r="CP133" s="538">
        <f>IF('Técnicas de Ki'!BM28=0,0,IFERROR(IF('Técnicas de Ki'!BZ28&lt;&gt;0,'Técnicas de Ki'!BZ28+TS!$R133,0)*$R133/$R133,0))</f>
        <v>0</v>
      </c>
      <c r="CQ133" s="538">
        <f>IF('Técnicas de Ki'!BM28=0,0,IFERROR(IF('Técnicas de Ki'!CA28&lt;&gt;0,'Técnicas de Ki'!CA28+TS!$S133,0)*$S133/$S133,0))</f>
        <v>0</v>
      </c>
      <c r="CR133" s="539">
        <f>IF('Técnicas de Ki'!BM28=0,0,IFERROR(IF('Técnicas de Ki'!CB28&lt;&gt;0,'Técnicas de Ki'!CB28+TS!$T133,0)*$T133/$T133,0))</f>
        <v>0</v>
      </c>
      <c r="CT133" s="571" t="str">
        <f>IF('Técnicas de Ki'!BM29&lt;&gt;0,'Técnicas de Ki'!BL29&amp;" "&amp;'Técnicas de Ki'!BM29,"")</f>
        <v/>
      </c>
      <c r="CU133" s="302" t="b">
        <f t="shared" si="14"/>
        <v>0</v>
      </c>
      <c r="CV133" s="302" t="str">
        <f t="shared" si="7"/>
        <v/>
      </c>
    </row>
    <row r="134" spans="1:102" ht="13.5" thickBot="1" x14ac:dyDescent="0.25">
      <c r="A134" s="302" t="s">
        <v>6847</v>
      </c>
      <c r="B134" s="301" t="s">
        <v>6806</v>
      </c>
      <c r="C134" s="301" t="str">
        <f t="shared" si="3"/>
        <v>Aumento de daño+50</v>
      </c>
      <c r="D134" s="302">
        <v>4</v>
      </c>
      <c r="E134" s="302">
        <v>6</v>
      </c>
      <c r="F134" s="302">
        <v>15</v>
      </c>
      <c r="G134" s="302">
        <v>2</v>
      </c>
      <c r="H134" s="302">
        <v>4</v>
      </c>
      <c r="I134" s="302">
        <v>7</v>
      </c>
      <c r="J134" s="302">
        <v>1</v>
      </c>
      <c r="N134" s="302" t="s">
        <v>6841</v>
      </c>
      <c r="Q134" s="302">
        <v>2</v>
      </c>
      <c r="R134" s="302">
        <v>2</v>
      </c>
      <c r="S134" s="302">
        <v>3</v>
      </c>
      <c r="T134" s="302">
        <v>2</v>
      </c>
      <c r="V134" s="537">
        <f>IF('Técnicas de Ki'!B29=0,0,IF('Técnicas de Ki'!I29=TS!V$119,'Técnicas de Ki'!C29-(IF($O134&lt;&gt;0,'Técnicas de Ki'!L29,0)+IF($P134&lt;&gt;0,'Técnicas de Ki'!M29,0)+IF($Q134&lt;&gt;0,'Técnicas de Ki'!N29,0)+IF($R134&lt;&gt;0,'Técnicas de Ki'!O29,0)+IF($S134&lt;&gt;0,'Técnicas de Ki'!P29,0)+IF($T134&lt;&gt;0,'Técnicas de Ki'!Q29,0)),0))</f>
        <v>0</v>
      </c>
      <c r="W134" s="538">
        <f>IF('Técnicas de Ki'!B29=0,0,IF('Técnicas de Ki'!I29=TS!W$119,'Técnicas de Ki'!C29-(IF($O134&lt;&gt;0,'Técnicas de Ki'!L29,0)+IF($P134&lt;&gt;0,'Técnicas de Ki'!M29,0)+IF($Q134&lt;&gt;0,'Técnicas de Ki'!N29,0)+IF($R134&lt;&gt;0,'Técnicas de Ki'!O29,0)+IF($S134&lt;&gt;0,'Técnicas de Ki'!P29,0)+IF($T134&lt;&gt;0,'Técnicas de Ki'!Q29,0)),0))</f>
        <v>0</v>
      </c>
      <c r="X134" s="538">
        <f>IF('Técnicas de Ki'!B29=0,0,IF('Técnicas de Ki'!I29=TS!X$119,'Técnicas de Ki'!C29-(IF($O134&lt;&gt;0,'Técnicas de Ki'!L29,0)+IF($P134&lt;&gt;0,'Técnicas de Ki'!M29,0)+IF($Q134&lt;&gt;0,'Técnicas de Ki'!N29,0)+IF($R134&lt;&gt;0,'Técnicas de Ki'!O29,0)+IF($S134&lt;&gt;0,'Técnicas de Ki'!P29,0)+IF($T134&lt;&gt;0,'Técnicas de Ki'!Q29,0)),0))</f>
        <v>0</v>
      </c>
      <c r="Y134" s="538">
        <f>IF('Técnicas de Ki'!B29=0,0,IF('Técnicas de Ki'!I29=TS!Y$119,'Técnicas de Ki'!C29-(IF($O134&lt;&gt;0,'Técnicas de Ki'!L29,0)+IF($P134&lt;&gt;0,'Técnicas de Ki'!M29,0)+IF($Q134&lt;&gt;0,'Técnicas de Ki'!N29,0)+IF($R134&lt;&gt;0,'Técnicas de Ki'!O29,0)+IF($S134&lt;&gt;0,'Técnicas de Ki'!P29,0)+IF($T134&lt;&gt;0,'Técnicas de Ki'!Q29,0)),0))</f>
        <v>0</v>
      </c>
      <c r="Z134" s="538">
        <f>IF('Técnicas de Ki'!B29=0,0,IF('Técnicas de Ki'!I29=TS!Z$119,'Técnicas de Ki'!C29-(IF($O134&lt;&gt;0,'Técnicas de Ki'!L29,0)+IF($P134&lt;&gt;0,'Técnicas de Ki'!M29,0)+IF($Q134&lt;&gt;0,'Técnicas de Ki'!N29,0)+IF($R134&lt;&gt;0,'Técnicas de Ki'!O29,0)+IF($S134&lt;&gt;0,'Técnicas de Ki'!P29,0)+IF($T134&lt;&gt;0,'Técnicas de Ki'!Q29,0)),0))</f>
        <v>0</v>
      </c>
      <c r="AA134" s="539">
        <f>IF('Técnicas de Ki'!B29=0,0,IF('Técnicas de Ki'!I29=TS!AA$119,'Técnicas de Ki'!C29-(IF($O134&lt;&gt;0,'Técnicas de Ki'!L29,0)+IF($P134&lt;&gt;0,'Técnicas de Ki'!M29,0)+IF($Q134&lt;&gt;0,'Técnicas de Ki'!N29,0)+IF($R134&lt;&gt;0,'Técnicas de Ki'!O29,0)+IF($S134&lt;&gt;0,'Técnicas de Ki'!P29,0)+IF($T134&lt;&gt;0,'Técnicas de Ki'!Q29,0)),0))</f>
        <v>0</v>
      </c>
      <c r="AB134" s="538">
        <f>IF('Técnicas de Ki'!B29=0,0,IFERROR(IF('Técnicas de Ki'!L29&lt;&gt;0,'Técnicas de Ki'!L29+TS!$O134,0)*$O134/$O134,0))</f>
        <v>0</v>
      </c>
      <c r="AC134" s="538">
        <f>IF('Técnicas de Ki'!B29=0,0,IFERROR(IF('Técnicas de Ki'!M29&lt;&gt;0,'Técnicas de Ki'!M29+TS!$P134,0)*$P134/$P134,0))</f>
        <v>0</v>
      </c>
      <c r="AD134" s="538">
        <f>IF('Técnicas de Ki'!B29=0,0,IFERROR(IF('Técnicas de Ki'!N29&lt;&gt;0,'Técnicas de Ki'!N29+TS!$Q134,0)*$Q134/$Q134,0))</f>
        <v>0</v>
      </c>
      <c r="AE134" s="538">
        <f>IF('Técnicas de Ki'!B29=0,0,IFERROR(IF('Técnicas de Ki'!O29&lt;&gt;0,'Técnicas de Ki'!O29+TS!$R134,0)*$R134/$R134,0))</f>
        <v>0</v>
      </c>
      <c r="AF134" s="538">
        <f>IF('Técnicas de Ki'!B29=0,0,IFERROR(IF('Técnicas de Ki'!P29&lt;&gt;0,'Técnicas de Ki'!P29+TS!$S134,0)*$S134/$S134,0))</f>
        <v>0</v>
      </c>
      <c r="AG134" s="539">
        <f>IF('Técnicas de Ki'!B29=0,0,IFERROR(IF('Técnicas de Ki'!Q29&lt;&gt;0,'Técnicas de Ki'!Q29+TS!$T134,0)*$T134/$T134,0))</f>
        <v>0</v>
      </c>
      <c r="AI134" s="572" t="str">
        <f>IF('Técnicas de Ki'!B30&lt;&gt;0,'Técnicas de Ki'!A30&amp;" "&amp;'Técnicas de Ki'!B30,"")</f>
        <v/>
      </c>
      <c r="AJ134" s="302" t="b">
        <f t="shared" si="8"/>
        <v>0</v>
      </c>
      <c r="AK134" s="302" t="str">
        <f t="shared" si="4"/>
        <v/>
      </c>
      <c r="AQ134" s="537">
        <f>IF('Técnicas de Ki'!W29=0,0,IF('Técnicas de Ki'!AD29=TS!AQ$119,'Técnicas de Ki'!X29-(IF($O134&lt;&gt;0,'Técnicas de Ki'!AG29,0)+IF($P134&lt;&gt;0,'Técnicas de Ki'!AH29,0)+IF($Q134&lt;&gt;0,'Técnicas de Ki'!AI29,0)+IF($R134&lt;&gt;0,'Técnicas de Ki'!AJ29,0)+IF($S134&lt;&gt;0,'Técnicas de Ki'!AK29,0)+IF($T134&lt;&gt;0,'Técnicas de Ki'!AL29,0)),0))</f>
        <v>0</v>
      </c>
      <c r="AR134" s="538">
        <f>IF('Técnicas de Ki'!W29=0,0,IF('Técnicas de Ki'!AD29=TS!AR$119,'Técnicas de Ki'!X29-(IF($O134&lt;&gt;0,'Técnicas de Ki'!AG29,0)+IF($P134&lt;&gt;0,'Técnicas de Ki'!AH29,0)+IF($Q134&lt;&gt;0,'Técnicas de Ki'!AI29,0)+IF($R134&lt;&gt;0,'Técnicas de Ki'!AJ29,0)+IF($S134&lt;&gt;0,'Técnicas de Ki'!AK29,0)+IF($T134&lt;&gt;0,'Técnicas de Ki'!AL29,0)),0))</f>
        <v>0</v>
      </c>
      <c r="AS134" s="538">
        <f>IF('Técnicas de Ki'!W29=0,0,IF('Técnicas de Ki'!AD29=TS!AS$119,'Técnicas de Ki'!X29-(IF($O134&lt;&gt;0,'Técnicas de Ki'!AG29,0)+IF($P134&lt;&gt;0,'Técnicas de Ki'!AH29,0)+IF($Q134&lt;&gt;0,'Técnicas de Ki'!AI29,0)+IF($R134&lt;&gt;0,'Técnicas de Ki'!AJ29,0)+IF($S134&lt;&gt;0,'Técnicas de Ki'!AK29,0)+IF($T134&lt;&gt;0,'Técnicas de Ki'!AL29,0)),0))</f>
        <v>0</v>
      </c>
      <c r="AT134" s="538">
        <f>IF('Técnicas de Ki'!W29=0,0,IF('Técnicas de Ki'!AD29=TS!AT$119,'Técnicas de Ki'!X29-(IF($O134&lt;&gt;0,'Técnicas de Ki'!AG29,0)+IF($P134&lt;&gt;0,'Técnicas de Ki'!AH29,0)+IF($Q134&lt;&gt;0,'Técnicas de Ki'!AI29,0)+IF($R134&lt;&gt;0,'Técnicas de Ki'!AJ29,0)+IF($S134&lt;&gt;0,'Técnicas de Ki'!AK29,0)+IF($T134&lt;&gt;0,'Técnicas de Ki'!AL29,0)),0))</f>
        <v>0</v>
      </c>
      <c r="AU134" s="538">
        <f>IF('Técnicas de Ki'!W29=0,0,IF('Técnicas de Ki'!AD29=TS!AU$119,'Técnicas de Ki'!X29-(IF($O134&lt;&gt;0,'Técnicas de Ki'!AG29,0)+IF($P134&lt;&gt;0,'Técnicas de Ki'!AH29,0)+IF($Q134&lt;&gt;0,'Técnicas de Ki'!AI29,0)+IF($R134&lt;&gt;0,'Técnicas de Ki'!AJ29,0)+IF($S134&lt;&gt;0,'Técnicas de Ki'!AK29,0)+IF($T134&lt;&gt;0,'Técnicas de Ki'!AL29,0)),0))</f>
        <v>0</v>
      </c>
      <c r="AV134" s="539">
        <f>IF('Técnicas de Ki'!W29=0,0,IF('Técnicas de Ki'!AD29=TS!AV$119,'Técnicas de Ki'!X29-(IF($O134&lt;&gt;0,'Técnicas de Ki'!AG29,0)+IF($P134&lt;&gt;0,'Técnicas de Ki'!AH29,0)+IF($Q134&lt;&gt;0,'Técnicas de Ki'!AI29,0)+IF($R134&lt;&gt;0,'Técnicas de Ki'!AJ29,0)+IF($S134&lt;&gt;0,'Técnicas de Ki'!AK29,0)+IF($T134&lt;&gt;0,'Técnicas de Ki'!AL29,0)),0))</f>
        <v>0</v>
      </c>
      <c r="AW134" s="538">
        <f>IF('Técnicas de Ki'!W29=0,0,IFERROR(IF('Técnicas de Ki'!AG29&lt;&gt;0,'Técnicas de Ki'!AG29+TS!$O134,0)*$O134/$O134,0))</f>
        <v>0</v>
      </c>
      <c r="AX134" s="538">
        <f>IF('Técnicas de Ki'!W29=0,0,IFERROR(IF('Técnicas de Ki'!AH29&lt;&gt;0,'Técnicas de Ki'!AH29+TS!$P134,0)*$P134/$P134,0))</f>
        <v>0</v>
      </c>
      <c r="AY134" s="538">
        <f>IF('Técnicas de Ki'!W29=0,0,IFERROR(IF('Técnicas de Ki'!AI29&lt;&gt;0,'Técnicas de Ki'!AI29+TS!$Q134,0)*$Q134/$Q134,0))</f>
        <v>0</v>
      </c>
      <c r="AZ134" s="538">
        <f>IF('Técnicas de Ki'!W29=0,0,IFERROR(IF('Técnicas de Ki'!AJ29&lt;&gt;0,'Técnicas de Ki'!AJ29+TS!$R134,0)*$R134/$R134,0))</f>
        <v>0</v>
      </c>
      <c r="BA134" s="538">
        <f>IF('Técnicas de Ki'!W29=0,0,IFERROR(IF('Técnicas de Ki'!AK29&lt;&gt;0,'Técnicas de Ki'!AK29+TS!$S134,0)*$S134/$S134,0))</f>
        <v>0</v>
      </c>
      <c r="BB134" s="539">
        <f>IF('Técnicas de Ki'!W29=0,0,IFERROR(IF('Técnicas de Ki'!AL29&lt;&gt;0,'Técnicas de Ki'!AL29+TS!$T134,0)*$T134/$T134,0))</f>
        <v>0</v>
      </c>
      <c r="BD134" s="572" t="str">
        <f>IF('Técnicas de Ki'!W30&lt;&gt;0,'Técnicas de Ki'!V30&amp;" "&amp;'Técnicas de Ki'!W30,"")</f>
        <v/>
      </c>
      <c r="BE134" s="302" t="b">
        <f t="shared" si="12"/>
        <v>0</v>
      </c>
      <c r="BF134" s="302" t="str">
        <f t="shared" si="5"/>
        <v/>
      </c>
      <c r="BL134" s="537">
        <f>IF('Técnicas de Ki'!AR29=0,0,IF('Técnicas de Ki'!AY29=TS!BL$119,'Técnicas de Ki'!AS29-(IF($O134&lt;&gt;0,'Técnicas de Ki'!BB29,0)+IF($P134&lt;&gt;0,'Técnicas de Ki'!BC29,0)+IF($Q134&lt;&gt;0,'Técnicas de Ki'!BD29,0)+IF($R134&lt;&gt;0,'Técnicas de Ki'!BE29,0)+IF($S134&lt;&gt;0,'Técnicas de Ki'!BF29,0)+IF($T134&lt;&gt;0,'Técnicas de Ki'!BG29,0)),0))</f>
        <v>0</v>
      </c>
      <c r="BM134" s="538">
        <f>IF('Técnicas de Ki'!AR29=0,0,IF('Técnicas de Ki'!AY29=TS!BM$119,'Técnicas de Ki'!AS29-(IF($O134&lt;&gt;0,'Técnicas de Ki'!BB29,0)+IF($P134&lt;&gt;0,'Técnicas de Ki'!BC29,0)+IF($Q134&lt;&gt;0,'Técnicas de Ki'!BD29,0)+IF($R134&lt;&gt;0,'Técnicas de Ki'!BE29,0)+IF($S134&lt;&gt;0,'Técnicas de Ki'!BF29,0)+IF($T134&lt;&gt;0,'Técnicas de Ki'!BG29,0)),0))</f>
        <v>0</v>
      </c>
      <c r="BN134" s="538">
        <f>IF('Técnicas de Ki'!AR29=0,0,IF('Técnicas de Ki'!AY29=TS!BN$119,'Técnicas de Ki'!AS29-(IF($O134&lt;&gt;0,'Técnicas de Ki'!BB29,0)+IF($P134&lt;&gt;0,'Técnicas de Ki'!BC29,0)+IF($Q134&lt;&gt;0,'Técnicas de Ki'!BD29,0)+IF($R134&lt;&gt;0,'Técnicas de Ki'!BE29,0)+IF($S134&lt;&gt;0,'Técnicas de Ki'!BF29,0)+IF($T134&lt;&gt;0,'Técnicas de Ki'!BG29,0)),0))</f>
        <v>0</v>
      </c>
      <c r="BO134" s="538">
        <f>IF('Técnicas de Ki'!AR29=0,0,IF('Técnicas de Ki'!AY29=TS!BO$119,'Técnicas de Ki'!AS29-(IF($O134&lt;&gt;0,'Técnicas de Ki'!BB29,0)+IF($P134&lt;&gt;0,'Técnicas de Ki'!BC29,0)+IF($Q134&lt;&gt;0,'Técnicas de Ki'!BD29,0)+IF($R134&lt;&gt;0,'Técnicas de Ki'!BE29,0)+IF($S134&lt;&gt;0,'Técnicas de Ki'!BF29,0)+IF($T134&lt;&gt;0,'Técnicas de Ki'!BG29,0)),0))</f>
        <v>0</v>
      </c>
      <c r="BP134" s="538">
        <f>IF('Técnicas de Ki'!AR29=0,0,IF('Técnicas de Ki'!AY29=TS!BP$119,'Técnicas de Ki'!AS29-(IF($O134&lt;&gt;0,'Técnicas de Ki'!BB29,0)+IF($P134&lt;&gt;0,'Técnicas de Ki'!BC29,0)+IF($Q134&lt;&gt;0,'Técnicas de Ki'!BD29,0)+IF($R134&lt;&gt;0,'Técnicas de Ki'!BE29,0)+IF($S134&lt;&gt;0,'Técnicas de Ki'!BF29,0)+IF($T134&lt;&gt;0,'Técnicas de Ki'!BG29,0)),0))</f>
        <v>0</v>
      </c>
      <c r="BQ134" s="539">
        <f>IF('Técnicas de Ki'!AR29=0,0,IF('Técnicas de Ki'!AY29=TS!BQ$119,'Técnicas de Ki'!AS29-(IF($O134&lt;&gt;0,'Técnicas de Ki'!BB29,0)+IF($P134&lt;&gt;0,'Técnicas de Ki'!BC29,0)+IF($Q134&lt;&gt;0,'Técnicas de Ki'!BD29,0)+IF($R134&lt;&gt;0,'Técnicas de Ki'!BE29,0)+IF($S134&lt;&gt;0,'Técnicas de Ki'!BF29,0)+IF($T134&lt;&gt;0,'Técnicas de Ki'!BG29,0)),0))</f>
        <v>0</v>
      </c>
      <c r="BR134" s="538">
        <f>IF('Técnicas de Ki'!AR29=0,0,IFERROR(IF('Técnicas de Ki'!BB29&lt;&gt;0,'Técnicas de Ki'!BB29+TS!$O134,0)*$O134/$O134,0))</f>
        <v>0</v>
      </c>
      <c r="BS134" s="538">
        <f>IF('Técnicas de Ki'!AR29=0,0,IFERROR(IF('Técnicas de Ki'!BC29&lt;&gt;0,'Técnicas de Ki'!BC29+TS!$P134,0)*$P134/$P134,0))</f>
        <v>0</v>
      </c>
      <c r="BT134" s="538">
        <f>IF('Técnicas de Ki'!AR29=0,0,IFERROR(IF('Técnicas de Ki'!BD29&lt;&gt;0,'Técnicas de Ki'!BD29+TS!$Q134,0)*$Q134/$Q134,0))</f>
        <v>0</v>
      </c>
      <c r="BU134" s="538">
        <f>IF('Técnicas de Ki'!AR29=0,0,IFERROR(IF('Técnicas de Ki'!BE29&lt;&gt;0,'Técnicas de Ki'!BE29+TS!$R134,0)*$R134/$R134,0))</f>
        <v>0</v>
      </c>
      <c r="BV134" s="538">
        <f>IF('Técnicas de Ki'!AR29=0,0,IFERROR(IF('Técnicas de Ki'!BF29&lt;&gt;0,'Técnicas de Ki'!BF29+TS!$S134,0)*$S134/$S134,0))</f>
        <v>0</v>
      </c>
      <c r="BW134" s="539">
        <f>IF('Técnicas de Ki'!AR29=0,0,IFERROR(IF('Técnicas de Ki'!BG29&lt;&gt;0,'Técnicas de Ki'!BG29+TS!$T134,0)*$T134/$T134,0))</f>
        <v>0</v>
      </c>
      <c r="BY134" s="572" t="str">
        <f>IF('Técnicas de Ki'!AR30&lt;&gt;0,'Técnicas de Ki'!AQ30&amp;" "&amp;'Técnicas de Ki'!AR30,"")</f>
        <v/>
      </c>
      <c r="BZ134" s="302" t="b">
        <f t="shared" si="13"/>
        <v>0</v>
      </c>
      <c r="CA134" s="302" t="str">
        <f t="shared" si="6"/>
        <v/>
      </c>
      <c r="CG134" s="537">
        <f>IF('Técnicas de Ki'!BM29=0,0,IF('Técnicas de Ki'!BT29=TS!CG$119,'Técnicas de Ki'!BN29-(IF($O134&lt;&gt;0,'Técnicas de Ki'!BW29,0)+IF($P134&lt;&gt;0,'Técnicas de Ki'!BX29,0)+IF($Q134&lt;&gt;0,'Técnicas de Ki'!BY29,0)+IF($R134&lt;&gt;0,'Técnicas de Ki'!BZ29,0)+IF($S134&lt;&gt;0,'Técnicas de Ki'!CA29,0)+IF($T134&lt;&gt;0,'Técnicas de Ki'!CB29,0)),0))</f>
        <v>0</v>
      </c>
      <c r="CH134" s="538">
        <f>IF('Técnicas de Ki'!BM29=0,0,IF('Técnicas de Ki'!BT29=TS!CH$119,'Técnicas de Ki'!BN29-(IF($O134&lt;&gt;0,'Técnicas de Ki'!BW29,0)+IF($P134&lt;&gt;0,'Técnicas de Ki'!BX29,0)+IF($Q134&lt;&gt;0,'Técnicas de Ki'!BY29,0)+IF($R134&lt;&gt;0,'Técnicas de Ki'!BZ29,0)+IF($S134&lt;&gt;0,'Técnicas de Ki'!CA29,0)+IF($T134&lt;&gt;0,'Técnicas de Ki'!CB29,0)),0))</f>
        <v>0</v>
      </c>
      <c r="CI134" s="538">
        <f>IF('Técnicas de Ki'!BM29=0,0,IF('Técnicas de Ki'!BT29=TS!CI$119,'Técnicas de Ki'!BN29-(IF($O134&lt;&gt;0,'Técnicas de Ki'!BW29,0)+IF($P134&lt;&gt;0,'Técnicas de Ki'!BX29,0)+IF($Q134&lt;&gt;0,'Técnicas de Ki'!BY29,0)+IF($R134&lt;&gt;0,'Técnicas de Ki'!BZ29,0)+IF($S134&lt;&gt;0,'Técnicas de Ki'!CA29,0)+IF($T134&lt;&gt;0,'Técnicas de Ki'!CB29,0)),0))</f>
        <v>0</v>
      </c>
      <c r="CJ134" s="538">
        <f>IF('Técnicas de Ki'!BM29=0,0,IF('Técnicas de Ki'!BT29=TS!CJ$119,'Técnicas de Ki'!BN29-(IF($O134&lt;&gt;0,'Técnicas de Ki'!BW29,0)+IF($P134&lt;&gt;0,'Técnicas de Ki'!BX29,0)+IF($Q134&lt;&gt;0,'Técnicas de Ki'!BY29,0)+IF($R134&lt;&gt;0,'Técnicas de Ki'!BZ29,0)+IF($S134&lt;&gt;0,'Técnicas de Ki'!CA29,0)+IF($T134&lt;&gt;0,'Técnicas de Ki'!CB29,0)),0))</f>
        <v>0</v>
      </c>
      <c r="CK134" s="538">
        <f>IF('Técnicas de Ki'!BM29=0,0,IF('Técnicas de Ki'!BT29=TS!CK$119,'Técnicas de Ki'!BN29-(IF($O134&lt;&gt;0,'Técnicas de Ki'!BW29,0)+IF($P134&lt;&gt;0,'Técnicas de Ki'!BX29,0)+IF($Q134&lt;&gt;0,'Técnicas de Ki'!BY29,0)+IF($R134&lt;&gt;0,'Técnicas de Ki'!BZ29,0)+IF($S134&lt;&gt;0,'Técnicas de Ki'!CA29,0)+IF($T134&lt;&gt;0,'Técnicas de Ki'!CB29,0)),0))</f>
        <v>0</v>
      </c>
      <c r="CL134" s="539">
        <f>IF('Técnicas de Ki'!BM29=0,0,IF('Técnicas de Ki'!BT29=TS!CL$119,'Técnicas de Ki'!BN29-(IF($O134&lt;&gt;0,'Técnicas de Ki'!BW29,0)+IF($P134&lt;&gt;0,'Técnicas de Ki'!BX29,0)+IF($Q134&lt;&gt;0,'Técnicas de Ki'!BY29,0)+IF($R134&lt;&gt;0,'Técnicas de Ki'!BZ29,0)+IF($S134&lt;&gt;0,'Técnicas de Ki'!CA29,0)+IF($T134&lt;&gt;0,'Técnicas de Ki'!CB29,0)),0))</f>
        <v>0</v>
      </c>
      <c r="CM134" s="538">
        <f>IF('Técnicas de Ki'!BM29=0,0,IFERROR(IF('Técnicas de Ki'!BW29&lt;&gt;0,'Técnicas de Ki'!BW29+TS!$O134,0)*$O134/$O134,0))</f>
        <v>0</v>
      </c>
      <c r="CN134" s="538">
        <f>IF('Técnicas de Ki'!BM29=0,0,IFERROR(IF('Técnicas de Ki'!BX29&lt;&gt;0,'Técnicas de Ki'!BX29+TS!$P134,0)*$P134/$P134,0))</f>
        <v>0</v>
      </c>
      <c r="CO134" s="538">
        <f>IF('Técnicas de Ki'!BM29=0,0,IFERROR(IF('Técnicas de Ki'!BY29&lt;&gt;0,'Técnicas de Ki'!BY29+TS!$Q134,0)*$Q134/$Q134,0))</f>
        <v>0</v>
      </c>
      <c r="CP134" s="538">
        <f>IF('Técnicas de Ki'!BM29=0,0,IFERROR(IF('Técnicas de Ki'!BZ29&lt;&gt;0,'Técnicas de Ki'!BZ29+TS!$R134,0)*$R134/$R134,0))</f>
        <v>0</v>
      </c>
      <c r="CQ134" s="538">
        <f>IF('Técnicas de Ki'!BM29=0,0,IFERROR(IF('Técnicas de Ki'!CA29&lt;&gt;0,'Técnicas de Ki'!CA29+TS!$S134,0)*$S134/$S134,0))</f>
        <v>0</v>
      </c>
      <c r="CR134" s="539">
        <f>IF('Técnicas de Ki'!BM29=0,0,IFERROR(IF('Técnicas de Ki'!CB29&lt;&gt;0,'Técnicas de Ki'!CB29+TS!$T134,0)*$T134/$T134,0))</f>
        <v>0</v>
      </c>
      <c r="CT134" s="572" t="str">
        <f>IF('Técnicas de Ki'!BM30&lt;&gt;0,'Técnicas de Ki'!BL30&amp;" "&amp;'Técnicas de Ki'!BM30,"")</f>
        <v/>
      </c>
      <c r="CU134" s="302" t="b">
        <f t="shared" si="14"/>
        <v>0</v>
      </c>
      <c r="CV134" s="302" t="str">
        <f t="shared" si="7"/>
        <v/>
      </c>
    </row>
    <row r="135" spans="1:102" ht="13.5" thickBot="1" x14ac:dyDescent="0.25">
      <c r="A135" s="302" t="s">
        <v>6847</v>
      </c>
      <c r="B135" s="301" t="s">
        <v>6807</v>
      </c>
      <c r="C135" s="301" t="str">
        <f t="shared" si="3"/>
        <v>Aumento de daño+75</v>
      </c>
      <c r="D135" s="302">
        <v>6</v>
      </c>
      <c r="E135" s="302">
        <v>9</v>
      </c>
      <c r="F135" s="302">
        <v>20</v>
      </c>
      <c r="G135" s="302">
        <v>3</v>
      </c>
      <c r="H135" s="302">
        <v>6</v>
      </c>
      <c r="I135" s="302">
        <v>11</v>
      </c>
      <c r="J135" s="302">
        <v>1</v>
      </c>
      <c r="N135" s="302" t="s">
        <v>6842</v>
      </c>
      <c r="P135" s="302">
        <v>1</v>
      </c>
      <c r="R135" s="302">
        <v>3</v>
      </c>
      <c r="S135" s="302">
        <v>2</v>
      </c>
      <c r="T135" s="302">
        <v>2</v>
      </c>
      <c r="V135" s="537">
        <f>IF('Técnicas de Ki'!B30=0,0,IF('Técnicas de Ki'!I30=TS!V$119,'Técnicas de Ki'!C30-(IF($O135&lt;&gt;0,'Técnicas de Ki'!L30,0)+IF($P135&lt;&gt;0,'Técnicas de Ki'!M30,0)+IF($Q135&lt;&gt;0,'Técnicas de Ki'!N30,0)+IF($R135&lt;&gt;0,'Técnicas de Ki'!O30,0)+IF($S135&lt;&gt;0,'Técnicas de Ki'!P30,0)+IF($T135&lt;&gt;0,'Técnicas de Ki'!Q30,0)),0))</f>
        <v>0</v>
      </c>
      <c r="W135" s="538">
        <f>IF('Técnicas de Ki'!B30=0,0,IF('Técnicas de Ki'!I30=TS!W$119,'Técnicas de Ki'!C30-(IF($O135&lt;&gt;0,'Técnicas de Ki'!L30,0)+IF($P135&lt;&gt;0,'Técnicas de Ki'!M30,0)+IF($Q135&lt;&gt;0,'Técnicas de Ki'!N30,0)+IF($R135&lt;&gt;0,'Técnicas de Ki'!O30,0)+IF($S135&lt;&gt;0,'Técnicas de Ki'!P30,0)+IF($T135&lt;&gt;0,'Técnicas de Ki'!Q30,0)),0))</f>
        <v>0</v>
      </c>
      <c r="X135" s="538">
        <f>IF('Técnicas de Ki'!B30=0,0,IF('Técnicas de Ki'!I30=TS!X$119,'Técnicas de Ki'!C30-(IF($O135&lt;&gt;0,'Técnicas de Ki'!L30,0)+IF($P135&lt;&gt;0,'Técnicas de Ki'!M30,0)+IF($Q135&lt;&gt;0,'Técnicas de Ki'!N30,0)+IF($R135&lt;&gt;0,'Técnicas de Ki'!O30,0)+IF($S135&lt;&gt;0,'Técnicas de Ki'!P30,0)+IF($T135&lt;&gt;0,'Técnicas de Ki'!Q30,0)),0))</f>
        <v>0</v>
      </c>
      <c r="Y135" s="538">
        <f>IF('Técnicas de Ki'!B30=0,0,IF('Técnicas de Ki'!I30=TS!Y$119,'Técnicas de Ki'!C30-(IF($O135&lt;&gt;0,'Técnicas de Ki'!L30,0)+IF($P135&lt;&gt;0,'Técnicas de Ki'!M30,0)+IF($Q135&lt;&gt;0,'Técnicas de Ki'!N30,0)+IF($R135&lt;&gt;0,'Técnicas de Ki'!O30,0)+IF($S135&lt;&gt;0,'Técnicas de Ki'!P30,0)+IF($T135&lt;&gt;0,'Técnicas de Ki'!Q30,0)),0))</f>
        <v>0</v>
      </c>
      <c r="Z135" s="538">
        <f>IF('Técnicas de Ki'!B30=0,0,IF('Técnicas de Ki'!I30=TS!Z$119,'Técnicas de Ki'!C30-(IF($O135&lt;&gt;0,'Técnicas de Ki'!L30,0)+IF($P135&lt;&gt;0,'Técnicas de Ki'!M30,0)+IF($Q135&lt;&gt;0,'Técnicas de Ki'!N30,0)+IF($R135&lt;&gt;0,'Técnicas de Ki'!O30,0)+IF($S135&lt;&gt;0,'Técnicas de Ki'!P30,0)+IF($T135&lt;&gt;0,'Técnicas de Ki'!Q30,0)),0))</f>
        <v>0</v>
      </c>
      <c r="AA135" s="539">
        <f>IF('Técnicas de Ki'!B30=0,0,IF('Técnicas de Ki'!I30=TS!AA$119,'Técnicas de Ki'!C30-(IF($O135&lt;&gt;0,'Técnicas de Ki'!L30,0)+IF($P135&lt;&gt;0,'Técnicas de Ki'!M30,0)+IF($Q135&lt;&gt;0,'Técnicas de Ki'!N30,0)+IF($R135&lt;&gt;0,'Técnicas de Ki'!O30,0)+IF($S135&lt;&gt;0,'Técnicas de Ki'!P30,0)+IF($T135&lt;&gt;0,'Técnicas de Ki'!Q30,0)),0))</f>
        <v>0</v>
      </c>
      <c r="AB135" s="538">
        <f>IF('Técnicas de Ki'!B30=0,0,IFERROR(IF('Técnicas de Ki'!L30&lt;&gt;0,'Técnicas de Ki'!L30+TS!$O135,0)*$O135/$O135,0))</f>
        <v>0</v>
      </c>
      <c r="AC135" s="538">
        <f>IF('Técnicas de Ki'!B30=0,0,IFERROR(IF('Técnicas de Ki'!M30&lt;&gt;0,'Técnicas de Ki'!M30+TS!$P135,0)*$P135/$P135,0))</f>
        <v>0</v>
      </c>
      <c r="AD135" s="538">
        <f>IF('Técnicas de Ki'!B30=0,0,IFERROR(IF('Técnicas de Ki'!N30&lt;&gt;0,'Técnicas de Ki'!N30+TS!$Q135,0)*$Q135/$Q135,0))</f>
        <v>0</v>
      </c>
      <c r="AE135" s="538">
        <f>IF('Técnicas de Ki'!B30=0,0,IFERROR(IF('Técnicas de Ki'!O30&lt;&gt;0,'Técnicas de Ki'!O30+TS!$R135,0)*$R135/$R135,0))</f>
        <v>0</v>
      </c>
      <c r="AF135" s="538">
        <f>IF('Técnicas de Ki'!B30=0,0,IFERROR(IF('Técnicas de Ki'!P30&lt;&gt;0,'Técnicas de Ki'!P30+TS!$S135,0)*$S135/$S135,0))</f>
        <v>0</v>
      </c>
      <c r="AG135" s="539">
        <f>IF('Técnicas de Ki'!B30=0,0,IFERROR(IF('Técnicas de Ki'!Q30&lt;&gt;0,'Técnicas de Ki'!Q30+TS!$T135,0)*$T135/$T135,0))</f>
        <v>0</v>
      </c>
      <c r="AI135" s="570" t="str">
        <f>IF('Técnicas de Ki'!B32&lt;&gt;0,'Técnicas de Ki'!A32&amp;" "&amp;'Técnicas de Ki'!B32,"")</f>
        <v/>
      </c>
      <c r="AJ135" s="302" t="b">
        <v>0</v>
      </c>
      <c r="AK135" s="302" t="str">
        <f t="shared" si="4"/>
        <v/>
      </c>
      <c r="AL135" s="573" t="str">
        <f>IF(AM135,N136&amp;": "&amp;CONCATENATE(AK135,AK136,AK137,AK138,AK139,AK140,AK141,AK142),"")&amp;IF(AM135,"  ","")</f>
        <v/>
      </c>
      <c r="AM135" s="302" t="b">
        <f>OR(AJ135:AJ142,AI142&lt;&gt;"")</f>
        <v>0</v>
      </c>
      <c r="AQ135" s="537">
        <f>IF('Técnicas de Ki'!W30=0,0,IF('Técnicas de Ki'!AD30=TS!AQ$119,'Técnicas de Ki'!X30-(IF($O135&lt;&gt;0,'Técnicas de Ki'!AG30,0)+IF($P135&lt;&gt;0,'Técnicas de Ki'!AH30,0)+IF($Q135&lt;&gt;0,'Técnicas de Ki'!AI30,0)+IF($R135&lt;&gt;0,'Técnicas de Ki'!AJ30,0)+IF($S135&lt;&gt;0,'Técnicas de Ki'!AK30,0)+IF($T135&lt;&gt;0,'Técnicas de Ki'!AL30,0)),0))</f>
        <v>0</v>
      </c>
      <c r="AR135" s="538">
        <f>IF('Técnicas de Ki'!W30=0,0,IF('Técnicas de Ki'!AD30=TS!AR$119,'Técnicas de Ki'!X30-(IF($O135&lt;&gt;0,'Técnicas de Ki'!AG30,0)+IF($P135&lt;&gt;0,'Técnicas de Ki'!AH30,0)+IF($Q135&lt;&gt;0,'Técnicas de Ki'!AI30,0)+IF($R135&lt;&gt;0,'Técnicas de Ki'!AJ30,0)+IF($S135&lt;&gt;0,'Técnicas de Ki'!AK30,0)+IF($T135&lt;&gt;0,'Técnicas de Ki'!AL30,0)),0))</f>
        <v>0</v>
      </c>
      <c r="AS135" s="538">
        <f>IF('Técnicas de Ki'!W30=0,0,IF('Técnicas de Ki'!AD30=TS!AS$119,'Técnicas de Ki'!X30-(IF($O135&lt;&gt;0,'Técnicas de Ki'!AG30,0)+IF($P135&lt;&gt;0,'Técnicas de Ki'!AH30,0)+IF($Q135&lt;&gt;0,'Técnicas de Ki'!AI30,0)+IF($R135&lt;&gt;0,'Técnicas de Ki'!AJ30,0)+IF($S135&lt;&gt;0,'Técnicas de Ki'!AK30,0)+IF($T135&lt;&gt;0,'Técnicas de Ki'!AL30,0)),0))</f>
        <v>0</v>
      </c>
      <c r="AT135" s="538">
        <f>IF('Técnicas de Ki'!W30=0,0,IF('Técnicas de Ki'!AD30=TS!AT$119,'Técnicas de Ki'!X30-(IF($O135&lt;&gt;0,'Técnicas de Ki'!AG30,0)+IF($P135&lt;&gt;0,'Técnicas de Ki'!AH30,0)+IF($Q135&lt;&gt;0,'Técnicas de Ki'!AI30,0)+IF($R135&lt;&gt;0,'Técnicas de Ki'!AJ30,0)+IF($S135&lt;&gt;0,'Técnicas de Ki'!AK30,0)+IF($T135&lt;&gt;0,'Técnicas de Ki'!AL30,0)),0))</f>
        <v>0</v>
      </c>
      <c r="AU135" s="538">
        <f>IF('Técnicas de Ki'!W30=0,0,IF('Técnicas de Ki'!AD30=TS!AU$119,'Técnicas de Ki'!X30-(IF($O135&lt;&gt;0,'Técnicas de Ki'!AG30,0)+IF($P135&lt;&gt;0,'Técnicas de Ki'!AH30,0)+IF($Q135&lt;&gt;0,'Técnicas de Ki'!AI30,0)+IF($R135&lt;&gt;0,'Técnicas de Ki'!AJ30,0)+IF($S135&lt;&gt;0,'Técnicas de Ki'!AK30,0)+IF($T135&lt;&gt;0,'Técnicas de Ki'!AL30,0)),0))</f>
        <v>0</v>
      </c>
      <c r="AV135" s="539">
        <f>IF('Técnicas de Ki'!W30=0,0,IF('Técnicas de Ki'!AD30=TS!AV$119,'Técnicas de Ki'!X30-(IF($O135&lt;&gt;0,'Técnicas de Ki'!AG30,0)+IF($P135&lt;&gt;0,'Técnicas de Ki'!AH30,0)+IF($Q135&lt;&gt;0,'Técnicas de Ki'!AI30,0)+IF($R135&lt;&gt;0,'Técnicas de Ki'!AJ30,0)+IF($S135&lt;&gt;0,'Técnicas de Ki'!AK30,0)+IF($T135&lt;&gt;0,'Técnicas de Ki'!AL30,0)),0))</f>
        <v>0</v>
      </c>
      <c r="AW135" s="538">
        <f>IF('Técnicas de Ki'!W30=0,0,IFERROR(IF('Técnicas de Ki'!AG30&lt;&gt;0,'Técnicas de Ki'!AG30+TS!$O135,0)*$O135/$O135,0))</f>
        <v>0</v>
      </c>
      <c r="AX135" s="538">
        <f>IF('Técnicas de Ki'!W30=0,0,IFERROR(IF('Técnicas de Ki'!AH30&lt;&gt;0,'Técnicas de Ki'!AH30+TS!$P135,0)*$P135/$P135,0))</f>
        <v>0</v>
      </c>
      <c r="AY135" s="538">
        <f>IF('Técnicas de Ki'!W30=0,0,IFERROR(IF('Técnicas de Ki'!AI30&lt;&gt;0,'Técnicas de Ki'!AI30+TS!$Q135,0)*$Q135/$Q135,0))</f>
        <v>0</v>
      </c>
      <c r="AZ135" s="538">
        <f>IF('Técnicas de Ki'!W30=0,0,IFERROR(IF('Técnicas de Ki'!AJ30&lt;&gt;0,'Técnicas de Ki'!AJ30+TS!$R135,0)*$R135/$R135,0))</f>
        <v>0</v>
      </c>
      <c r="BA135" s="538">
        <f>IF('Técnicas de Ki'!W30=0,0,IFERROR(IF('Técnicas de Ki'!AK30&lt;&gt;0,'Técnicas de Ki'!AK30+TS!$S135,0)*$S135/$S135,0))</f>
        <v>0</v>
      </c>
      <c r="BB135" s="539">
        <f>IF('Técnicas de Ki'!W30=0,0,IFERROR(IF('Técnicas de Ki'!AL30&lt;&gt;0,'Técnicas de Ki'!AL30+TS!$T135,0)*$T135/$T135,0))</f>
        <v>0</v>
      </c>
      <c r="BD135" s="570" t="str">
        <f>IF('Técnicas de Ki'!W32&lt;&gt;0,'Técnicas de Ki'!V32&amp;" "&amp;'Técnicas de Ki'!W32,"")</f>
        <v/>
      </c>
      <c r="BE135" s="302" t="b">
        <v>0</v>
      </c>
      <c r="BF135" s="302" t="str">
        <f t="shared" si="5"/>
        <v/>
      </c>
      <c r="BG135" s="573" t="str">
        <f>IF(BH135,AI136&amp;": "&amp;CONCATENATE(BF135,BF136,BF137,BF138,BF139,BF140,BF141,BF142),"")&amp;IF(BH135,"  ","")</f>
        <v/>
      </c>
      <c r="BH135" s="302" t="b">
        <f>OR(BE135:BE142,BD142&lt;&gt;"")</f>
        <v>0</v>
      </c>
      <c r="BL135" s="537">
        <f>IF('Técnicas de Ki'!AR30=0,0,IF('Técnicas de Ki'!AY30=TS!BL$119,'Técnicas de Ki'!AS30-(IF($O135&lt;&gt;0,'Técnicas de Ki'!BB30,0)+IF($P135&lt;&gt;0,'Técnicas de Ki'!BC30,0)+IF($Q135&lt;&gt;0,'Técnicas de Ki'!BD30,0)+IF($R135&lt;&gt;0,'Técnicas de Ki'!BE30,0)+IF($S135&lt;&gt;0,'Técnicas de Ki'!BF30,0)+IF($T135&lt;&gt;0,'Técnicas de Ki'!BG30,0)),0))</f>
        <v>0</v>
      </c>
      <c r="BM135" s="538">
        <f>IF('Técnicas de Ki'!AR30=0,0,IF('Técnicas de Ki'!AY30=TS!BM$119,'Técnicas de Ki'!AS30-(IF($O135&lt;&gt;0,'Técnicas de Ki'!BB30,0)+IF($P135&lt;&gt;0,'Técnicas de Ki'!BC30,0)+IF($Q135&lt;&gt;0,'Técnicas de Ki'!BD30,0)+IF($R135&lt;&gt;0,'Técnicas de Ki'!BE30,0)+IF($S135&lt;&gt;0,'Técnicas de Ki'!BF30,0)+IF($T135&lt;&gt;0,'Técnicas de Ki'!BG30,0)),0))</f>
        <v>0</v>
      </c>
      <c r="BN135" s="538">
        <f>IF('Técnicas de Ki'!AR30=0,0,IF('Técnicas de Ki'!AY30=TS!BN$119,'Técnicas de Ki'!AS30-(IF($O135&lt;&gt;0,'Técnicas de Ki'!BB30,0)+IF($P135&lt;&gt;0,'Técnicas de Ki'!BC30,0)+IF($Q135&lt;&gt;0,'Técnicas de Ki'!BD30,0)+IF($R135&lt;&gt;0,'Técnicas de Ki'!BE30,0)+IF($S135&lt;&gt;0,'Técnicas de Ki'!BF30,0)+IF($T135&lt;&gt;0,'Técnicas de Ki'!BG30,0)),0))</f>
        <v>0</v>
      </c>
      <c r="BO135" s="538">
        <f>IF('Técnicas de Ki'!AR30=0,0,IF('Técnicas de Ki'!AY30=TS!BO$119,'Técnicas de Ki'!AS30-(IF($O135&lt;&gt;0,'Técnicas de Ki'!BB30,0)+IF($P135&lt;&gt;0,'Técnicas de Ki'!BC30,0)+IF($Q135&lt;&gt;0,'Técnicas de Ki'!BD30,0)+IF($R135&lt;&gt;0,'Técnicas de Ki'!BE30,0)+IF($S135&lt;&gt;0,'Técnicas de Ki'!BF30,0)+IF($T135&lt;&gt;0,'Técnicas de Ki'!BG30,0)),0))</f>
        <v>0</v>
      </c>
      <c r="BP135" s="538">
        <f>IF('Técnicas de Ki'!AR30=0,0,IF('Técnicas de Ki'!AY30=TS!BP$119,'Técnicas de Ki'!AS30-(IF($O135&lt;&gt;0,'Técnicas de Ki'!BB30,0)+IF($P135&lt;&gt;0,'Técnicas de Ki'!BC30,0)+IF($Q135&lt;&gt;0,'Técnicas de Ki'!BD30,0)+IF($R135&lt;&gt;0,'Técnicas de Ki'!BE30,0)+IF($S135&lt;&gt;0,'Técnicas de Ki'!BF30,0)+IF($T135&lt;&gt;0,'Técnicas de Ki'!BG30,0)),0))</f>
        <v>0</v>
      </c>
      <c r="BQ135" s="539">
        <f>IF('Técnicas de Ki'!AR30=0,0,IF('Técnicas de Ki'!AY30=TS!BQ$119,'Técnicas de Ki'!AS30-(IF($O135&lt;&gt;0,'Técnicas de Ki'!BB30,0)+IF($P135&lt;&gt;0,'Técnicas de Ki'!BC30,0)+IF($Q135&lt;&gt;0,'Técnicas de Ki'!BD30,0)+IF($R135&lt;&gt;0,'Técnicas de Ki'!BE30,0)+IF($S135&lt;&gt;0,'Técnicas de Ki'!BF30,0)+IF($T135&lt;&gt;0,'Técnicas de Ki'!BG30,0)),0))</f>
        <v>0</v>
      </c>
      <c r="BR135" s="538">
        <f>IF('Técnicas de Ki'!AR30=0,0,IFERROR(IF('Técnicas de Ki'!BB30&lt;&gt;0,'Técnicas de Ki'!BB30+TS!$O135,0)*$O135/$O135,0))</f>
        <v>0</v>
      </c>
      <c r="BS135" s="538">
        <f>IF('Técnicas de Ki'!AR30=0,0,IFERROR(IF('Técnicas de Ki'!BC30&lt;&gt;0,'Técnicas de Ki'!BC30+TS!$P135,0)*$P135/$P135,0))</f>
        <v>0</v>
      </c>
      <c r="BT135" s="538">
        <f>IF('Técnicas de Ki'!AR30=0,0,IFERROR(IF('Técnicas de Ki'!BD30&lt;&gt;0,'Técnicas de Ki'!BD30+TS!$Q135,0)*$Q135/$Q135,0))</f>
        <v>0</v>
      </c>
      <c r="BU135" s="538">
        <f>IF('Técnicas de Ki'!AR30=0,0,IFERROR(IF('Técnicas de Ki'!BE30&lt;&gt;0,'Técnicas de Ki'!BE30+TS!$R135,0)*$R135/$R135,0))</f>
        <v>0</v>
      </c>
      <c r="BV135" s="538">
        <f>IF('Técnicas de Ki'!AR30=0,0,IFERROR(IF('Técnicas de Ki'!BF30&lt;&gt;0,'Técnicas de Ki'!BF30+TS!$S135,0)*$S135/$S135,0))</f>
        <v>0</v>
      </c>
      <c r="BW135" s="539">
        <f>IF('Técnicas de Ki'!AR30=0,0,IFERROR(IF('Técnicas de Ki'!BG30&lt;&gt;0,'Técnicas de Ki'!BG30+TS!$T135,0)*$T135/$T135,0))</f>
        <v>0</v>
      </c>
      <c r="BY135" s="570" t="str">
        <f>IF('Técnicas de Ki'!AR32&lt;&gt;0,'Técnicas de Ki'!AQ32&amp;" "&amp;'Técnicas de Ki'!AR32,"")</f>
        <v/>
      </c>
      <c r="BZ135" s="302" t="b">
        <v>0</v>
      </c>
      <c r="CA135" s="302" t="str">
        <f t="shared" si="6"/>
        <v/>
      </c>
      <c r="CB135" s="573" t="str">
        <f>IF(CC135,BD136&amp;": "&amp;CONCATENATE(CA135,CA136,CA137,CA138,CA139,CA140,CA141,CA142),"")&amp;IF(CC135,"  ","")</f>
        <v/>
      </c>
      <c r="CC135" s="302" t="b">
        <f>OR(BZ135:BZ142,BY142&lt;&gt;"")</f>
        <v>0</v>
      </c>
      <c r="CG135" s="537">
        <f>IF('Técnicas de Ki'!BM30=0,0,IF('Técnicas de Ki'!BT30=TS!CG$119,'Técnicas de Ki'!BN30-(IF($O135&lt;&gt;0,'Técnicas de Ki'!BW30,0)+IF($P135&lt;&gt;0,'Técnicas de Ki'!BX30,0)+IF($Q135&lt;&gt;0,'Técnicas de Ki'!BY30,0)+IF($R135&lt;&gt;0,'Técnicas de Ki'!BZ30,0)+IF($S135&lt;&gt;0,'Técnicas de Ki'!CA30,0)+IF($T135&lt;&gt;0,'Técnicas de Ki'!CB30,0)),0))</f>
        <v>0</v>
      </c>
      <c r="CH135" s="538">
        <f>IF('Técnicas de Ki'!BM30=0,0,IF('Técnicas de Ki'!BT30=TS!CH$119,'Técnicas de Ki'!BN30-(IF($O135&lt;&gt;0,'Técnicas de Ki'!BW30,0)+IF($P135&lt;&gt;0,'Técnicas de Ki'!BX30,0)+IF($Q135&lt;&gt;0,'Técnicas de Ki'!BY30,0)+IF($R135&lt;&gt;0,'Técnicas de Ki'!BZ30,0)+IF($S135&lt;&gt;0,'Técnicas de Ki'!CA30,0)+IF($T135&lt;&gt;0,'Técnicas de Ki'!CB30,0)),0))</f>
        <v>0</v>
      </c>
      <c r="CI135" s="538">
        <f>IF('Técnicas de Ki'!BM30=0,0,IF('Técnicas de Ki'!BT30=TS!CI$119,'Técnicas de Ki'!BN30-(IF($O135&lt;&gt;0,'Técnicas de Ki'!BW30,0)+IF($P135&lt;&gt;0,'Técnicas de Ki'!BX30,0)+IF($Q135&lt;&gt;0,'Técnicas de Ki'!BY30,0)+IF($R135&lt;&gt;0,'Técnicas de Ki'!BZ30,0)+IF($S135&lt;&gt;0,'Técnicas de Ki'!CA30,0)+IF($T135&lt;&gt;0,'Técnicas de Ki'!CB30,0)),0))</f>
        <v>0</v>
      </c>
      <c r="CJ135" s="538">
        <f>IF('Técnicas de Ki'!BM30=0,0,IF('Técnicas de Ki'!BT30=TS!CJ$119,'Técnicas de Ki'!BN30-(IF($O135&lt;&gt;0,'Técnicas de Ki'!BW30,0)+IF($P135&lt;&gt;0,'Técnicas de Ki'!BX30,0)+IF($Q135&lt;&gt;0,'Técnicas de Ki'!BY30,0)+IF($R135&lt;&gt;0,'Técnicas de Ki'!BZ30,0)+IF($S135&lt;&gt;0,'Técnicas de Ki'!CA30,0)+IF($T135&lt;&gt;0,'Técnicas de Ki'!CB30,0)),0))</f>
        <v>0</v>
      </c>
      <c r="CK135" s="538">
        <f>IF('Técnicas de Ki'!BM30=0,0,IF('Técnicas de Ki'!BT30=TS!CK$119,'Técnicas de Ki'!BN30-(IF($O135&lt;&gt;0,'Técnicas de Ki'!BW30,0)+IF($P135&lt;&gt;0,'Técnicas de Ki'!BX30,0)+IF($Q135&lt;&gt;0,'Técnicas de Ki'!BY30,0)+IF($R135&lt;&gt;0,'Técnicas de Ki'!BZ30,0)+IF($S135&lt;&gt;0,'Técnicas de Ki'!CA30,0)+IF($T135&lt;&gt;0,'Técnicas de Ki'!CB30,0)),0))</f>
        <v>0</v>
      </c>
      <c r="CL135" s="539">
        <f>IF('Técnicas de Ki'!BM30=0,0,IF('Técnicas de Ki'!BT30=TS!CL$119,'Técnicas de Ki'!BN30-(IF($O135&lt;&gt;0,'Técnicas de Ki'!BW30,0)+IF($P135&lt;&gt;0,'Técnicas de Ki'!BX30,0)+IF($Q135&lt;&gt;0,'Técnicas de Ki'!BY30,0)+IF($R135&lt;&gt;0,'Técnicas de Ki'!BZ30,0)+IF($S135&lt;&gt;0,'Técnicas de Ki'!CA30,0)+IF($T135&lt;&gt;0,'Técnicas de Ki'!CB30,0)),0))</f>
        <v>0</v>
      </c>
      <c r="CM135" s="538">
        <f>IF('Técnicas de Ki'!BM30=0,0,IFERROR(IF('Técnicas de Ki'!BW30&lt;&gt;0,'Técnicas de Ki'!BW30+TS!$O135,0)*$O135/$O135,0))</f>
        <v>0</v>
      </c>
      <c r="CN135" s="538">
        <f>IF('Técnicas de Ki'!BM30=0,0,IFERROR(IF('Técnicas de Ki'!BX30&lt;&gt;0,'Técnicas de Ki'!BX30+TS!$P135,0)*$P135/$P135,0))</f>
        <v>0</v>
      </c>
      <c r="CO135" s="538">
        <f>IF('Técnicas de Ki'!BM30=0,0,IFERROR(IF('Técnicas de Ki'!BY30&lt;&gt;0,'Técnicas de Ki'!BY30+TS!$Q135,0)*$Q135/$Q135,0))</f>
        <v>0</v>
      </c>
      <c r="CP135" s="538">
        <f>IF('Técnicas de Ki'!BM30=0,0,IFERROR(IF('Técnicas de Ki'!BZ30&lt;&gt;0,'Técnicas de Ki'!BZ30+TS!$R135,0)*$R135/$R135,0))</f>
        <v>0</v>
      </c>
      <c r="CQ135" s="538">
        <f>IF('Técnicas de Ki'!BM30=0,0,IFERROR(IF('Técnicas de Ki'!CA30&lt;&gt;0,'Técnicas de Ki'!CA30+TS!$S135,0)*$S135/$S135,0))</f>
        <v>0</v>
      </c>
      <c r="CR135" s="539">
        <f>IF('Técnicas de Ki'!BM30=0,0,IFERROR(IF('Técnicas de Ki'!CB30&lt;&gt;0,'Técnicas de Ki'!CB30+TS!$T135,0)*$T135/$T135,0))</f>
        <v>0</v>
      </c>
      <c r="CT135" s="570" t="str">
        <f>IF('Técnicas de Ki'!BM32&lt;&gt;0,'Técnicas de Ki'!BL32&amp;" "&amp;'Técnicas de Ki'!BM32,"")</f>
        <v/>
      </c>
      <c r="CU135" s="302" t="b">
        <v>0</v>
      </c>
      <c r="CV135" s="302" t="str">
        <f t="shared" si="7"/>
        <v/>
      </c>
      <c r="CW135" s="573" t="str">
        <f>IF(CX135,BY136&amp;": "&amp;CONCATENATE(CV135,CV136,CV137,CV138,CV139,CV140,CV141,CV142),"")&amp;IF(CX135,"  ","")</f>
        <v/>
      </c>
      <c r="CX135" s="302" t="b">
        <f>OR(CU135:CU142,CT142&lt;&gt;"")</f>
        <v>0</v>
      </c>
    </row>
    <row r="136" spans="1:102" x14ac:dyDescent="0.2">
      <c r="A136" s="302" t="s">
        <v>6847</v>
      </c>
      <c r="B136" s="301" t="s">
        <v>6808</v>
      </c>
      <c r="C136" s="301" t="str">
        <f t="shared" ref="C136:C198" si="15">A136&amp;B136</f>
        <v>Aumento de daño+90</v>
      </c>
      <c r="D136" s="302">
        <v>8</v>
      </c>
      <c r="E136" s="302">
        <v>11</v>
      </c>
      <c r="F136" s="302">
        <v>25</v>
      </c>
      <c r="G136" s="302">
        <v>4</v>
      </c>
      <c r="H136" s="302">
        <v>8</v>
      </c>
      <c r="I136" s="302">
        <v>14</v>
      </c>
      <c r="J136" s="302">
        <v>1</v>
      </c>
      <c r="N136" s="303" t="s">
        <v>6846</v>
      </c>
      <c r="O136" s="298"/>
      <c r="P136" s="298"/>
      <c r="Q136" s="298"/>
      <c r="R136" s="298"/>
      <c r="S136" s="298"/>
      <c r="T136" s="545"/>
      <c r="V136" s="622"/>
      <c r="W136" s="546"/>
      <c r="X136" s="546"/>
      <c r="Y136" s="546"/>
      <c r="Z136" s="546"/>
      <c r="AA136" s="623"/>
      <c r="AB136" s="615"/>
      <c r="AC136" s="545"/>
      <c r="AD136" s="545"/>
      <c r="AE136" s="545"/>
      <c r="AF136" s="545"/>
      <c r="AG136" s="614"/>
      <c r="AI136" s="571" t="str">
        <f>IF('Técnicas de Ki'!B33&lt;&gt;0,'Técnicas de Ki'!A33&amp;" "&amp;'Técnicas de Ki'!B33,"")</f>
        <v/>
      </c>
      <c r="AJ136" s="302" t="b">
        <f t="shared" si="8"/>
        <v>0</v>
      </c>
      <c r="AK136" s="302" t="str">
        <f t="shared" si="4"/>
        <v/>
      </c>
      <c r="AQ136" s="622"/>
      <c r="AR136" s="546"/>
      <c r="AS136" s="546"/>
      <c r="AT136" s="546"/>
      <c r="AU136" s="546"/>
      <c r="AV136" s="623"/>
      <c r="AW136" s="615"/>
      <c r="AX136" s="545"/>
      <c r="AY136" s="545"/>
      <c r="AZ136" s="545"/>
      <c r="BA136" s="545"/>
      <c r="BB136" s="614"/>
      <c r="BD136" s="571" t="str">
        <f>IF('Técnicas de Ki'!W33&lt;&gt;0,'Técnicas de Ki'!V33&amp;" "&amp;'Técnicas de Ki'!W33,"")</f>
        <v/>
      </c>
      <c r="BE136" s="302" t="b">
        <f t="shared" ref="BE136:BE199" si="16">OR(BE135,BD135&lt;&gt;"")</f>
        <v>0</v>
      </c>
      <c r="BF136" s="302" t="str">
        <f t="shared" si="5"/>
        <v/>
      </c>
      <c r="BL136" s="622"/>
      <c r="BM136" s="546"/>
      <c r="BN136" s="546"/>
      <c r="BO136" s="546"/>
      <c r="BP136" s="546"/>
      <c r="BQ136" s="623"/>
      <c r="BR136" s="615"/>
      <c r="BS136" s="545"/>
      <c r="BT136" s="545"/>
      <c r="BU136" s="545"/>
      <c r="BV136" s="545"/>
      <c r="BW136" s="614"/>
      <c r="BY136" s="571" t="str">
        <f>IF('Técnicas de Ki'!AR33&lt;&gt;0,'Técnicas de Ki'!AQ33&amp;" "&amp;'Técnicas de Ki'!AR33,"")</f>
        <v/>
      </c>
      <c r="BZ136" s="302" t="b">
        <f t="shared" ref="BZ136:BZ199" si="17">OR(BZ135,BY135&lt;&gt;"")</f>
        <v>0</v>
      </c>
      <c r="CA136" s="302" t="str">
        <f t="shared" si="6"/>
        <v/>
      </c>
      <c r="CG136" s="622"/>
      <c r="CH136" s="546"/>
      <c r="CI136" s="546"/>
      <c r="CJ136" s="546"/>
      <c r="CK136" s="546"/>
      <c r="CL136" s="623"/>
      <c r="CM136" s="615"/>
      <c r="CN136" s="545"/>
      <c r="CO136" s="545"/>
      <c r="CP136" s="545"/>
      <c r="CQ136" s="545"/>
      <c r="CR136" s="614"/>
      <c r="CT136" s="571" t="str">
        <f>IF('Técnicas de Ki'!BM33&lt;&gt;0,'Técnicas de Ki'!BL33&amp;" "&amp;'Técnicas de Ki'!BM33,"")</f>
        <v/>
      </c>
      <c r="CU136" s="302" t="b">
        <f t="shared" ref="CU136:CU199" si="18">OR(CU135,CT135&lt;&gt;"")</f>
        <v>0</v>
      </c>
      <c r="CV136" s="302" t="str">
        <f t="shared" si="7"/>
        <v/>
      </c>
    </row>
    <row r="137" spans="1:102" x14ac:dyDescent="0.2">
      <c r="A137" s="302" t="s">
        <v>6847</v>
      </c>
      <c r="B137" s="301" t="s">
        <v>6809</v>
      </c>
      <c r="C137" s="301" t="str">
        <f t="shared" si="15"/>
        <v>Aumento de daño+100</v>
      </c>
      <c r="D137" s="302">
        <v>10</v>
      </c>
      <c r="E137" s="302">
        <v>13</v>
      </c>
      <c r="F137" s="302">
        <v>30</v>
      </c>
      <c r="G137" s="302">
        <v>5</v>
      </c>
      <c r="H137" s="302">
        <v>10</v>
      </c>
      <c r="I137" s="302">
        <v>18</v>
      </c>
      <c r="J137" s="302">
        <v>1</v>
      </c>
      <c r="N137" s="302" t="s">
        <v>6847</v>
      </c>
      <c r="Q137" s="302">
        <v>3</v>
      </c>
      <c r="R137" s="302">
        <v>1</v>
      </c>
      <c r="S137" s="302">
        <v>1</v>
      </c>
      <c r="T137" s="302">
        <v>2</v>
      </c>
      <c r="V137" s="537">
        <f>IF('Técnicas de Ki'!B32=0,0,IF('Técnicas de Ki'!I32=TS!V$119,'Técnicas de Ki'!C32-(IF($O137&lt;&gt;0,'Técnicas de Ki'!L32,0)+IF($P137&lt;&gt;0,'Técnicas de Ki'!M32,0)+IF($Q137&lt;&gt;0,'Técnicas de Ki'!N32,0)+IF($R137&lt;&gt;0,'Técnicas de Ki'!O32,0)+IF($S137&lt;&gt;0,'Técnicas de Ki'!P32,0)+IF($T137&lt;&gt;0,'Técnicas de Ki'!Q32,0)),0))</f>
        <v>0</v>
      </c>
      <c r="W137" s="538">
        <f>IF('Técnicas de Ki'!B32=0,0,IF('Técnicas de Ki'!I32=TS!W$119,'Técnicas de Ki'!C32-(IF($O137&lt;&gt;0,'Técnicas de Ki'!L32,0)+IF($P137&lt;&gt;0,'Técnicas de Ki'!M32,0)+IF($Q137&lt;&gt;0,'Técnicas de Ki'!N32,0)+IF($R137&lt;&gt;0,'Técnicas de Ki'!O32,0)+IF($S137&lt;&gt;0,'Técnicas de Ki'!P32,0)+IF($T137&lt;&gt;0,'Técnicas de Ki'!Q32,0)),0))</f>
        <v>0</v>
      </c>
      <c r="X137" s="538">
        <f>IF('Técnicas de Ki'!B32=0,0,IF('Técnicas de Ki'!I32=TS!X$119,'Técnicas de Ki'!C32-(IF($O137&lt;&gt;0,'Técnicas de Ki'!L32,0)+IF($P137&lt;&gt;0,'Técnicas de Ki'!M32,0)+IF($Q137&lt;&gt;0,'Técnicas de Ki'!N32,0)+IF($R137&lt;&gt;0,'Técnicas de Ki'!O32,0)+IF($S137&lt;&gt;0,'Técnicas de Ki'!P32,0)+IF($T137&lt;&gt;0,'Técnicas de Ki'!Q32,0)),0))</f>
        <v>0</v>
      </c>
      <c r="Y137" s="538">
        <f>IF('Técnicas de Ki'!B32=0,0,IF('Técnicas de Ki'!I32=TS!Y$119,'Técnicas de Ki'!C32-(IF($O137&lt;&gt;0,'Técnicas de Ki'!L32,0)+IF($P137&lt;&gt;0,'Técnicas de Ki'!M32,0)+IF($Q137&lt;&gt;0,'Técnicas de Ki'!N32,0)+IF($R137&lt;&gt;0,'Técnicas de Ki'!O32,0)+IF($S137&lt;&gt;0,'Técnicas de Ki'!P32,0)+IF($T137&lt;&gt;0,'Técnicas de Ki'!Q32,0)),0))</f>
        <v>0</v>
      </c>
      <c r="Z137" s="538">
        <f>IF('Técnicas de Ki'!B32=0,0,IF('Técnicas de Ki'!I32=TS!Z$119,'Técnicas de Ki'!C32-(IF($O137&lt;&gt;0,'Técnicas de Ki'!L32,0)+IF($P137&lt;&gt;0,'Técnicas de Ki'!M32,0)+IF($Q137&lt;&gt;0,'Técnicas de Ki'!N32,0)+IF($R137&lt;&gt;0,'Técnicas de Ki'!O32,0)+IF($S137&lt;&gt;0,'Técnicas de Ki'!P32,0)+IF($T137&lt;&gt;0,'Técnicas de Ki'!Q32,0)),0))</f>
        <v>0</v>
      </c>
      <c r="AA137" s="539">
        <f>IF('Técnicas de Ki'!B32=0,0,IF('Técnicas de Ki'!I32=TS!AA$119,'Técnicas de Ki'!C32-(IF($O137&lt;&gt;0,'Técnicas de Ki'!L32,0)+IF($P137&lt;&gt;0,'Técnicas de Ki'!M32,0)+IF($Q137&lt;&gt;0,'Técnicas de Ki'!N32,0)+IF($R137&lt;&gt;0,'Técnicas de Ki'!O32,0)+IF($S137&lt;&gt;0,'Técnicas de Ki'!P32,0)+IF($T137&lt;&gt;0,'Técnicas de Ki'!Q32,0)),0))</f>
        <v>0</v>
      </c>
      <c r="AB137" s="538">
        <f>IF('Técnicas de Ki'!B32=0,0,IFERROR(IF('Técnicas de Ki'!L32&lt;&gt;0,'Técnicas de Ki'!L32+TS!$O137,0)*$O137/$O137,0))</f>
        <v>0</v>
      </c>
      <c r="AC137" s="538">
        <f>IF('Técnicas de Ki'!B32=0,0,IFERROR(IF('Técnicas de Ki'!M32&lt;&gt;0,'Técnicas de Ki'!M32+TS!$P137,0)*$P137/$P137,0))</f>
        <v>0</v>
      </c>
      <c r="AD137" s="538">
        <f>IF('Técnicas de Ki'!B32=0,0,IFERROR(IF('Técnicas de Ki'!N32&lt;&gt;0,'Técnicas de Ki'!N32+TS!$Q137,0)*$Q137/$Q137,0))</f>
        <v>0</v>
      </c>
      <c r="AE137" s="538">
        <f>IF('Técnicas de Ki'!B32=0,0,IFERROR(IF('Técnicas de Ki'!O32&lt;&gt;0,'Técnicas de Ki'!O32+TS!$R137,0)*$R137/$R137,0))</f>
        <v>0</v>
      </c>
      <c r="AF137" s="538">
        <f>IF('Técnicas de Ki'!B32=0,0,IFERROR(IF('Técnicas de Ki'!P32&lt;&gt;0,'Técnicas de Ki'!P32+TS!$S137,0)*$S137/$S137,0))</f>
        <v>0</v>
      </c>
      <c r="AG137" s="539">
        <f>IF('Técnicas de Ki'!B32=0,0,IFERROR(IF('Técnicas de Ki'!Q32&lt;&gt;0,'Técnicas de Ki'!Q32+TS!$T137,0)*$T137/$T137,0))</f>
        <v>0</v>
      </c>
      <c r="AI137" s="571" t="str">
        <f>IF('Técnicas de Ki'!B34&lt;&gt;0,'Técnicas de Ki'!A34&amp;" "&amp;'Técnicas de Ki'!B34,"")</f>
        <v/>
      </c>
      <c r="AJ137" s="302" t="b">
        <f t="shared" si="8"/>
        <v>0</v>
      </c>
      <c r="AK137" s="302" t="str">
        <f t="shared" si="4"/>
        <v/>
      </c>
      <c r="AQ137" s="537">
        <f>IF('Técnicas de Ki'!W32=0,0,IF('Técnicas de Ki'!AD32=TS!AQ$119,'Técnicas de Ki'!X32-(IF($O137&lt;&gt;0,'Técnicas de Ki'!AG32,0)+IF($P137&lt;&gt;0,'Técnicas de Ki'!AH32,0)+IF($Q137&lt;&gt;0,'Técnicas de Ki'!AI32,0)+IF($R137&lt;&gt;0,'Técnicas de Ki'!AJ32,0)+IF($S137&lt;&gt;0,'Técnicas de Ki'!AK32,0)+IF($T137&lt;&gt;0,'Técnicas de Ki'!AL32,0)),0))</f>
        <v>0</v>
      </c>
      <c r="AR137" s="538">
        <f>IF('Técnicas de Ki'!W32=0,0,IF('Técnicas de Ki'!AD32=TS!AR$119,'Técnicas de Ki'!X32-(IF($O137&lt;&gt;0,'Técnicas de Ki'!AG32,0)+IF($P137&lt;&gt;0,'Técnicas de Ki'!AH32,0)+IF($Q137&lt;&gt;0,'Técnicas de Ki'!AI32,0)+IF($R137&lt;&gt;0,'Técnicas de Ki'!AJ32,0)+IF($S137&lt;&gt;0,'Técnicas de Ki'!AK32,0)+IF($T137&lt;&gt;0,'Técnicas de Ki'!AL32,0)),0))</f>
        <v>0</v>
      </c>
      <c r="AS137" s="538">
        <f>IF('Técnicas de Ki'!W32=0,0,IF('Técnicas de Ki'!AD32=TS!AS$119,'Técnicas de Ki'!X32-(IF($O137&lt;&gt;0,'Técnicas de Ki'!AG32,0)+IF($P137&lt;&gt;0,'Técnicas de Ki'!AH32,0)+IF($Q137&lt;&gt;0,'Técnicas de Ki'!AI32,0)+IF($R137&lt;&gt;0,'Técnicas de Ki'!AJ32,0)+IF($S137&lt;&gt;0,'Técnicas de Ki'!AK32,0)+IF($T137&lt;&gt;0,'Técnicas de Ki'!AL32,0)),0))</f>
        <v>0</v>
      </c>
      <c r="AT137" s="538">
        <f>IF('Técnicas de Ki'!W32=0,0,IF('Técnicas de Ki'!AD32=TS!AT$119,'Técnicas de Ki'!X32-(IF($O137&lt;&gt;0,'Técnicas de Ki'!AG32,0)+IF($P137&lt;&gt;0,'Técnicas de Ki'!AH32,0)+IF($Q137&lt;&gt;0,'Técnicas de Ki'!AI32,0)+IF($R137&lt;&gt;0,'Técnicas de Ki'!AJ32,0)+IF($S137&lt;&gt;0,'Técnicas de Ki'!AK32,0)+IF($T137&lt;&gt;0,'Técnicas de Ki'!AL32,0)),0))</f>
        <v>0</v>
      </c>
      <c r="AU137" s="538">
        <f>IF('Técnicas de Ki'!W32=0,0,IF('Técnicas de Ki'!AD32=TS!AU$119,'Técnicas de Ki'!X32-(IF($O137&lt;&gt;0,'Técnicas de Ki'!AG32,0)+IF($P137&lt;&gt;0,'Técnicas de Ki'!AH32,0)+IF($Q137&lt;&gt;0,'Técnicas de Ki'!AI32,0)+IF($R137&lt;&gt;0,'Técnicas de Ki'!AJ32,0)+IF($S137&lt;&gt;0,'Técnicas de Ki'!AK32,0)+IF($T137&lt;&gt;0,'Técnicas de Ki'!AL32,0)),0))</f>
        <v>0</v>
      </c>
      <c r="AV137" s="539">
        <f>IF('Técnicas de Ki'!W32=0,0,IF('Técnicas de Ki'!AD32=TS!AV$119,'Técnicas de Ki'!X32-(IF($O137&lt;&gt;0,'Técnicas de Ki'!AG32,0)+IF($P137&lt;&gt;0,'Técnicas de Ki'!AH32,0)+IF($Q137&lt;&gt;0,'Técnicas de Ki'!AI32,0)+IF($R137&lt;&gt;0,'Técnicas de Ki'!AJ32,0)+IF($S137&lt;&gt;0,'Técnicas de Ki'!AK32,0)+IF($T137&lt;&gt;0,'Técnicas de Ki'!AL32,0)),0))</f>
        <v>0</v>
      </c>
      <c r="AW137" s="538">
        <f>IF('Técnicas de Ki'!W32=0,0,IFERROR(IF('Técnicas de Ki'!AG32&lt;&gt;0,'Técnicas de Ki'!AG32+TS!$O137,0)*$O137/$O137,0))</f>
        <v>0</v>
      </c>
      <c r="AX137" s="538">
        <f>IF('Técnicas de Ki'!W32=0,0,IFERROR(IF('Técnicas de Ki'!AH32&lt;&gt;0,'Técnicas de Ki'!AH32+TS!$P137,0)*$P137/$P137,0))</f>
        <v>0</v>
      </c>
      <c r="AY137" s="538">
        <f>IF('Técnicas de Ki'!W32=0,0,IFERROR(IF('Técnicas de Ki'!AI32&lt;&gt;0,'Técnicas de Ki'!AI32+TS!$Q137,0)*$Q137/$Q137,0))</f>
        <v>0</v>
      </c>
      <c r="AZ137" s="538">
        <f>IF('Técnicas de Ki'!W32=0,0,IFERROR(IF('Técnicas de Ki'!AJ32&lt;&gt;0,'Técnicas de Ki'!AJ32+TS!$R137,0)*$R137/$R137,0))</f>
        <v>0</v>
      </c>
      <c r="BA137" s="538">
        <f>IF('Técnicas de Ki'!W32=0,0,IFERROR(IF('Técnicas de Ki'!AK32&lt;&gt;0,'Técnicas de Ki'!AK32+TS!$S137,0)*$S137/$S137,0))</f>
        <v>0</v>
      </c>
      <c r="BB137" s="539">
        <f>IF('Técnicas de Ki'!W32=0,0,IFERROR(IF('Técnicas de Ki'!AL32&lt;&gt;0,'Técnicas de Ki'!AL32+TS!$T137,0)*$T137/$T137,0))</f>
        <v>0</v>
      </c>
      <c r="BD137" s="571" t="str">
        <f>IF('Técnicas de Ki'!W34&lt;&gt;0,'Técnicas de Ki'!V34&amp;" "&amp;'Técnicas de Ki'!W34,"")</f>
        <v/>
      </c>
      <c r="BE137" s="302" t="b">
        <f t="shared" si="16"/>
        <v>0</v>
      </c>
      <c r="BF137" s="302" t="str">
        <f t="shared" si="5"/>
        <v/>
      </c>
      <c r="BL137" s="537">
        <f>IF('Técnicas de Ki'!AR32=0,0,IF('Técnicas de Ki'!AY32=TS!BL$119,'Técnicas de Ki'!AS32-(IF($O137&lt;&gt;0,'Técnicas de Ki'!BB32,0)+IF($P137&lt;&gt;0,'Técnicas de Ki'!BC32,0)+IF($Q137&lt;&gt;0,'Técnicas de Ki'!BD32,0)+IF($R137&lt;&gt;0,'Técnicas de Ki'!BE32,0)+IF($S137&lt;&gt;0,'Técnicas de Ki'!BF32,0)+IF($T137&lt;&gt;0,'Técnicas de Ki'!BG32,0)),0))</f>
        <v>0</v>
      </c>
      <c r="BM137" s="538">
        <f>IF('Técnicas de Ki'!AR32=0,0,IF('Técnicas de Ki'!AY32=TS!BM$119,'Técnicas de Ki'!AS32-(IF($O137&lt;&gt;0,'Técnicas de Ki'!BB32,0)+IF($P137&lt;&gt;0,'Técnicas de Ki'!BC32,0)+IF($Q137&lt;&gt;0,'Técnicas de Ki'!BD32,0)+IF($R137&lt;&gt;0,'Técnicas de Ki'!BE32,0)+IF($S137&lt;&gt;0,'Técnicas de Ki'!BF32,0)+IF($T137&lt;&gt;0,'Técnicas de Ki'!BG32,0)),0))</f>
        <v>0</v>
      </c>
      <c r="BN137" s="538">
        <f>IF('Técnicas de Ki'!AR32=0,0,IF('Técnicas de Ki'!AY32=TS!BN$119,'Técnicas de Ki'!AS32-(IF($O137&lt;&gt;0,'Técnicas de Ki'!BB32,0)+IF($P137&lt;&gt;0,'Técnicas de Ki'!BC32,0)+IF($Q137&lt;&gt;0,'Técnicas de Ki'!BD32,0)+IF($R137&lt;&gt;0,'Técnicas de Ki'!BE32,0)+IF($S137&lt;&gt;0,'Técnicas de Ki'!BF32,0)+IF($T137&lt;&gt;0,'Técnicas de Ki'!BG32,0)),0))</f>
        <v>0</v>
      </c>
      <c r="BO137" s="538">
        <f>IF('Técnicas de Ki'!AR32=0,0,IF('Técnicas de Ki'!AY32=TS!BO$119,'Técnicas de Ki'!AS32-(IF($O137&lt;&gt;0,'Técnicas de Ki'!BB32,0)+IF($P137&lt;&gt;0,'Técnicas de Ki'!BC32,0)+IF($Q137&lt;&gt;0,'Técnicas de Ki'!BD32,0)+IF($R137&lt;&gt;0,'Técnicas de Ki'!BE32,0)+IF($S137&lt;&gt;0,'Técnicas de Ki'!BF32,0)+IF($T137&lt;&gt;0,'Técnicas de Ki'!BG32,0)),0))</f>
        <v>0</v>
      </c>
      <c r="BP137" s="538">
        <f>IF('Técnicas de Ki'!AR32=0,0,IF('Técnicas de Ki'!AY32=TS!BP$119,'Técnicas de Ki'!AS32-(IF($O137&lt;&gt;0,'Técnicas de Ki'!BB32,0)+IF($P137&lt;&gt;0,'Técnicas de Ki'!BC32,0)+IF($Q137&lt;&gt;0,'Técnicas de Ki'!BD32,0)+IF($R137&lt;&gt;0,'Técnicas de Ki'!BE32,0)+IF($S137&lt;&gt;0,'Técnicas de Ki'!BF32,0)+IF($T137&lt;&gt;0,'Técnicas de Ki'!BG32,0)),0))</f>
        <v>0</v>
      </c>
      <c r="BQ137" s="539">
        <f>IF('Técnicas de Ki'!AR32=0,0,IF('Técnicas de Ki'!AY32=TS!BQ$119,'Técnicas de Ki'!AS32-(IF($O137&lt;&gt;0,'Técnicas de Ki'!BB32,0)+IF($P137&lt;&gt;0,'Técnicas de Ki'!BC32,0)+IF($Q137&lt;&gt;0,'Técnicas de Ki'!BD32,0)+IF($R137&lt;&gt;0,'Técnicas de Ki'!BE32,0)+IF($S137&lt;&gt;0,'Técnicas de Ki'!BF32,0)+IF($T137&lt;&gt;0,'Técnicas de Ki'!BG32,0)),0))</f>
        <v>0</v>
      </c>
      <c r="BR137" s="538">
        <f>IF('Técnicas de Ki'!AR32=0,0,IFERROR(IF('Técnicas de Ki'!BB32&lt;&gt;0,'Técnicas de Ki'!BB32+TS!$O137,0)*$O137/$O137,0))</f>
        <v>0</v>
      </c>
      <c r="BS137" s="538">
        <f>IF('Técnicas de Ki'!AR32=0,0,IFERROR(IF('Técnicas de Ki'!BC32&lt;&gt;0,'Técnicas de Ki'!BC32+TS!$P137,0)*$P137/$P137,0))</f>
        <v>0</v>
      </c>
      <c r="BT137" s="538">
        <f>IF('Técnicas de Ki'!AR32=0,0,IFERROR(IF('Técnicas de Ki'!BD32&lt;&gt;0,'Técnicas de Ki'!BD32+TS!$Q137,0)*$Q137/$Q137,0))</f>
        <v>0</v>
      </c>
      <c r="BU137" s="538">
        <f>IF('Técnicas de Ki'!AR32=0,0,IFERROR(IF('Técnicas de Ki'!BE32&lt;&gt;0,'Técnicas de Ki'!BE32+TS!$R137,0)*$R137/$R137,0))</f>
        <v>0</v>
      </c>
      <c r="BV137" s="538">
        <f>IF('Técnicas de Ki'!AR32=0,0,IFERROR(IF('Técnicas de Ki'!BF32&lt;&gt;0,'Técnicas de Ki'!BF32+TS!$S137,0)*$S137/$S137,0))</f>
        <v>0</v>
      </c>
      <c r="BW137" s="539">
        <f>IF('Técnicas de Ki'!AR32=0,0,IFERROR(IF('Técnicas de Ki'!BG32&lt;&gt;0,'Técnicas de Ki'!BG32+TS!$T137,0)*$T137/$T137,0))</f>
        <v>0</v>
      </c>
      <c r="BY137" s="571" t="str">
        <f>IF('Técnicas de Ki'!AR34&lt;&gt;0,'Técnicas de Ki'!AQ34&amp;" "&amp;'Técnicas de Ki'!AR34,"")</f>
        <v/>
      </c>
      <c r="BZ137" s="302" t="b">
        <f t="shared" si="17"/>
        <v>0</v>
      </c>
      <c r="CA137" s="302" t="str">
        <f t="shared" si="6"/>
        <v/>
      </c>
      <c r="CG137" s="537">
        <f>IF('Técnicas de Ki'!BM32=0,0,IF('Técnicas de Ki'!BT32=TS!CG$119,'Técnicas de Ki'!BN32-(IF($O137&lt;&gt;0,'Técnicas de Ki'!BW32,0)+IF($P137&lt;&gt;0,'Técnicas de Ki'!BX32,0)+IF($Q137&lt;&gt;0,'Técnicas de Ki'!BY32,0)+IF($R137&lt;&gt;0,'Técnicas de Ki'!BZ32,0)+IF($S137&lt;&gt;0,'Técnicas de Ki'!CA32,0)+IF($T137&lt;&gt;0,'Técnicas de Ki'!CB32,0)),0))</f>
        <v>0</v>
      </c>
      <c r="CH137" s="538">
        <f>IF('Técnicas de Ki'!BM32=0,0,IF('Técnicas de Ki'!BT32=TS!CH$119,'Técnicas de Ki'!BN32-(IF($O137&lt;&gt;0,'Técnicas de Ki'!BW32,0)+IF($P137&lt;&gt;0,'Técnicas de Ki'!BX32,0)+IF($Q137&lt;&gt;0,'Técnicas de Ki'!BY32,0)+IF($R137&lt;&gt;0,'Técnicas de Ki'!BZ32,0)+IF($S137&lt;&gt;0,'Técnicas de Ki'!CA32,0)+IF($T137&lt;&gt;0,'Técnicas de Ki'!CB32,0)),0))</f>
        <v>0</v>
      </c>
      <c r="CI137" s="538">
        <f>IF('Técnicas de Ki'!BM32=0,0,IF('Técnicas de Ki'!BT32=TS!CI$119,'Técnicas de Ki'!BN32-(IF($O137&lt;&gt;0,'Técnicas de Ki'!BW32,0)+IF($P137&lt;&gt;0,'Técnicas de Ki'!BX32,0)+IF($Q137&lt;&gt;0,'Técnicas de Ki'!BY32,0)+IF($R137&lt;&gt;0,'Técnicas de Ki'!BZ32,0)+IF($S137&lt;&gt;0,'Técnicas de Ki'!CA32,0)+IF($T137&lt;&gt;0,'Técnicas de Ki'!CB32,0)),0))</f>
        <v>0</v>
      </c>
      <c r="CJ137" s="538">
        <f>IF('Técnicas de Ki'!BM32=0,0,IF('Técnicas de Ki'!BT32=TS!CJ$119,'Técnicas de Ki'!BN32-(IF($O137&lt;&gt;0,'Técnicas de Ki'!BW32,0)+IF($P137&lt;&gt;0,'Técnicas de Ki'!BX32,0)+IF($Q137&lt;&gt;0,'Técnicas de Ki'!BY32,0)+IF($R137&lt;&gt;0,'Técnicas de Ki'!BZ32,0)+IF($S137&lt;&gt;0,'Técnicas de Ki'!CA32,0)+IF($T137&lt;&gt;0,'Técnicas de Ki'!CB32,0)),0))</f>
        <v>0</v>
      </c>
      <c r="CK137" s="538">
        <f>IF('Técnicas de Ki'!BM32=0,0,IF('Técnicas de Ki'!BT32=TS!CK$119,'Técnicas de Ki'!BN32-(IF($O137&lt;&gt;0,'Técnicas de Ki'!BW32,0)+IF($P137&lt;&gt;0,'Técnicas de Ki'!BX32,0)+IF($Q137&lt;&gt;0,'Técnicas de Ki'!BY32,0)+IF($R137&lt;&gt;0,'Técnicas de Ki'!BZ32,0)+IF($S137&lt;&gt;0,'Técnicas de Ki'!CA32,0)+IF($T137&lt;&gt;0,'Técnicas de Ki'!CB32,0)),0))</f>
        <v>0</v>
      </c>
      <c r="CL137" s="539">
        <f>IF('Técnicas de Ki'!BM32=0,0,IF('Técnicas de Ki'!BT32=TS!CL$119,'Técnicas de Ki'!BN32-(IF($O137&lt;&gt;0,'Técnicas de Ki'!BW32,0)+IF($P137&lt;&gt;0,'Técnicas de Ki'!BX32,0)+IF($Q137&lt;&gt;0,'Técnicas de Ki'!BY32,0)+IF($R137&lt;&gt;0,'Técnicas de Ki'!BZ32,0)+IF($S137&lt;&gt;0,'Técnicas de Ki'!CA32,0)+IF($T137&lt;&gt;0,'Técnicas de Ki'!CB32,0)),0))</f>
        <v>0</v>
      </c>
      <c r="CM137" s="538">
        <f>IF('Técnicas de Ki'!BM32=0,0,IFERROR(IF('Técnicas de Ki'!BW32&lt;&gt;0,'Técnicas de Ki'!BW32+TS!$O137,0)*$O137/$O137,0))</f>
        <v>0</v>
      </c>
      <c r="CN137" s="538">
        <f>IF('Técnicas de Ki'!BM32=0,0,IFERROR(IF('Técnicas de Ki'!BX32&lt;&gt;0,'Técnicas de Ki'!BX32+TS!$P137,0)*$P137/$P137,0))</f>
        <v>0</v>
      </c>
      <c r="CO137" s="538">
        <f>IF('Técnicas de Ki'!BM32=0,0,IFERROR(IF('Técnicas de Ki'!BY32&lt;&gt;0,'Técnicas de Ki'!BY32+TS!$Q137,0)*$Q137/$Q137,0))</f>
        <v>0</v>
      </c>
      <c r="CP137" s="538">
        <f>IF('Técnicas de Ki'!BM32=0,0,IFERROR(IF('Técnicas de Ki'!BZ32&lt;&gt;0,'Técnicas de Ki'!BZ32+TS!$R137,0)*$R137/$R137,0))</f>
        <v>0</v>
      </c>
      <c r="CQ137" s="538">
        <f>IF('Técnicas de Ki'!BM32=0,0,IFERROR(IF('Técnicas de Ki'!CA32&lt;&gt;0,'Técnicas de Ki'!CA32+TS!$S137,0)*$S137/$S137,0))</f>
        <v>0</v>
      </c>
      <c r="CR137" s="539">
        <f>IF('Técnicas de Ki'!BM32=0,0,IFERROR(IF('Técnicas de Ki'!CB32&lt;&gt;0,'Técnicas de Ki'!CB32+TS!$T137,0)*$T137/$T137,0))</f>
        <v>0</v>
      </c>
      <c r="CT137" s="571" t="str">
        <f>IF('Técnicas de Ki'!BM34&lt;&gt;0,'Técnicas de Ki'!BL34&amp;" "&amp;'Técnicas de Ki'!BM34,"")</f>
        <v/>
      </c>
      <c r="CU137" s="302" t="b">
        <f t="shared" si="18"/>
        <v>0</v>
      </c>
      <c r="CV137" s="302" t="str">
        <f t="shared" si="7"/>
        <v/>
      </c>
    </row>
    <row r="138" spans="1:102" x14ac:dyDescent="0.2">
      <c r="A138" s="302" t="s">
        <v>6847</v>
      </c>
      <c r="B138" s="301" t="s">
        <v>6810</v>
      </c>
      <c r="C138" s="301" t="str">
        <f t="shared" si="15"/>
        <v>Aumento de daño+125</v>
      </c>
      <c r="D138" s="302">
        <v>14</v>
      </c>
      <c r="E138" s="302">
        <v>18</v>
      </c>
      <c r="F138" s="302">
        <v>35</v>
      </c>
      <c r="G138" s="302">
        <v>6</v>
      </c>
      <c r="H138" s="302">
        <v>12</v>
      </c>
      <c r="I138" s="302">
        <v>21</v>
      </c>
      <c r="J138" s="302">
        <v>2</v>
      </c>
      <c r="N138" s="302" t="s">
        <v>6848</v>
      </c>
      <c r="Q138" s="302">
        <v>3</v>
      </c>
      <c r="R138" s="302">
        <v>1</v>
      </c>
      <c r="S138" s="302">
        <v>1</v>
      </c>
      <c r="T138" s="302">
        <v>2</v>
      </c>
      <c r="V138" s="537">
        <f>IF('Técnicas de Ki'!B33=0,0,IF('Técnicas de Ki'!I33=TS!V$119,'Técnicas de Ki'!C33-(IF($O138&lt;&gt;0,'Técnicas de Ki'!L33,0)+IF($P138&lt;&gt;0,'Técnicas de Ki'!M33,0)+IF($Q138&lt;&gt;0,'Técnicas de Ki'!N33,0)+IF($R138&lt;&gt;0,'Técnicas de Ki'!O33,0)+IF($S138&lt;&gt;0,'Técnicas de Ki'!P33,0)+IF($T138&lt;&gt;0,'Técnicas de Ki'!Q33,0)),0))</f>
        <v>0</v>
      </c>
      <c r="W138" s="538">
        <f>IF('Técnicas de Ki'!B33=0,0,IF('Técnicas de Ki'!I33=TS!W$119,'Técnicas de Ki'!C33-(IF($O138&lt;&gt;0,'Técnicas de Ki'!L33,0)+IF($P138&lt;&gt;0,'Técnicas de Ki'!M33,0)+IF($Q138&lt;&gt;0,'Técnicas de Ki'!N33,0)+IF($R138&lt;&gt;0,'Técnicas de Ki'!O33,0)+IF($S138&lt;&gt;0,'Técnicas de Ki'!P33,0)+IF($T138&lt;&gt;0,'Técnicas de Ki'!Q33,0)),0))</f>
        <v>0</v>
      </c>
      <c r="X138" s="538">
        <f>IF('Técnicas de Ki'!B33=0,0,IF('Técnicas de Ki'!I33=TS!X$119,'Técnicas de Ki'!C33-(IF($O138&lt;&gt;0,'Técnicas de Ki'!L33,0)+IF($P138&lt;&gt;0,'Técnicas de Ki'!M33,0)+IF($Q138&lt;&gt;0,'Técnicas de Ki'!N33,0)+IF($R138&lt;&gt;0,'Técnicas de Ki'!O33,0)+IF($S138&lt;&gt;0,'Técnicas de Ki'!P33,0)+IF($T138&lt;&gt;0,'Técnicas de Ki'!Q33,0)),0))</f>
        <v>0</v>
      </c>
      <c r="Y138" s="538">
        <f>IF('Técnicas de Ki'!B33=0,0,IF('Técnicas de Ki'!I33=TS!Y$119,'Técnicas de Ki'!C33-(IF($O138&lt;&gt;0,'Técnicas de Ki'!L33,0)+IF($P138&lt;&gt;0,'Técnicas de Ki'!M33,0)+IF($Q138&lt;&gt;0,'Técnicas de Ki'!N33,0)+IF($R138&lt;&gt;0,'Técnicas de Ki'!O33,0)+IF($S138&lt;&gt;0,'Técnicas de Ki'!P33,0)+IF($T138&lt;&gt;0,'Técnicas de Ki'!Q33,0)),0))</f>
        <v>0</v>
      </c>
      <c r="Z138" s="538">
        <f>IF('Técnicas de Ki'!B33=0,0,IF('Técnicas de Ki'!I33=TS!Z$119,'Técnicas de Ki'!C33-(IF($O138&lt;&gt;0,'Técnicas de Ki'!L33,0)+IF($P138&lt;&gt;0,'Técnicas de Ki'!M33,0)+IF($Q138&lt;&gt;0,'Técnicas de Ki'!N33,0)+IF($R138&lt;&gt;0,'Técnicas de Ki'!O33,0)+IF($S138&lt;&gt;0,'Técnicas de Ki'!P33,0)+IF($T138&lt;&gt;0,'Técnicas de Ki'!Q33,0)),0))</f>
        <v>0</v>
      </c>
      <c r="AA138" s="539">
        <f>IF('Técnicas de Ki'!B33=0,0,IF('Técnicas de Ki'!I33=TS!AA$119,'Técnicas de Ki'!C33-(IF($O138&lt;&gt;0,'Técnicas de Ki'!L33,0)+IF($P138&lt;&gt;0,'Técnicas de Ki'!M33,0)+IF($Q138&lt;&gt;0,'Técnicas de Ki'!N33,0)+IF($R138&lt;&gt;0,'Técnicas de Ki'!O33,0)+IF($S138&lt;&gt;0,'Técnicas de Ki'!P33,0)+IF($T138&lt;&gt;0,'Técnicas de Ki'!Q33,0)),0))</f>
        <v>0</v>
      </c>
      <c r="AB138" s="538">
        <f>IF('Técnicas de Ki'!B33=0,0,IFERROR(IF('Técnicas de Ki'!L33&lt;&gt;0,'Técnicas de Ki'!L33+TS!$O138,0)*$O138/$O138,0))</f>
        <v>0</v>
      </c>
      <c r="AC138" s="538">
        <f>IF('Técnicas de Ki'!B33=0,0,IFERROR(IF('Técnicas de Ki'!M33&lt;&gt;0,'Técnicas de Ki'!M33+TS!$P138,0)*$P138/$P138,0))</f>
        <v>0</v>
      </c>
      <c r="AD138" s="538">
        <f>IF('Técnicas de Ki'!B33=0,0,IFERROR(IF('Técnicas de Ki'!N33&lt;&gt;0,'Técnicas de Ki'!N33+TS!$Q138,0)*$Q138/$Q138,0))</f>
        <v>0</v>
      </c>
      <c r="AE138" s="538">
        <f>IF('Técnicas de Ki'!B33=0,0,IFERROR(IF('Técnicas de Ki'!O33&lt;&gt;0,'Técnicas de Ki'!O33+TS!$R138,0)*$R138/$R138,0))</f>
        <v>0</v>
      </c>
      <c r="AF138" s="538">
        <f>IF('Técnicas de Ki'!B33=0,0,IFERROR(IF('Técnicas de Ki'!P33&lt;&gt;0,'Técnicas de Ki'!P33+TS!$S138,0)*$S138/$S138,0))</f>
        <v>0</v>
      </c>
      <c r="AG138" s="539">
        <f>IF('Técnicas de Ki'!B33=0,0,IFERROR(IF('Técnicas de Ki'!Q33&lt;&gt;0,'Técnicas de Ki'!Q33+TS!$T138,0)*$T138/$T138,0))</f>
        <v>0</v>
      </c>
      <c r="AI138" s="571" t="str">
        <f>IF('Técnicas de Ki'!B35&lt;&gt;0,'Técnicas de Ki'!A35&amp;" "&amp;'Técnicas de Ki'!B35,"")</f>
        <v/>
      </c>
      <c r="AJ138" s="302" t="b">
        <f t="shared" si="8"/>
        <v>0</v>
      </c>
      <c r="AK138" s="302" t="str">
        <f t="shared" si="4"/>
        <v/>
      </c>
      <c r="AQ138" s="537">
        <f>IF('Técnicas de Ki'!W33=0,0,IF('Técnicas de Ki'!AD33=TS!AQ$119,'Técnicas de Ki'!X33-(IF($O138&lt;&gt;0,'Técnicas de Ki'!AG33,0)+IF($P138&lt;&gt;0,'Técnicas de Ki'!AH33,0)+IF($Q138&lt;&gt;0,'Técnicas de Ki'!AI33,0)+IF($R138&lt;&gt;0,'Técnicas de Ki'!AJ33,0)+IF($S138&lt;&gt;0,'Técnicas de Ki'!AK33,0)+IF($T138&lt;&gt;0,'Técnicas de Ki'!AL33,0)),0))</f>
        <v>0</v>
      </c>
      <c r="AR138" s="538">
        <f>IF('Técnicas de Ki'!W33=0,0,IF('Técnicas de Ki'!AD33=TS!AR$119,'Técnicas de Ki'!X33-(IF($O138&lt;&gt;0,'Técnicas de Ki'!AG33,0)+IF($P138&lt;&gt;0,'Técnicas de Ki'!AH33,0)+IF($Q138&lt;&gt;0,'Técnicas de Ki'!AI33,0)+IF($R138&lt;&gt;0,'Técnicas de Ki'!AJ33,0)+IF($S138&lt;&gt;0,'Técnicas de Ki'!AK33,0)+IF($T138&lt;&gt;0,'Técnicas de Ki'!AL33,0)),0))</f>
        <v>0</v>
      </c>
      <c r="AS138" s="538">
        <f>IF('Técnicas de Ki'!W33=0,0,IF('Técnicas de Ki'!AD33=TS!AS$119,'Técnicas de Ki'!X33-(IF($O138&lt;&gt;0,'Técnicas de Ki'!AG33,0)+IF($P138&lt;&gt;0,'Técnicas de Ki'!AH33,0)+IF($Q138&lt;&gt;0,'Técnicas de Ki'!AI33,0)+IF($R138&lt;&gt;0,'Técnicas de Ki'!AJ33,0)+IF($S138&lt;&gt;0,'Técnicas de Ki'!AK33,0)+IF($T138&lt;&gt;0,'Técnicas de Ki'!AL33,0)),0))</f>
        <v>0</v>
      </c>
      <c r="AT138" s="538">
        <f>IF('Técnicas de Ki'!W33=0,0,IF('Técnicas de Ki'!AD33=TS!AT$119,'Técnicas de Ki'!X33-(IF($O138&lt;&gt;0,'Técnicas de Ki'!AG33,0)+IF($P138&lt;&gt;0,'Técnicas de Ki'!AH33,0)+IF($Q138&lt;&gt;0,'Técnicas de Ki'!AI33,0)+IF($R138&lt;&gt;0,'Técnicas de Ki'!AJ33,0)+IF($S138&lt;&gt;0,'Técnicas de Ki'!AK33,0)+IF($T138&lt;&gt;0,'Técnicas de Ki'!AL33,0)),0))</f>
        <v>0</v>
      </c>
      <c r="AU138" s="538">
        <f>IF('Técnicas de Ki'!W33=0,0,IF('Técnicas de Ki'!AD33=TS!AU$119,'Técnicas de Ki'!X33-(IF($O138&lt;&gt;0,'Técnicas de Ki'!AG33,0)+IF($P138&lt;&gt;0,'Técnicas de Ki'!AH33,0)+IF($Q138&lt;&gt;0,'Técnicas de Ki'!AI33,0)+IF($R138&lt;&gt;0,'Técnicas de Ki'!AJ33,0)+IF($S138&lt;&gt;0,'Técnicas de Ki'!AK33,0)+IF($T138&lt;&gt;0,'Técnicas de Ki'!AL33,0)),0))</f>
        <v>0</v>
      </c>
      <c r="AV138" s="539">
        <f>IF('Técnicas de Ki'!W33=0,0,IF('Técnicas de Ki'!AD33=TS!AV$119,'Técnicas de Ki'!X33-(IF($O138&lt;&gt;0,'Técnicas de Ki'!AG33,0)+IF($P138&lt;&gt;0,'Técnicas de Ki'!AH33,0)+IF($Q138&lt;&gt;0,'Técnicas de Ki'!AI33,0)+IF($R138&lt;&gt;0,'Técnicas de Ki'!AJ33,0)+IF($S138&lt;&gt;0,'Técnicas de Ki'!AK33,0)+IF($T138&lt;&gt;0,'Técnicas de Ki'!AL33,0)),0))</f>
        <v>0</v>
      </c>
      <c r="AW138" s="538">
        <f>IF('Técnicas de Ki'!W33=0,0,IFERROR(IF('Técnicas de Ki'!AG33&lt;&gt;0,'Técnicas de Ki'!AG33+TS!$O138,0)*$O138/$O138,0))</f>
        <v>0</v>
      </c>
      <c r="AX138" s="538">
        <f>IF('Técnicas de Ki'!W33=0,0,IFERROR(IF('Técnicas de Ki'!AH33&lt;&gt;0,'Técnicas de Ki'!AH33+TS!$P138,0)*$P138/$P138,0))</f>
        <v>0</v>
      </c>
      <c r="AY138" s="538">
        <f>IF('Técnicas de Ki'!W33=0,0,IFERROR(IF('Técnicas de Ki'!AI33&lt;&gt;0,'Técnicas de Ki'!AI33+TS!$Q138,0)*$Q138/$Q138,0))</f>
        <v>0</v>
      </c>
      <c r="AZ138" s="538">
        <f>IF('Técnicas de Ki'!W33=0,0,IFERROR(IF('Técnicas de Ki'!AJ33&lt;&gt;0,'Técnicas de Ki'!AJ33+TS!$R138,0)*$R138/$R138,0))</f>
        <v>0</v>
      </c>
      <c r="BA138" s="538">
        <f>IF('Técnicas de Ki'!W33=0,0,IFERROR(IF('Técnicas de Ki'!AK33&lt;&gt;0,'Técnicas de Ki'!AK33+TS!$S138,0)*$S138/$S138,0))</f>
        <v>0</v>
      </c>
      <c r="BB138" s="539">
        <f>IF('Técnicas de Ki'!W33=0,0,IFERROR(IF('Técnicas de Ki'!AL33&lt;&gt;0,'Técnicas de Ki'!AL33+TS!$T138,0)*$T138/$T138,0))</f>
        <v>0</v>
      </c>
      <c r="BD138" s="571" t="str">
        <f>IF('Técnicas de Ki'!W35&lt;&gt;0,'Técnicas de Ki'!V35&amp;" "&amp;'Técnicas de Ki'!W35,"")</f>
        <v/>
      </c>
      <c r="BE138" s="302" t="b">
        <f t="shared" si="16"/>
        <v>0</v>
      </c>
      <c r="BF138" s="302" t="str">
        <f t="shared" si="5"/>
        <v/>
      </c>
      <c r="BL138" s="537">
        <f>IF('Técnicas de Ki'!AR33=0,0,IF('Técnicas de Ki'!AY33=TS!BL$119,'Técnicas de Ki'!AS33-(IF($O138&lt;&gt;0,'Técnicas de Ki'!BB33,0)+IF($P138&lt;&gt;0,'Técnicas de Ki'!BC33,0)+IF($Q138&lt;&gt;0,'Técnicas de Ki'!BD33,0)+IF($R138&lt;&gt;0,'Técnicas de Ki'!BE33,0)+IF($S138&lt;&gt;0,'Técnicas de Ki'!BF33,0)+IF($T138&lt;&gt;0,'Técnicas de Ki'!BG33,0)),0))</f>
        <v>0</v>
      </c>
      <c r="BM138" s="538">
        <f>IF('Técnicas de Ki'!AR33=0,0,IF('Técnicas de Ki'!AY33=TS!BM$119,'Técnicas de Ki'!AS33-(IF($O138&lt;&gt;0,'Técnicas de Ki'!BB33,0)+IF($P138&lt;&gt;0,'Técnicas de Ki'!BC33,0)+IF($Q138&lt;&gt;0,'Técnicas de Ki'!BD33,0)+IF($R138&lt;&gt;0,'Técnicas de Ki'!BE33,0)+IF($S138&lt;&gt;0,'Técnicas de Ki'!BF33,0)+IF($T138&lt;&gt;0,'Técnicas de Ki'!BG33,0)),0))</f>
        <v>0</v>
      </c>
      <c r="BN138" s="538">
        <f>IF('Técnicas de Ki'!AR33=0,0,IF('Técnicas de Ki'!AY33=TS!BN$119,'Técnicas de Ki'!AS33-(IF($O138&lt;&gt;0,'Técnicas de Ki'!BB33,0)+IF($P138&lt;&gt;0,'Técnicas de Ki'!BC33,0)+IF($Q138&lt;&gt;0,'Técnicas de Ki'!BD33,0)+IF($R138&lt;&gt;0,'Técnicas de Ki'!BE33,0)+IF($S138&lt;&gt;0,'Técnicas de Ki'!BF33,0)+IF($T138&lt;&gt;0,'Técnicas de Ki'!BG33,0)),0))</f>
        <v>0</v>
      </c>
      <c r="BO138" s="538">
        <f>IF('Técnicas de Ki'!AR33=0,0,IF('Técnicas de Ki'!AY33=TS!BO$119,'Técnicas de Ki'!AS33-(IF($O138&lt;&gt;0,'Técnicas de Ki'!BB33,0)+IF($P138&lt;&gt;0,'Técnicas de Ki'!BC33,0)+IF($Q138&lt;&gt;0,'Técnicas de Ki'!BD33,0)+IF($R138&lt;&gt;0,'Técnicas de Ki'!BE33,0)+IF($S138&lt;&gt;0,'Técnicas de Ki'!BF33,0)+IF($T138&lt;&gt;0,'Técnicas de Ki'!BG33,0)),0))</f>
        <v>0</v>
      </c>
      <c r="BP138" s="538">
        <f>IF('Técnicas de Ki'!AR33=0,0,IF('Técnicas de Ki'!AY33=TS!BP$119,'Técnicas de Ki'!AS33-(IF($O138&lt;&gt;0,'Técnicas de Ki'!BB33,0)+IF($P138&lt;&gt;0,'Técnicas de Ki'!BC33,0)+IF($Q138&lt;&gt;0,'Técnicas de Ki'!BD33,0)+IF($R138&lt;&gt;0,'Técnicas de Ki'!BE33,0)+IF($S138&lt;&gt;0,'Técnicas de Ki'!BF33,0)+IF($T138&lt;&gt;0,'Técnicas de Ki'!BG33,0)),0))</f>
        <v>0</v>
      </c>
      <c r="BQ138" s="539">
        <f>IF('Técnicas de Ki'!AR33=0,0,IF('Técnicas de Ki'!AY33=TS!BQ$119,'Técnicas de Ki'!AS33-(IF($O138&lt;&gt;0,'Técnicas de Ki'!BB33,0)+IF($P138&lt;&gt;0,'Técnicas de Ki'!BC33,0)+IF($Q138&lt;&gt;0,'Técnicas de Ki'!BD33,0)+IF($R138&lt;&gt;0,'Técnicas de Ki'!BE33,0)+IF($S138&lt;&gt;0,'Técnicas de Ki'!BF33,0)+IF($T138&lt;&gt;0,'Técnicas de Ki'!BG33,0)),0))</f>
        <v>0</v>
      </c>
      <c r="BR138" s="538">
        <f>IF('Técnicas de Ki'!AR33=0,0,IFERROR(IF('Técnicas de Ki'!BB33&lt;&gt;0,'Técnicas de Ki'!BB33+TS!$O138,0)*$O138/$O138,0))</f>
        <v>0</v>
      </c>
      <c r="BS138" s="538">
        <f>IF('Técnicas de Ki'!AR33=0,0,IFERROR(IF('Técnicas de Ki'!BC33&lt;&gt;0,'Técnicas de Ki'!BC33+TS!$P138,0)*$P138/$P138,0))</f>
        <v>0</v>
      </c>
      <c r="BT138" s="538">
        <f>IF('Técnicas de Ki'!AR33=0,0,IFERROR(IF('Técnicas de Ki'!BD33&lt;&gt;0,'Técnicas de Ki'!BD33+TS!$Q138,0)*$Q138/$Q138,0))</f>
        <v>0</v>
      </c>
      <c r="BU138" s="538">
        <f>IF('Técnicas de Ki'!AR33=0,0,IFERROR(IF('Técnicas de Ki'!BE33&lt;&gt;0,'Técnicas de Ki'!BE33+TS!$R138,0)*$R138/$R138,0))</f>
        <v>0</v>
      </c>
      <c r="BV138" s="538">
        <f>IF('Técnicas de Ki'!AR33=0,0,IFERROR(IF('Técnicas de Ki'!BF33&lt;&gt;0,'Técnicas de Ki'!BF33+TS!$S138,0)*$S138/$S138,0))</f>
        <v>0</v>
      </c>
      <c r="BW138" s="539">
        <f>IF('Técnicas de Ki'!AR33=0,0,IFERROR(IF('Técnicas de Ki'!BG33&lt;&gt;0,'Técnicas de Ki'!BG33+TS!$T138,0)*$T138/$T138,0))</f>
        <v>0</v>
      </c>
      <c r="BY138" s="571" t="str">
        <f>IF('Técnicas de Ki'!AR35&lt;&gt;0,'Técnicas de Ki'!AQ35&amp;" "&amp;'Técnicas de Ki'!AR35,"")</f>
        <v/>
      </c>
      <c r="BZ138" s="302" t="b">
        <f t="shared" si="17"/>
        <v>0</v>
      </c>
      <c r="CA138" s="302" t="str">
        <f t="shared" si="6"/>
        <v/>
      </c>
      <c r="CG138" s="537">
        <f>IF('Técnicas de Ki'!BM33=0,0,IF('Técnicas de Ki'!BT33=TS!CG$119,'Técnicas de Ki'!BN33-(IF($O138&lt;&gt;0,'Técnicas de Ki'!BW33,0)+IF($P138&lt;&gt;0,'Técnicas de Ki'!BX33,0)+IF($Q138&lt;&gt;0,'Técnicas de Ki'!BY33,0)+IF($R138&lt;&gt;0,'Técnicas de Ki'!BZ33,0)+IF($S138&lt;&gt;0,'Técnicas de Ki'!CA33,0)+IF($T138&lt;&gt;0,'Técnicas de Ki'!CB33,0)),0))</f>
        <v>0</v>
      </c>
      <c r="CH138" s="538">
        <f>IF('Técnicas de Ki'!BM33=0,0,IF('Técnicas de Ki'!BT33=TS!CH$119,'Técnicas de Ki'!BN33-(IF($O138&lt;&gt;0,'Técnicas de Ki'!BW33,0)+IF($P138&lt;&gt;0,'Técnicas de Ki'!BX33,0)+IF($Q138&lt;&gt;0,'Técnicas de Ki'!BY33,0)+IF($R138&lt;&gt;0,'Técnicas de Ki'!BZ33,0)+IF($S138&lt;&gt;0,'Técnicas de Ki'!CA33,0)+IF($T138&lt;&gt;0,'Técnicas de Ki'!CB33,0)),0))</f>
        <v>0</v>
      </c>
      <c r="CI138" s="538">
        <f>IF('Técnicas de Ki'!BM33=0,0,IF('Técnicas de Ki'!BT33=TS!CI$119,'Técnicas de Ki'!BN33-(IF($O138&lt;&gt;0,'Técnicas de Ki'!BW33,0)+IF($P138&lt;&gt;0,'Técnicas de Ki'!BX33,0)+IF($Q138&lt;&gt;0,'Técnicas de Ki'!BY33,0)+IF($R138&lt;&gt;0,'Técnicas de Ki'!BZ33,0)+IF($S138&lt;&gt;0,'Técnicas de Ki'!CA33,0)+IF($T138&lt;&gt;0,'Técnicas de Ki'!CB33,0)),0))</f>
        <v>0</v>
      </c>
      <c r="CJ138" s="538">
        <f>IF('Técnicas de Ki'!BM33=0,0,IF('Técnicas de Ki'!BT33=TS!CJ$119,'Técnicas de Ki'!BN33-(IF($O138&lt;&gt;0,'Técnicas de Ki'!BW33,0)+IF($P138&lt;&gt;0,'Técnicas de Ki'!BX33,0)+IF($Q138&lt;&gt;0,'Técnicas de Ki'!BY33,0)+IF($R138&lt;&gt;0,'Técnicas de Ki'!BZ33,0)+IF($S138&lt;&gt;0,'Técnicas de Ki'!CA33,0)+IF($T138&lt;&gt;0,'Técnicas de Ki'!CB33,0)),0))</f>
        <v>0</v>
      </c>
      <c r="CK138" s="538">
        <f>IF('Técnicas de Ki'!BM33=0,0,IF('Técnicas de Ki'!BT33=TS!CK$119,'Técnicas de Ki'!BN33-(IF($O138&lt;&gt;0,'Técnicas de Ki'!BW33,0)+IF($P138&lt;&gt;0,'Técnicas de Ki'!BX33,0)+IF($Q138&lt;&gt;0,'Técnicas de Ki'!BY33,0)+IF($R138&lt;&gt;0,'Técnicas de Ki'!BZ33,0)+IF($S138&lt;&gt;0,'Técnicas de Ki'!CA33,0)+IF($T138&lt;&gt;0,'Técnicas de Ki'!CB33,0)),0))</f>
        <v>0</v>
      </c>
      <c r="CL138" s="539">
        <f>IF('Técnicas de Ki'!BM33=0,0,IF('Técnicas de Ki'!BT33=TS!CL$119,'Técnicas de Ki'!BN33-(IF($O138&lt;&gt;0,'Técnicas de Ki'!BW33,0)+IF($P138&lt;&gt;0,'Técnicas de Ki'!BX33,0)+IF($Q138&lt;&gt;0,'Técnicas de Ki'!BY33,0)+IF($R138&lt;&gt;0,'Técnicas de Ki'!BZ33,0)+IF($S138&lt;&gt;0,'Técnicas de Ki'!CA33,0)+IF($T138&lt;&gt;0,'Técnicas de Ki'!CB33,0)),0))</f>
        <v>0</v>
      </c>
      <c r="CM138" s="538">
        <f>IF('Técnicas de Ki'!BM33=0,0,IFERROR(IF('Técnicas de Ki'!BW33&lt;&gt;0,'Técnicas de Ki'!BW33+TS!$O138,0)*$O138/$O138,0))</f>
        <v>0</v>
      </c>
      <c r="CN138" s="538">
        <f>IF('Técnicas de Ki'!BM33=0,0,IFERROR(IF('Técnicas de Ki'!BX33&lt;&gt;0,'Técnicas de Ki'!BX33+TS!$P138,0)*$P138/$P138,0))</f>
        <v>0</v>
      </c>
      <c r="CO138" s="538">
        <f>IF('Técnicas de Ki'!BM33=0,0,IFERROR(IF('Técnicas de Ki'!BY33&lt;&gt;0,'Técnicas de Ki'!BY33+TS!$Q138,0)*$Q138/$Q138,0))</f>
        <v>0</v>
      </c>
      <c r="CP138" s="538">
        <f>IF('Técnicas de Ki'!BM33=0,0,IFERROR(IF('Técnicas de Ki'!BZ33&lt;&gt;0,'Técnicas de Ki'!BZ33+TS!$R138,0)*$R138/$R138,0))</f>
        <v>0</v>
      </c>
      <c r="CQ138" s="538">
        <f>IF('Técnicas de Ki'!BM33=0,0,IFERROR(IF('Técnicas de Ki'!CA33&lt;&gt;0,'Técnicas de Ki'!CA33+TS!$S138,0)*$S138/$S138,0))</f>
        <v>0</v>
      </c>
      <c r="CR138" s="539">
        <f>IF('Técnicas de Ki'!BM33=0,0,IFERROR(IF('Técnicas de Ki'!CB33&lt;&gt;0,'Técnicas de Ki'!CB33+TS!$T138,0)*$T138/$T138,0))</f>
        <v>0</v>
      </c>
      <c r="CT138" s="571" t="str">
        <f>IF('Técnicas de Ki'!BM35&lt;&gt;0,'Técnicas de Ki'!BL35&amp;" "&amp;'Técnicas de Ki'!BM35,"")</f>
        <v/>
      </c>
      <c r="CU138" s="302" t="b">
        <f t="shared" si="18"/>
        <v>0</v>
      </c>
      <c r="CV138" s="302" t="str">
        <f t="shared" si="7"/>
        <v/>
      </c>
    </row>
    <row r="139" spans="1:102" x14ac:dyDescent="0.2">
      <c r="A139" s="302" t="s">
        <v>6847</v>
      </c>
      <c r="B139" s="301" t="s">
        <v>6816</v>
      </c>
      <c r="C139" s="301" t="str">
        <f t="shared" si="15"/>
        <v>Aumento de daño+150</v>
      </c>
      <c r="D139" s="302">
        <v>16</v>
      </c>
      <c r="E139" s="302">
        <v>20</v>
      </c>
      <c r="F139" s="302">
        <v>40</v>
      </c>
      <c r="G139" s="302">
        <v>8</v>
      </c>
      <c r="H139" s="302">
        <v>16</v>
      </c>
      <c r="I139" s="302">
        <v>28</v>
      </c>
      <c r="J139" s="302">
        <v>2</v>
      </c>
      <c r="N139" s="302" t="s">
        <v>6849</v>
      </c>
      <c r="Q139" s="302">
        <v>3</v>
      </c>
      <c r="R139" s="302">
        <v>1</v>
      </c>
      <c r="S139" s="302">
        <v>1</v>
      </c>
      <c r="T139" s="302">
        <v>2</v>
      </c>
      <c r="V139" s="537">
        <f>IF('Técnicas de Ki'!B34=0,0,IF('Técnicas de Ki'!I34=TS!V$119,'Técnicas de Ki'!C34-(IF($O139&lt;&gt;0,'Técnicas de Ki'!L34,0)+IF($P139&lt;&gt;0,'Técnicas de Ki'!M34,0)+IF($Q139&lt;&gt;0,'Técnicas de Ki'!N34,0)+IF($R139&lt;&gt;0,'Técnicas de Ki'!O34,0)+IF($S139&lt;&gt;0,'Técnicas de Ki'!P34,0)+IF($T139&lt;&gt;0,'Técnicas de Ki'!Q34,0)),0))</f>
        <v>0</v>
      </c>
      <c r="W139" s="538">
        <f>IF('Técnicas de Ki'!B34=0,0,IF('Técnicas de Ki'!I34=TS!W$119,'Técnicas de Ki'!C34-(IF($O139&lt;&gt;0,'Técnicas de Ki'!L34,0)+IF($P139&lt;&gt;0,'Técnicas de Ki'!M34,0)+IF($Q139&lt;&gt;0,'Técnicas de Ki'!N34,0)+IF($R139&lt;&gt;0,'Técnicas de Ki'!O34,0)+IF($S139&lt;&gt;0,'Técnicas de Ki'!P34,0)+IF($T139&lt;&gt;0,'Técnicas de Ki'!Q34,0)),0))</f>
        <v>0</v>
      </c>
      <c r="X139" s="538">
        <f>IF('Técnicas de Ki'!B34=0,0,IF('Técnicas de Ki'!I34=TS!X$119,'Técnicas de Ki'!C34-(IF($O139&lt;&gt;0,'Técnicas de Ki'!L34,0)+IF($P139&lt;&gt;0,'Técnicas de Ki'!M34,0)+IF($Q139&lt;&gt;0,'Técnicas de Ki'!N34,0)+IF($R139&lt;&gt;0,'Técnicas de Ki'!O34,0)+IF($S139&lt;&gt;0,'Técnicas de Ki'!P34,0)+IF($T139&lt;&gt;0,'Técnicas de Ki'!Q34,0)),0))</f>
        <v>0</v>
      </c>
      <c r="Y139" s="538">
        <f>IF('Técnicas de Ki'!B34=0,0,IF('Técnicas de Ki'!I34=TS!Y$119,'Técnicas de Ki'!C34-(IF($O139&lt;&gt;0,'Técnicas de Ki'!L34,0)+IF($P139&lt;&gt;0,'Técnicas de Ki'!M34,0)+IF($Q139&lt;&gt;0,'Técnicas de Ki'!N34,0)+IF($R139&lt;&gt;0,'Técnicas de Ki'!O34,0)+IF($S139&lt;&gt;0,'Técnicas de Ki'!P34,0)+IF($T139&lt;&gt;0,'Técnicas de Ki'!Q34,0)),0))</f>
        <v>0</v>
      </c>
      <c r="Z139" s="538">
        <f>IF('Técnicas de Ki'!B34=0,0,IF('Técnicas de Ki'!I34=TS!Z$119,'Técnicas de Ki'!C34-(IF($O139&lt;&gt;0,'Técnicas de Ki'!L34,0)+IF($P139&lt;&gt;0,'Técnicas de Ki'!M34,0)+IF($Q139&lt;&gt;0,'Técnicas de Ki'!N34,0)+IF($R139&lt;&gt;0,'Técnicas de Ki'!O34,0)+IF($S139&lt;&gt;0,'Técnicas de Ki'!P34,0)+IF($T139&lt;&gt;0,'Técnicas de Ki'!Q34,0)),0))</f>
        <v>0</v>
      </c>
      <c r="AA139" s="539">
        <f>IF('Técnicas de Ki'!B34=0,0,IF('Técnicas de Ki'!I34=TS!AA$119,'Técnicas de Ki'!C34-(IF($O139&lt;&gt;0,'Técnicas de Ki'!L34,0)+IF($P139&lt;&gt;0,'Técnicas de Ki'!M34,0)+IF($Q139&lt;&gt;0,'Técnicas de Ki'!N34,0)+IF($R139&lt;&gt;0,'Técnicas de Ki'!O34,0)+IF($S139&lt;&gt;0,'Técnicas de Ki'!P34,0)+IF($T139&lt;&gt;0,'Técnicas de Ki'!Q34,0)),0))</f>
        <v>0</v>
      </c>
      <c r="AB139" s="538">
        <f>IF('Técnicas de Ki'!B34=0,0,IFERROR(IF('Técnicas de Ki'!L34&lt;&gt;0,'Técnicas de Ki'!L34+TS!$O139,0)*$O139/$O139,0))</f>
        <v>0</v>
      </c>
      <c r="AC139" s="538">
        <f>IF('Técnicas de Ki'!B34=0,0,IFERROR(IF('Técnicas de Ki'!M34&lt;&gt;0,'Técnicas de Ki'!M34+TS!$P139,0)*$P139/$P139,0))</f>
        <v>0</v>
      </c>
      <c r="AD139" s="538">
        <f>IF('Técnicas de Ki'!B34=0,0,IFERROR(IF('Técnicas de Ki'!N34&lt;&gt;0,'Técnicas de Ki'!N34+TS!$Q139,0)*$Q139/$Q139,0))</f>
        <v>0</v>
      </c>
      <c r="AE139" s="538">
        <f>IF('Técnicas de Ki'!B34=0,0,IFERROR(IF('Técnicas de Ki'!O34&lt;&gt;0,'Técnicas de Ki'!O34+TS!$R139,0)*$R139/$R139,0))</f>
        <v>0</v>
      </c>
      <c r="AF139" s="538">
        <f>IF('Técnicas de Ki'!B34=0,0,IFERROR(IF('Técnicas de Ki'!P34&lt;&gt;0,'Técnicas de Ki'!P34+TS!$S139,0)*$S139/$S139,0))</f>
        <v>0</v>
      </c>
      <c r="AG139" s="539">
        <f>IF('Técnicas de Ki'!B34=0,0,IFERROR(IF('Técnicas de Ki'!Q34&lt;&gt;0,'Técnicas de Ki'!Q34+TS!$T139,0)*$T139/$T139,0))</f>
        <v>0</v>
      </c>
      <c r="AI139" s="571" t="str">
        <f>IF('Técnicas de Ki'!B36&lt;&gt;0,'Técnicas de Ki'!A36&amp;" "&amp;'Técnicas de Ki'!B36,"")</f>
        <v/>
      </c>
      <c r="AJ139" s="302" t="b">
        <f t="shared" si="8"/>
        <v>0</v>
      </c>
      <c r="AK139" s="302" t="str">
        <f t="shared" si="4"/>
        <v/>
      </c>
      <c r="AQ139" s="537">
        <f>IF('Técnicas de Ki'!W34=0,0,IF('Técnicas de Ki'!AD34=TS!AQ$119,'Técnicas de Ki'!X34-(IF($O139&lt;&gt;0,'Técnicas de Ki'!AG34,0)+IF($P139&lt;&gt;0,'Técnicas de Ki'!AH34,0)+IF($Q139&lt;&gt;0,'Técnicas de Ki'!AI34,0)+IF($R139&lt;&gt;0,'Técnicas de Ki'!AJ34,0)+IF($S139&lt;&gt;0,'Técnicas de Ki'!AK34,0)+IF($T139&lt;&gt;0,'Técnicas de Ki'!AL34,0)),0))</f>
        <v>0</v>
      </c>
      <c r="AR139" s="538">
        <f>IF('Técnicas de Ki'!W34=0,0,IF('Técnicas de Ki'!AD34=TS!AR$119,'Técnicas de Ki'!X34-(IF($O139&lt;&gt;0,'Técnicas de Ki'!AG34,0)+IF($P139&lt;&gt;0,'Técnicas de Ki'!AH34,0)+IF($Q139&lt;&gt;0,'Técnicas de Ki'!AI34,0)+IF($R139&lt;&gt;0,'Técnicas de Ki'!AJ34,0)+IF($S139&lt;&gt;0,'Técnicas de Ki'!AK34,0)+IF($T139&lt;&gt;0,'Técnicas de Ki'!AL34,0)),0))</f>
        <v>0</v>
      </c>
      <c r="AS139" s="538">
        <f>IF('Técnicas de Ki'!W34=0,0,IF('Técnicas de Ki'!AD34=TS!AS$119,'Técnicas de Ki'!X34-(IF($O139&lt;&gt;0,'Técnicas de Ki'!AG34,0)+IF($P139&lt;&gt;0,'Técnicas de Ki'!AH34,0)+IF($Q139&lt;&gt;0,'Técnicas de Ki'!AI34,0)+IF($R139&lt;&gt;0,'Técnicas de Ki'!AJ34,0)+IF($S139&lt;&gt;0,'Técnicas de Ki'!AK34,0)+IF($T139&lt;&gt;0,'Técnicas de Ki'!AL34,0)),0))</f>
        <v>0</v>
      </c>
      <c r="AT139" s="538">
        <f>IF('Técnicas de Ki'!W34=0,0,IF('Técnicas de Ki'!AD34=TS!AT$119,'Técnicas de Ki'!X34-(IF($O139&lt;&gt;0,'Técnicas de Ki'!AG34,0)+IF($P139&lt;&gt;0,'Técnicas de Ki'!AH34,0)+IF($Q139&lt;&gt;0,'Técnicas de Ki'!AI34,0)+IF($R139&lt;&gt;0,'Técnicas de Ki'!AJ34,0)+IF($S139&lt;&gt;0,'Técnicas de Ki'!AK34,0)+IF($T139&lt;&gt;0,'Técnicas de Ki'!AL34,0)),0))</f>
        <v>0</v>
      </c>
      <c r="AU139" s="538">
        <f>IF('Técnicas de Ki'!W34=0,0,IF('Técnicas de Ki'!AD34=TS!AU$119,'Técnicas de Ki'!X34-(IF($O139&lt;&gt;0,'Técnicas de Ki'!AG34,0)+IF($P139&lt;&gt;0,'Técnicas de Ki'!AH34,0)+IF($Q139&lt;&gt;0,'Técnicas de Ki'!AI34,0)+IF($R139&lt;&gt;0,'Técnicas de Ki'!AJ34,0)+IF($S139&lt;&gt;0,'Técnicas de Ki'!AK34,0)+IF($T139&lt;&gt;0,'Técnicas de Ki'!AL34,0)),0))</f>
        <v>0</v>
      </c>
      <c r="AV139" s="539">
        <f>IF('Técnicas de Ki'!W34=0,0,IF('Técnicas de Ki'!AD34=TS!AV$119,'Técnicas de Ki'!X34-(IF($O139&lt;&gt;0,'Técnicas de Ki'!AG34,0)+IF($P139&lt;&gt;0,'Técnicas de Ki'!AH34,0)+IF($Q139&lt;&gt;0,'Técnicas de Ki'!AI34,0)+IF($R139&lt;&gt;0,'Técnicas de Ki'!AJ34,0)+IF($S139&lt;&gt;0,'Técnicas de Ki'!AK34,0)+IF($T139&lt;&gt;0,'Técnicas de Ki'!AL34,0)),0))</f>
        <v>0</v>
      </c>
      <c r="AW139" s="538">
        <f>IF('Técnicas de Ki'!W34=0,0,IFERROR(IF('Técnicas de Ki'!AG34&lt;&gt;0,'Técnicas de Ki'!AG34+TS!$O139,0)*$O139/$O139,0))</f>
        <v>0</v>
      </c>
      <c r="AX139" s="538">
        <f>IF('Técnicas de Ki'!W34=0,0,IFERROR(IF('Técnicas de Ki'!AH34&lt;&gt;0,'Técnicas de Ki'!AH34+TS!$P139,0)*$P139/$P139,0))</f>
        <v>0</v>
      </c>
      <c r="AY139" s="538">
        <f>IF('Técnicas de Ki'!W34=0,0,IFERROR(IF('Técnicas de Ki'!AI34&lt;&gt;0,'Técnicas de Ki'!AI34+TS!$Q139,0)*$Q139/$Q139,0))</f>
        <v>0</v>
      </c>
      <c r="AZ139" s="538">
        <f>IF('Técnicas de Ki'!W34=0,0,IFERROR(IF('Técnicas de Ki'!AJ34&lt;&gt;0,'Técnicas de Ki'!AJ34+TS!$R139,0)*$R139/$R139,0))</f>
        <v>0</v>
      </c>
      <c r="BA139" s="538">
        <f>IF('Técnicas de Ki'!W34=0,0,IFERROR(IF('Técnicas de Ki'!AK34&lt;&gt;0,'Técnicas de Ki'!AK34+TS!$S139,0)*$S139/$S139,0))</f>
        <v>0</v>
      </c>
      <c r="BB139" s="539">
        <f>IF('Técnicas de Ki'!W34=0,0,IFERROR(IF('Técnicas de Ki'!AL34&lt;&gt;0,'Técnicas de Ki'!AL34+TS!$T139,0)*$T139/$T139,0))</f>
        <v>0</v>
      </c>
      <c r="BD139" s="571" t="str">
        <f>IF('Técnicas de Ki'!W36&lt;&gt;0,'Técnicas de Ki'!V36&amp;" "&amp;'Técnicas de Ki'!W36,"")</f>
        <v/>
      </c>
      <c r="BE139" s="302" t="b">
        <f t="shared" si="16"/>
        <v>0</v>
      </c>
      <c r="BF139" s="302" t="str">
        <f t="shared" si="5"/>
        <v/>
      </c>
      <c r="BL139" s="537">
        <f>IF('Técnicas de Ki'!AR34=0,0,IF('Técnicas de Ki'!AY34=TS!BL$119,'Técnicas de Ki'!AS34-(IF($O139&lt;&gt;0,'Técnicas de Ki'!BB34,0)+IF($P139&lt;&gt;0,'Técnicas de Ki'!BC34,0)+IF($Q139&lt;&gt;0,'Técnicas de Ki'!BD34,0)+IF($R139&lt;&gt;0,'Técnicas de Ki'!BE34,0)+IF($S139&lt;&gt;0,'Técnicas de Ki'!BF34,0)+IF($T139&lt;&gt;0,'Técnicas de Ki'!BG34,0)),0))</f>
        <v>0</v>
      </c>
      <c r="BM139" s="538">
        <f>IF('Técnicas de Ki'!AR34=0,0,IF('Técnicas de Ki'!AY34=TS!BM$119,'Técnicas de Ki'!AS34-(IF($O139&lt;&gt;0,'Técnicas de Ki'!BB34,0)+IF($P139&lt;&gt;0,'Técnicas de Ki'!BC34,0)+IF($Q139&lt;&gt;0,'Técnicas de Ki'!BD34,0)+IF($R139&lt;&gt;0,'Técnicas de Ki'!BE34,0)+IF($S139&lt;&gt;0,'Técnicas de Ki'!BF34,0)+IF($T139&lt;&gt;0,'Técnicas de Ki'!BG34,0)),0))</f>
        <v>0</v>
      </c>
      <c r="BN139" s="538">
        <f>IF('Técnicas de Ki'!AR34=0,0,IF('Técnicas de Ki'!AY34=TS!BN$119,'Técnicas de Ki'!AS34-(IF($O139&lt;&gt;0,'Técnicas de Ki'!BB34,0)+IF($P139&lt;&gt;0,'Técnicas de Ki'!BC34,0)+IF($Q139&lt;&gt;0,'Técnicas de Ki'!BD34,0)+IF($R139&lt;&gt;0,'Técnicas de Ki'!BE34,0)+IF($S139&lt;&gt;0,'Técnicas de Ki'!BF34,0)+IF($T139&lt;&gt;0,'Técnicas de Ki'!BG34,0)),0))</f>
        <v>0</v>
      </c>
      <c r="BO139" s="538">
        <f>IF('Técnicas de Ki'!AR34=0,0,IF('Técnicas de Ki'!AY34=TS!BO$119,'Técnicas de Ki'!AS34-(IF($O139&lt;&gt;0,'Técnicas de Ki'!BB34,0)+IF($P139&lt;&gt;0,'Técnicas de Ki'!BC34,0)+IF($Q139&lt;&gt;0,'Técnicas de Ki'!BD34,0)+IF($R139&lt;&gt;0,'Técnicas de Ki'!BE34,0)+IF($S139&lt;&gt;0,'Técnicas de Ki'!BF34,0)+IF($T139&lt;&gt;0,'Técnicas de Ki'!BG34,0)),0))</f>
        <v>0</v>
      </c>
      <c r="BP139" s="538">
        <f>IF('Técnicas de Ki'!AR34=0,0,IF('Técnicas de Ki'!AY34=TS!BP$119,'Técnicas de Ki'!AS34-(IF($O139&lt;&gt;0,'Técnicas de Ki'!BB34,0)+IF($P139&lt;&gt;0,'Técnicas de Ki'!BC34,0)+IF($Q139&lt;&gt;0,'Técnicas de Ki'!BD34,0)+IF($R139&lt;&gt;0,'Técnicas de Ki'!BE34,0)+IF($S139&lt;&gt;0,'Técnicas de Ki'!BF34,0)+IF($T139&lt;&gt;0,'Técnicas de Ki'!BG34,0)),0))</f>
        <v>0</v>
      </c>
      <c r="BQ139" s="539">
        <f>IF('Técnicas de Ki'!AR34=0,0,IF('Técnicas de Ki'!AY34=TS!BQ$119,'Técnicas de Ki'!AS34-(IF($O139&lt;&gt;0,'Técnicas de Ki'!BB34,0)+IF($P139&lt;&gt;0,'Técnicas de Ki'!BC34,0)+IF($Q139&lt;&gt;0,'Técnicas de Ki'!BD34,0)+IF($R139&lt;&gt;0,'Técnicas de Ki'!BE34,0)+IF($S139&lt;&gt;0,'Técnicas de Ki'!BF34,0)+IF($T139&lt;&gt;0,'Técnicas de Ki'!BG34,0)),0))</f>
        <v>0</v>
      </c>
      <c r="BR139" s="538">
        <f>IF('Técnicas de Ki'!AR34=0,0,IFERROR(IF('Técnicas de Ki'!BB34&lt;&gt;0,'Técnicas de Ki'!BB34+TS!$O139,0)*$O139/$O139,0))</f>
        <v>0</v>
      </c>
      <c r="BS139" s="538">
        <f>IF('Técnicas de Ki'!AR34=0,0,IFERROR(IF('Técnicas de Ki'!BC34&lt;&gt;0,'Técnicas de Ki'!BC34+TS!$P139,0)*$P139/$P139,0))</f>
        <v>0</v>
      </c>
      <c r="BT139" s="538">
        <f>IF('Técnicas de Ki'!AR34=0,0,IFERROR(IF('Técnicas de Ki'!BD34&lt;&gt;0,'Técnicas de Ki'!BD34+TS!$Q139,0)*$Q139/$Q139,0))</f>
        <v>0</v>
      </c>
      <c r="BU139" s="538">
        <f>IF('Técnicas de Ki'!AR34=0,0,IFERROR(IF('Técnicas de Ki'!BE34&lt;&gt;0,'Técnicas de Ki'!BE34+TS!$R139,0)*$R139/$R139,0))</f>
        <v>0</v>
      </c>
      <c r="BV139" s="538">
        <f>IF('Técnicas de Ki'!AR34=0,0,IFERROR(IF('Técnicas de Ki'!BF34&lt;&gt;0,'Técnicas de Ki'!BF34+TS!$S139,0)*$S139/$S139,0))</f>
        <v>0</v>
      </c>
      <c r="BW139" s="539">
        <f>IF('Técnicas de Ki'!AR34=0,0,IFERROR(IF('Técnicas de Ki'!BG34&lt;&gt;0,'Técnicas de Ki'!BG34+TS!$T139,0)*$T139/$T139,0))</f>
        <v>0</v>
      </c>
      <c r="BY139" s="571" t="str">
        <f>IF('Técnicas de Ki'!AR36&lt;&gt;0,'Técnicas de Ki'!AQ36&amp;" "&amp;'Técnicas de Ki'!AR36,"")</f>
        <v/>
      </c>
      <c r="BZ139" s="302" t="b">
        <f t="shared" si="17"/>
        <v>0</v>
      </c>
      <c r="CA139" s="302" t="str">
        <f t="shared" si="6"/>
        <v/>
      </c>
      <c r="CG139" s="537">
        <f>IF('Técnicas de Ki'!BM34=0,0,IF('Técnicas de Ki'!BT34=TS!CG$119,'Técnicas de Ki'!BN34-(IF($O139&lt;&gt;0,'Técnicas de Ki'!BW34,0)+IF($P139&lt;&gt;0,'Técnicas de Ki'!BX34,0)+IF($Q139&lt;&gt;0,'Técnicas de Ki'!BY34,0)+IF($R139&lt;&gt;0,'Técnicas de Ki'!BZ34,0)+IF($S139&lt;&gt;0,'Técnicas de Ki'!CA34,0)+IF($T139&lt;&gt;0,'Técnicas de Ki'!CB34,0)),0))</f>
        <v>0</v>
      </c>
      <c r="CH139" s="538">
        <f>IF('Técnicas de Ki'!BM34=0,0,IF('Técnicas de Ki'!BT34=TS!CH$119,'Técnicas de Ki'!BN34-(IF($O139&lt;&gt;0,'Técnicas de Ki'!BW34,0)+IF($P139&lt;&gt;0,'Técnicas de Ki'!BX34,0)+IF($Q139&lt;&gt;0,'Técnicas de Ki'!BY34,0)+IF($R139&lt;&gt;0,'Técnicas de Ki'!BZ34,0)+IF($S139&lt;&gt;0,'Técnicas de Ki'!CA34,0)+IF($T139&lt;&gt;0,'Técnicas de Ki'!CB34,0)),0))</f>
        <v>0</v>
      </c>
      <c r="CI139" s="538">
        <f>IF('Técnicas de Ki'!BM34=0,0,IF('Técnicas de Ki'!BT34=TS!CI$119,'Técnicas de Ki'!BN34-(IF($O139&lt;&gt;0,'Técnicas de Ki'!BW34,0)+IF($P139&lt;&gt;0,'Técnicas de Ki'!BX34,0)+IF($Q139&lt;&gt;0,'Técnicas de Ki'!BY34,0)+IF($R139&lt;&gt;0,'Técnicas de Ki'!BZ34,0)+IF($S139&lt;&gt;0,'Técnicas de Ki'!CA34,0)+IF($T139&lt;&gt;0,'Técnicas de Ki'!CB34,0)),0))</f>
        <v>0</v>
      </c>
      <c r="CJ139" s="538">
        <f>IF('Técnicas de Ki'!BM34=0,0,IF('Técnicas de Ki'!BT34=TS!CJ$119,'Técnicas de Ki'!BN34-(IF($O139&lt;&gt;0,'Técnicas de Ki'!BW34,0)+IF($P139&lt;&gt;0,'Técnicas de Ki'!BX34,0)+IF($Q139&lt;&gt;0,'Técnicas de Ki'!BY34,0)+IF($R139&lt;&gt;0,'Técnicas de Ki'!BZ34,0)+IF($S139&lt;&gt;0,'Técnicas de Ki'!CA34,0)+IF($T139&lt;&gt;0,'Técnicas de Ki'!CB34,0)),0))</f>
        <v>0</v>
      </c>
      <c r="CK139" s="538">
        <f>IF('Técnicas de Ki'!BM34=0,0,IF('Técnicas de Ki'!BT34=TS!CK$119,'Técnicas de Ki'!BN34-(IF($O139&lt;&gt;0,'Técnicas de Ki'!BW34,0)+IF($P139&lt;&gt;0,'Técnicas de Ki'!BX34,0)+IF($Q139&lt;&gt;0,'Técnicas de Ki'!BY34,0)+IF($R139&lt;&gt;0,'Técnicas de Ki'!BZ34,0)+IF($S139&lt;&gt;0,'Técnicas de Ki'!CA34,0)+IF($T139&lt;&gt;0,'Técnicas de Ki'!CB34,0)),0))</f>
        <v>0</v>
      </c>
      <c r="CL139" s="539">
        <f>IF('Técnicas de Ki'!BM34=0,0,IF('Técnicas de Ki'!BT34=TS!CL$119,'Técnicas de Ki'!BN34-(IF($O139&lt;&gt;0,'Técnicas de Ki'!BW34,0)+IF($P139&lt;&gt;0,'Técnicas de Ki'!BX34,0)+IF($Q139&lt;&gt;0,'Técnicas de Ki'!BY34,0)+IF($R139&lt;&gt;0,'Técnicas de Ki'!BZ34,0)+IF($S139&lt;&gt;0,'Técnicas de Ki'!CA34,0)+IF($T139&lt;&gt;0,'Técnicas de Ki'!CB34,0)),0))</f>
        <v>0</v>
      </c>
      <c r="CM139" s="538">
        <f>IF('Técnicas de Ki'!BM34=0,0,IFERROR(IF('Técnicas de Ki'!BW34&lt;&gt;0,'Técnicas de Ki'!BW34+TS!$O139,0)*$O139/$O139,0))</f>
        <v>0</v>
      </c>
      <c r="CN139" s="538">
        <f>IF('Técnicas de Ki'!BM34=0,0,IFERROR(IF('Técnicas de Ki'!BX34&lt;&gt;0,'Técnicas de Ki'!BX34+TS!$P139,0)*$P139/$P139,0))</f>
        <v>0</v>
      </c>
      <c r="CO139" s="538">
        <f>IF('Técnicas de Ki'!BM34=0,0,IFERROR(IF('Técnicas de Ki'!BY34&lt;&gt;0,'Técnicas de Ki'!BY34+TS!$Q139,0)*$Q139/$Q139,0))</f>
        <v>0</v>
      </c>
      <c r="CP139" s="538">
        <f>IF('Técnicas de Ki'!BM34=0,0,IFERROR(IF('Técnicas de Ki'!BZ34&lt;&gt;0,'Técnicas de Ki'!BZ34+TS!$R139,0)*$R139/$R139,0))</f>
        <v>0</v>
      </c>
      <c r="CQ139" s="538">
        <f>IF('Técnicas de Ki'!BM34=0,0,IFERROR(IF('Técnicas de Ki'!CA34&lt;&gt;0,'Técnicas de Ki'!CA34+TS!$S139,0)*$S139/$S139,0))</f>
        <v>0</v>
      </c>
      <c r="CR139" s="539">
        <f>IF('Técnicas de Ki'!BM34=0,0,IFERROR(IF('Técnicas de Ki'!CB34&lt;&gt;0,'Técnicas de Ki'!CB34+TS!$T139,0)*$T139/$T139,0))</f>
        <v>0</v>
      </c>
      <c r="CT139" s="571" t="str">
        <f>IF('Técnicas de Ki'!BM36&lt;&gt;0,'Técnicas de Ki'!BL36&amp;" "&amp;'Técnicas de Ki'!BM36,"")</f>
        <v/>
      </c>
      <c r="CU139" s="302" t="b">
        <f t="shared" si="18"/>
        <v>0</v>
      </c>
      <c r="CV139" s="302" t="str">
        <f t="shared" si="7"/>
        <v/>
      </c>
    </row>
    <row r="140" spans="1:102" x14ac:dyDescent="0.2">
      <c r="A140" s="302" t="s">
        <v>6847</v>
      </c>
      <c r="B140" s="301" t="s">
        <v>6811</v>
      </c>
      <c r="C140" s="301" t="str">
        <f t="shared" si="15"/>
        <v>Aumento de daño+175</v>
      </c>
      <c r="D140" s="302">
        <v>18</v>
      </c>
      <c r="E140" s="302">
        <v>22</v>
      </c>
      <c r="F140" s="302">
        <v>45</v>
      </c>
      <c r="G140" s="302">
        <v>10</v>
      </c>
      <c r="H140" s="302">
        <v>20</v>
      </c>
      <c r="I140" s="302">
        <v>35</v>
      </c>
      <c r="J140" s="302">
        <v>3</v>
      </c>
      <c r="N140" s="302" t="s">
        <v>6850</v>
      </c>
      <c r="Q140" s="302">
        <v>3</v>
      </c>
      <c r="R140" s="302">
        <v>1</v>
      </c>
      <c r="S140" s="302">
        <v>2</v>
      </c>
      <c r="T140" s="302">
        <v>2</v>
      </c>
      <c r="V140" s="537">
        <f>IF('Técnicas de Ki'!B35=0,0,IF('Técnicas de Ki'!I35=TS!V$119,'Técnicas de Ki'!C35-(IF($O140&lt;&gt;0,'Técnicas de Ki'!L35,0)+IF($P140&lt;&gt;0,'Técnicas de Ki'!M35,0)+IF($Q140&lt;&gt;0,'Técnicas de Ki'!N35,0)+IF($R140&lt;&gt;0,'Técnicas de Ki'!O35,0)+IF($S140&lt;&gt;0,'Técnicas de Ki'!P35,0)+IF($T140&lt;&gt;0,'Técnicas de Ki'!Q35,0)),0))</f>
        <v>0</v>
      </c>
      <c r="W140" s="538">
        <f>IF('Técnicas de Ki'!B35=0,0,IF('Técnicas de Ki'!I35=TS!W$119,'Técnicas de Ki'!C35-(IF($O140&lt;&gt;0,'Técnicas de Ki'!L35,0)+IF($P140&lt;&gt;0,'Técnicas de Ki'!M35,0)+IF($Q140&lt;&gt;0,'Técnicas de Ki'!N35,0)+IF($R140&lt;&gt;0,'Técnicas de Ki'!O35,0)+IF($S140&lt;&gt;0,'Técnicas de Ki'!P35,0)+IF($T140&lt;&gt;0,'Técnicas de Ki'!Q35,0)),0))</f>
        <v>0</v>
      </c>
      <c r="X140" s="538">
        <f>IF('Técnicas de Ki'!B35=0,0,IF('Técnicas de Ki'!I35=TS!X$119,'Técnicas de Ki'!C35-(IF($O140&lt;&gt;0,'Técnicas de Ki'!L35,0)+IF($P140&lt;&gt;0,'Técnicas de Ki'!M35,0)+IF($Q140&lt;&gt;0,'Técnicas de Ki'!N35,0)+IF($R140&lt;&gt;0,'Técnicas de Ki'!O35,0)+IF($S140&lt;&gt;0,'Técnicas de Ki'!P35,0)+IF($T140&lt;&gt;0,'Técnicas de Ki'!Q35,0)),0))</f>
        <v>0</v>
      </c>
      <c r="Y140" s="538">
        <f>IF('Técnicas de Ki'!B35=0,0,IF('Técnicas de Ki'!I35=TS!Y$119,'Técnicas de Ki'!C35-(IF($O140&lt;&gt;0,'Técnicas de Ki'!L35,0)+IF($P140&lt;&gt;0,'Técnicas de Ki'!M35,0)+IF($Q140&lt;&gt;0,'Técnicas de Ki'!N35,0)+IF($R140&lt;&gt;0,'Técnicas de Ki'!O35,0)+IF($S140&lt;&gt;0,'Técnicas de Ki'!P35,0)+IF($T140&lt;&gt;0,'Técnicas de Ki'!Q35,0)),0))</f>
        <v>0</v>
      </c>
      <c r="Z140" s="538">
        <f>IF('Técnicas de Ki'!B35=0,0,IF('Técnicas de Ki'!I35=TS!Z$119,'Técnicas de Ki'!C35-(IF($O140&lt;&gt;0,'Técnicas de Ki'!L35,0)+IF($P140&lt;&gt;0,'Técnicas de Ki'!M35,0)+IF($Q140&lt;&gt;0,'Técnicas de Ki'!N35,0)+IF($R140&lt;&gt;0,'Técnicas de Ki'!O35,0)+IF($S140&lt;&gt;0,'Técnicas de Ki'!P35,0)+IF($T140&lt;&gt;0,'Técnicas de Ki'!Q35,0)),0))</f>
        <v>0</v>
      </c>
      <c r="AA140" s="539">
        <f>IF('Técnicas de Ki'!B35=0,0,IF('Técnicas de Ki'!I35=TS!AA$119,'Técnicas de Ki'!C35-(IF($O140&lt;&gt;0,'Técnicas de Ki'!L35,0)+IF($P140&lt;&gt;0,'Técnicas de Ki'!M35,0)+IF($Q140&lt;&gt;0,'Técnicas de Ki'!N35,0)+IF($R140&lt;&gt;0,'Técnicas de Ki'!O35,0)+IF($S140&lt;&gt;0,'Técnicas de Ki'!P35,0)+IF($T140&lt;&gt;0,'Técnicas de Ki'!Q35,0)),0))</f>
        <v>0</v>
      </c>
      <c r="AB140" s="538">
        <f>IF('Técnicas de Ki'!B35=0,0,IFERROR(IF('Técnicas de Ki'!L35&lt;&gt;0,'Técnicas de Ki'!L35+TS!$O140,0)*$O140/$O140,0))</f>
        <v>0</v>
      </c>
      <c r="AC140" s="538">
        <f>IF('Técnicas de Ki'!B35=0,0,IFERROR(IF('Técnicas de Ki'!M35&lt;&gt;0,'Técnicas de Ki'!M35+TS!$P140,0)*$P140/$P140,0))</f>
        <v>0</v>
      </c>
      <c r="AD140" s="538">
        <f>IF('Técnicas de Ki'!B35=0,0,IFERROR(IF('Técnicas de Ki'!N35&lt;&gt;0,'Técnicas de Ki'!N35+TS!$Q140,0)*$Q140/$Q140,0))</f>
        <v>0</v>
      </c>
      <c r="AE140" s="538">
        <f>IF('Técnicas de Ki'!B35=0,0,IFERROR(IF('Técnicas de Ki'!O35&lt;&gt;0,'Técnicas de Ki'!O35+TS!$R140,0)*$R140/$R140,0))</f>
        <v>0</v>
      </c>
      <c r="AF140" s="538">
        <f>IF('Técnicas de Ki'!B35=0,0,IFERROR(IF('Técnicas de Ki'!P35&lt;&gt;0,'Técnicas de Ki'!P35+TS!$S140,0)*$S140/$S140,0))</f>
        <v>0</v>
      </c>
      <c r="AG140" s="539">
        <f>IF('Técnicas de Ki'!B35=0,0,IFERROR(IF('Técnicas de Ki'!Q35&lt;&gt;0,'Técnicas de Ki'!Q35+TS!$T140,0)*$T140/$T140,0))</f>
        <v>0</v>
      </c>
      <c r="AI140" s="571" t="str">
        <f>IF('Técnicas de Ki'!B37&lt;&gt;0,'Técnicas de Ki'!A37&amp;" "&amp;'Técnicas de Ki'!B37,"")</f>
        <v/>
      </c>
      <c r="AJ140" s="302" t="b">
        <f t="shared" si="8"/>
        <v>0</v>
      </c>
      <c r="AK140" s="302" t="str">
        <f t="shared" si="4"/>
        <v/>
      </c>
      <c r="AQ140" s="537">
        <f>IF('Técnicas de Ki'!W35=0,0,IF('Técnicas de Ki'!AD35=TS!AQ$119,'Técnicas de Ki'!X35-(IF($O140&lt;&gt;0,'Técnicas de Ki'!AG35,0)+IF($P140&lt;&gt;0,'Técnicas de Ki'!AH35,0)+IF($Q140&lt;&gt;0,'Técnicas de Ki'!AI35,0)+IF($R140&lt;&gt;0,'Técnicas de Ki'!AJ35,0)+IF($S140&lt;&gt;0,'Técnicas de Ki'!AK35,0)+IF($T140&lt;&gt;0,'Técnicas de Ki'!AL35,0)),0))</f>
        <v>0</v>
      </c>
      <c r="AR140" s="538">
        <f>IF('Técnicas de Ki'!W35=0,0,IF('Técnicas de Ki'!AD35=TS!AR$119,'Técnicas de Ki'!X35-(IF($O140&lt;&gt;0,'Técnicas de Ki'!AG35,0)+IF($P140&lt;&gt;0,'Técnicas de Ki'!AH35,0)+IF($Q140&lt;&gt;0,'Técnicas de Ki'!AI35,0)+IF($R140&lt;&gt;0,'Técnicas de Ki'!AJ35,0)+IF($S140&lt;&gt;0,'Técnicas de Ki'!AK35,0)+IF($T140&lt;&gt;0,'Técnicas de Ki'!AL35,0)),0))</f>
        <v>0</v>
      </c>
      <c r="AS140" s="538">
        <f>IF('Técnicas de Ki'!W35=0,0,IF('Técnicas de Ki'!AD35=TS!AS$119,'Técnicas de Ki'!X35-(IF($O140&lt;&gt;0,'Técnicas de Ki'!AG35,0)+IF($P140&lt;&gt;0,'Técnicas de Ki'!AH35,0)+IF($Q140&lt;&gt;0,'Técnicas de Ki'!AI35,0)+IF($R140&lt;&gt;0,'Técnicas de Ki'!AJ35,0)+IF($S140&lt;&gt;0,'Técnicas de Ki'!AK35,0)+IF($T140&lt;&gt;0,'Técnicas de Ki'!AL35,0)),0))</f>
        <v>0</v>
      </c>
      <c r="AT140" s="538">
        <f>IF('Técnicas de Ki'!W35=0,0,IF('Técnicas de Ki'!AD35=TS!AT$119,'Técnicas de Ki'!X35-(IF($O140&lt;&gt;0,'Técnicas de Ki'!AG35,0)+IF($P140&lt;&gt;0,'Técnicas de Ki'!AH35,0)+IF($Q140&lt;&gt;0,'Técnicas de Ki'!AI35,0)+IF($R140&lt;&gt;0,'Técnicas de Ki'!AJ35,0)+IF($S140&lt;&gt;0,'Técnicas de Ki'!AK35,0)+IF($T140&lt;&gt;0,'Técnicas de Ki'!AL35,0)),0))</f>
        <v>0</v>
      </c>
      <c r="AU140" s="538">
        <f>IF('Técnicas de Ki'!W35=0,0,IF('Técnicas de Ki'!AD35=TS!AU$119,'Técnicas de Ki'!X35-(IF($O140&lt;&gt;0,'Técnicas de Ki'!AG35,0)+IF($P140&lt;&gt;0,'Técnicas de Ki'!AH35,0)+IF($Q140&lt;&gt;0,'Técnicas de Ki'!AI35,0)+IF($R140&lt;&gt;0,'Técnicas de Ki'!AJ35,0)+IF($S140&lt;&gt;0,'Técnicas de Ki'!AK35,0)+IF($T140&lt;&gt;0,'Técnicas de Ki'!AL35,0)),0))</f>
        <v>0</v>
      </c>
      <c r="AV140" s="539">
        <f>IF('Técnicas de Ki'!W35=0,0,IF('Técnicas de Ki'!AD35=TS!AV$119,'Técnicas de Ki'!X35-(IF($O140&lt;&gt;0,'Técnicas de Ki'!AG35,0)+IF($P140&lt;&gt;0,'Técnicas de Ki'!AH35,0)+IF($Q140&lt;&gt;0,'Técnicas de Ki'!AI35,0)+IF($R140&lt;&gt;0,'Técnicas de Ki'!AJ35,0)+IF($S140&lt;&gt;0,'Técnicas de Ki'!AK35,0)+IF($T140&lt;&gt;0,'Técnicas de Ki'!AL35,0)),0))</f>
        <v>0</v>
      </c>
      <c r="AW140" s="538">
        <f>IF('Técnicas de Ki'!W35=0,0,IFERROR(IF('Técnicas de Ki'!AG35&lt;&gt;0,'Técnicas de Ki'!AG35+TS!$O140,0)*$O140/$O140,0))</f>
        <v>0</v>
      </c>
      <c r="AX140" s="538">
        <f>IF('Técnicas de Ki'!W35=0,0,IFERROR(IF('Técnicas de Ki'!AH35&lt;&gt;0,'Técnicas de Ki'!AH35+TS!$P140,0)*$P140/$P140,0))</f>
        <v>0</v>
      </c>
      <c r="AY140" s="538">
        <f>IF('Técnicas de Ki'!W35=0,0,IFERROR(IF('Técnicas de Ki'!AI35&lt;&gt;0,'Técnicas de Ki'!AI35+TS!$Q140,0)*$Q140/$Q140,0))</f>
        <v>0</v>
      </c>
      <c r="AZ140" s="538">
        <f>IF('Técnicas de Ki'!W35=0,0,IFERROR(IF('Técnicas de Ki'!AJ35&lt;&gt;0,'Técnicas de Ki'!AJ35+TS!$R140,0)*$R140/$R140,0))</f>
        <v>0</v>
      </c>
      <c r="BA140" s="538">
        <f>IF('Técnicas de Ki'!W35=0,0,IFERROR(IF('Técnicas de Ki'!AK35&lt;&gt;0,'Técnicas de Ki'!AK35+TS!$S140,0)*$S140/$S140,0))</f>
        <v>0</v>
      </c>
      <c r="BB140" s="539">
        <f>IF('Técnicas de Ki'!W35=0,0,IFERROR(IF('Técnicas de Ki'!AL35&lt;&gt;0,'Técnicas de Ki'!AL35+TS!$T140,0)*$T140/$T140,0))</f>
        <v>0</v>
      </c>
      <c r="BD140" s="571" t="str">
        <f>IF('Técnicas de Ki'!W37&lt;&gt;0,'Técnicas de Ki'!V37&amp;" "&amp;'Técnicas de Ki'!W37,"")</f>
        <v/>
      </c>
      <c r="BE140" s="302" t="b">
        <f t="shared" si="16"/>
        <v>0</v>
      </c>
      <c r="BF140" s="302" t="str">
        <f t="shared" si="5"/>
        <v/>
      </c>
      <c r="BL140" s="537">
        <f>IF('Técnicas de Ki'!AR35=0,0,IF('Técnicas de Ki'!AY35=TS!BL$119,'Técnicas de Ki'!AS35-(IF($O140&lt;&gt;0,'Técnicas de Ki'!BB35,0)+IF($P140&lt;&gt;0,'Técnicas de Ki'!BC35,0)+IF($Q140&lt;&gt;0,'Técnicas de Ki'!BD35,0)+IF($R140&lt;&gt;0,'Técnicas de Ki'!BE35,0)+IF($S140&lt;&gt;0,'Técnicas de Ki'!BF35,0)+IF($T140&lt;&gt;0,'Técnicas de Ki'!BG35,0)),0))</f>
        <v>0</v>
      </c>
      <c r="BM140" s="538">
        <f>IF('Técnicas de Ki'!AR35=0,0,IF('Técnicas de Ki'!AY35=TS!BM$119,'Técnicas de Ki'!AS35-(IF($O140&lt;&gt;0,'Técnicas de Ki'!BB35,0)+IF($P140&lt;&gt;0,'Técnicas de Ki'!BC35,0)+IF($Q140&lt;&gt;0,'Técnicas de Ki'!BD35,0)+IF($R140&lt;&gt;0,'Técnicas de Ki'!BE35,0)+IF($S140&lt;&gt;0,'Técnicas de Ki'!BF35,0)+IF($T140&lt;&gt;0,'Técnicas de Ki'!BG35,0)),0))</f>
        <v>0</v>
      </c>
      <c r="BN140" s="538">
        <f>IF('Técnicas de Ki'!AR35=0,0,IF('Técnicas de Ki'!AY35=TS!BN$119,'Técnicas de Ki'!AS35-(IF($O140&lt;&gt;0,'Técnicas de Ki'!BB35,0)+IF($P140&lt;&gt;0,'Técnicas de Ki'!BC35,0)+IF($Q140&lt;&gt;0,'Técnicas de Ki'!BD35,0)+IF($R140&lt;&gt;0,'Técnicas de Ki'!BE35,0)+IF($S140&lt;&gt;0,'Técnicas de Ki'!BF35,0)+IF($T140&lt;&gt;0,'Técnicas de Ki'!BG35,0)),0))</f>
        <v>0</v>
      </c>
      <c r="BO140" s="538">
        <f>IF('Técnicas de Ki'!AR35=0,0,IF('Técnicas de Ki'!AY35=TS!BO$119,'Técnicas de Ki'!AS35-(IF($O140&lt;&gt;0,'Técnicas de Ki'!BB35,0)+IF($P140&lt;&gt;0,'Técnicas de Ki'!BC35,0)+IF($Q140&lt;&gt;0,'Técnicas de Ki'!BD35,0)+IF($R140&lt;&gt;0,'Técnicas de Ki'!BE35,0)+IF($S140&lt;&gt;0,'Técnicas de Ki'!BF35,0)+IF($T140&lt;&gt;0,'Técnicas de Ki'!BG35,0)),0))</f>
        <v>0</v>
      </c>
      <c r="BP140" s="538">
        <f>IF('Técnicas de Ki'!AR35=0,0,IF('Técnicas de Ki'!AY35=TS!BP$119,'Técnicas de Ki'!AS35-(IF($O140&lt;&gt;0,'Técnicas de Ki'!BB35,0)+IF($P140&lt;&gt;0,'Técnicas de Ki'!BC35,0)+IF($Q140&lt;&gt;0,'Técnicas de Ki'!BD35,0)+IF($R140&lt;&gt;0,'Técnicas de Ki'!BE35,0)+IF($S140&lt;&gt;0,'Técnicas de Ki'!BF35,0)+IF($T140&lt;&gt;0,'Técnicas de Ki'!BG35,0)),0))</f>
        <v>0</v>
      </c>
      <c r="BQ140" s="539">
        <f>IF('Técnicas de Ki'!AR35=0,0,IF('Técnicas de Ki'!AY35=TS!BQ$119,'Técnicas de Ki'!AS35-(IF($O140&lt;&gt;0,'Técnicas de Ki'!BB35,0)+IF($P140&lt;&gt;0,'Técnicas de Ki'!BC35,0)+IF($Q140&lt;&gt;0,'Técnicas de Ki'!BD35,0)+IF($R140&lt;&gt;0,'Técnicas de Ki'!BE35,0)+IF($S140&lt;&gt;0,'Técnicas de Ki'!BF35,0)+IF($T140&lt;&gt;0,'Técnicas de Ki'!BG35,0)),0))</f>
        <v>0</v>
      </c>
      <c r="BR140" s="538">
        <f>IF('Técnicas de Ki'!AR35=0,0,IFERROR(IF('Técnicas de Ki'!BB35&lt;&gt;0,'Técnicas de Ki'!BB35+TS!$O140,0)*$O140/$O140,0))</f>
        <v>0</v>
      </c>
      <c r="BS140" s="538">
        <f>IF('Técnicas de Ki'!AR35=0,0,IFERROR(IF('Técnicas de Ki'!BC35&lt;&gt;0,'Técnicas de Ki'!BC35+TS!$P140,0)*$P140/$P140,0))</f>
        <v>0</v>
      </c>
      <c r="BT140" s="538">
        <f>IF('Técnicas de Ki'!AR35=0,0,IFERROR(IF('Técnicas de Ki'!BD35&lt;&gt;0,'Técnicas de Ki'!BD35+TS!$Q140,0)*$Q140/$Q140,0))</f>
        <v>0</v>
      </c>
      <c r="BU140" s="538">
        <f>IF('Técnicas de Ki'!AR35=0,0,IFERROR(IF('Técnicas de Ki'!BE35&lt;&gt;0,'Técnicas de Ki'!BE35+TS!$R140,0)*$R140/$R140,0))</f>
        <v>0</v>
      </c>
      <c r="BV140" s="538">
        <f>IF('Técnicas de Ki'!AR35=0,0,IFERROR(IF('Técnicas de Ki'!BF35&lt;&gt;0,'Técnicas de Ki'!BF35+TS!$S140,0)*$S140/$S140,0))</f>
        <v>0</v>
      </c>
      <c r="BW140" s="539">
        <f>IF('Técnicas de Ki'!AR35=0,0,IFERROR(IF('Técnicas de Ki'!BG35&lt;&gt;0,'Técnicas de Ki'!BG35+TS!$T140,0)*$T140/$T140,0))</f>
        <v>0</v>
      </c>
      <c r="BY140" s="571" t="str">
        <f>IF('Técnicas de Ki'!AR37&lt;&gt;0,'Técnicas de Ki'!AQ37&amp;" "&amp;'Técnicas de Ki'!AR37,"")</f>
        <v/>
      </c>
      <c r="BZ140" s="302" t="b">
        <f t="shared" si="17"/>
        <v>0</v>
      </c>
      <c r="CA140" s="302" t="str">
        <f t="shared" si="6"/>
        <v/>
      </c>
      <c r="CG140" s="537">
        <f>IF('Técnicas de Ki'!BM35=0,0,IF('Técnicas de Ki'!BT35=TS!CG$119,'Técnicas de Ki'!BN35-(IF($O140&lt;&gt;0,'Técnicas de Ki'!BW35,0)+IF($P140&lt;&gt;0,'Técnicas de Ki'!BX35,0)+IF($Q140&lt;&gt;0,'Técnicas de Ki'!BY35,0)+IF($R140&lt;&gt;0,'Técnicas de Ki'!BZ35,0)+IF($S140&lt;&gt;0,'Técnicas de Ki'!CA35,0)+IF($T140&lt;&gt;0,'Técnicas de Ki'!CB35,0)),0))</f>
        <v>0</v>
      </c>
      <c r="CH140" s="538">
        <f>IF('Técnicas de Ki'!BM35=0,0,IF('Técnicas de Ki'!BT35=TS!CH$119,'Técnicas de Ki'!BN35-(IF($O140&lt;&gt;0,'Técnicas de Ki'!BW35,0)+IF($P140&lt;&gt;0,'Técnicas de Ki'!BX35,0)+IF($Q140&lt;&gt;0,'Técnicas de Ki'!BY35,0)+IF($R140&lt;&gt;0,'Técnicas de Ki'!BZ35,0)+IF($S140&lt;&gt;0,'Técnicas de Ki'!CA35,0)+IF($T140&lt;&gt;0,'Técnicas de Ki'!CB35,0)),0))</f>
        <v>0</v>
      </c>
      <c r="CI140" s="538">
        <f>IF('Técnicas de Ki'!BM35=0,0,IF('Técnicas de Ki'!BT35=TS!CI$119,'Técnicas de Ki'!BN35-(IF($O140&lt;&gt;0,'Técnicas de Ki'!BW35,0)+IF($P140&lt;&gt;0,'Técnicas de Ki'!BX35,0)+IF($Q140&lt;&gt;0,'Técnicas de Ki'!BY35,0)+IF($R140&lt;&gt;0,'Técnicas de Ki'!BZ35,0)+IF($S140&lt;&gt;0,'Técnicas de Ki'!CA35,0)+IF($T140&lt;&gt;0,'Técnicas de Ki'!CB35,0)),0))</f>
        <v>0</v>
      </c>
      <c r="CJ140" s="538">
        <f>IF('Técnicas de Ki'!BM35=0,0,IF('Técnicas de Ki'!BT35=TS!CJ$119,'Técnicas de Ki'!BN35-(IF($O140&lt;&gt;0,'Técnicas de Ki'!BW35,0)+IF($P140&lt;&gt;0,'Técnicas de Ki'!BX35,0)+IF($Q140&lt;&gt;0,'Técnicas de Ki'!BY35,0)+IF($R140&lt;&gt;0,'Técnicas de Ki'!BZ35,0)+IF($S140&lt;&gt;0,'Técnicas de Ki'!CA35,0)+IF($T140&lt;&gt;0,'Técnicas de Ki'!CB35,0)),0))</f>
        <v>0</v>
      </c>
      <c r="CK140" s="538">
        <f>IF('Técnicas de Ki'!BM35=0,0,IF('Técnicas de Ki'!BT35=TS!CK$119,'Técnicas de Ki'!BN35-(IF($O140&lt;&gt;0,'Técnicas de Ki'!BW35,0)+IF($P140&lt;&gt;0,'Técnicas de Ki'!BX35,0)+IF($Q140&lt;&gt;0,'Técnicas de Ki'!BY35,0)+IF($R140&lt;&gt;0,'Técnicas de Ki'!BZ35,0)+IF($S140&lt;&gt;0,'Técnicas de Ki'!CA35,0)+IF($T140&lt;&gt;0,'Técnicas de Ki'!CB35,0)),0))</f>
        <v>0</v>
      </c>
      <c r="CL140" s="539">
        <f>IF('Técnicas de Ki'!BM35=0,0,IF('Técnicas de Ki'!BT35=TS!CL$119,'Técnicas de Ki'!BN35-(IF($O140&lt;&gt;0,'Técnicas de Ki'!BW35,0)+IF($P140&lt;&gt;0,'Técnicas de Ki'!BX35,0)+IF($Q140&lt;&gt;0,'Técnicas de Ki'!BY35,0)+IF($R140&lt;&gt;0,'Técnicas de Ki'!BZ35,0)+IF($S140&lt;&gt;0,'Técnicas de Ki'!CA35,0)+IF($T140&lt;&gt;0,'Técnicas de Ki'!CB35,0)),0))</f>
        <v>0</v>
      </c>
      <c r="CM140" s="538">
        <f>IF('Técnicas de Ki'!BM35=0,0,IFERROR(IF('Técnicas de Ki'!BW35&lt;&gt;0,'Técnicas de Ki'!BW35+TS!$O140,0)*$O140/$O140,0))</f>
        <v>0</v>
      </c>
      <c r="CN140" s="538">
        <f>IF('Técnicas de Ki'!BM35=0,0,IFERROR(IF('Técnicas de Ki'!BX35&lt;&gt;0,'Técnicas de Ki'!BX35+TS!$P140,0)*$P140/$P140,0))</f>
        <v>0</v>
      </c>
      <c r="CO140" s="538">
        <f>IF('Técnicas de Ki'!BM35=0,0,IFERROR(IF('Técnicas de Ki'!BY35&lt;&gt;0,'Técnicas de Ki'!BY35+TS!$Q140,0)*$Q140/$Q140,0))</f>
        <v>0</v>
      </c>
      <c r="CP140" s="538">
        <f>IF('Técnicas de Ki'!BM35=0,0,IFERROR(IF('Técnicas de Ki'!BZ35&lt;&gt;0,'Técnicas de Ki'!BZ35+TS!$R140,0)*$R140/$R140,0))</f>
        <v>0</v>
      </c>
      <c r="CQ140" s="538">
        <f>IF('Técnicas de Ki'!BM35=0,0,IFERROR(IF('Técnicas de Ki'!CA35&lt;&gt;0,'Técnicas de Ki'!CA35+TS!$S140,0)*$S140/$S140,0))</f>
        <v>0</v>
      </c>
      <c r="CR140" s="539">
        <f>IF('Técnicas de Ki'!BM35=0,0,IFERROR(IF('Técnicas de Ki'!CB35&lt;&gt;0,'Técnicas de Ki'!CB35+TS!$T140,0)*$T140/$T140,0))</f>
        <v>0</v>
      </c>
      <c r="CT140" s="571" t="str">
        <f>IF('Técnicas de Ki'!BM37&lt;&gt;0,'Técnicas de Ki'!BL37&amp;" "&amp;'Técnicas de Ki'!BM37,"")</f>
        <v/>
      </c>
      <c r="CU140" s="302" t="b">
        <f t="shared" si="18"/>
        <v>0</v>
      </c>
      <c r="CV140" s="302" t="str">
        <f t="shared" si="7"/>
        <v/>
      </c>
    </row>
    <row r="141" spans="1:102" x14ac:dyDescent="0.2">
      <c r="A141" s="302" t="s">
        <v>6847</v>
      </c>
      <c r="B141" s="301" t="s">
        <v>6812</v>
      </c>
      <c r="C141" s="301" t="str">
        <f t="shared" si="15"/>
        <v>Aumento de daño+200</v>
      </c>
      <c r="D141" s="302">
        <v>20</v>
      </c>
      <c r="E141" s="302">
        <v>24</v>
      </c>
      <c r="F141" s="302">
        <v>50</v>
      </c>
      <c r="G141" s="302">
        <v>12</v>
      </c>
      <c r="H141" s="302">
        <v>24</v>
      </c>
      <c r="I141" s="302">
        <v>42</v>
      </c>
      <c r="J141" s="302">
        <v>3</v>
      </c>
      <c r="N141" s="302" t="s">
        <v>6851</v>
      </c>
      <c r="Q141" s="302">
        <v>3</v>
      </c>
      <c r="R141" s="302">
        <v>2</v>
      </c>
      <c r="S141" s="302">
        <v>1</v>
      </c>
      <c r="T141" s="302">
        <v>1</v>
      </c>
      <c r="V141" s="537">
        <f>IF('Técnicas de Ki'!B36=0,0,IF('Técnicas de Ki'!I36=TS!V$119,'Técnicas de Ki'!C36-(IF($O141&lt;&gt;0,'Técnicas de Ki'!L36,0)+IF($P141&lt;&gt;0,'Técnicas de Ki'!M36,0)+IF($Q141&lt;&gt;0,'Técnicas de Ki'!N36,0)+IF($R141&lt;&gt;0,'Técnicas de Ki'!O36,0)+IF($S141&lt;&gt;0,'Técnicas de Ki'!P36,0)+IF($T141&lt;&gt;0,'Técnicas de Ki'!Q36,0)),0))</f>
        <v>0</v>
      </c>
      <c r="W141" s="538">
        <f>IF('Técnicas de Ki'!B36=0,0,IF('Técnicas de Ki'!I36=TS!W$119,'Técnicas de Ki'!C36-(IF($O141&lt;&gt;0,'Técnicas de Ki'!L36,0)+IF($P141&lt;&gt;0,'Técnicas de Ki'!M36,0)+IF($Q141&lt;&gt;0,'Técnicas de Ki'!N36,0)+IF($R141&lt;&gt;0,'Técnicas de Ki'!O36,0)+IF($S141&lt;&gt;0,'Técnicas de Ki'!P36,0)+IF($T141&lt;&gt;0,'Técnicas de Ki'!Q36,0)),0))</f>
        <v>0</v>
      </c>
      <c r="X141" s="538">
        <f>IF('Técnicas de Ki'!B36=0,0,IF('Técnicas de Ki'!I36=TS!X$119,'Técnicas de Ki'!C36-(IF($O141&lt;&gt;0,'Técnicas de Ki'!L36,0)+IF($P141&lt;&gt;0,'Técnicas de Ki'!M36,0)+IF($Q141&lt;&gt;0,'Técnicas de Ki'!N36,0)+IF($R141&lt;&gt;0,'Técnicas de Ki'!O36,0)+IF($S141&lt;&gt;0,'Técnicas de Ki'!P36,0)+IF($T141&lt;&gt;0,'Técnicas de Ki'!Q36,0)),0))</f>
        <v>0</v>
      </c>
      <c r="Y141" s="538">
        <f>IF('Técnicas de Ki'!B36=0,0,IF('Técnicas de Ki'!I36=TS!Y$119,'Técnicas de Ki'!C36-(IF($O141&lt;&gt;0,'Técnicas de Ki'!L36,0)+IF($P141&lt;&gt;0,'Técnicas de Ki'!M36,0)+IF($Q141&lt;&gt;0,'Técnicas de Ki'!N36,0)+IF($R141&lt;&gt;0,'Técnicas de Ki'!O36,0)+IF($S141&lt;&gt;0,'Técnicas de Ki'!P36,0)+IF($T141&lt;&gt;0,'Técnicas de Ki'!Q36,0)),0))</f>
        <v>0</v>
      </c>
      <c r="Z141" s="538">
        <f>IF('Técnicas de Ki'!B36=0,0,IF('Técnicas de Ki'!I36=TS!Z$119,'Técnicas de Ki'!C36-(IF($O141&lt;&gt;0,'Técnicas de Ki'!L36,0)+IF($P141&lt;&gt;0,'Técnicas de Ki'!M36,0)+IF($Q141&lt;&gt;0,'Técnicas de Ki'!N36,0)+IF($R141&lt;&gt;0,'Técnicas de Ki'!O36,0)+IF($S141&lt;&gt;0,'Técnicas de Ki'!P36,0)+IF($T141&lt;&gt;0,'Técnicas de Ki'!Q36,0)),0))</f>
        <v>0</v>
      </c>
      <c r="AA141" s="539">
        <f>IF('Técnicas de Ki'!B36=0,0,IF('Técnicas de Ki'!I36=TS!AA$119,'Técnicas de Ki'!C36-(IF($O141&lt;&gt;0,'Técnicas de Ki'!L36,0)+IF($P141&lt;&gt;0,'Técnicas de Ki'!M36,0)+IF($Q141&lt;&gt;0,'Técnicas de Ki'!N36,0)+IF($R141&lt;&gt;0,'Técnicas de Ki'!O36,0)+IF($S141&lt;&gt;0,'Técnicas de Ki'!P36,0)+IF($T141&lt;&gt;0,'Técnicas de Ki'!Q36,0)),0))</f>
        <v>0</v>
      </c>
      <c r="AB141" s="538">
        <f>IF('Técnicas de Ki'!B36=0,0,IFERROR(IF('Técnicas de Ki'!L36&lt;&gt;0,'Técnicas de Ki'!L36+TS!$O141,0)*$O141/$O141,0))</f>
        <v>0</v>
      </c>
      <c r="AC141" s="538">
        <f>IF('Técnicas de Ki'!B36=0,0,IFERROR(IF('Técnicas de Ki'!M36&lt;&gt;0,'Técnicas de Ki'!M36+TS!$P141,0)*$P141/$P141,0))</f>
        <v>0</v>
      </c>
      <c r="AD141" s="538">
        <f>IF('Técnicas de Ki'!B36=0,0,IFERROR(IF('Técnicas de Ki'!N36&lt;&gt;0,'Técnicas de Ki'!N36+TS!$Q141,0)*$Q141/$Q141,0))</f>
        <v>0</v>
      </c>
      <c r="AE141" s="538">
        <f>IF('Técnicas de Ki'!B36=0,0,IFERROR(IF('Técnicas de Ki'!O36&lt;&gt;0,'Técnicas de Ki'!O36+TS!$R141,0)*$R141/$R141,0))</f>
        <v>0</v>
      </c>
      <c r="AF141" s="538">
        <f>IF('Técnicas de Ki'!B36=0,0,IFERROR(IF('Técnicas de Ki'!P36&lt;&gt;0,'Técnicas de Ki'!P36+TS!$S141,0)*$S141/$S141,0))</f>
        <v>0</v>
      </c>
      <c r="AG141" s="539">
        <f>IF('Técnicas de Ki'!B36=0,0,IFERROR(IF('Técnicas de Ki'!Q36&lt;&gt;0,'Técnicas de Ki'!Q36+TS!$T141,0)*$T141/$T141,0))</f>
        <v>0</v>
      </c>
      <c r="AI141" s="571" t="str">
        <f>IF('Técnicas de Ki'!B38&lt;&gt;0,'Técnicas de Ki'!A38&amp;" "&amp;'Técnicas de Ki'!B38,"")</f>
        <v/>
      </c>
      <c r="AJ141" s="302" t="b">
        <f t="shared" si="8"/>
        <v>0</v>
      </c>
      <c r="AK141" s="302" t="str">
        <f t="shared" si="4"/>
        <v/>
      </c>
      <c r="AQ141" s="537">
        <f>IF('Técnicas de Ki'!W36=0,0,IF('Técnicas de Ki'!AD36=TS!AQ$119,'Técnicas de Ki'!X36-(IF($O141&lt;&gt;0,'Técnicas de Ki'!AG36,0)+IF($P141&lt;&gt;0,'Técnicas de Ki'!AH36,0)+IF($Q141&lt;&gt;0,'Técnicas de Ki'!AI36,0)+IF($R141&lt;&gt;0,'Técnicas de Ki'!AJ36,0)+IF($S141&lt;&gt;0,'Técnicas de Ki'!AK36,0)+IF($T141&lt;&gt;0,'Técnicas de Ki'!AL36,0)),0))</f>
        <v>0</v>
      </c>
      <c r="AR141" s="538">
        <f>IF('Técnicas de Ki'!W36=0,0,IF('Técnicas de Ki'!AD36=TS!AR$119,'Técnicas de Ki'!X36-(IF($O141&lt;&gt;0,'Técnicas de Ki'!AG36,0)+IF($P141&lt;&gt;0,'Técnicas de Ki'!AH36,0)+IF($Q141&lt;&gt;0,'Técnicas de Ki'!AI36,0)+IF($R141&lt;&gt;0,'Técnicas de Ki'!AJ36,0)+IF($S141&lt;&gt;0,'Técnicas de Ki'!AK36,0)+IF($T141&lt;&gt;0,'Técnicas de Ki'!AL36,0)),0))</f>
        <v>0</v>
      </c>
      <c r="AS141" s="538">
        <f>IF('Técnicas de Ki'!W36=0,0,IF('Técnicas de Ki'!AD36=TS!AS$119,'Técnicas de Ki'!X36-(IF($O141&lt;&gt;0,'Técnicas de Ki'!AG36,0)+IF($P141&lt;&gt;0,'Técnicas de Ki'!AH36,0)+IF($Q141&lt;&gt;0,'Técnicas de Ki'!AI36,0)+IF($R141&lt;&gt;0,'Técnicas de Ki'!AJ36,0)+IF($S141&lt;&gt;0,'Técnicas de Ki'!AK36,0)+IF($T141&lt;&gt;0,'Técnicas de Ki'!AL36,0)),0))</f>
        <v>0</v>
      </c>
      <c r="AT141" s="538">
        <f>IF('Técnicas de Ki'!W36=0,0,IF('Técnicas de Ki'!AD36=TS!AT$119,'Técnicas de Ki'!X36-(IF($O141&lt;&gt;0,'Técnicas de Ki'!AG36,0)+IF($P141&lt;&gt;0,'Técnicas de Ki'!AH36,0)+IF($Q141&lt;&gt;0,'Técnicas de Ki'!AI36,0)+IF($R141&lt;&gt;0,'Técnicas de Ki'!AJ36,0)+IF($S141&lt;&gt;0,'Técnicas de Ki'!AK36,0)+IF($T141&lt;&gt;0,'Técnicas de Ki'!AL36,0)),0))</f>
        <v>0</v>
      </c>
      <c r="AU141" s="538">
        <f>IF('Técnicas de Ki'!W36=0,0,IF('Técnicas de Ki'!AD36=TS!AU$119,'Técnicas de Ki'!X36-(IF($O141&lt;&gt;0,'Técnicas de Ki'!AG36,0)+IF($P141&lt;&gt;0,'Técnicas de Ki'!AH36,0)+IF($Q141&lt;&gt;0,'Técnicas de Ki'!AI36,0)+IF($R141&lt;&gt;0,'Técnicas de Ki'!AJ36,0)+IF($S141&lt;&gt;0,'Técnicas de Ki'!AK36,0)+IF($T141&lt;&gt;0,'Técnicas de Ki'!AL36,0)),0))</f>
        <v>0</v>
      </c>
      <c r="AV141" s="539">
        <f>IF('Técnicas de Ki'!W36=0,0,IF('Técnicas de Ki'!AD36=TS!AV$119,'Técnicas de Ki'!X36-(IF($O141&lt;&gt;0,'Técnicas de Ki'!AG36,0)+IF($P141&lt;&gt;0,'Técnicas de Ki'!AH36,0)+IF($Q141&lt;&gt;0,'Técnicas de Ki'!AI36,0)+IF($R141&lt;&gt;0,'Técnicas de Ki'!AJ36,0)+IF($S141&lt;&gt;0,'Técnicas de Ki'!AK36,0)+IF($T141&lt;&gt;0,'Técnicas de Ki'!AL36,0)),0))</f>
        <v>0</v>
      </c>
      <c r="AW141" s="538">
        <f>IF('Técnicas de Ki'!W36=0,0,IFERROR(IF('Técnicas de Ki'!AG36&lt;&gt;0,'Técnicas de Ki'!AG36+TS!$O141,0)*$O141/$O141,0))</f>
        <v>0</v>
      </c>
      <c r="AX141" s="538">
        <f>IF('Técnicas de Ki'!W36=0,0,IFERROR(IF('Técnicas de Ki'!AH36&lt;&gt;0,'Técnicas de Ki'!AH36+TS!$P141,0)*$P141/$P141,0))</f>
        <v>0</v>
      </c>
      <c r="AY141" s="538">
        <f>IF('Técnicas de Ki'!W36=0,0,IFERROR(IF('Técnicas de Ki'!AI36&lt;&gt;0,'Técnicas de Ki'!AI36+TS!$Q141,0)*$Q141/$Q141,0))</f>
        <v>0</v>
      </c>
      <c r="AZ141" s="538">
        <f>IF('Técnicas de Ki'!W36=0,0,IFERROR(IF('Técnicas de Ki'!AJ36&lt;&gt;0,'Técnicas de Ki'!AJ36+TS!$R141,0)*$R141/$R141,0))</f>
        <v>0</v>
      </c>
      <c r="BA141" s="538">
        <f>IF('Técnicas de Ki'!W36=0,0,IFERROR(IF('Técnicas de Ki'!AK36&lt;&gt;0,'Técnicas de Ki'!AK36+TS!$S141,0)*$S141/$S141,0))</f>
        <v>0</v>
      </c>
      <c r="BB141" s="539">
        <f>IF('Técnicas de Ki'!W36=0,0,IFERROR(IF('Técnicas de Ki'!AL36&lt;&gt;0,'Técnicas de Ki'!AL36+TS!$T141,0)*$T141/$T141,0))</f>
        <v>0</v>
      </c>
      <c r="BD141" s="571" t="str">
        <f>IF('Técnicas de Ki'!W38&lt;&gt;0,'Técnicas de Ki'!V38&amp;" "&amp;'Técnicas de Ki'!W38,"")</f>
        <v/>
      </c>
      <c r="BE141" s="302" t="b">
        <f t="shared" si="16"/>
        <v>0</v>
      </c>
      <c r="BF141" s="302" t="str">
        <f t="shared" si="5"/>
        <v/>
      </c>
      <c r="BL141" s="537">
        <f>IF('Técnicas de Ki'!AR36=0,0,IF('Técnicas de Ki'!AY36=TS!BL$119,'Técnicas de Ki'!AS36-(IF($O141&lt;&gt;0,'Técnicas de Ki'!BB36,0)+IF($P141&lt;&gt;0,'Técnicas de Ki'!BC36,0)+IF($Q141&lt;&gt;0,'Técnicas de Ki'!BD36,0)+IF($R141&lt;&gt;0,'Técnicas de Ki'!BE36,0)+IF($S141&lt;&gt;0,'Técnicas de Ki'!BF36,0)+IF($T141&lt;&gt;0,'Técnicas de Ki'!BG36,0)),0))</f>
        <v>0</v>
      </c>
      <c r="BM141" s="538">
        <f>IF('Técnicas de Ki'!AR36=0,0,IF('Técnicas de Ki'!AY36=TS!BM$119,'Técnicas de Ki'!AS36-(IF($O141&lt;&gt;0,'Técnicas de Ki'!BB36,0)+IF($P141&lt;&gt;0,'Técnicas de Ki'!BC36,0)+IF($Q141&lt;&gt;0,'Técnicas de Ki'!BD36,0)+IF($R141&lt;&gt;0,'Técnicas de Ki'!BE36,0)+IF($S141&lt;&gt;0,'Técnicas de Ki'!BF36,0)+IF($T141&lt;&gt;0,'Técnicas de Ki'!BG36,0)),0))</f>
        <v>0</v>
      </c>
      <c r="BN141" s="538">
        <f>IF('Técnicas de Ki'!AR36=0,0,IF('Técnicas de Ki'!AY36=TS!BN$119,'Técnicas de Ki'!AS36-(IF($O141&lt;&gt;0,'Técnicas de Ki'!BB36,0)+IF($P141&lt;&gt;0,'Técnicas de Ki'!BC36,0)+IF($Q141&lt;&gt;0,'Técnicas de Ki'!BD36,0)+IF($R141&lt;&gt;0,'Técnicas de Ki'!BE36,0)+IF($S141&lt;&gt;0,'Técnicas de Ki'!BF36,0)+IF($T141&lt;&gt;0,'Técnicas de Ki'!BG36,0)),0))</f>
        <v>0</v>
      </c>
      <c r="BO141" s="538">
        <f>IF('Técnicas de Ki'!AR36=0,0,IF('Técnicas de Ki'!AY36=TS!BO$119,'Técnicas de Ki'!AS36-(IF($O141&lt;&gt;0,'Técnicas de Ki'!BB36,0)+IF($P141&lt;&gt;0,'Técnicas de Ki'!BC36,0)+IF($Q141&lt;&gt;0,'Técnicas de Ki'!BD36,0)+IF($R141&lt;&gt;0,'Técnicas de Ki'!BE36,0)+IF($S141&lt;&gt;0,'Técnicas de Ki'!BF36,0)+IF($T141&lt;&gt;0,'Técnicas de Ki'!BG36,0)),0))</f>
        <v>0</v>
      </c>
      <c r="BP141" s="538">
        <f>IF('Técnicas de Ki'!AR36=0,0,IF('Técnicas de Ki'!AY36=TS!BP$119,'Técnicas de Ki'!AS36-(IF($O141&lt;&gt;0,'Técnicas de Ki'!BB36,0)+IF($P141&lt;&gt;0,'Técnicas de Ki'!BC36,0)+IF($Q141&lt;&gt;0,'Técnicas de Ki'!BD36,0)+IF($R141&lt;&gt;0,'Técnicas de Ki'!BE36,0)+IF($S141&lt;&gt;0,'Técnicas de Ki'!BF36,0)+IF($T141&lt;&gt;0,'Técnicas de Ki'!BG36,0)),0))</f>
        <v>0</v>
      </c>
      <c r="BQ141" s="539">
        <f>IF('Técnicas de Ki'!AR36=0,0,IF('Técnicas de Ki'!AY36=TS!BQ$119,'Técnicas de Ki'!AS36-(IF($O141&lt;&gt;0,'Técnicas de Ki'!BB36,0)+IF($P141&lt;&gt;0,'Técnicas de Ki'!BC36,0)+IF($Q141&lt;&gt;0,'Técnicas de Ki'!BD36,0)+IF($R141&lt;&gt;0,'Técnicas de Ki'!BE36,0)+IF($S141&lt;&gt;0,'Técnicas de Ki'!BF36,0)+IF($T141&lt;&gt;0,'Técnicas de Ki'!BG36,0)),0))</f>
        <v>0</v>
      </c>
      <c r="BR141" s="538">
        <f>IF('Técnicas de Ki'!AR36=0,0,IFERROR(IF('Técnicas de Ki'!BB36&lt;&gt;0,'Técnicas de Ki'!BB36+TS!$O141,0)*$O141/$O141,0))</f>
        <v>0</v>
      </c>
      <c r="BS141" s="538">
        <f>IF('Técnicas de Ki'!AR36=0,0,IFERROR(IF('Técnicas de Ki'!BC36&lt;&gt;0,'Técnicas de Ki'!BC36+TS!$P141,0)*$P141/$P141,0))</f>
        <v>0</v>
      </c>
      <c r="BT141" s="538">
        <f>IF('Técnicas de Ki'!AR36=0,0,IFERROR(IF('Técnicas de Ki'!BD36&lt;&gt;0,'Técnicas de Ki'!BD36+TS!$Q141,0)*$Q141/$Q141,0))</f>
        <v>0</v>
      </c>
      <c r="BU141" s="538">
        <f>IF('Técnicas de Ki'!AR36=0,0,IFERROR(IF('Técnicas de Ki'!BE36&lt;&gt;0,'Técnicas de Ki'!BE36+TS!$R141,0)*$R141/$R141,0))</f>
        <v>0</v>
      </c>
      <c r="BV141" s="538">
        <f>IF('Técnicas de Ki'!AR36=0,0,IFERROR(IF('Técnicas de Ki'!BF36&lt;&gt;0,'Técnicas de Ki'!BF36+TS!$S141,0)*$S141/$S141,0))</f>
        <v>0</v>
      </c>
      <c r="BW141" s="539">
        <f>IF('Técnicas de Ki'!AR36=0,0,IFERROR(IF('Técnicas de Ki'!BG36&lt;&gt;0,'Técnicas de Ki'!BG36+TS!$T141,0)*$T141/$T141,0))</f>
        <v>0</v>
      </c>
      <c r="BY141" s="571" t="str">
        <f>IF('Técnicas de Ki'!AR38&lt;&gt;0,'Técnicas de Ki'!AQ38&amp;" "&amp;'Técnicas de Ki'!AR38,"")</f>
        <v/>
      </c>
      <c r="BZ141" s="302" t="b">
        <f t="shared" si="17"/>
        <v>0</v>
      </c>
      <c r="CA141" s="302" t="str">
        <f t="shared" si="6"/>
        <v/>
      </c>
      <c r="CG141" s="537">
        <f>IF('Técnicas de Ki'!BM36=0,0,IF('Técnicas de Ki'!BT36=TS!CG$119,'Técnicas de Ki'!BN36-(IF($O141&lt;&gt;0,'Técnicas de Ki'!BW36,0)+IF($P141&lt;&gt;0,'Técnicas de Ki'!BX36,0)+IF($Q141&lt;&gt;0,'Técnicas de Ki'!BY36,0)+IF($R141&lt;&gt;0,'Técnicas de Ki'!BZ36,0)+IF($S141&lt;&gt;0,'Técnicas de Ki'!CA36,0)+IF($T141&lt;&gt;0,'Técnicas de Ki'!CB36,0)),0))</f>
        <v>0</v>
      </c>
      <c r="CH141" s="538">
        <f>IF('Técnicas de Ki'!BM36=0,0,IF('Técnicas de Ki'!BT36=TS!CH$119,'Técnicas de Ki'!BN36-(IF($O141&lt;&gt;0,'Técnicas de Ki'!BW36,0)+IF($P141&lt;&gt;0,'Técnicas de Ki'!BX36,0)+IF($Q141&lt;&gt;0,'Técnicas de Ki'!BY36,0)+IF($R141&lt;&gt;0,'Técnicas de Ki'!BZ36,0)+IF($S141&lt;&gt;0,'Técnicas de Ki'!CA36,0)+IF($T141&lt;&gt;0,'Técnicas de Ki'!CB36,0)),0))</f>
        <v>0</v>
      </c>
      <c r="CI141" s="538">
        <f>IF('Técnicas de Ki'!BM36=0,0,IF('Técnicas de Ki'!BT36=TS!CI$119,'Técnicas de Ki'!BN36-(IF($O141&lt;&gt;0,'Técnicas de Ki'!BW36,0)+IF($P141&lt;&gt;0,'Técnicas de Ki'!BX36,0)+IF($Q141&lt;&gt;0,'Técnicas de Ki'!BY36,0)+IF($R141&lt;&gt;0,'Técnicas de Ki'!BZ36,0)+IF($S141&lt;&gt;0,'Técnicas de Ki'!CA36,0)+IF($T141&lt;&gt;0,'Técnicas de Ki'!CB36,0)),0))</f>
        <v>0</v>
      </c>
      <c r="CJ141" s="538">
        <f>IF('Técnicas de Ki'!BM36=0,0,IF('Técnicas de Ki'!BT36=TS!CJ$119,'Técnicas de Ki'!BN36-(IF($O141&lt;&gt;0,'Técnicas de Ki'!BW36,0)+IF($P141&lt;&gt;0,'Técnicas de Ki'!BX36,0)+IF($Q141&lt;&gt;0,'Técnicas de Ki'!BY36,0)+IF($R141&lt;&gt;0,'Técnicas de Ki'!BZ36,0)+IF($S141&lt;&gt;0,'Técnicas de Ki'!CA36,0)+IF($T141&lt;&gt;0,'Técnicas de Ki'!CB36,0)),0))</f>
        <v>0</v>
      </c>
      <c r="CK141" s="538">
        <f>IF('Técnicas de Ki'!BM36=0,0,IF('Técnicas de Ki'!BT36=TS!CK$119,'Técnicas de Ki'!BN36-(IF($O141&lt;&gt;0,'Técnicas de Ki'!BW36,0)+IF($P141&lt;&gt;0,'Técnicas de Ki'!BX36,0)+IF($Q141&lt;&gt;0,'Técnicas de Ki'!BY36,0)+IF($R141&lt;&gt;0,'Técnicas de Ki'!BZ36,0)+IF($S141&lt;&gt;0,'Técnicas de Ki'!CA36,0)+IF($T141&lt;&gt;0,'Técnicas de Ki'!CB36,0)),0))</f>
        <v>0</v>
      </c>
      <c r="CL141" s="539">
        <f>IF('Técnicas de Ki'!BM36=0,0,IF('Técnicas de Ki'!BT36=TS!CL$119,'Técnicas de Ki'!BN36-(IF($O141&lt;&gt;0,'Técnicas de Ki'!BW36,0)+IF($P141&lt;&gt;0,'Técnicas de Ki'!BX36,0)+IF($Q141&lt;&gt;0,'Técnicas de Ki'!BY36,0)+IF($R141&lt;&gt;0,'Técnicas de Ki'!BZ36,0)+IF($S141&lt;&gt;0,'Técnicas de Ki'!CA36,0)+IF($T141&lt;&gt;0,'Técnicas de Ki'!CB36,0)),0))</f>
        <v>0</v>
      </c>
      <c r="CM141" s="538">
        <f>IF('Técnicas de Ki'!BM36=0,0,IFERROR(IF('Técnicas de Ki'!BW36&lt;&gt;0,'Técnicas de Ki'!BW36+TS!$O141,0)*$O141/$O141,0))</f>
        <v>0</v>
      </c>
      <c r="CN141" s="538">
        <f>IF('Técnicas de Ki'!BM36=0,0,IFERROR(IF('Técnicas de Ki'!BX36&lt;&gt;0,'Técnicas de Ki'!BX36+TS!$P141,0)*$P141/$P141,0))</f>
        <v>0</v>
      </c>
      <c r="CO141" s="538">
        <f>IF('Técnicas de Ki'!BM36=0,0,IFERROR(IF('Técnicas de Ki'!BY36&lt;&gt;0,'Técnicas de Ki'!BY36+TS!$Q141,0)*$Q141/$Q141,0))</f>
        <v>0</v>
      </c>
      <c r="CP141" s="538">
        <f>IF('Técnicas de Ki'!BM36=0,0,IFERROR(IF('Técnicas de Ki'!BZ36&lt;&gt;0,'Técnicas de Ki'!BZ36+TS!$R141,0)*$R141/$R141,0))</f>
        <v>0</v>
      </c>
      <c r="CQ141" s="538">
        <f>IF('Técnicas de Ki'!BM36=0,0,IFERROR(IF('Técnicas de Ki'!CA36&lt;&gt;0,'Técnicas de Ki'!CA36+TS!$S141,0)*$S141/$S141,0))</f>
        <v>0</v>
      </c>
      <c r="CR141" s="539">
        <f>IF('Técnicas de Ki'!BM36=0,0,IFERROR(IF('Técnicas de Ki'!CB36&lt;&gt;0,'Técnicas de Ki'!CB36+TS!$T141,0)*$T141/$T141,0))</f>
        <v>0</v>
      </c>
      <c r="CT141" s="571" t="str">
        <f>IF('Técnicas de Ki'!BM38&lt;&gt;0,'Técnicas de Ki'!BL38&amp;" "&amp;'Técnicas de Ki'!BM38,"")</f>
        <v/>
      </c>
      <c r="CU141" s="302" t="b">
        <f t="shared" si="18"/>
        <v>0</v>
      </c>
      <c r="CV141" s="302" t="str">
        <f t="shared" si="7"/>
        <v/>
      </c>
    </row>
    <row r="142" spans="1:102" ht="13.5" thickBot="1" x14ac:dyDescent="0.25">
      <c r="A142" s="302" t="s">
        <v>6848</v>
      </c>
      <c r="B142" s="301" t="s">
        <v>6855</v>
      </c>
      <c r="C142" s="301" t="str">
        <f>A135&amp;A142&amp;B142</f>
        <v>Aumento de dañoVentaja opcional: SacrificioVital</v>
      </c>
      <c r="D142" s="302">
        <v>4</v>
      </c>
      <c r="E142" s="302">
        <v>4</v>
      </c>
      <c r="F142" s="302">
        <v>15</v>
      </c>
      <c r="G142" s="302">
        <v>3</v>
      </c>
      <c r="H142" s="302">
        <v>6</v>
      </c>
      <c r="I142" s="302">
        <v>11</v>
      </c>
      <c r="J142" s="302">
        <v>1</v>
      </c>
      <c r="N142" s="302" t="s">
        <v>6852</v>
      </c>
      <c r="Q142" s="302">
        <v>3</v>
      </c>
      <c r="R142" s="302">
        <v>2</v>
      </c>
      <c r="S142" s="302">
        <v>1</v>
      </c>
      <c r="T142" s="302">
        <v>1</v>
      </c>
      <c r="V142" s="537">
        <f>IF('Técnicas de Ki'!B37=0,0,IF('Técnicas de Ki'!I37=TS!V$119,'Técnicas de Ki'!C37-(IF($O142&lt;&gt;0,'Técnicas de Ki'!L37,0)+IF($P142&lt;&gt;0,'Técnicas de Ki'!M37,0)+IF($Q142&lt;&gt;0,'Técnicas de Ki'!N37,0)+IF($R142&lt;&gt;0,'Técnicas de Ki'!O37,0)+IF($S142&lt;&gt;0,'Técnicas de Ki'!P37,0)+IF($T142&lt;&gt;0,'Técnicas de Ki'!Q37,0)),0))</f>
        <v>0</v>
      </c>
      <c r="W142" s="538">
        <f>IF('Técnicas de Ki'!B37=0,0,IF('Técnicas de Ki'!I37=TS!W$119,'Técnicas de Ki'!C37-(IF($O142&lt;&gt;0,'Técnicas de Ki'!L37,0)+IF($P142&lt;&gt;0,'Técnicas de Ki'!M37,0)+IF($Q142&lt;&gt;0,'Técnicas de Ki'!N37,0)+IF($R142&lt;&gt;0,'Técnicas de Ki'!O37,0)+IF($S142&lt;&gt;0,'Técnicas de Ki'!P37,0)+IF($T142&lt;&gt;0,'Técnicas de Ki'!Q37,0)),0))</f>
        <v>0</v>
      </c>
      <c r="X142" s="538">
        <f>IF('Técnicas de Ki'!B37=0,0,IF('Técnicas de Ki'!I37=TS!X$119,'Técnicas de Ki'!C37-(IF($O142&lt;&gt;0,'Técnicas de Ki'!L37,0)+IF($P142&lt;&gt;0,'Técnicas de Ki'!M37,0)+IF($Q142&lt;&gt;0,'Técnicas de Ki'!N37,0)+IF($R142&lt;&gt;0,'Técnicas de Ki'!O37,0)+IF($S142&lt;&gt;0,'Técnicas de Ki'!P37,0)+IF($T142&lt;&gt;0,'Técnicas de Ki'!Q37,0)),0))</f>
        <v>0</v>
      </c>
      <c r="Y142" s="538">
        <f>IF('Técnicas de Ki'!B37=0,0,IF('Técnicas de Ki'!I37=TS!Y$119,'Técnicas de Ki'!C37-(IF($O142&lt;&gt;0,'Técnicas de Ki'!L37,0)+IF($P142&lt;&gt;0,'Técnicas de Ki'!M37,0)+IF($Q142&lt;&gt;0,'Técnicas de Ki'!N37,0)+IF($R142&lt;&gt;0,'Técnicas de Ki'!O37,0)+IF($S142&lt;&gt;0,'Técnicas de Ki'!P37,0)+IF($T142&lt;&gt;0,'Técnicas de Ki'!Q37,0)),0))</f>
        <v>0</v>
      </c>
      <c r="Z142" s="538">
        <f>IF('Técnicas de Ki'!B37=0,0,IF('Técnicas de Ki'!I37=TS!Z$119,'Técnicas de Ki'!C37-(IF($O142&lt;&gt;0,'Técnicas de Ki'!L37,0)+IF($P142&lt;&gt;0,'Técnicas de Ki'!M37,0)+IF($Q142&lt;&gt;0,'Técnicas de Ki'!N37,0)+IF($R142&lt;&gt;0,'Técnicas de Ki'!O37,0)+IF($S142&lt;&gt;0,'Técnicas de Ki'!P37,0)+IF($T142&lt;&gt;0,'Técnicas de Ki'!Q37,0)),0))</f>
        <v>0</v>
      </c>
      <c r="AA142" s="539">
        <f>IF('Técnicas de Ki'!B37=0,0,IF('Técnicas de Ki'!I37=TS!AA$119,'Técnicas de Ki'!C37-(IF($O142&lt;&gt;0,'Técnicas de Ki'!L37,0)+IF($P142&lt;&gt;0,'Técnicas de Ki'!M37,0)+IF($Q142&lt;&gt;0,'Técnicas de Ki'!N37,0)+IF($R142&lt;&gt;0,'Técnicas de Ki'!O37,0)+IF($S142&lt;&gt;0,'Técnicas de Ki'!P37,0)+IF($T142&lt;&gt;0,'Técnicas de Ki'!Q37,0)),0))</f>
        <v>0</v>
      </c>
      <c r="AB142" s="538">
        <f>IF('Técnicas de Ki'!B37=0,0,IFERROR(IF('Técnicas de Ki'!L37&lt;&gt;0,'Técnicas de Ki'!L37+TS!$O142,0)*$O142/$O142,0))</f>
        <v>0</v>
      </c>
      <c r="AC142" s="538">
        <f>IF('Técnicas de Ki'!B37=0,0,IFERROR(IF('Técnicas de Ki'!M37&lt;&gt;0,'Técnicas de Ki'!M37+TS!$P142,0)*$P142/$P142,0))</f>
        <v>0</v>
      </c>
      <c r="AD142" s="538">
        <f>IF('Técnicas de Ki'!B37=0,0,IFERROR(IF('Técnicas de Ki'!N37&lt;&gt;0,'Técnicas de Ki'!N37+TS!$Q142,0)*$Q142/$Q142,0))</f>
        <v>0</v>
      </c>
      <c r="AE142" s="538">
        <f>IF('Técnicas de Ki'!B37=0,0,IFERROR(IF('Técnicas de Ki'!O37&lt;&gt;0,'Técnicas de Ki'!O37+TS!$R142,0)*$R142/$R142,0))</f>
        <v>0</v>
      </c>
      <c r="AF142" s="538">
        <f>IF('Técnicas de Ki'!B37=0,0,IFERROR(IF('Técnicas de Ki'!P37&lt;&gt;0,'Técnicas de Ki'!P37+TS!$S142,0)*$S142/$S142,0))</f>
        <v>0</v>
      </c>
      <c r="AG142" s="539">
        <f>IF('Técnicas de Ki'!B37=0,0,IFERROR(IF('Técnicas de Ki'!Q37&lt;&gt;0,'Técnicas de Ki'!Q37+TS!$T142,0)*$T142/$T142,0))</f>
        <v>0</v>
      </c>
      <c r="AI142" s="572" t="str">
        <f>IF('Técnicas de Ki'!B39&lt;&gt;0,'Técnicas de Ki'!A39&amp;" "&amp;'Técnicas de Ki'!B39,"")</f>
        <v/>
      </c>
      <c r="AJ142" s="302" t="b">
        <f t="shared" si="8"/>
        <v>0</v>
      </c>
      <c r="AK142" s="302" t="str">
        <f t="shared" si="4"/>
        <v/>
      </c>
      <c r="AQ142" s="537">
        <f>IF('Técnicas de Ki'!W37=0,0,IF('Técnicas de Ki'!AD37=TS!AQ$119,'Técnicas de Ki'!X37-(IF($O142&lt;&gt;0,'Técnicas de Ki'!AG37,0)+IF($P142&lt;&gt;0,'Técnicas de Ki'!AH37,0)+IF($Q142&lt;&gt;0,'Técnicas de Ki'!AI37,0)+IF($R142&lt;&gt;0,'Técnicas de Ki'!AJ37,0)+IF($S142&lt;&gt;0,'Técnicas de Ki'!AK37,0)+IF($T142&lt;&gt;0,'Técnicas de Ki'!AL37,0)),0))</f>
        <v>0</v>
      </c>
      <c r="AR142" s="538">
        <f>IF('Técnicas de Ki'!W37=0,0,IF('Técnicas de Ki'!AD37=TS!AR$119,'Técnicas de Ki'!X37-(IF($O142&lt;&gt;0,'Técnicas de Ki'!AG37,0)+IF($P142&lt;&gt;0,'Técnicas de Ki'!AH37,0)+IF($Q142&lt;&gt;0,'Técnicas de Ki'!AI37,0)+IF($R142&lt;&gt;0,'Técnicas de Ki'!AJ37,0)+IF($S142&lt;&gt;0,'Técnicas de Ki'!AK37,0)+IF($T142&lt;&gt;0,'Técnicas de Ki'!AL37,0)),0))</f>
        <v>0</v>
      </c>
      <c r="AS142" s="538">
        <f>IF('Técnicas de Ki'!W37=0,0,IF('Técnicas de Ki'!AD37=TS!AS$119,'Técnicas de Ki'!X37-(IF($O142&lt;&gt;0,'Técnicas de Ki'!AG37,0)+IF($P142&lt;&gt;0,'Técnicas de Ki'!AH37,0)+IF($Q142&lt;&gt;0,'Técnicas de Ki'!AI37,0)+IF($R142&lt;&gt;0,'Técnicas de Ki'!AJ37,0)+IF($S142&lt;&gt;0,'Técnicas de Ki'!AK37,0)+IF($T142&lt;&gt;0,'Técnicas de Ki'!AL37,0)),0))</f>
        <v>0</v>
      </c>
      <c r="AT142" s="538">
        <f>IF('Técnicas de Ki'!W37=0,0,IF('Técnicas de Ki'!AD37=TS!AT$119,'Técnicas de Ki'!X37-(IF($O142&lt;&gt;0,'Técnicas de Ki'!AG37,0)+IF($P142&lt;&gt;0,'Técnicas de Ki'!AH37,0)+IF($Q142&lt;&gt;0,'Técnicas de Ki'!AI37,0)+IF($R142&lt;&gt;0,'Técnicas de Ki'!AJ37,0)+IF($S142&lt;&gt;0,'Técnicas de Ki'!AK37,0)+IF($T142&lt;&gt;0,'Técnicas de Ki'!AL37,0)),0))</f>
        <v>0</v>
      </c>
      <c r="AU142" s="538">
        <f>IF('Técnicas de Ki'!W37=0,0,IF('Técnicas de Ki'!AD37=TS!AU$119,'Técnicas de Ki'!X37-(IF($O142&lt;&gt;0,'Técnicas de Ki'!AG37,0)+IF($P142&lt;&gt;0,'Técnicas de Ki'!AH37,0)+IF($Q142&lt;&gt;0,'Técnicas de Ki'!AI37,0)+IF($R142&lt;&gt;0,'Técnicas de Ki'!AJ37,0)+IF($S142&lt;&gt;0,'Técnicas de Ki'!AK37,0)+IF($T142&lt;&gt;0,'Técnicas de Ki'!AL37,0)),0))</f>
        <v>0</v>
      </c>
      <c r="AV142" s="539">
        <f>IF('Técnicas de Ki'!W37=0,0,IF('Técnicas de Ki'!AD37=TS!AV$119,'Técnicas de Ki'!X37-(IF($O142&lt;&gt;0,'Técnicas de Ki'!AG37,0)+IF($P142&lt;&gt;0,'Técnicas de Ki'!AH37,0)+IF($Q142&lt;&gt;0,'Técnicas de Ki'!AI37,0)+IF($R142&lt;&gt;0,'Técnicas de Ki'!AJ37,0)+IF($S142&lt;&gt;0,'Técnicas de Ki'!AK37,0)+IF($T142&lt;&gt;0,'Técnicas de Ki'!AL37,0)),0))</f>
        <v>0</v>
      </c>
      <c r="AW142" s="538">
        <f>IF('Técnicas de Ki'!W37=0,0,IFERROR(IF('Técnicas de Ki'!AG37&lt;&gt;0,'Técnicas de Ki'!AG37+TS!$O142,0)*$O142/$O142,0))</f>
        <v>0</v>
      </c>
      <c r="AX142" s="538">
        <f>IF('Técnicas de Ki'!W37=0,0,IFERROR(IF('Técnicas de Ki'!AH37&lt;&gt;0,'Técnicas de Ki'!AH37+TS!$P142,0)*$P142/$P142,0))</f>
        <v>0</v>
      </c>
      <c r="AY142" s="538">
        <f>IF('Técnicas de Ki'!W37=0,0,IFERROR(IF('Técnicas de Ki'!AI37&lt;&gt;0,'Técnicas de Ki'!AI37+TS!$Q142,0)*$Q142/$Q142,0))</f>
        <v>0</v>
      </c>
      <c r="AZ142" s="538">
        <f>IF('Técnicas de Ki'!W37=0,0,IFERROR(IF('Técnicas de Ki'!AJ37&lt;&gt;0,'Técnicas de Ki'!AJ37+TS!$R142,0)*$R142/$R142,0))</f>
        <v>0</v>
      </c>
      <c r="BA142" s="538">
        <f>IF('Técnicas de Ki'!W37=0,0,IFERROR(IF('Técnicas de Ki'!AK37&lt;&gt;0,'Técnicas de Ki'!AK37+TS!$S142,0)*$S142/$S142,0))</f>
        <v>0</v>
      </c>
      <c r="BB142" s="539">
        <f>IF('Técnicas de Ki'!W37=0,0,IFERROR(IF('Técnicas de Ki'!AL37&lt;&gt;0,'Técnicas de Ki'!AL37+TS!$T142,0)*$T142/$T142,0))</f>
        <v>0</v>
      </c>
      <c r="BD142" s="572" t="str">
        <f>IF('Técnicas de Ki'!W39&lt;&gt;0,'Técnicas de Ki'!V39&amp;" "&amp;'Técnicas de Ki'!W39,"")</f>
        <v/>
      </c>
      <c r="BE142" s="302" t="b">
        <f t="shared" si="16"/>
        <v>0</v>
      </c>
      <c r="BF142" s="302" t="str">
        <f t="shared" si="5"/>
        <v/>
      </c>
      <c r="BL142" s="537">
        <f>IF('Técnicas de Ki'!AR37=0,0,IF('Técnicas de Ki'!AY37=TS!BL$119,'Técnicas de Ki'!AS37-(IF($O142&lt;&gt;0,'Técnicas de Ki'!BB37,0)+IF($P142&lt;&gt;0,'Técnicas de Ki'!BC37,0)+IF($Q142&lt;&gt;0,'Técnicas de Ki'!BD37,0)+IF($R142&lt;&gt;0,'Técnicas de Ki'!BE37,0)+IF($S142&lt;&gt;0,'Técnicas de Ki'!BF37,0)+IF($T142&lt;&gt;0,'Técnicas de Ki'!BG37,0)),0))</f>
        <v>0</v>
      </c>
      <c r="BM142" s="538">
        <f>IF('Técnicas de Ki'!AR37=0,0,IF('Técnicas de Ki'!AY37=TS!BM$119,'Técnicas de Ki'!AS37-(IF($O142&lt;&gt;0,'Técnicas de Ki'!BB37,0)+IF($P142&lt;&gt;0,'Técnicas de Ki'!BC37,0)+IF($Q142&lt;&gt;0,'Técnicas de Ki'!BD37,0)+IF($R142&lt;&gt;0,'Técnicas de Ki'!BE37,0)+IF($S142&lt;&gt;0,'Técnicas de Ki'!BF37,0)+IF($T142&lt;&gt;0,'Técnicas de Ki'!BG37,0)),0))</f>
        <v>0</v>
      </c>
      <c r="BN142" s="538">
        <f>IF('Técnicas de Ki'!AR37=0,0,IF('Técnicas de Ki'!AY37=TS!BN$119,'Técnicas de Ki'!AS37-(IF($O142&lt;&gt;0,'Técnicas de Ki'!BB37,0)+IF($P142&lt;&gt;0,'Técnicas de Ki'!BC37,0)+IF($Q142&lt;&gt;0,'Técnicas de Ki'!BD37,0)+IF($R142&lt;&gt;0,'Técnicas de Ki'!BE37,0)+IF($S142&lt;&gt;0,'Técnicas de Ki'!BF37,0)+IF($T142&lt;&gt;0,'Técnicas de Ki'!BG37,0)),0))</f>
        <v>0</v>
      </c>
      <c r="BO142" s="538">
        <f>IF('Técnicas de Ki'!AR37=0,0,IF('Técnicas de Ki'!AY37=TS!BO$119,'Técnicas de Ki'!AS37-(IF($O142&lt;&gt;0,'Técnicas de Ki'!BB37,0)+IF($P142&lt;&gt;0,'Técnicas de Ki'!BC37,0)+IF($Q142&lt;&gt;0,'Técnicas de Ki'!BD37,0)+IF($R142&lt;&gt;0,'Técnicas de Ki'!BE37,0)+IF($S142&lt;&gt;0,'Técnicas de Ki'!BF37,0)+IF($T142&lt;&gt;0,'Técnicas de Ki'!BG37,0)),0))</f>
        <v>0</v>
      </c>
      <c r="BP142" s="538">
        <f>IF('Técnicas de Ki'!AR37=0,0,IF('Técnicas de Ki'!AY37=TS!BP$119,'Técnicas de Ki'!AS37-(IF($O142&lt;&gt;0,'Técnicas de Ki'!BB37,0)+IF($P142&lt;&gt;0,'Técnicas de Ki'!BC37,0)+IF($Q142&lt;&gt;0,'Técnicas de Ki'!BD37,0)+IF($R142&lt;&gt;0,'Técnicas de Ki'!BE37,0)+IF($S142&lt;&gt;0,'Técnicas de Ki'!BF37,0)+IF($T142&lt;&gt;0,'Técnicas de Ki'!BG37,0)),0))</f>
        <v>0</v>
      </c>
      <c r="BQ142" s="539">
        <f>IF('Técnicas de Ki'!AR37=0,0,IF('Técnicas de Ki'!AY37=TS!BQ$119,'Técnicas de Ki'!AS37-(IF($O142&lt;&gt;0,'Técnicas de Ki'!BB37,0)+IF($P142&lt;&gt;0,'Técnicas de Ki'!BC37,0)+IF($Q142&lt;&gt;0,'Técnicas de Ki'!BD37,0)+IF($R142&lt;&gt;0,'Técnicas de Ki'!BE37,0)+IF($S142&lt;&gt;0,'Técnicas de Ki'!BF37,0)+IF($T142&lt;&gt;0,'Técnicas de Ki'!BG37,0)),0))</f>
        <v>0</v>
      </c>
      <c r="BR142" s="538">
        <f>IF('Técnicas de Ki'!AR37=0,0,IFERROR(IF('Técnicas de Ki'!BB37&lt;&gt;0,'Técnicas de Ki'!BB37+TS!$O142,0)*$O142/$O142,0))</f>
        <v>0</v>
      </c>
      <c r="BS142" s="538">
        <f>IF('Técnicas de Ki'!AR37=0,0,IFERROR(IF('Técnicas de Ki'!BC37&lt;&gt;0,'Técnicas de Ki'!BC37+TS!$P142,0)*$P142/$P142,0))</f>
        <v>0</v>
      </c>
      <c r="BT142" s="538">
        <f>IF('Técnicas de Ki'!AR37=0,0,IFERROR(IF('Técnicas de Ki'!BD37&lt;&gt;0,'Técnicas de Ki'!BD37+TS!$Q142,0)*$Q142/$Q142,0))</f>
        <v>0</v>
      </c>
      <c r="BU142" s="538">
        <f>IF('Técnicas de Ki'!AR37=0,0,IFERROR(IF('Técnicas de Ki'!BE37&lt;&gt;0,'Técnicas de Ki'!BE37+TS!$R142,0)*$R142/$R142,0))</f>
        <v>0</v>
      </c>
      <c r="BV142" s="538">
        <f>IF('Técnicas de Ki'!AR37=0,0,IFERROR(IF('Técnicas de Ki'!BF37&lt;&gt;0,'Técnicas de Ki'!BF37+TS!$S142,0)*$S142/$S142,0))</f>
        <v>0</v>
      </c>
      <c r="BW142" s="539">
        <f>IF('Técnicas de Ki'!AR37=0,0,IFERROR(IF('Técnicas de Ki'!BG37&lt;&gt;0,'Técnicas de Ki'!BG37+TS!$T142,0)*$T142/$T142,0))</f>
        <v>0</v>
      </c>
      <c r="BY142" s="572" t="str">
        <f>IF('Técnicas de Ki'!AR39&lt;&gt;0,'Técnicas de Ki'!AQ39&amp;" "&amp;'Técnicas de Ki'!AR39,"")</f>
        <v/>
      </c>
      <c r="BZ142" s="302" t="b">
        <f t="shared" si="17"/>
        <v>0</v>
      </c>
      <c r="CA142" s="302" t="str">
        <f t="shared" si="6"/>
        <v/>
      </c>
      <c r="CG142" s="537">
        <f>IF('Técnicas de Ki'!BM37=0,0,IF('Técnicas de Ki'!BT37=TS!CG$119,'Técnicas de Ki'!BN37-(IF($O142&lt;&gt;0,'Técnicas de Ki'!BW37,0)+IF($P142&lt;&gt;0,'Técnicas de Ki'!BX37,0)+IF($Q142&lt;&gt;0,'Técnicas de Ki'!BY37,0)+IF($R142&lt;&gt;0,'Técnicas de Ki'!BZ37,0)+IF($S142&lt;&gt;0,'Técnicas de Ki'!CA37,0)+IF($T142&lt;&gt;0,'Técnicas de Ki'!CB37,0)),0))</f>
        <v>0</v>
      </c>
      <c r="CH142" s="538">
        <f>IF('Técnicas de Ki'!BM37=0,0,IF('Técnicas de Ki'!BT37=TS!CH$119,'Técnicas de Ki'!BN37-(IF($O142&lt;&gt;0,'Técnicas de Ki'!BW37,0)+IF($P142&lt;&gt;0,'Técnicas de Ki'!BX37,0)+IF($Q142&lt;&gt;0,'Técnicas de Ki'!BY37,0)+IF($R142&lt;&gt;0,'Técnicas de Ki'!BZ37,0)+IF($S142&lt;&gt;0,'Técnicas de Ki'!CA37,0)+IF($T142&lt;&gt;0,'Técnicas de Ki'!CB37,0)),0))</f>
        <v>0</v>
      </c>
      <c r="CI142" s="538">
        <f>IF('Técnicas de Ki'!BM37=0,0,IF('Técnicas de Ki'!BT37=TS!CI$119,'Técnicas de Ki'!BN37-(IF($O142&lt;&gt;0,'Técnicas de Ki'!BW37,0)+IF($P142&lt;&gt;0,'Técnicas de Ki'!BX37,0)+IF($Q142&lt;&gt;0,'Técnicas de Ki'!BY37,0)+IF($R142&lt;&gt;0,'Técnicas de Ki'!BZ37,0)+IF($S142&lt;&gt;0,'Técnicas de Ki'!CA37,0)+IF($T142&lt;&gt;0,'Técnicas de Ki'!CB37,0)),0))</f>
        <v>0</v>
      </c>
      <c r="CJ142" s="538">
        <f>IF('Técnicas de Ki'!BM37=0,0,IF('Técnicas de Ki'!BT37=TS!CJ$119,'Técnicas de Ki'!BN37-(IF($O142&lt;&gt;0,'Técnicas de Ki'!BW37,0)+IF($P142&lt;&gt;0,'Técnicas de Ki'!BX37,0)+IF($Q142&lt;&gt;0,'Técnicas de Ki'!BY37,0)+IF($R142&lt;&gt;0,'Técnicas de Ki'!BZ37,0)+IF($S142&lt;&gt;0,'Técnicas de Ki'!CA37,0)+IF($T142&lt;&gt;0,'Técnicas de Ki'!CB37,0)),0))</f>
        <v>0</v>
      </c>
      <c r="CK142" s="538">
        <f>IF('Técnicas de Ki'!BM37=0,0,IF('Técnicas de Ki'!BT37=TS!CK$119,'Técnicas de Ki'!BN37-(IF($O142&lt;&gt;0,'Técnicas de Ki'!BW37,0)+IF($P142&lt;&gt;0,'Técnicas de Ki'!BX37,0)+IF($Q142&lt;&gt;0,'Técnicas de Ki'!BY37,0)+IF($R142&lt;&gt;0,'Técnicas de Ki'!BZ37,0)+IF($S142&lt;&gt;0,'Técnicas de Ki'!CA37,0)+IF($T142&lt;&gt;0,'Técnicas de Ki'!CB37,0)),0))</f>
        <v>0</v>
      </c>
      <c r="CL142" s="539">
        <f>IF('Técnicas de Ki'!BM37=0,0,IF('Técnicas de Ki'!BT37=TS!CL$119,'Técnicas de Ki'!BN37-(IF($O142&lt;&gt;0,'Técnicas de Ki'!BW37,0)+IF($P142&lt;&gt;0,'Técnicas de Ki'!BX37,0)+IF($Q142&lt;&gt;0,'Técnicas de Ki'!BY37,0)+IF($R142&lt;&gt;0,'Técnicas de Ki'!BZ37,0)+IF($S142&lt;&gt;0,'Técnicas de Ki'!CA37,0)+IF($T142&lt;&gt;0,'Técnicas de Ki'!CB37,0)),0))</f>
        <v>0</v>
      </c>
      <c r="CM142" s="538">
        <f>IF('Técnicas de Ki'!BM37=0,0,IFERROR(IF('Técnicas de Ki'!BW37&lt;&gt;0,'Técnicas de Ki'!BW37+TS!$O142,0)*$O142/$O142,0))</f>
        <v>0</v>
      </c>
      <c r="CN142" s="538">
        <f>IF('Técnicas de Ki'!BM37=0,0,IFERROR(IF('Técnicas de Ki'!BX37&lt;&gt;0,'Técnicas de Ki'!BX37+TS!$P142,0)*$P142/$P142,0))</f>
        <v>0</v>
      </c>
      <c r="CO142" s="538">
        <f>IF('Técnicas de Ki'!BM37=0,0,IFERROR(IF('Técnicas de Ki'!BY37&lt;&gt;0,'Técnicas de Ki'!BY37+TS!$Q142,0)*$Q142/$Q142,0))</f>
        <v>0</v>
      </c>
      <c r="CP142" s="538">
        <f>IF('Técnicas de Ki'!BM37=0,0,IFERROR(IF('Técnicas de Ki'!BZ37&lt;&gt;0,'Técnicas de Ki'!BZ37+TS!$R142,0)*$R142/$R142,0))</f>
        <v>0</v>
      </c>
      <c r="CQ142" s="538">
        <f>IF('Técnicas de Ki'!BM37=0,0,IFERROR(IF('Técnicas de Ki'!CA37&lt;&gt;0,'Técnicas de Ki'!CA37+TS!$S142,0)*$S142/$S142,0))</f>
        <v>0</v>
      </c>
      <c r="CR142" s="539">
        <f>IF('Técnicas de Ki'!BM37=0,0,IFERROR(IF('Técnicas de Ki'!CB37&lt;&gt;0,'Técnicas de Ki'!CB37+TS!$T142,0)*$T142/$T142,0))</f>
        <v>0</v>
      </c>
      <c r="CT142" s="572" t="str">
        <f>IF('Técnicas de Ki'!BM39&lt;&gt;0,'Técnicas de Ki'!BL39&amp;" "&amp;'Técnicas de Ki'!BM39,"")</f>
        <v/>
      </c>
      <c r="CU142" s="302" t="b">
        <f t="shared" si="18"/>
        <v>0</v>
      </c>
      <c r="CV142" s="302" t="str">
        <f t="shared" si="7"/>
        <v/>
      </c>
    </row>
    <row r="143" spans="1:102" ht="13.5" thickBot="1" x14ac:dyDescent="0.25">
      <c r="A143" s="302" t="s">
        <v>6848</v>
      </c>
      <c r="B143" s="301" t="s">
        <v>6856</v>
      </c>
      <c r="C143" s="301" t="str">
        <f>A136&amp;A143&amp;B143</f>
        <v>Aumento de dañoVentaja opcional: SacrificioVital doble</v>
      </c>
      <c r="D143" s="302">
        <v>10</v>
      </c>
      <c r="E143" s="302">
        <v>10</v>
      </c>
      <c r="F143" s="302">
        <v>50</v>
      </c>
      <c r="G143" s="302">
        <v>4</v>
      </c>
      <c r="H143" s="302">
        <v>8</v>
      </c>
      <c r="I143" s="302">
        <v>14</v>
      </c>
      <c r="J143" s="302">
        <v>1</v>
      </c>
      <c r="N143" s="302" t="s">
        <v>6853</v>
      </c>
      <c r="Q143" s="302">
        <v>3</v>
      </c>
      <c r="R143" s="302">
        <v>1</v>
      </c>
      <c r="S143" s="302">
        <v>2</v>
      </c>
      <c r="T143" s="302">
        <v>2</v>
      </c>
      <c r="V143" s="537">
        <f>IF('Técnicas de Ki'!B38=0,0,IF('Técnicas de Ki'!I38=TS!V$119,'Técnicas de Ki'!C38-(IF($O143&lt;&gt;0,'Técnicas de Ki'!L38,0)+IF($P143&lt;&gt;0,'Técnicas de Ki'!M38,0)+IF($Q143&lt;&gt;0,'Técnicas de Ki'!N38,0)+IF($R143&lt;&gt;0,'Técnicas de Ki'!O38,0)+IF($S143&lt;&gt;0,'Técnicas de Ki'!P38,0)+IF($T143&lt;&gt;0,'Técnicas de Ki'!Q38,0)),0))</f>
        <v>0</v>
      </c>
      <c r="W143" s="538">
        <f>IF('Técnicas de Ki'!B38=0,0,IF('Técnicas de Ki'!I38=TS!W$119,'Técnicas de Ki'!C38-(IF($O143&lt;&gt;0,'Técnicas de Ki'!L38,0)+IF($P143&lt;&gt;0,'Técnicas de Ki'!M38,0)+IF($Q143&lt;&gt;0,'Técnicas de Ki'!N38,0)+IF($R143&lt;&gt;0,'Técnicas de Ki'!O38,0)+IF($S143&lt;&gt;0,'Técnicas de Ki'!P38,0)+IF($T143&lt;&gt;0,'Técnicas de Ki'!Q38,0)),0))</f>
        <v>0</v>
      </c>
      <c r="X143" s="538">
        <f>IF('Técnicas de Ki'!B38=0,0,IF('Técnicas de Ki'!I38=TS!X$119,'Técnicas de Ki'!C38-(IF($O143&lt;&gt;0,'Técnicas de Ki'!L38,0)+IF($P143&lt;&gt;0,'Técnicas de Ki'!M38,0)+IF($Q143&lt;&gt;0,'Técnicas de Ki'!N38,0)+IF($R143&lt;&gt;0,'Técnicas de Ki'!O38,0)+IF($S143&lt;&gt;0,'Técnicas de Ki'!P38,0)+IF($T143&lt;&gt;0,'Técnicas de Ki'!Q38,0)),0))</f>
        <v>0</v>
      </c>
      <c r="Y143" s="538">
        <f>IF('Técnicas de Ki'!B38=0,0,IF('Técnicas de Ki'!I38=TS!Y$119,'Técnicas de Ki'!C38-(IF($O143&lt;&gt;0,'Técnicas de Ki'!L38,0)+IF($P143&lt;&gt;0,'Técnicas de Ki'!M38,0)+IF($Q143&lt;&gt;0,'Técnicas de Ki'!N38,0)+IF($R143&lt;&gt;0,'Técnicas de Ki'!O38,0)+IF($S143&lt;&gt;0,'Técnicas de Ki'!P38,0)+IF($T143&lt;&gt;0,'Técnicas de Ki'!Q38,0)),0))</f>
        <v>0</v>
      </c>
      <c r="Z143" s="538">
        <f>IF('Técnicas de Ki'!B38=0,0,IF('Técnicas de Ki'!I38=TS!Z$119,'Técnicas de Ki'!C38-(IF($O143&lt;&gt;0,'Técnicas de Ki'!L38,0)+IF($P143&lt;&gt;0,'Técnicas de Ki'!M38,0)+IF($Q143&lt;&gt;0,'Técnicas de Ki'!N38,0)+IF($R143&lt;&gt;0,'Técnicas de Ki'!O38,0)+IF($S143&lt;&gt;0,'Técnicas de Ki'!P38,0)+IF($T143&lt;&gt;0,'Técnicas de Ki'!Q38,0)),0))</f>
        <v>0</v>
      </c>
      <c r="AA143" s="539">
        <f>IF('Técnicas de Ki'!B38=0,0,IF('Técnicas de Ki'!I38=TS!AA$119,'Técnicas de Ki'!C38-(IF($O143&lt;&gt;0,'Técnicas de Ki'!L38,0)+IF($P143&lt;&gt;0,'Técnicas de Ki'!M38,0)+IF($Q143&lt;&gt;0,'Técnicas de Ki'!N38,0)+IF($R143&lt;&gt;0,'Técnicas de Ki'!O38,0)+IF($S143&lt;&gt;0,'Técnicas de Ki'!P38,0)+IF($T143&lt;&gt;0,'Técnicas de Ki'!Q38,0)),0))</f>
        <v>0</v>
      </c>
      <c r="AB143" s="538">
        <f>IF('Técnicas de Ki'!B38=0,0,IFERROR(IF('Técnicas de Ki'!L38&lt;&gt;0,'Técnicas de Ki'!L38+TS!$O143,0)*$O143/$O143,0))</f>
        <v>0</v>
      </c>
      <c r="AC143" s="538">
        <f>IF('Técnicas de Ki'!B38=0,0,IFERROR(IF('Técnicas de Ki'!M38&lt;&gt;0,'Técnicas de Ki'!M38+TS!$P143,0)*$P143/$P143,0))</f>
        <v>0</v>
      </c>
      <c r="AD143" s="538">
        <f>IF('Técnicas de Ki'!B38=0,0,IFERROR(IF('Técnicas de Ki'!N38&lt;&gt;0,'Técnicas de Ki'!N38+TS!$Q143,0)*$Q143/$Q143,0))</f>
        <v>0</v>
      </c>
      <c r="AE143" s="538">
        <f>IF('Técnicas de Ki'!B38=0,0,IFERROR(IF('Técnicas de Ki'!O38&lt;&gt;0,'Técnicas de Ki'!O38+TS!$R143,0)*$R143/$R143,0))</f>
        <v>0</v>
      </c>
      <c r="AF143" s="538">
        <f>IF('Técnicas de Ki'!B38=0,0,IFERROR(IF('Técnicas de Ki'!P38&lt;&gt;0,'Técnicas de Ki'!P38+TS!$S143,0)*$S143/$S143,0))</f>
        <v>0</v>
      </c>
      <c r="AG143" s="539">
        <f>IF('Técnicas de Ki'!B38=0,0,IFERROR(IF('Técnicas de Ki'!Q38&lt;&gt;0,'Técnicas de Ki'!Q38+TS!$T143,0)*$T143/$T143,0))</f>
        <v>0</v>
      </c>
      <c r="AI143" s="570" t="str">
        <f>IF('Técnicas de Ki'!B41&lt;&gt;0,'Técnicas de Ki'!A41&amp;" "&amp;'Técnicas de Ki'!B41,"")</f>
        <v/>
      </c>
      <c r="AJ143" s="302" t="b">
        <v>0</v>
      </c>
      <c r="AK143" s="302" t="str">
        <f t="shared" si="4"/>
        <v/>
      </c>
      <c r="AL143" s="573" t="str">
        <f>IF(AM143,N145&amp;": "&amp;CONCATENATE(AK143,AK144,AK145,AK146,AK147,AK148,AK149,AK150,AK151,AK152),"")&amp;IF(AM143,"  ","")</f>
        <v/>
      </c>
      <c r="AM143" s="302" t="b">
        <f>OR(AJ143:AJ152,AI152&lt;&gt;"")</f>
        <v>0</v>
      </c>
      <c r="AQ143" s="537">
        <f>IF('Técnicas de Ki'!W38=0,0,IF('Técnicas de Ki'!AD38=TS!AQ$119,'Técnicas de Ki'!X38-(IF($O143&lt;&gt;0,'Técnicas de Ki'!AG38,0)+IF($P143&lt;&gt;0,'Técnicas de Ki'!AH38,0)+IF($Q143&lt;&gt;0,'Técnicas de Ki'!AI38,0)+IF($R143&lt;&gt;0,'Técnicas de Ki'!AJ38,0)+IF($S143&lt;&gt;0,'Técnicas de Ki'!AK38,0)+IF($T143&lt;&gt;0,'Técnicas de Ki'!AL38,0)),0))</f>
        <v>0</v>
      </c>
      <c r="AR143" s="538">
        <f>IF('Técnicas de Ki'!W38=0,0,IF('Técnicas de Ki'!AD38=TS!AR$119,'Técnicas de Ki'!X38-(IF($O143&lt;&gt;0,'Técnicas de Ki'!AG38,0)+IF($P143&lt;&gt;0,'Técnicas de Ki'!AH38,0)+IF($Q143&lt;&gt;0,'Técnicas de Ki'!AI38,0)+IF($R143&lt;&gt;0,'Técnicas de Ki'!AJ38,0)+IF($S143&lt;&gt;0,'Técnicas de Ki'!AK38,0)+IF($T143&lt;&gt;0,'Técnicas de Ki'!AL38,0)),0))</f>
        <v>0</v>
      </c>
      <c r="AS143" s="538">
        <f>IF('Técnicas de Ki'!W38=0,0,IF('Técnicas de Ki'!AD38=TS!AS$119,'Técnicas de Ki'!X38-(IF($O143&lt;&gt;0,'Técnicas de Ki'!AG38,0)+IF($P143&lt;&gt;0,'Técnicas de Ki'!AH38,0)+IF($Q143&lt;&gt;0,'Técnicas de Ki'!AI38,0)+IF($R143&lt;&gt;0,'Técnicas de Ki'!AJ38,0)+IF($S143&lt;&gt;0,'Técnicas de Ki'!AK38,0)+IF($T143&lt;&gt;0,'Técnicas de Ki'!AL38,0)),0))</f>
        <v>0</v>
      </c>
      <c r="AT143" s="538">
        <f>IF('Técnicas de Ki'!W38=0,0,IF('Técnicas de Ki'!AD38=TS!AT$119,'Técnicas de Ki'!X38-(IF($O143&lt;&gt;0,'Técnicas de Ki'!AG38,0)+IF($P143&lt;&gt;0,'Técnicas de Ki'!AH38,0)+IF($Q143&lt;&gt;0,'Técnicas de Ki'!AI38,0)+IF($R143&lt;&gt;0,'Técnicas de Ki'!AJ38,0)+IF($S143&lt;&gt;0,'Técnicas de Ki'!AK38,0)+IF($T143&lt;&gt;0,'Técnicas de Ki'!AL38,0)),0))</f>
        <v>0</v>
      </c>
      <c r="AU143" s="538">
        <f>IF('Técnicas de Ki'!W38=0,0,IF('Técnicas de Ki'!AD38=TS!AU$119,'Técnicas de Ki'!X38-(IF($O143&lt;&gt;0,'Técnicas de Ki'!AG38,0)+IF($P143&lt;&gt;0,'Técnicas de Ki'!AH38,0)+IF($Q143&lt;&gt;0,'Técnicas de Ki'!AI38,0)+IF($R143&lt;&gt;0,'Técnicas de Ki'!AJ38,0)+IF($S143&lt;&gt;0,'Técnicas de Ki'!AK38,0)+IF($T143&lt;&gt;0,'Técnicas de Ki'!AL38,0)),0))</f>
        <v>0</v>
      </c>
      <c r="AV143" s="539">
        <f>IF('Técnicas de Ki'!W38=0,0,IF('Técnicas de Ki'!AD38=TS!AV$119,'Técnicas de Ki'!X38-(IF($O143&lt;&gt;0,'Técnicas de Ki'!AG38,0)+IF($P143&lt;&gt;0,'Técnicas de Ki'!AH38,0)+IF($Q143&lt;&gt;0,'Técnicas de Ki'!AI38,0)+IF($R143&lt;&gt;0,'Técnicas de Ki'!AJ38,0)+IF($S143&lt;&gt;0,'Técnicas de Ki'!AK38,0)+IF($T143&lt;&gt;0,'Técnicas de Ki'!AL38,0)),0))</f>
        <v>0</v>
      </c>
      <c r="AW143" s="538">
        <f>IF('Técnicas de Ki'!W38=0,0,IFERROR(IF('Técnicas de Ki'!AG38&lt;&gt;0,'Técnicas de Ki'!AG38+TS!$O143,0)*$O143/$O143,0))</f>
        <v>0</v>
      </c>
      <c r="AX143" s="538">
        <f>IF('Técnicas de Ki'!W38=0,0,IFERROR(IF('Técnicas de Ki'!AH38&lt;&gt;0,'Técnicas de Ki'!AH38+TS!$P143,0)*$P143/$P143,0))</f>
        <v>0</v>
      </c>
      <c r="AY143" s="538">
        <f>IF('Técnicas de Ki'!W38=0,0,IFERROR(IF('Técnicas de Ki'!AI38&lt;&gt;0,'Técnicas de Ki'!AI38+TS!$Q143,0)*$Q143/$Q143,0))</f>
        <v>0</v>
      </c>
      <c r="AZ143" s="538">
        <f>IF('Técnicas de Ki'!W38=0,0,IFERROR(IF('Técnicas de Ki'!AJ38&lt;&gt;0,'Técnicas de Ki'!AJ38+TS!$R143,0)*$R143/$R143,0))</f>
        <v>0</v>
      </c>
      <c r="BA143" s="538">
        <f>IF('Técnicas de Ki'!W38=0,0,IFERROR(IF('Técnicas de Ki'!AK38&lt;&gt;0,'Técnicas de Ki'!AK38+TS!$S143,0)*$S143/$S143,0))</f>
        <v>0</v>
      </c>
      <c r="BB143" s="539">
        <f>IF('Técnicas de Ki'!W38=0,0,IFERROR(IF('Técnicas de Ki'!AL38&lt;&gt;0,'Técnicas de Ki'!AL38+TS!$T143,0)*$T143/$T143,0))</f>
        <v>0</v>
      </c>
      <c r="BD143" s="570" t="str">
        <f>IF('Técnicas de Ki'!W41&lt;&gt;0,'Técnicas de Ki'!V41&amp;" "&amp;'Técnicas de Ki'!W41,"")</f>
        <v/>
      </c>
      <c r="BE143" s="302" t="b">
        <v>0</v>
      </c>
      <c r="BF143" s="302" t="str">
        <f t="shared" si="5"/>
        <v/>
      </c>
      <c r="BG143" s="573" t="str">
        <f>IF(BH143,AI145&amp;": "&amp;CONCATENATE(BF143,BF144,BF145,BF146,BF147,BF148,BF149,BF150,BF151,BF152),"")&amp;IF(BH143,"  ","")</f>
        <v/>
      </c>
      <c r="BH143" s="302" t="b">
        <f>OR(BE143:BE152,BD152&lt;&gt;"")</f>
        <v>0</v>
      </c>
      <c r="BL143" s="537">
        <f>IF('Técnicas de Ki'!AR38=0,0,IF('Técnicas de Ki'!AY38=TS!BL$119,'Técnicas de Ki'!AS38-(IF($O143&lt;&gt;0,'Técnicas de Ki'!BB38,0)+IF($P143&lt;&gt;0,'Técnicas de Ki'!BC38,0)+IF($Q143&lt;&gt;0,'Técnicas de Ki'!BD38,0)+IF($R143&lt;&gt;0,'Técnicas de Ki'!BE38,0)+IF($S143&lt;&gt;0,'Técnicas de Ki'!BF38,0)+IF($T143&lt;&gt;0,'Técnicas de Ki'!BG38,0)),0))</f>
        <v>0</v>
      </c>
      <c r="BM143" s="538">
        <f>IF('Técnicas de Ki'!AR38=0,0,IF('Técnicas de Ki'!AY38=TS!BM$119,'Técnicas de Ki'!AS38-(IF($O143&lt;&gt;0,'Técnicas de Ki'!BB38,0)+IF($P143&lt;&gt;0,'Técnicas de Ki'!BC38,0)+IF($Q143&lt;&gt;0,'Técnicas de Ki'!BD38,0)+IF($R143&lt;&gt;0,'Técnicas de Ki'!BE38,0)+IF($S143&lt;&gt;0,'Técnicas de Ki'!BF38,0)+IF($T143&lt;&gt;0,'Técnicas de Ki'!BG38,0)),0))</f>
        <v>0</v>
      </c>
      <c r="BN143" s="538">
        <f>IF('Técnicas de Ki'!AR38=0,0,IF('Técnicas de Ki'!AY38=TS!BN$119,'Técnicas de Ki'!AS38-(IF($O143&lt;&gt;0,'Técnicas de Ki'!BB38,0)+IF($P143&lt;&gt;0,'Técnicas de Ki'!BC38,0)+IF($Q143&lt;&gt;0,'Técnicas de Ki'!BD38,0)+IF($R143&lt;&gt;0,'Técnicas de Ki'!BE38,0)+IF($S143&lt;&gt;0,'Técnicas de Ki'!BF38,0)+IF($T143&lt;&gt;0,'Técnicas de Ki'!BG38,0)),0))</f>
        <v>0</v>
      </c>
      <c r="BO143" s="538">
        <f>IF('Técnicas de Ki'!AR38=0,0,IF('Técnicas de Ki'!AY38=TS!BO$119,'Técnicas de Ki'!AS38-(IF($O143&lt;&gt;0,'Técnicas de Ki'!BB38,0)+IF($P143&lt;&gt;0,'Técnicas de Ki'!BC38,0)+IF($Q143&lt;&gt;0,'Técnicas de Ki'!BD38,0)+IF($R143&lt;&gt;0,'Técnicas de Ki'!BE38,0)+IF($S143&lt;&gt;0,'Técnicas de Ki'!BF38,0)+IF($T143&lt;&gt;0,'Técnicas de Ki'!BG38,0)),0))</f>
        <v>0</v>
      </c>
      <c r="BP143" s="538">
        <f>IF('Técnicas de Ki'!AR38=0,0,IF('Técnicas de Ki'!AY38=TS!BP$119,'Técnicas de Ki'!AS38-(IF($O143&lt;&gt;0,'Técnicas de Ki'!BB38,0)+IF($P143&lt;&gt;0,'Técnicas de Ki'!BC38,0)+IF($Q143&lt;&gt;0,'Técnicas de Ki'!BD38,0)+IF($R143&lt;&gt;0,'Técnicas de Ki'!BE38,0)+IF($S143&lt;&gt;0,'Técnicas de Ki'!BF38,0)+IF($T143&lt;&gt;0,'Técnicas de Ki'!BG38,0)),0))</f>
        <v>0</v>
      </c>
      <c r="BQ143" s="539">
        <f>IF('Técnicas de Ki'!AR38=0,0,IF('Técnicas de Ki'!AY38=TS!BQ$119,'Técnicas de Ki'!AS38-(IF($O143&lt;&gt;0,'Técnicas de Ki'!BB38,0)+IF($P143&lt;&gt;0,'Técnicas de Ki'!BC38,0)+IF($Q143&lt;&gt;0,'Técnicas de Ki'!BD38,0)+IF($R143&lt;&gt;0,'Técnicas de Ki'!BE38,0)+IF($S143&lt;&gt;0,'Técnicas de Ki'!BF38,0)+IF($T143&lt;&gt;0,'Técnicas de Ki'!BG38,0)),0))</f>
        <v>0</v>
      </c>
      <c r="BR143" s="538">
        <f>IF('Técnicas de Ki'!AR38=0,0,IFERROR(IF('Técnicas de Ki'!BB38&lt;&gt;0,'Técnicas de Ki'!BB38+TS!$O143,0)*$O143/$O143,0))</f>
        <v>0</v>
      </c>
      <c r="BS143" s="538">
        <f>IF('Técnicas de Ki'!AR38=0,0,IFERROR(IF('Técnicas de Ki'!BC38&lt;&gt;0,'Técnicas de Ki'!BC38+TS!$P143,0)*$P143/$P143,0))</f>
        <v>0</v>
      </c>
      <c r="BT143" s="538">
        <f>IF('Técnicas de Ki'!AR38=0,0,IFERROR(IF('Técnicas de Ki'!BD38&lt;&gt;0,'Técnicas de Ki'!BD38+TS!$Q143,0)*$Q143/$Q143,0))</f>
        <v>0</v>
      </c>
      <c r="BU143" s="538">
        <f>IF('Técnicas de Ki'!AR38=0,0,IFERROR(IF('Técnicas de Ki'!BE38&lt;&gt;0,'Técnicas de Ki'!BE38+TS!$R143,0)*$R143/$R143,0))</f>
        <v>0</v>
      </c>
      <c r="BV143" s="538">
        <f>IF('Técnicas de Ki'!AR38=0,0,IFERROR(IF('Técnicas de Ki'!BF38&lt;&gt;0,'Técnicas de Ki'!BF38+TS!$S143,0)*$S143/$S143,0))</f>
        <v>0</v>
      </c>
      <c r="BW143" s="539">
        <f>IF('Técnicas de Ki'!AR38=0,0,IFERROR(IF('Técnicas de Ki'!BG38&lt;&gt;0,'Técnicas de Ki'!BG38+TS!$T143,0)*$T143/$T143,0))</f>
        <v>0</v>
      </c>
      <c r="BY143" s="570" t="str">
        <f>IF('Técnicas de Ki'!AR41&lt;&gt;0,'Técnicas de Ki'!AQ41&amp;" "&amp;'Técnicas de Ki'!AR41,"")</f>
        <v/>
      </c>
      <c r="BZ143" s="302" t="b">
        <v>0</v>
      </c>
      <c r="CA143" s="302" t="str">
        <f t="shared" si="6"/>
        <v/>
      </c>
      <c r="CB143" s="573" t="str">
        <f>IF(CC143,BD145&amp;": "&amp;CONCATENATE(CA143,CA144,CA145,CA146,CA147,CA148,CA149,CA150,CA151,CA152),"")&amp;IF(CC143,"  ","")</f>
        <v/>
      </c>
      <c r="CC143" s="302" t="b">
        <f>OR(BZ143:BZ152,BY152&lt;&gt;"")</f>
        <v>0</v>
      </c>
      <c r="CG143" s="537">
        <f>IF('Técnicas de Ki'!BM38=0,0,IF('Técnicas de Ki'!BT38=TS!CG$119,'Técnicas de Ki'!BN38-(IF($O143&lt;&gt;0,'Técnicas de Ki'!BW38,0)+IF($P143&lt;&gt;0,'Técnicas de Ki'!BX38,0)+IF($Q143&lt;&gt;0,'Técnicas de Ki'!BY38,0)+IF($R143&lt;&gt;0,'Técnicas de Ki'!BZ38,0)+IF($S143&lt;&gt;0,'Técnicas de Ki'!CA38,0)+IF($T143&lt;&gt;0,'Técnicas de Ki'!CB38,0)),0))</f>
        <v>0</v>
      </c>
      <c r="CH143" s="538">
        <f>IF('Técnicas de Ki'!BM38=0,0,IF('Técnicas de Ki'!BT38=TS!CH$119,'Técnicas de Ki'!BN38-(IF($O143&lt;&gt;0,'Técnicas de Ki'!BW38,0)+IF($P143&lt;&gt;0,'Técnicas de Ki'!BX38,0)+IF($Q143&lt;&gt;0,'Técnicas de Ki'!BY38,0)+IF($R143&lt;&gt;0,'Técnicas de Ki'!BZ38,0)+IF($S143&lt;&gt;0,'Técnicas de Ki'!CA38,0)+IF($T143&lt;&gt;0,'Técnicas de Ki'!CB38,0)),0))</f>
        <v>0</v>
      </c>
      <c r="CI143" s="538">
        <f>IF('Técnicas de Ki'!BM38=0,0,IF('Técnicas de Ki'!BT38=TS!CI$119,'Técnicas de Ki'!BN38-(IF($O143&lt;&gt;0,'Técnicas de Ki'!BW38,0)+IF($P143&lt;&gt;0,'Técnicas de Ki'!BX38,0)+IF($Q143&lt;&gt;0,'Técnicas de Ki'!BY38,0)+IF($R143&lt;&gt;0,'Técnicas de Ki'!BZ38,0)+IF($S143&lt;&gt;0,'Técnicas de Ki'!CA38,0)+IF($T143&lt;&gt;0,'Técnicas de Ki'!CB38,0)),0))</f>
        <v>0</v>
      </c>
      <c r="CJ143" s="538">
        <f>IF('Técnicas de Ki'!BM38=0,0,IF('Técnicas de Ki'!BT38=TS!CJ$119,'Técnicas de Ki'!BN38-(IF($O143&lt;&gt;0,'Técnicas de Ki'!BW38,0)+IF($P143&lt;&gt;0,'Técnicas de Ki'!BX38,0)+IF($Q143&lt;&gt;0,'Técnicas de Ki'!BY38,0)+IF($R143&lt;&gt;0,'Técnicas de Ki'!BZ38,0)+IF($S143&lt;&gt;0,'Técnicas de Ki'!CA38,0)+IF($T143&lt;&gt;0,'Técnicas de Ki'!CB38,0)),0))</f>
        <v>0</v>
      </c>
      <c r="CK143" s="538">
        <f>IF('Técnicas de Ki'!BM38=0,0,IF('Técnicas de Ki'!BT38=TS!CK$119,'Técnicas de Ki'!BN38-(IF($O143&lt;&gt;0,'Técnicas de Ki'!BW38,0)+IF($P143&lt;&gt;0,'Técnicas de Ki'!BX38,0)+IF($Q143&lt;&gt;0,'Técnicas de Ki'!BY38,0)+IF($R143&lt;&gt;0,'Técnicas de Ki'!BZ38,0)+IF($S143&lt;&gt;0,'Técnicas de Ki'!CA38,0)+IF($T143&lt;&gt;0,'Técnicas de Ki'!CB38,0)),0))</f>
        <v>0</v>
      </c>
      <c r="CL143" s="539">
        <f>IF('Técnicas de Ki'!BM38=0,0,IF('Técnicas de Ki'!BT38=TS!CL$119,'Técnicas de Ki'!BN38-(IF($O143&lt;&gt;0,'Técnicas de Ki'!BW38,0)+IF($P143&lt;&gt;0,'Técnicas de Ki'!BX38,0)+IF($Q143&lt;&gt;0,'Técnicas de Ki'!BY38,0)+IF($R143&lt;&gt;0,'Técnicas de Ki'!BZ38,0)+IF($S143&lt;&gt;0,'Técnicas de Ki'!CA38,0)+IF($T143&lt;&gt;0,'Técnicas de Ki'!CB38,0)),0))</f>
        <v>0</v>
      </c>
      <c r="CM143" s="538">
        <f>IF('Técnicas de Ki'!BM38=0,0,IFERROR(IF('Técnicas de Ki'!BW38&lt;&gt;0,'Técnicas de Ki'!BW38+TS!$O143,0)*$O143/$O143,0))</f>
        <v>0</v>
      </c>
      <c r="CN143" s="538">
        <f>IF('Técnicas de Ki'!BM38=0,0,IFERROR(IF('Técnicas de Ki'!BX38&lt;&gt;0,'Técnicas de Ki'!BX38+TS!$P143,0)*$P143/$P143,0))</f>
        <v>0</v>
      </c>
      <c r="CO143" s="538">
        <f>IF('Técnicas de Ki'!BM38=0,0,IFERROR(IF('Técnicas de Ki'!BY38&lt;&gt;0,'Técnicas de Ki'!BY38+TS!$Q143,0)*$Q143/$Q143,0))</f>
        <v>0</v>
      </c>
      <c r="CP143" s="538">
        <f>IF('Técnicas de Ki'!BM38=0,0,IFERROR(IF('Técnicas de Ki'!BZ38&lt;&gt;0,'Técnicas de Ki'!BZ38+TS!$R143,0)*$R143/$R143,0))</f>
        <v>0</v>
      </c>
      <c r="CQ143" s="538">
        <f>IF('Técnicas de Ki'!BM38=0,0,IFERROR(IF('Técnicas de Ki'!CA38&lt;&gt;0,'Técnicas de Ki'!CA38+TS!$S143,0)*$S143/$S143,0))</f>
        <v>0</v>
      </c>
      <c r="CR143" s="539">
        <f>IF('Técnicas de Ki'!BM38=0,0,IFERROR(IF('Técnicas de Ki'!CB38&lt;&gt;0,'Técnicas de Ki'!CB38+TS!$T143,0)*$T143/$T143,0))</f>
        <v>0</v>
      </c>
      <c r="CT143" s="570" t="str">
        <f>IF('Técnicas de Ki'!BM41&lt;&gt;0,'Técnicas de Ki'!BL41&amp;" "&amp;'Técnicas de Ki'!BM41,"")</f>
        <v/>
      </c>
      <c r="CU143" s="302" t="b">
        <v>0</v>
      </c>
      <c r="CV143" s="302" t="str">
        <f t="shared" si="7"/>
        <v/>
      </c>
      <c r="CW143" s="573" t="str">
        <f>IF(CX143,BY145&amp;": "&amp;CONCATENATE(CV143,CV144,CV145,CV146,CV147,CV148,CV149,CV150,CV151,CV152),"")&amp;IF(CX143,"  ","")</f>
        <v/>
      </c>
      <c r="CX143" s="302" t="b">
        <f>OR(CU143:CU152,CT152&lt;&gt;"")</f>
        <v>0</v>
      </c>
    </row>
    <row r="144" spans="1:102" x14ac:dyDescent="0.2">
      <c r="A144" s="302" t="s">
        <v>6848</v>
      </c>
      <c r="B144" s="301" t="s">
        <v>6857</v>
      </c>
      <c r="C144" s="301" t="str">
        <f>A137&amp;A144&amp;B144</f>
        <v>Aumento de dañoVentaja opcional: SacrificioSalud</v>
      </c>
      <c r="D144" s="302">
        <v>2</v>
      </c>
      <c r="E144" s="302">
        <v>2</v>
      </c>
      <c r="F144" s="302">
        <v>10</v>
      </c>
      <c r="G144" s="302">
        <v>2</v>
      </c>
      <c r="H144" s="302">
        <v>4</v>
      </c>
      <c r="I144" s="302">
        <v>7</v>
      </c>
      <c r="J144" s="302">
        <v>1</v>
      </c>
      <c r="N144" s="302" t="s">
        <v>6854</v>
      </c>
      <c r="Q144" s="302">
        <v>3</v>
      </c>
      <c r="R144" s="302">
        <v>1</v>
      </c>
      <c r="S144" s="302">
        <v>2</v>
      </c>
      <c r="T144" s="302">
        <v>2</v>
      </c>
      <c r="V144" s="537">
        <f>IF('Técnicas de Ki'!B39=0,0,IF('Técnicas de Ki'!I39=TS!V$119,'Técnicas de Ki'!C39-(IF($O144&lt;&gt;0,'Técnicas de Ki'!L39,0)+IF($P144&lt;&gt;0,'Técnicas de Ki'!M39,0)+IF($Q144&lt;&gt;0,'Técnicas de Ki'!N39,0)+IF($R144&lt;&gt;0,'Técnicas de Ki'!O39,0)+IF($S144&lt;&gt;0,'Técnicas de Ki'!P39,0)+IF($T144&lt;&gt;0,'Técnicas de Ki'!Q39,0)),0))</f>
        <v>0</v>
      </c>
      <c r="W144" s="538">
        <f>IF('Técnicas de Ki'!B39=0,0,IF('Técnicas de Ki'!I39=TS!W$119,'Técnicas de Ki'!C39-(IF($O144&lt;&gt;0,'Técnicas de Ki'!L39,0)+IF($P144&lt;&gt;0,'Técnicas de Ki'!M39,0)+IF($Q144&lt;&gt;0,'Técnicas de Ki'!N39,0)+IF($R144&lt;&gt;0,'Técnicas de Ki'!O39,0)+IF($S144&lt;&gt;0,'Técnicas de Ki'!P39,0)+IF($T144&lt;&gt;0,'Técnicas de Ki'!Q39,0)),0))</f>
        <v>0</v>
      </c>
      <c r="X144" s="538">
        <f>IF('Técnicas de Ki'!B39=0,0,IF('Técnicas de Ki'!I39=TS!X$119,'Técnicas de Ki'!C39-(IF($O144&lt;&gt;0,'Técnicas de Ki'!L39,0)+IF($P144&lt;&gt;0,'Técnicas de Ki'!M39,0)+IF($Q144&lt;&gt;0,'Técnicas de Ki'!N39,0)+IF($R144&lt;&gt;0,'Técnicas de Ki'!O39,0)+IF($S144&lt;&gt;0,'Técnicas de Ki'!P39,0)+IF($T144&lt;&gt;0,'Técnicas de Ki'!Q39,0)),0))</f>
        <v>0</v>
      </c>
      <c r="Y144" s="538">
        <f>IF('Técnicas de Ki'!B39=0,0,IF('Técnicas de Ki'!I39=TS!Y$119,'Técnicas de Ki'!C39-(IF($O144&lt;&gt;0,'Técnicas de Ki'!L39,0)+IF($P144&lt;&gt;0,'Técnicas de Ki'!M39,0)+IF($Q144&lt;&gt;0,'Técnicas de Ki'!N39,0)+IF($R144&lt;&gt;0,'Técnicas de Ki'!O39,0)+IF($S144&lt;&gt;0,'Técnicas de Ki'!P39,0)+IF($T144&lt;&gt;0,'Técnicas de Ki'!Q39,0)),0))</f>
        <v>0</v>
      </c>
      <c r="Z144" s="538">
        <f>IF('Técnicas de Ki'!B39=0,0,IF('Técnicas de Ki'!I39=TS!Z$119,'Técnicas de Ki'!C39-(IF($O144&lt;&gt;0,'Técnicas de Ki'!L39,0)+IF($P144&lt;&gt;0,'Técnicas de Ki'!M39,0)+IF($Q144&lt;&gt;0,'Técnicas de Ki'!N39,0)+IF($R144&lt;&gt;0,'Técnicas de Ki'!O39,0)+IF($S144&lt;&gt;0,'Técnicas de Ki'!P39,0)+IF($T144&lt;&gt;0,'Técnicas de Ki'!Q39,0)),0))</f>
        <v>0</v>
      </c>
      <c r="AA144" s="539">
        <f>IF('Técnicas de Ki'!B39=0,0,IF('Técnicas de Ki'!I39=TS!AA$119,'Técnicas de Ki'!C39-(IF($O144&lt;&gt;0,'Técnicas de Ki'!L39,0)+IF($P144&lt;&gt;0,'Técnicas de Ki'!M39,0)+IF($Q144&lt;&gt;0,'Técnicas de Ki'!N39,0)+IF($R144&lt;&gt;0,'Técnicas de Ki'!O39,0)+IF($S144&lt;&gt;0,'Técnicas de Ki'!P39,0)+IF($T144&lt;&gt;0,'Técnicas de Ki'!Q39,0)),0))</f>
        <v>0</v>
      </c>
      <c r="AB144" s="538">
        <f>IF('Técnicas de Ki'!B39=0,0,IFERROR(IF('Técnicas de Ki'!L39&lt;&gt;0,'Técnicas de Ki'!L39+TS!$O144,0)*$O144/$O144,0))</f>
        <v>0</v>
      </c>
      <c r="AC144" s="538">
        <f>IF('Técnicas de Ki'!B39=0,0,IFERROR(IF('Técnicas de Ki'!M39&lt;&gt;0,'Técnicas de Ki'!M39+TS!$P144,0)*$P144/$P144,0))</f>
        <v>0</v>
      </c>
      <c r="AD144" s="538">
        <f>IF('Técnicas de Ki'!B39=0,0,IFERROR(IF('Técnicas de Ki'!N39&lt;&gt;0,'Técnicas de Ki'!N39+TS!$Q144,0)*$Q144/$Q144,0))</f>
        <v>0</v>
      </c>
      <c r="AE144" s="538">
        <f>IF('Técnicas de Ki'!B39=0,0,IFERROR(IF('Técnicas de Ki'!O39&lt;&gt;0,'Técnicas de Ki'!O39+TS!$R144,0)*$R144/$R144,0))</f>
        <v>0</v>
      </c>
      <c r="AF144" s="538">
        <f>IF('Técnicas de Ki'!B39=0,0,IFERROR(IF('Técnicas de Ki'!P39&lt;&gt;0,'Técnicas de Ki'!P39+TS!$S144,0)*$S144/$S144,0))</f>
        <v>0</v>
      </c>
      <c r="AG144" s="539">
        <f>IF('Técnicas de Ki'!B39=0,0,IFERROR(IF('Técnicas de Ki'!Q39&lt;&gt;0,'Técnicas de Ki'!Q39+TS!$T144,0)*$T144/$T144,0))</f>
        <v>0</v>
      </c>
      <c r="AI144" s="571" t="str">
        <f>IF('Técnicas de Ki'!B42&lt;&gt;0,'Técnicas de Ki'!A42&amp;" "&amp;'Técnicas de Ki'!B42,"")</f>
        <v/>
      </c>
      <c r="AJ144" s="302" t="b">
        <f t="shared" si="8"/>
        <v>0</v>
      </c>
      <c r="AK144" s="302" t="str">
        <f t="shared" si="4"/>
        <v/>
      </c>
      <c r="AQ144" s="537">
        <f>IF('Técnicas de Ki'!W39=0,0,IF('Técnicas de Ki'!AD39=TS!AQ$119,'Técnicas de Ki'!X39-(IF($O144&lt;&gt;0,'Técnicas de Ki'!AG39,0)+IF($P144&lt;&gt;0,'Técnicas de Ki'!AH39,0)+IF($Q144&lt;&gt;0,'Técnicas de Ki'!AI39,0)+IF($R144&lt;&gt;0,'Técnicas de Ki'!AJ39,0)+IF($S144&lt;&gt;0,'Técnicas de Ki'!AK39,0)+IF($T144&lt;&gt;0,'Técnicas de Ki'!AL39,0)),0))</f>
        <v>0</v>
      </c>
      <c r="AR144" s="538">
        <f>IF('Técnicas de Ki'!W39=0,0,IF('Técnicas de Ki'!AD39=TS!AR$119,'Técnicas de Ki'!X39-(IF($O144&lt;&gt;0,'Técnicas de Ki'!AG39,0)+IF($P144&lt;&gt;0,'Técnicas de Ki'!AH39,0)+IF($Q144&lt;&gt;0,'Técnicas de Ki'!AI39,0)+IF($R144&lt;&gt;0,'Técnicas de Ki'!AJ39,0)+IF($S144&lt;&gt;0,'Técnicas de Ki'!AK39,0)+IF($T144&lt;&gt;0,'Técnicas de Ki'!AL39,0)),0))</f>
        <v>0</v>
      </c>
      <c r="AS144" s="538">
        <f>IF('Técnicas de Ki'!W39=0,0,IF('Técnicas de Ki'!AD39=TS!AS$119,'Técnicas de Ki'!X39-(IF($O144&lt;&gt;0,'Técnicas de Ki'!AG39,0)+IF($P144&lt;&gt;0,'Técnicas de Ki'!AH39,0)+IF($Q144&lt;&gt;0,'Técnicas de Ki'!AI39,0)+IF($R144&lt;&gt;0,'Técnicas de Ki'!AJ39,0)+IF($S144&lt;&gt;0,'Técnicas de Ki'!AK39,0)+IF($T144&lt;&gt;0,'Técnicas de Ki'!AL39,0)),0))</f>
        <v>0</v>
      </c>
      <c r="AT144" s="538">
        <f>IF('Técnicas de Ki'!W39=0,0,IF('Técnicas de Ki'!AD39=TS!AT$119,'Técnicas de Ki'!X39-(IF($O144&lt;&gt;0,'Técnicas de Ki'!AG39,0)+IF($P144&lt;&gt;0,'Técnicas de Ki'!AH39,0)+IF($Q144&lt;&gt;0,'Técnicas de Ki'!AI39,0)+IF($R144&lt;&gt;0,'Técnicas de Ki'!AJ39,0)+IF($S144&lt;&gt;0,'Técnicas de Ki'!AK39,0)+IF($T144&lt;&gt;0,'Técnicas de Ki'!AL39,0)),0))</f>
        <v>0</v>
      </c>
      <c r="AU144" s="538">
        <f>IF('Técnicas de Ki'!W39=0,0,IF('Técnicas de Ki'!AD39=TS!AU$119,'Técnicas de Ki'!X39-(IF($O144&lt;&gt;0,'Técnicas de Ki'!AG39,0)+IF($P144&lt;&gt;0,'Técnicas de Ki'!AH39,0)+IF($Q144&lt;&gt;0,'Técnicas de Ki'!AI39,0)+IF($R144&lt;&gt;0,'Técnicas de Ki'!AJ39,0)+IF($S144&lt;&gt;0,'Técnicas de Ki'!AK39,0)+IF($T144&lt;&gt;0,'Técnicas de Ki'!AL39,0)),0))</f>
        <v>0</v>
      </c>
      <c r="AV144" s="539">
        <f>IF('Técnicas de Ki'!W39=0,0,IF('Técnicas de Ki'!AD39=TS!AV$119,'Técnicas de Ki'!X39-(IF($O144&lt;&gt;0,'Técnicas de Ki'!AG39,0)+IF($P144&lt;&gt;0,'Técnicas de Ki'!AH39,0)+IF($Q144&lt;&gt;0,'Técnicas de Ki'!AI39,0)+IF($R144&lt;&gt;0,'Técnicas de Ki'!AJ39,0)+IF($S144&lt;&gt;0,'Técnicas de Ki'!AK39,0)+IF($T144&lt;&gt;0,'Técnicas de Ki'!AL39,0)),0))</f>
        <v>0</v>
      </c>
      <c r="AW144" s="538">
        <f>IF('Técnicas de Ki'!W39=0,0,IFERROR(IF('Técnicas de Ki'!AG39&lt;&gt;0,'Técnicas de Ki'!AG39+TS!$O144,0)*$O144/$O144,0))</f>
        <v>0</v>
      </c>
      <c r="AX144" s="538">
        <f>IF('Técnicas de Ki'!W39=0,0,IFERROR(IF('Técnicas de Ki'!AH39&lt;&gt;0,'Técnicas de Ki'!AH39+TS!$P144,0)*$P144/$P144,0))</f>
        <v>0</v>
      </c>
      <c r="AY144" s="538">
        <f>IF('Técnicas de Ki'!W39=0,0,IFERROR(IF('Técnicas de Ki'!AI39&lt;&gt;0,'Técnicas de Ki'!AI39+TS!$Q144,0)*$Q144/$Q144,0))</f>
        <v>0</v>
      </c>
      <c r="AZ144" s="538">
        <f>IF('Técnicas de Ki'!W39=0,0,IFERROR(IF('Técnicas de Ki'!AJ39&lt;&gt;0,'Técnicas de Ki'!AJ39+TS!$R144,0)*$R144/$R144,0))</f>
        <v>0</v>
      </c>
      <c r="BA144" s="538">
        <f>IF('Técnicas de Ki'!W39=0,0,IFERROR(IF('Técnicas de Ki'!AK39&lt;&gt;0,'Técnicas de Ki'!AK39+TS!$S144,0)*$S144/$S144,0))</f>
        <v>0</v>
      </c>
      <c r="BB144" s="539">
        <f>IF('Técnicas de Ki'!W39=0,0,IFERROR(IF('Técnicas de Ki'!AL39&lt;&gt;0,'Técnicas de Ki'!AL39+TS!$T144,0)*$T144/$T144,0))</f>
        <v>0</v>
      </c>
      <c r="BD144" s="571" t="str">
        <f>IF('Técnicas de Ki'!W42&lt;&gt;0,'Técnicas de Ki'!V42&amp;" "&amp;'Técnicas de Ki'!W42,"")</f>
        <v/>
      </c>
      <c r="BE144" s="302" t="b">
        <f t="shared" ref="BE144:BE207" si="19">OR(BE143,BD143&lt;&gt;"")</f>
        <v>0</v>
      </c>
      <c r="BF144" s="302" t="str">
        <f t="shared" si="5"/>
        <v/>
      </c>
      <c r="BL144" s="537">
        <f>IF('Técnicas de Ki'!AR39=0,0,IF('Técnicas de Ki'!AY39=TS!BL$119,'Técnicas de Ki'!AS39-(IF($O144&lt;&gt;0,'Técnicas de Ki'!BB39,0)+IF($P144&lt;&gt;0,'Técnicas de Ki'!BC39,0)+IF($Q144&lt;&gt;0,'Técnicas de Ki'!BD39,0)+IF($R144&lt;&gt;0,'Técnicas de Ki'!BE39,0)+IF($S144&lt;&gt;0,'Técnicas de Ki'!BF39,0)+IF($T144&lt;&gt;0,'Técnicas de Ki'!BG39,0)),0))</f>
        <v>0</v>
      </c>
      <c r="BM144" s="538">
        <f>IF('Técnicas de Ki'!AR39=0,0,IF('Técnicas de Ki'!AY39=TS!BM$119,'Técnicas de Ki'!AS39-(IF($O144&lt;&gt;0,'Técnicas de Ki'!BB39,0)+IF($P144&lt;&gt;0,'Técnicas de Ki'!BC39,0)+IF($Q144&lt;&gt;0,'Técnicas de Ki'!BD39,0)+IF($R144&lt;&gt;0,'Técnicas de Ki'!BE39,0)+IF($S144&lt;&gt;0,'Técnicas de Ki'!BF39,0)+IF($T144&lt;&gt;0,'Técnicas de Ki'!BG39,0)),0))</f>
        <v>0</v>
      </c>
      <c r="BN144" s="538">
        <f>IF('Técnicas de Ki'!AR39=0,0,IF('Técnicas de Ki'!AY39=TS!BN$119,'Técnicas de Ki'!AS39-(IF($O144&lt;&gt;0,'Técnicas de Ki'!BB39,0)+IF($P144&lt;&gt;0,'Técnicas de Ki'!BC39,0)+IF($Q144&lt;&gt;0,'Técnicas de Ki'!BD39,0)+IF($R144&lt;&gt;0,'Técnicas de Ki'!BE39,0)+IF($S144&lt;&gt;0,'Técnicas de Ki'!BF39,0)+IF($T144&lt;&gt;0,'Técnicas de Ki'!BG39,0)),0))</f>
        <v>0</v>
      </c>
      <c r="BO144" s="538">
        <f>IF('Técnicas de Ki'!AR39=0,0,IF('Técnicas de Ki'!AY39=TS!BO$119,'Técnicas de Ki'!AS39-(IF($O144&lt;&gt;0,'Técnicas de Ki'!BB39,0)+IF($P144&lt;&gt;0,'Técnicas de Ki'!BC39,0)+IF($Q144&lt;&gt;0,'Técnicas de Ki'!BD39,0)+IF($R144&lt;&gt;0,'Técnicas de Ki'!BE39,0)+IF($S144&lt;&gt;0,'Técnicas de Ki'!BF39,0)+IF($T144&lt;&gt;0,'Técnicas de Ki'!BG39,0)),0))</f>
        <v>0</v>
      </c>
      <c r="BP144" s="538">
        <f>IF('Técnicas de Ki'!AR39=0,0,IF('Técnicas de Ki'!AY39=TS!BP$119,'Técnicas de Ki'!AS39-(IF($O144&lt;&gt;0,'Técnicas de Ki'!BB39,0)+IF($P144&lt;&gt;0,'Técnicas de Ki'!BC39,0)+IF($Q144&lt;&gt;0,'Técnicas de Ki'!BD39,0)+IF($R144&lt;&gt;0,'Técnicas de Ki'!BE39,0)+IF($S144&lt;&gt;0,'Técnicas de Ki'!BF39,0)+IF($T144&lt;&gt;0,'Técnicas de Ki'!BG39,0)),0))</f>
        <v>0</v>
      </c>
      <c r="BQ144" s="539">
        <f>IF('Técnicas de Ki'!AR39=0,0,IF('Técnicas de Ki'!AY39=TS!BQ$119,'Técnicas de Ki'!AS39-(IF($O144&lt;&gt;0,'Técnicas de Ki'!BB39,0)+IF($P144&lt;&gt;0,'Técnicas de Ki'!BC39,0)+IF($Q144&lt;&gt;0,'Técnicas de Ki'!BD39,0)+IF($R144&lt;&gt;0,'Técnicas de Ki'!BE39,0)+IF($S144&lt;&gt;0,'Técnicas de Ki'!BF39,0)+IF($T144&lt;&gt;0,'Técnicas de Ki'!BG39,0)),0))</f>
        <v>0</v>
      </c>
      <c r="BR144" s="538">
        <f>IF('Técnicas de Ki'!AR39=0,0,IFERROR(IF('Técnicas de Ki'!BB39&lt;&gt;0,'Técnicas de Ki'!BB39+TS!$O144,0)*$O144/$O144,0))</f>
        <v>0</v>
      </c>
      <c r="BS144" s="538">
        <f>IF('Técnicas de Ki'!AR39=0,0,IFERROR(IF('Técnicas de Ki'!BC39&lt;&gt;0,'Técnicas de Ki'!BC39+TS!$P144,0)*$P144/$P144,0))</f>
        <v>0</v>
      </c>
      <c r="BT144" s="538">
        <f>IF('Técnicas de Ki'!AR39=0,0,IFERROR(IF('Técnicas de Ki'!BD39&lt;&gt;0,'Técnicas de Ki'!BD39+TS!$Q144,0)*$Q144/$Q144,0))</f>
        <v>0</v>
      </c>
      <c r="BU144" s="538">
        <f>IF('Técnicas de Ki'!AR39=0,0,IFERROR(IF('Técnicas de Ki'!BE39&lt;&gt;0,'Técnicas de Ki'!BE39+TS!$R144,0)*$R144/$R144,0))</f>
        <v>0</v>
      </c>
      <c r="BV144" s="538">
        <f>IF('Técnicas de Ki'!AR39=0,0,IFERROR(IF('Técnicas de Ki'!BF39&lt;&gt;0,'Técnicas de Ki'!BF39+TS!$S144,0)*$S144/$S144,0))</f>
        <v>0</v>
      </c>
      <c r="BW144" s="539">
        <f>IF('Técnicas de Ki'!AR39=0,0,IFERROR(IF('Técnicas de Ki'!BG39&lt;&gt;0,'Técnicas de Ki'!BG39+TS!$T144,0)*$T144/$T144,0))</f>
        <v>0</v>
      </c>
      <c r="BY144" s="571" t="str">
        <f>IF('Técnicas de Ki'!AR42&lt;&gt;0,'Técnicas de Ki'!AQ42&amp;" "&amp;'Técnicas de Ki'!AR42,"")</f>
        <v/>
      </c>
      <c r="BZ144" s="302" t="b">
        <f t="shared" ref="BZ144:BZ207" si="20">OR(BZ143,BY143&lt;&gt;"")</f>
        <v>0</v>
      </c>
      <c r="CA144" s="302" t="str">
        <f t="shared" si="6"/>
        <v/>
      </c>
      <c r="CG144" s="537">
        <f>IF('Técnicas de Ki'!BM39=0,0,IF('Técnicas de Ki'!BT39=TS!CG$119,'Técnicas de Ki'!BN39-(IF($O144&lt;&gt;0,'Técnicas de Ki'!BW39,0)+IF($P144&lt;&gt;0,'Técnicas de Ki'!BX39,0)+IF($Q144&lt;&gt;0,'Técnicas de Ki'!BY39,0)+IF($R144&lt;&gt;0,'Técnicas de Ki'!BZ39,0)+IF($S144&lt;&gt;0,'Técnicas de Ki'!CA39,0)+IF($T144&lt;&gt;0,'Técnicas de Ki'!CB39,0)),0))</f>
        <v>0</v>
      </c>
      <c r="CH144" s="538">
        <f>IF('Técnicas de Ki'!BM39=0,0,IF('Técnicas de Ki'!BT39=TS!CH$119,'Técnicas de Ki'!BN39-(IF($O144&lt;&gt;0,'Técnicas de Ki'!BW39,0)+IF($P144&lt;&gt;0,'Técnicas de Ki'!BX39,0)+IF($Q144&lt;&gt;0,'Técnicas de Ki'!BY39,0)+IF($R144&lt;&gt;0,'Técnicas de Ki'!BZ39,0)+IF($S144&lt;&gt;0,'Técnicas de Ki'!CA39,0)+IF($T144&lt;&gt;0,'Técnicas de Ki'!CB39,0)),0))</f>
        <v>0</v>
      </c>
      <c r="CI144" s="538">
        <f>IF('Técnicas de Ki'!BM39=0,0,IF('Técnicas de Ki'!BT39=TS!CI$119,'Técnicas de Ki'!BN39-(IF($O144&lt;&gt;0,'Técnicas de Ki'!BW39,0)+IF($P144&lt;&gt;0,'Técnicas de Ki'!BX39,0)+IF($Q144&lt;&gt;0,'Técnicas de Ki'!BY39,0)+IF($R144&lt;&gt;0,'Técnicas de Ki'!BZ39,0)+IF($S144&lt;&gt;0,'Técnicas de Ki'!CA39,0)+IF($T144&lt;&gt;0,'Técnicas de Ki'!CB39,0)),0))</f>
        <v>0</v>
      </c>
      <c r="CJ144" s="538">
        <f>IF('Técnicas de Ki'!BM39=0,0,IF('Técnicas de Ki'!BT39=TS!CJ$119,'Técnicas de Ki'!BN39-(IF($O144&lt;&gt;0,'Técnicas de Ki'!BW39,0)+IF($P144&lt;&gt;0,'Técnicas de Ki'!BX39,0)+IF($Q144&lt;&gt;0,'Técnicas de Ki'!BY39,0)+IF($R144&lt;&gt;0,'Técnicas de Ki'!BZ39,0)+IF($S144&lt;&gt;0,'Técnicas de Ki'!CA39,0)+IF($T144&lt;&gt;0,'Técnicas de Ki'!CB39,0)),0))</f>
        <v>0</v>
      </c>
      <c r="CK144" s="538">
        <f>IF('Técnicas de Ki'!BM39=0,0,IF('Técnicas de Ki'!BT39=TS!CK$119,'Técnicas de Ki'!BN39-(IF($O144&lt;&gt;0,'Técnicas de Ki'!BW39,0)+IF($P144&lt;&gt;0,'Técnicas de Ki'!BX39,0)+IF($Q144&lt;&gt;0,'Técnicas de Ki'!BY39,0)+IF($R144&lt;&gt;0,'Técnicas de Ki'!BZ39,0)+IF($S144&lt;&gt;0,'Técnicas de Ki'!CA39,0)+IF($T144&lt;&gt;0,'Técnicas de Ki'!CB39,0)),0))</f>
        <v>0</v>
      </c>
      <c r="CL144" s="539">
        <f>IF('Técnicas de Ki'!BM39=0,0,IF('Técnicas de Ki'!BT39=TS!CL$119,'Técnicas de Ki'!BN39-(IF($O144&lt;&gt;0,'Técnicas de Ki'!BW39,0)+IF($P144&lt;&gt;0,'Técnicas de Ki'!BX39,0)+IF($Q144&lt;&gt;0,'Técnicas de Ki'!BY39,0)+IF($R144&lt;&gt;0,'Técnicas de Ki'!BZ39,0)+IF($S144&lt;&gt;0,'Técnicas de Ki'!CA39,0)+IF($T144&lt;&gt;0,'Técnicas de Ki'!CB39,0)),0))</f>
        <v>0</v>
      </c>
      <c r="CM144" s="538">
        <f>IF('Técnicas de Ki'!BM39=0,0,IFERROR(IF('Técnicas de Ki'!BW39&lt;&gt;0,'Técnicas de Ki'!BW39+TS!$O144,0)*$O144/$O144,0))</f>
        <v>0</v>
      </c>
      <c r="CN144" s="538">
        <f>IF('Técnicas de Ki'!BM39=0,0,IFERROR(IF('Técnicas de Ki'!BX39&lt;&gt;0,'Técnicas de Ki'!BX39+TS!$P144,0)*$P144/$P144,0))</f>
        <v>0</v>
      </c>
      <c r="CO144" s="538">
        <f>IF('Técnicas de Ki'!BM39=0,0,IFERROR(IF('Técnicas de Ki'!BY39&lt;&gt;0,'Técnicas de Ki'!BY39+TS!$Q144,0)*$Q144/$Q144,0))</f>
        <v>0</v>
      </c>
      <c r="CP144" s="538">
        <f>IF('Técnicas de Ki'!BM39=0,0,IFERROR(IF('Técnicas de Ki'!BZ39&lt;&gt;0,'Técnicas de Ki'!BZ39+TS!$R144,0)*$R144/$R144,0))</f>
        <v>0</v>
      </c>
      <c r="CQ144" s="538">
        <f>IF('Técnicas de Ki'!BM39=0,0,IFERROR(IF('Técnicas de Ki'!CA39&lt;&gt;0,'Técnicas de Ki'!CA39+TS!$S144,0)*$S144/$S144,0))</f>
        <v>0</v>
      </c>
      <c r="CR144" s="539">
        <f>IF('Técnicas de Ki'!BM39=0,0,IFERROR(IF('Técnicas de Ki'!CB39&lt;&gt;0,'Técnicas de Ki'!CB39+TS!$T144,0)*$T144/$T144,0))</f>
        <v>0</v>
      </c>
      <c r="CT144" s="571" t="str">
        <f>IF('Técnicas de Ki'!BM42&lt;&gt;0,'Técnicas de Ki'!BL42&amp;" "&amp;'Técnicas de Ki'!BM42,"")</f>
        <v/>
      </c>
      <c r="CU144" s="302" t="b">
        <f t="shared" ref="CU144:CU207" si="21">OR(CU143,CT143&lt;&gt;"")</f>
        <v>0</v>
      </c>
      <c r="CV144" s="302" t="str">
        <f t="shared" si="7"/>
        <v/>
      </c>
    </row>
    <row r="145" spans="1:102" x14ac:dyDescent="0.2">
      <c r="A145" s="302" t="s">
        <v>6848</v>
      </c>
      <c r="B145" s="301" t="s">
        <v>291</v>
      </c>
      <c r="C145" s="301" t="str">
        <f>A138&amp;A145&amp;B145</f>
        <v>Aumento de dañoVentaja opcional: SacrificioCaracterísticas</v>
      </c>
      <c r="D145" s="302">
        <v>2</v>
      </c>
      <c r="E145" s="302">
        <v>2</v>
      </c>
      <c r="F145" s="302">
        <v>10</v>
      </c>
      <c r="G145" s="302">
        <v>2</v>
      </c>
      <c r="H145" s="302">
        <v>4</v>
      </c>
      <c r="I145" s="302">
        <v>7</v>
      </c>
      <c r="J145" s="302">
        <v>1</v>
      </c>
      <c r="N145" s="303" t="s">
        <v>6861</v>
      </c>
      <c r="O145" s="298"/>
      <c r="P145" s="298"/>
      <c r="Q145" s="298"/>
      <c r="R145" s="298"/>
      <c r="S145" s="298"/>
      <c r="T145" s="298"/>
      <c r="V145" s="622"/>
      <c r="W145" s="546"/>
      <c r="X145" s="546"/>
      <c r="Y145" s="546"/>
      <c r="Z145" s="546"/>
      <c r="AA145" s="623"/>
      <c r="AB145" s="615"/>
      <c r="AC145" s="545"/>
      <c r="AD145" s="545"/>
      <c r="AE145" s="545"/>
      <c r="AF145" s="545"/>
      <c r="AG145" s="614"/>
      <c r="AI145" s="571" t="str">
        <f>IF('Técnicas de Ki'!B43&lt;&gt;0,'Técnicas de Ki'!A43&amp;" "&amp;'Técnicas de Ki'!B43,"")</f>
        <v/>
      </c>
      <c r="AJ145" s="302" t="b">
        <f t="shared" si="8"/>
        <v>0</v>
      </c>
      <c r="AK145" s="302" t="str">
        <f t="shared" si="4"/>
        <v/>
      </c>
      <c r="AQ145" s="622"/>
      <c r="AR145" s="546"/>
      <c r="AS145" s="546"/>
      <c r="AT145" s="546"/>
      <c r="AU145" s="546"/>
      <c r="AV145" s="623"/>
      <c r="AW145" s="615"/>
      <c r="AX145" s="545"/>
      <c r="AY145" s="545"/>
      <c r="AZ145" s="545"/>
      <c r="BA145" s="545"/>
      <c r="BB145" s="614"/>
      <c r="BD145" s="571" t="str">
        <f>IF('Técnicas de Ki'!W43&lt;&gt;0,'Técnicas de Ki'!V43&amp;" "&amp;'Técnicas de Ki'!W43,"")</f>
        <v/>
      </c>
      <c r="BE145" s="302" t="b">
        <f t="shared" si="19"/>
        <v>0</v>
      </c>
      <c r="BF145" s="302" t="str">
        <f t="shared" si="5"/>
        <v/>
      </c>
      <c r="BL145" s="622"/>
      <c r="BM145" s="546"/>
      <c r="BN145" s="546"/>
      <c r="BO145" s="546"/>
      <c r="BP145" s="546"/>
      <c r="BQ145" s="623"/>
      <c r="BR145" s="615"/>
      <c r="BS145" s="545"/>
      <c r="BT145" s="545"/>
      <c r="BU145" s="545"/>
      <c r="BV145" s="545"/>
      <c r="BW145" s="614"/>
      <c r="BY145" s="571" t="str">
        <f>IF('Técnicas de Ki'!AR43&lt;&gt;0,'Técnicas de Ki'!AQ43&amp;" "&amp;'Técnicas de Ki'!AR43,"")</f>
        <v/>
      </c>
      <c r="BZ145" s="302" t="b">
        <f t="shared" si="20"/>
        <v>0</v>
      </c>
      <c r="CA145" s="302" t="str">
        <f t="shared" si="6"/>
        <v/>
      </c>
      <c r="CG145" s="622"/>
      <c r="CH145" s="546"/>
      <c r="CI145" s="546"/>
      <c r="CJ145" s="546"/>
      <c r="CK145" s="546"/>
      <c r="CL145" s="623"/>
      <c r="CM145" s="615"/>
      <c r="CN145" s="545"/>
      <c r="CO145" s="545"/>
      <c r="CP145" s="545"/>
      <c r="CQ145" s="545"/>
      <c r="CR145" s="614"/>
      <c r="CT145" s="571" t="str">
        <f>IF('Técnicas de Ki'!BM43&lt;&gt;0,'Técnicas de Ki'!BL43&amp;" "&amp;'Técnicas de Ki'!BM43,"")</f>
        <v/>
      </c>
      <c r="CU145" s="302" t="b">
        <f t="shared" si="21"/>
        <v>0</v>
      </c>
      <c r="CV145" s="302" t="str">
        <f t="shared" si="7"/>
        <v/>
      </c>
    </row>
    <row r="146" spans="1:102" x14ac:dyDescent="0.2">
      <c r="A146" s="302" t="s">
        <v>6849</v>
      </c>
      <c r="B146" s="301" t="s">
        <v>6889</v>
      </c>
      <c r="C146" s="301" t="str">
        <f>A139&amp;A146&amp;B146</f>
        <v>Aumento de dañoVentaja opcional: Daño límiteDaño límite</v>
      </c>
      <c r="D146" s="302">
        <v>12</v>
      </c>
      <c r="E146" s="302">
        <v>12</v>
      </c>
      <c r="F146" s="302">
        <v>30</v>
      </c>
      <c r="G146" s="302">
        <v>4</v>
      </c>
      <c r="H146" s="302">
        <v>8</v>
      </c>
      <c r="I146" s="302">
        <v>14</v>
      </c>
      <c r="J146" s="302">
        <v>1</v>
      </c>
      <c r="N146" s="302" t="s">
        <v>6862</v>
      </c>
      <c r="P146" s="302">
        <v>2</v>
      </c>
      <c r="R146" s="302">
        <v>1</v>
      </c>
      <c r="S146" s="302">
        <v>3</v>
      </c>
      <c r="T146" s="302">
        <v>3</v>
      </c>
      <c r="V146" s="537">
        <f>IF('Técnicas de Ki'!B41=0,0,IF('Técnicas de Ki'!I41=TS!V$119,'Técnicas de Ki'!C41-(IF($O146&lt;&gt;0,'Técnicas de Ki'!L41,0)+IF($P146&lt;&gt;0,'Técnicas de Ki'!M41,0)+IF($Q146&lt;&gt;0,'Técnicas de Ki'!N41,0)+IF($R146&lt;&gt;0,'Técnicas de Ki'!O41,0)+IF($S146&lt;&gt;0,'Técnicas de Ki'!P41,0)+IF($T146&lt;&gt;0,'Técnicas de Ki'!Q41,0)),0))</f>
        <v>0</v>
      </c>
      <c r="W146" s="538">
        <f>IF('Técnicas de Ki'!B41=0,0,IF('Técnicas de Ki'!I41=TS!W$119,'Técnicas de Ki'!C41-(IF($O146&lt;&gt;0,'Técnicas de Ki'!L41,0)+IF($P146&lt;&gt;0,'Técnicas de Ki'!M41,0)+IF($Q146&lt;&gt;0,'Técnicas de Ki'!N41,0)+IF($R146&lt;&gt;0,'Técnicas de Ki'!O41,0)+IF($S146&lt;&gt;0,'Técnicas de Ki'!P41,0)+IF($T146&lt;&gt;0,'Técnicas de Ki'!Q41,0)),0))</f>
        <v>0</v>
      </c>
      <c r="X146" s="538">
        <f>IF('Técnicas de Ki'!B41=0,0,IF('Técnicas de Ki'!I41=TS!X$119,'Técnicas de Ki'!C41-(IF($O146&lt;&gt;0,'Técnicas de Ki'!L41,0)+IF($P146&lt;&gt;0,'Técnicas de Ki'!M41,0)+IF($Q146&lt;&gt;0,'Técnicas de Ki'!N41,0)+IF($R146&lt;&gt;0,'Técnicas de Ki'!O41,0)+IF($S146&lt;&gt;0,'Técnicas de Ki'!P41,0)+IF($T146&lt;&gt;0,'Técnicas de Ki'!Q41,0)),0))</f>
        <v>0</v>
      </c>
      <c r="Y146" s="538">
        <f>IF('Técnicas de Ki'!B41=0,0,IF('Técnicas de Ki'!I41=TS!Y$119,'Técnicas de Ki'!C41-(IF($O146&lt;&gt;0,'Técnicas de Ki'!L41,0)+IF($P146&lt;&gt;0,'Técnicas de Ki'!M41,0)+IF($Q146&lt;&gt;0,'Técnicas de Ki'!N41,0)+IF($R146&lt;&gt;0,'Técnicas de Ki'!O41,0)+IF($S146&lt;&gt;0,'Técnicas de Ki'!P41,0)+IF($T146&lt;&gt;0,'Técnicas de Ki'!Q41,0)),0))</f>
        <v>0</v>
      </c>
      <c r="Z146" s="538">
        <f>IF('Técnicas de Ki'!B41=0,0,IF('Técnicas de Ki'!I41=TS!Z$119,'Técnicas de Ki'!C41-(IF($O146&lt;&gt;0,'Técnicas de Ki'!L41,0)+IF($P146&lt;&gt;0,'Técnicas de Ki'!M41,0)+IF($Q146&lt;&gt;0,'Técnicas de Ki'!N41,0)+IF($R146&lt;&gt;0,'Técnicas de Ki'!O41,0)+IF($S146&lt;&gt;0,'Técnicas de Ki'!P41,0)+IF($T146&lt;&gt;0,'Técnicas de Ki'!Q41,0)),0))</f>
        <v>0</v>
      </c>
      <c r="AA146" s="539">
        <f>IF('Técnicas de Ki'!B41=0,0,IF('Técnicas de Ki'!I41=TS!AA$119,'Técnicas de Ki'!C41-(IF($O146&lt;&gt;0,'Técnicas de Ki'!L41,0)+IF($P146&lt;&gt;0,'Técnicas de Ki'!M41,0)+IF($Q146&lt;&gt;0,'Técnicas de Ki'!N41,0)+IF($R146&lt;&gt;0,'Técnicas de Ki'!O41,0)+IF($S146&lt;&gt;0,'Técnicas de Ki'!P41,0)+IF($T146&lt;&gt;0,'Técnicas de Ki'!Q41,0)),0))</f>
        <v>0</v>
      </c>
      <c r="AB146" s="538">
        <f>IF('Técnicas de Ki'!B41=0,0,IFERROR(IF('Técnicas de Ki'!L41&lt;&gt;0,'Técnicas de Ki'!L41+TS!$O146,0)*$O146/$O146,0))</f>
        <v>0</v>
      </c>
      <c r="AC146" s="538">
        <f>IF('Técnicas de Ki'!B41=0,0,IFERROR(IF('Técnicas de Ki'!M41&lt;&gt;0,'Técnicas de Ki'!M41+TS!$P146,0)*$P146/$P146,0))</f>
        <v>0</v>
      </c>
      <c r="AD146" s="538">
        <f>IF('Técnicas de Ki'!B41=0,0,IFERROR(IF('Técnicas de Ki'!N41&lt;&gt;0,'Técnicas de Ki'!N41+TS!$Q146,0)*$Q146/$Q146,0))</f>
        <v>0</v>
      </c>
      <c r="AE146" s="538">
        <f>IF('Técnicas de Ki'!B41=0,0,IFERROR(IF('Técnicas de Ki'!O41&lt;&gt;0,'Técnicas de Ki'!O41+TS!$R146,0)*$R146/$R146,0))</f>
        <v>0</v>
      </c>
      <c r="AF146" s="538">
        <f>IF('Técnicas de Ki'!B41=0,0,IFERROR(IF('Técnicas de Ki'!P41&lt;&gt;0,'Técnicas de Ki'!P41+TS!$S146,0)*$S146/$S146,0))</f>
        <v>0</v>
      </c>
      <c r="AG146" s="539">
        <f>IF('Técnicas de Ki'!B41=0,0,IFERROR(IF('Técnicas de Ki'!Q41&lt;&gt;0,'Técnicas de Ki'!Q41+TS!$T146,0)*$T146/$T146,0))</f>
        <v>0</v>
      </c>
      <c r="AI146" s="571" t="str">
        <f>IF('Técnicas de Ki'!B44&lt;&gt;0,'Técnicas de Ki'!A44&amp;" "&amp;'Técnicas de Ki'!B44,"")</f>
        <v/>
      </c>
      <c r="AJ146" s="302" t="b">
        <f t="shared" si="8"/>
        <v>0</v>
      </c>
      <c r="AK146" s="302" t="str">
        <f t="shared" si="4"/>
        <v/>
      </c>
      <c r="AQ146" s="537">
        <f>IF('Técnicas de Ki'!W41=0,0,IF('Técnicas de Ki'!AD41=TS!AQ$119,'Técnicas de Ki'!X41-(IF($O146&lt;&gt;0,'Técnicas de Ki'!AG41,0)+IF($P146&lt;&gt;0,'Técnicas de Ki'!AH41,0)+IF($Q146&lt;&gt;0,'Técnicas de Ki'!AI41,0)+IF($R146&lt;&gt;0,'Técnicas de Ki'!AJ41,0)+IF($S146&lt;&gt;0,'Técnicas de Ki'!AK41,0)+IF($T146&lt;&gt;0,'Técnicas de Ki'!AL41,0)),0))</f>
        <v>0</v>
      </c>
      <c r="AR146" s="538">
        <f>IF('Técnicas de Ki'!W41=0,0,IF('Técnicas de Ki'!AD41=TS!AR$119,'Técnicas de Ki'!X41-(IF($O146&lt;&gt;0,'Técnicas de Ki'!AG41,0)+IF($P146&lt;&gt;0,'Técnicas de Ki'!AH41,0)+IF($Q146&lt;&gt;0,'Técnicas de Ki'!AI41,0)+IF($R146&lt;&gt;0,'Técnicas de Ki'!AJ41,0)+IF($S146&lt;&gt;0,'Técnicas de Ki'!AK41,0)+IF($T146&lt;&gt;0,'Técnicas de Ki'!AL41,0)),0))</f>
        <v>0</v>
      </c>
      <c r="AS146" s="538">
        <f>IF('Técnicas de Ki'!W41=0,0,IF('Técnicas de Ki'!AD41=TS!AS$119,'Técnicas de Ki'!X41-(IF($O146&lt;&gt;0,'Técnicas de Ki'!AG41,0)+IF($P146&lt;&gt;0,'Técnicas de Ki'!AH41,0)+IF($Q146&lt;&gt;0,'Técnicas de Ki'!AI41,0)+IF($R146&lt;&gt;0,'Técnicas de Ki'!AJ41,0)+IF($S146&lt;&gt;0,'Técnicas de Ki'!AK41,0)+IF($T146&lt;&gt;0,'Técnicas de Ki'!AL41,0)),0))</f>
        <v>0</v>
      </c>
      <c r="AT146" s="538">
        <f>IF('Técnicas de Ki'!W41=0,0,IF('Técnicas de Ki'!AD41=TS!AT$119,'Técnicas de Ki'!X41-(IF($O146&lt;&gt;0,'Técnicas de Ki'!AG41,0)+IF($P146&lt;&gt;0,'Técnicas de Ki'!AH41,0)+IF($Q146&lt;&gt;0,'Técnicas de Ki'!AI41,0)+IF($R146&lt;&gt;0,'Técnicas de Ki'!AJ41,0)+IF($S146&lt;&gt;0,'Técnicas de Ki'!AK41,0)+IF($T146&lt;&gt;0,'Técnicas de Ki'!AL41,0)),0))</f>
        <v>0</v>
      </c>
      <c r="AU146" s="538">
        <f>IF('Técnicas de Ki'!W41=0,0,IF('Técnicas de Ki'!AD41=TS!AU$119,'Técnicas de Ki'!X41-(IF($O146&lt;&gt;0,'Técnicas de Ki'!AG41,0)+IF($P146&lt;&gt;0,'Técnicas de Ki'!AH41,0)+IF($Q146&lt;&gt;0,'Técnicas de Ki'!AI41,0)+IF($R146&lt;&gt;0,'Técnicas de Ki'!AJ41,0)+IF($S146&lt;&gt;0,'Técnicas de Ki'!AK41,0)+IF($T146&lt;&gt;0,'Técnicas de Ki'!AL41,0)),0))</f>
        <v>0</v>
      </c>
      <c r="AV146" s="539">
        <f>IF('Técnicas de Ki'!W41=0,0,IF('Técnicas de Ki'!AD41=TS!AV$119,'Técnicas de Ki'!X41-(IF($O146&lt;&gt;0,'Técnicas de Ki'!AG41,0)+IF($P146&lt;&gt;0,'Técnicas de Ki'!AH41,0)+IF($Q146&lt;&gt;0,'Técnicas de Ki'!AI41,0)+IF($R146&lt;&gt;0,'Técnicas de Ki'!AJ41,0)+IF($S146&lt;&gt;0,'Técnicas de Ki'!AK41,0)+IF($T146&lt;&gt;0,'Técnicas de Ki'!AL41,0)),0))</f>
        <v>0</v>
      </c>
      <c r="AW146" s="538">
        <f>IF('Técnicas de Ki'!W41=0,0,IFERROR(IF('Técnicas de Ki'!AG41&lt;&gt;0,'Técnicas de Ki'!AG41+TS!$O146,0)*$O146/$O146,0))</f>
        <v>0</v>
      </c>
      <c r="AX146" s="538">
        <f>IF('Técnicas de Ki'!W41=0,0,IFERROR(IF('Técnicas de Ki'!AH41&lt;&gt;0,'Técnicas de Ki'!AH41+TS!$P146,0)*$P146/$P146,0))</f>
        <v>0</v>
      </c>
      <c r="AY146" s="538">
        <f>IF('Técnicas de Ki'!W41=0,0,IFERROR(IF('Técnicas de Ki'!AI41&lt;&gt;0,'Técnicas de Ki'!AI41+TS!$Q146,0)*$Q146/$Q146,0))</f>
        <v>0</v>
      </c>
      <c r="AZ146" s="538">
        <f>IF('Técnicas de Ki'!W41=0,0,IFERROR(IF('Técnicas de Ki'!AJ41&lt;&gt;0,'Técnicas de Ki'!AJ41+TS!$R146,0)*$R146/$R146,0))</f>
        <v>0</v>
      </c>
      <c r="BA146" s="538">
        <f>IF('Técnicas de Ki'!W41=0,0,IFERROR(IF('Técnicas de Ki'!AK41&lt;&gt;0,'Técnicas de Ki'!AK41+TS!$S146,0)*$S146/$S146,0))</f>
        <v>0</v>
      </c>
      <c r="BB146" s="539">
        <f>IF('Técnicas de Ki'!W41=0,0,IFERROR(IF('Técnicas de Ki'!AL41&lt;&gt;0,'Técnicas de Ki'!AL41+TS!$T146,0)*$T146/$T146,0))</f>
        <v>0</v>
      </c>
      <c r="BD146" s="571" t="str">
        <f>IF('Técnicas de Ki'!W44&lt;&gt;0,'Técnicas de Ki'!V44&amp;" "&amp;'Técnicas de Ki'!W44,"")</f>
        <v/>
      </c>
      <c r="BE146" s="302" t="b">
        <f t="shared" si="19"/>
        <v>0</v>
      </c>
      <c r="BF146" s="302" t="str">
        <f t="shared" si="5"/>
        <v/>
      </c>
      <c r="BL146" s="537">
        <f>IF('Técnicas de Ki'!AR41=0,0,IF('Técnicas de Ki'!AY41=TS!BL$119,'Técnicas de Ki'!AS41-(IF($O146&lt;&gt;0,'Técnicas de Ki'!BB41,0)+IF($P146&lt;&gt;0,'Técnicas de Ki'!BC41,0)+IF($Q146&lt;&gt;0,'Técnicas de Ki'!BD41,0)+IF($R146&lt;&gt;0,'Técnicas de Ki'!BE41,0)+IF($S146&lt;&gt;0,'Técnicas de Ki'!BF41,0)+IF($T146&lt;&gt;0,'Técnicas de Ki'!BG41,0)),0))</f>
        <v>0</v>
      </c>
      <c r="BM146" s="538">
        <f>IF('Técnicas de Ki'!AR41=0,0,IF('Técnicas de Ki'!AY41=TS!BM$119,'Técnicas de Ki'!AS41-(IF($O146&lt;&gt;0,'Técnicas de Ki'!BB41,0)+IF($P146&lt;&gt;0,'Técnicas de Ki'!BC41,0)+IF($Q146&lt;&gt;0,'Técnicas de Ki'!BD41,0)+IF($R146&lt;&gt;0,'Técnicas de Ki'!BE41,0)+IF($S146&lt;&gt;0,'Técnicas de Ki'!BF41,0)+IF($T146&lt;&gt;0,'Técnicas de Ki'!BG41,0)),0))</f>
        <v>0</v>
      </c>
      <c r="BN146" s="538">
        <f>IF('Técnicas de Ki'!AR41=0,0,IF('Técnicas de Ki'!AY41=TS!BN$119,'Técnicas de Ki'!AS41-(IF($O146&lt;&gt;0,'Técnicas de Ki'!BB41,0)+IF($P146&lt;&gt;0,'Técnicas de Ki'!BC41,0)+IF($Q146&lt;&gt;0,'Técnicas de Ki'!BD41,0)+IF($R146&lt;&gt;0,'Técnicas de Ki'!BE41,0)+IF($S146&lt;&gt;0,'Técnicas de Ki'!BF41,0)+IF($T146&lt;&gt;0,'Técnicas de Ki'!BG41,0)),0))</f>
        <v>0</v>
      </c>
      <c r="BO146" s="538">
        <f>IF('Técnicas de Ki'!AR41=0,0,IF('Técnicas de Ki'!AY41=TS!BO$119,'Técnicas de Ki'!AS41-(IF($O146&lt;&gt;0,'Técnicas de Ki'!BB41,0)+IF($P146&lt;&gt;0,'Técnicas de Ki'!BC41,0)+IF($Q146&lt;&gt;0,'Técnicas de Ki'!BD41,0)+IF($R146&lt;&gt;0,'Técnicas de Ki'!BE41,0)+IF($S146&lt;&gt;0,'Técnicas de Ki'!BF41,0)+IF($T146&lt;&gt;0,'Técnicas de Ki'!BG41,0)),0))</f>
        <v>0</v>
      </c>
      <c r="BP146" s="538">
        <f>IF('Técnicas de Ki'!AR41=0,0,IF('Técnicas de Ki'!AY41=TS!BP$119,'Técnicas de Ki'!AS41-(IF($O146&lt;&gt;0,'Técnicas de Ki'!BB41,0)+IF($P146&lt;&gt;0,'Técnicas de Ki'!BC41,0)+IF($Q146&lt;&gt;0,'Técnicas de Ki'!BD41,0)+IF($R146&lt;&gt;0,'Técnicas de Ki'!BE41,0)+IF($S146&lt;&gt;0,'Técnicas de Ki'!BF41,0)+IF($T146&lt;&gt;0,'Técnicas de Ki'!BG41,0)),0))</f>
        <v>0</v>
      </c>
      <c r="BQ146" s="539">
        <f>IF('Técnicas de Ki'!AR41=0,0,IF('Técnicas de Ki'!AY41=TS!BQ$119,'Técnicas de Ki'!AS41-(IF($O146&lt;&gt;0,'Técnicas de Ki'!BB41,0)+IF($P146&lt;&gt;0,'Técnicas de Ki'!BC41,0)+IF($Q146&lt;&gt;0,'Técnicas de Ki'!BD41,0)+IF($R146&lt;&gt;0,'Técnicas de Ki'!BE41,0)+IF($S146&lt;&gt;0,'Técnicas de Ki'!BF41,0)+IF($T146&lt;&gt;0,'Técnicas de Ki'!BG41,0)),0))</f>
        <v>0</v>
      </c>
      <c r="BR146" s="538">
        <f>IF('Técnicas de Ki'!AR41=0,0,IFERROR(IF('Técnicas de Ki'!BB41&lt;&gt;0,'Técnicas de Ki'!BB41+TS!$O146,0)*$O146/$O146,0))</f>
        <v>0</v>
      </c>
      <c r="BS146" s="538">
        <f>IF('Técnicas de Ki'!AR41=0,0,IFERROR(IF('Técnicas de Ki'!BC41&lt;&gt;0,'Técnicas de Ki'!BC41+TS!$P146,0)*$P146/$P146,0))</f>
        <v>0</v>
      </c>
      <c r="BT146" s="538">
        <f>IF('Técnicas de Ki'!AR41=0,0,IFERROR(IF('Técnicas de Ki'!BD41&lt;&gt;0,'Técnicas de Ki'!BD41+TS!$Q146,0)*$Q146/$Q146,0))</f>
        <v>0</v>
      </c>
      <c r="BU146" s="538">
        <f>IF('Técnicas de Ki'!AR41=0,0,IFERROR(IF('Técnicas de Ki'!BE41&lt;&gt;0,'Técnicas de Ki'!BE41+TS!$R146,0)*$R146/$R146,0))</f>
        <v>0</v>
      </c>
      <c r="BV146" s="538">
        <f>IF('Técnicas de Ki'!AR41=0,0,IFERROR(IF('Técnicas de Ki'!BF41&lt;&gt;0,'Técnicas de Ki'!BF41+TS!$S146,0)*$S146/$S146,0))</f>
        <v>0</v>
      </c>
      <c r="BW146" s="539">
        <f>IF('Técnicas de Ki'!AR41=0,0,IFERROR(IF('Técnicas de Ki'!BG41&lt;&gt;0,'Técnicas de Ki'!BG41+TS!$T146,0)*$T146/$T146,0))</f>
        <v>0</v>
      </c>
      <c r="BY146" s="571" t="str">
        <f>IF('Técnicas de Ki'!AR44&lt;&gt;0,'Técnicas de Ki'!AQ44&amp;" "&amp;'Técnicas de Ki'!AR44,"")</f>
        <v/>
      </c>
      <c r="BZ146" s="302" t="b">
        <f t="shared" si="20"/>
        <v>0</v>
      </c>
      <c r="CA146" s="302" t="str">
        <f t="shared" si="6"/>
        <v/>
      </c>
      <c r="CG146" s="537">
        <f>IF('Técnicas de Ki'!BM41=0,0,IF('Técnicas de Ki'!BT41=TS!CG$119,'Técnicas de Ki'!BN41-(IF($O146&lt;&gt;0,'Técnicas de Ki'!BW41,0)+IF($P146&lt;&gt;0,'Técnicas de Ki'!BX41,0)+IF($Q146&lt;&gt;0,'Técnicas de Ki'!BY41,0)+IF($R146&lt;&gt;0,'Técnicas de Ki'!BZ41,0)+IF($S146&lt;&gt;0,'Técnicas de Ki'!CA41,0)+IF($T146&lt;&gt;0,'Técnicas de Ki'!CB41,0)),0))</f>
        <v>0</v>
      </c>
      <c r="CH146" s="538">
        <f>IF('Técnicas de Ki'!BM41=0,0,IF('Técnicas de Ki'!BT41=TS!CH$119,'Técnicas de Ki'!BN41-(IF($O146&lt;&gt;0,'Técnicas de Ki'!BW41,0)+IF($P146&lt;&gt;0,'Técnicas de Ki'!BX41,0)+IF($Q146&lt;&gt;0,'Técnicas de Ki'!BY41,0)+IF($R146&lt;&gt;0,'Técnicas de Ki'!BZ41,0)+IF($S146&lt;&gt;0,'Técnicas de Ki'!CA41,0)+IF($T146&lt;&gt;0,'Técnicas de Ki'!CB41,0)),0))</f>
        <v>0</v>
      </c>
      <c r="CI146" s="538">
        <f>IF('Técnicas de Ki'!BM41=0,0,IF('Técnicas de Ki'!BT41=TS!CI$119,'Técnicas de Ki'!BN41-(IF($O146&lt;&gt;0,'Técnicas de Ki'!BW41,0)+IF($P146&lt;&gt;0,'Técnicas de Ki'!BX41,0)+IF($Q146&lt;&gt;0,'Técnicas de Ki'!BY41,0)+IF($R146&lt;&gt;0,'Técnicas de Ki'!BZ41,0)+IF($S146&lt;&gt;0,'Técnicas de Ki'!CA41,0)+IF($T146&lt;&gt;0,'Técnicas de Ki'!CB41,0)),0))</f>
        <v>0</v>
      </c>
      <c r="CJ146" s="538">
        <f>IF('Técnicas de Ki'!BM41=0,0,IF('Técnicas de Ki'!BT41=TS!CJ$119,'Técnicas de Ki'!BN41-(IF($O146&lt;&gt;0,'Técnicas de Ki'!BW41,0)+IF($P146&lt;&gt;0,'Técnicas de Ki'!BX41,0)+IF($Q146&lt;&gt;0,'Técnicas de Ki'!BY41,0)+IF($R146&lt;&gt;0,'Técnicas de Ki'!BZ41,0)+IF($S146&lt;&gt;0,'Técnicas de Ki'!CA41,0)+IF($T146&lt;&gt;0,'Técnicas de Ki'!CB41,0)),0))</f>
        <v>0</v>
      </c>
      <c r="CK146" s="538">
        <f>IF('Técnicas de Ki'!BM41=0,0,IF('Técnicas de Ki'!BT41=TS!CK$119,'Técnicas de Ki'!BN41-(IF($O146&lt;&gt;0,'Técnicas de Ki'!BW41,0)+IF($P146&lt;&gt;0,'Técnicas de Ki'!BX41,0)+IF($Q146&lt;&gt;0,'Técnicas de Ki'!BY41,0)+IF($R146&lt;&gt;0,'Técnicas de Ki'!BZ41,0)+IF($S146&lt;&gt;0,'Técnicas de Ki'!CA41,0)+IF($T146&lt;&gt;0,'Técnicas de Ki'!CB41,0)),0))</f>
        <v>0</v>
      </c>
      <c r="CL146" s="539">
        <f>IF('Técnicas de Ki'!BM41=0,0,IF('Técnicas de Ki'!BT41=TS!CL$119,'Técnicas de Ki'!BN41-(IF($O146&lt;&gt;0,'Técnicas de Ki'!BW41,0)+IF($P146&lt;&gt;0,'Técnicas de Ki'!BX41,0)+IF($Q146&lt;&gt;0,'Técnicas de Ki'!BY41,0)+IF($R146&lt;&gt;0,'Técnicas de Ki'!BZ41,0)+IF($S146&lt;&gt;0,'Técnicas de Ki'!CA41,0)+IF($T146&lt;&gt;0,'Técnicas de Ki'!CB41,0)),0))</f>
        <v>0</v>
      </c>
      <c r="CM146" s="538">
        <f>IF('Técnicas de Ki'!BM41=0,0,IFERROR(IF('Técnicas de Ki'!BW41&lt;&gt;0,'Técnicas de Ki'!BW41+TS!$O146,0)*$O146/$O146,0))</f>
        <v>0</v>
      </c>
      <c r="CN146" s="538">
        <f>IF('Técnicas de Ki'!BM41=0,0,IFERROR(IF('Técnicas de Ki'!BX41&lt;&gt;0,'Técnicas de Ki'!BX41+TS!$P146,0)*$P146/$P146,0))</f>
        <v>0</v>
      </c>
      <c r="CO146" s="538">
        <f>IF('Técnicas de Ki'!BM41=0,0,IFERROR(IF('Técnicas de Ki'!BY41&lt;&gt;0,'Técnicas de Ki'!BY41+TS!$Q146,0)*$Q146/$Q146,0))</f>
        <v>0</v>
      </c>
      <c r="CP146" s="538">
        <f>IF('Técnicas de Ki'!BM41=0,0,IFERROR(IF('Técnicas de Ki'!BZ41&lt;&gt;0,'Técnicas de Ki'!BZ41+TS!$R146,0)*$R146/$R146,0))</f>
        <v>0</v>
      </c>
      <c r="CQ146" s="538">
        <f>IF('Técnicas de Ki'!BM41=0,0,IFERROR(IF('Técnicas de Ki'!CA41&lt;&gt;0,'Técnicas de Ki'!CA41+TS!$S146,0)*$S146/$S146,0))</f>
        <v>0</v>
      </c>
      <c r="CR146" s="539">
        <f>IF('Técnicas de Ki'!BM41=0,0,IFERROR(IF('Técnicas de Ki'!CB41&lt;&gt;0,'Técnicas de Ki'!CB41+TS!$T146,0)*$T146/$T146,0))</f>
        <v>0</v>
      </c>
      <c r="CT146" s="571" t="str">
        <f>IF('Técnicas de Ki'!BM44&lt;&gt;0,'Técnicas de Ki'!BL44&amp;" "&amp;'Técnicas de Ki'!BM44,"")</f>
        <v/>
      </c>
      <c r="CU146" s="302" t="b">
        <f t="shared" si="21"/>
        <v>0</v>
      </c>
      <c r="CV146" s="302" t="str">
        <f t="shared" si="7"/>
        <v/>
      </c>
    </row>
    <row r="147" spans="1:102" x14ac:dyDescent="0.2">
      <c r="A147" s="302" t="s">
        <v>6850</v>
      </c>
      <c r="B147" s="301" t="s">
        <v>6799</v>
      </c>
      <c r="C147" s="301" t="str">
        <f t="shared" si="15"/>
        <v>Aumento de daño real+10</v>
      </c>
      <c r="D147" s="302">
        <v>2</v>
      </c>
      <c r="E147" s="302">
        <v>4</v>
      </c>
      <c r="F147" s="302">
        <v>10</v>
      </c>
      <c r="G147" s="302">
        <v>1</v>
      </c>
      <c r="H147" s="302">
        <v>2</v>
      </c>
      <c r="I147" s="302">
        <v>4</v>
      </c>
      <c r="J147" s="302">
        <v>1</v>
      </c>
      <c r="N147" s="302" t="s">
        <v>6864</v>
      </c>
      <c r="P147" s="302">
        <v>2</v>
      </c>
      <c r="R147" s="302">
        <v>1</v>
      </c>
      <c r="S147" s="302">
        <v>3</v>
      </c>
      <c r="T147" s="302">
        <v>3</v>
      </c>
      <c r="V147" s="537">
        <f>IF('Técnicas de Ki'!B42=0,0,IF('Técnicas de Ki'!I42=TS!V$119,'Técnicas de Ki'!C42-(IF($O147&lt;&gt;0,'Técnicas de Ki'!L42,0)+IF($P147&lt;&gt;0,'Técnicas de Ki'!M42,0)+IF($Q147&lt;&gt;0,'Técnicas de Ki'!N42,0)+IF($R147&lt;&gt;0,'Técnicas de Ki'!O42,0)+IF($S147&lt;&gt;0,'Técnicas de Ki'!P42,0)+IF($T147&lt;&gt;0,'Técnicas de Ki'!Q42,0)),0))</f>
        <v>0</v>
      </c>
      <c r="W147" s="538">
        <f>IF('Técnicas de Ki'!B42=0,0,IF('Técnicas de Ki'!I42=TS!W$119,'Técnicas de Ki'!C42-(IF($O147&lt;&gt;0,'Técnicas de Ki'!L42,0)+IF($P147&lt;&gt;0,'Técnicas de Ki'!M42,0)+IF($Q147&lt;&gt;0,'Técnicas de Ki'!N42,0)+IF($R147&lt;&gt;0,'Técnicas de Ki'!O42,0)+IF($S147&lt;&gt;0,'Técnicas de Ki'!P42,0)+IF($T147&lt;&gt;0,'Técnicas de Ki'!Q42,0)),0))</f>
        <v>0</v>
      </c>
      <c r="X147" s="538">
        <f>IF('Técnicas de Ki'!B42=0,0,IF('Técnicas de Ki'!I42=TS!X$119,'Técnicas de Ki'!C42-(IF($O147&lt;&gt;0,'Técnicas de Ki'!L42,0)+IF($P147&lt;&gt;0,'Técnicas de Ki'!M42,0)+IF($Q147&lt;&gt;0,'Técnicas de Ki'!N42,0)+IF($R147&lt;&gt;0,'Técnicas de Ki'!O42,0)+IF($S147&lt;&gt;0,'Técnicas de Ki'!P42,0)+IF($T147&lt;&gt;0,'Técnicas de Ki'!Q42,0)),0))</f>
        <v>0</v>
      </c>
      <c r="Y147" s="538">
        <f>IF('Técnicas de Ki'!B42=0,0,IF('Técnicas de Ki'!I42=TS!Y$119,'Técnicas de Ki'!C42-(IF($O147&lt;&gt;0,'Técnicas de Ki'!L42,0)+IF($P147&lt;&gt;0,'Técnicas de Ki'!M42,0)+IF($Q147&lt;&gt;0,'Técnicas de Ki'!N42,0)+IF($R147&lt;&gt;0,'Técnicas de Ki'!O42,0)+IF($S147&lt;&gt;0,'Técnicas de Ki'!P42,0)+IF($T147&lt;&gt;0,'Técnicas de Ki'!Q42,0)),0))</f>
        <v>0</v>
      </c>
      <c r="Z147" s="538">
        <f>IF('Técnicas de Ki'!B42=0,0,IF('Técnicas de Ki'!I42=TS!Z$119,'Técnicas de Ki'!C42-(IF($O147&lt;&gt;0,'Técnicas de Ki'!L42,0)+IF($P147&lt;&gt;0,'Técnicas de Ki'!M42,0)+IF($Q147&lt;&gt;0,'Técnicas de Ki'!N42,0)+IF($R147&lt;&gt;0,'Técnicas de Ki'!O42,0)+IF($S147&lt;&gt;0,'Técnicas de Ki'!P42,0)+IF($T147&lt;&gt;0,'Técnicas de Ki'!Q42,0)),0))</f>
        <v>0</v>
      </c>
      <c r="AA147" s="539">
        <f>IF('Técnicas de Ki'!B42=0,0,IF('Técnicas de Ki'!I42=TS!AA$119,'Técnicas de Ki'!C42-(IF($O147&lt;&gt;0,'Técnicas de Ki'!L42,0)+IF($P147&lt;&gt;0,'Técnicas de Ki'!M42,0)+IF($Q147&lt;&gt;0,'Técnicas de Ki'!N42,0)+IF($R147&lt;&gt;0,'Técnicas de Ki'!O42,0)+IF($S147&lt;&gt;0,'Técnicas de Ki'!P42,0)+IF($T147&lt;&gt;0,'Técnicas de Ki'!Q42,0)),0))</f>
        <v>0</v>
      </c>
      <c r="AB147" s="538">
        <f>IF('Técnicas de Ki'!B42=0,0,IFERROR(IF('Técnicas de Ki'!L42&lt;&gt;0,'Técnicas de Ki'!L42+TS!$O147,0)*$O147/$O147,0))</f>
        <v>0</v>
      </c>
      <c r="AC147" s="538">
        <f>IF('Técnicas de Ki'!B42=0,0,IFERROR(IF('Técnicas de Ki'!M42&lt;&gt;0,'Técnicas de Ki'!M42+TS!$P147,0)*$P147/$P147,0))</f>
        <v>0</v>
      </c>
      <c r="AD147" s="538">
        <f>IF('Técnicas de Ki'!B42=0,0,IFERROR(IF('Técnicas de Ki'!N42&lt;&gt;0,'Técnicas de Ki'!N42+TS!$Q147,0)*$Q147/$Q147,0))</f>
        <v>0</v>
      </c>
      <c r="AE147" s="538">
        <f>IF('Técnicas de Ki'!B42=0,0,IFERROR(IF('Técnicas de Ki'!O42&lt;&gt;0,'Técnicas de Ki'!O42+TS!$R147,0)*$R147/$R147,0))</f>
        <v>0</v>
      </c>
      <c r="AF147" s="538">
        <f>IF('Técnicas de Ki'!B42=0,0,IFERROR(IF('Técnicas de Ki'!P42&lt;&gt;0,'Técnicas de Ki'!P42+TS!$S147,0)*$S147/$S147,0))</f>
        <v>0</v>
      </c>
      <c r="AG147" s="539">
        <f>IF('Técnicas de Ki'!B42=0,0,IFERROR(IF('Técnicas de Ki'!Q42&lt;&gt;0,'Técnicas de Ki'!Q42+TS!$T147,0)*$T147/$T147,0))</f>
        <v>0</v>
      </c>
      <c r="AI147" s="571" t="str">
        <f>IF('Técnicas de Ki'!B45&lt;&gt;0,'Técnicas de Ki'!A45&amp;" "&amp;'Técnicas de Ki'!B45,"")</f>
        <v/>
      </c>
      <c r="AJ147" s="302" t="b">
        <f t="shared" si="8"/>
        <v>0</v>
      </c>
      <c r="AK147" s="302" t="str">
        <f t="shared" si="4"/>
        <v/>
      </c>
      <c r="AQ147" s="537">
        <f>IF('Técnicas de Ki'!W42=0,0,IF('Técnicas de Ki'!AD42=TS!AQ$119,'Técnicas de Ki'!X42-(IF($O147&lt;&gt;0,'Técnicas de Ki'!AG42,0)+IF($P147&lt;&gt;0,'Técnicas de Ki'!AH42,0)+IF($Q147&lt;&gt;0,'Técnicas de Ki'!AI42,0)+IF($R147&lt;&gt;0,'Técnicas de Ki'!AJ42,0)+IF($S147&lt;&gt;0,'Técnicas de Ki'!AK42,0)+IF($T147&lt;&gt;0,'Técnicas de Ki'!AL42,0)),0))</f>
        <v>0</v>
      </c>
      <c r="AR147" s="538">
        <f>IF('Técnicas de Ki'!W42=0,0,IF('Técnicas de Ki'!AD42=TS!AR$119,'Técnicas de Ki'!X42-(IF($O147&lt;&gt;0,'Técnicas de Ki'!AG42,0)+IF($P147&lt;&gt;0,'Técnicas de Ki'!AH42,0)+IF($Q147&lt;&gt;0,'Técnicas de Ki'!AI42,0)+IF($R147&lt;&gt;0,'Técnicas de Ki'!AJ42,0)+IF($S147&lt;&gt;0,'Técnicas de Ki'!AK42,0)+IF($T147&lt;&gt;0,'Técnicas de Ki'!AL42,0)),0))</f>
        <v>0</v>
      </c>
      <c r="AS147" s="538">
        <f>IF('Técnicas de Ki'!W42=0,0,IF('Técnicas de Ki'!AD42=TS!AS$119,'Técnicas de Ki'!X42-(IF($O147&lt;&gt;0,'Técnicas de Ki'!AG42,0)+IF($P147&lt;&gt;0,'Técnicas de Ki'!AH42,0)+IF($Q147&lt;&gt;0,'Técnicas de Ki'!AI42,0)+IF($R147&lt;&gt;0,'Técnicas de Ki'!AJ42,0)+IF($S147&lt;&gt;0,'Técnicas de Ki'!AK42,0)+IF($T147&lt;&gt;0,'Técnicas de Ki'!AL42,0)),0))</f>
        <v>0</v>
      </c>
      <c r="AT147" s="538">
        <f>IF('Técnicas de Ki'!W42=0,0,IF('Técnicas de Ki'!AD42=TS!AT$119,'Técnicas de Ki'!X42-(IF($O147&lt;&gt;0,'Técnicas de Ki'!AG42,0)+IF($P147&lt;&gt;0,'Técnicas de Ki'!AH42,0)+IF($Q147&lt;&gt;0,'Técnicas de Ki'!AI42,0)+IF($R147&lt;&gt;0,'Técnicas de Ki'!AJ42,0)+IF($S147&lt;&gt;0,'Técnicas de Ki'!AK42,0)+IF($T147&lt;&gt;0,'Técnicas de Ki'!AL42,0)),0))</f>
        <v>0</v>
      </c>
      <c r="AU147" s="538">
        <f>IF('Técnicas de Ki'!W42=0,0,IF('Técnicas de Ki'!AD42=TS!AU$119,'Técnicas de Ki'!X42-(IF($O147&lt;&gt;0,'Técnicas de Ki'!AG42,0)+IF($P147&lt;&gt;0,'Técnicas de Ki'!AH42,0)+IF($Q147&lt;&gt;0,'Técnicas de Ki'!AI42,0)+IF($R147&lt;&gt;0,'Técnicas de Ki'!AJ42,0)+IF($S147&lt;&gt;0,'Técnicas de Ki'!AK42,0)+IF($T147&lt;&gt;0,'Técnicas de Ki'!AL42,0)),0))</f>
        <v>0</v>
      </c>
      <c r="AV147" s="539">
        <f>IF('Técnicas de Ki'!W42=0,0,IF('Técnicas de Ki'!AD42=TS!AV$119,'Técnicas de Ki'!X42-(IF($O147&lt;&gt;0,'Técnicas de Ki'!AG42,0)+IF($P147&lt;&gt;0,'Técnicas de Ki'!AH42,0)+IF($Q147&lt;&gt;0,'Técnicas de Ki'!AI42,0)+IF($R147&lt;&gt;0,'Técnicas de Ki'!AJ42,0)+IF($S147&lt;&gt;0,'Técnicas de Ki'!AK42,0)+IF($T147&lt;&gt;0,'Técnicas de Ki'!AL42,0)),0))</f>
        <v>0</v>
      </c>
      <c r="AW147" s="538">
        <f>IF('Técnicas de Ki'!W42=0,0,IFERROR(IF('Técnicas de Ki'!AG42&lt;&gt;0,'Técnicas de Ki'!AG42+TS!$O147,0)*$O147/$O147,0))</f>
        <v>0</v>
      </c>
      <c r="AX147" s="538">
        <f>IF('Técnicas de Ki'!W42=0,0,IFERROR(IF('Técnicas de Ki'!AH42&lt;&gt;0,'Técnicas de Ki'!AH42+TS!$P147,0)*$P147/$P147,0))</f>
        <v>0</v>
      </c>
      <c r="AY147" s="538">
        <f>IF('Técnicas de Ki'!W42=0,0,IFERROR(IF('Técnicas de Ki'!AI42&lt;&gt;0,'Técnicas de Ki'!AI42+TS!$Q147,0)*$Q147/$Q147,0))</f>
        <v>0</v>
      </c>
      <c r="AZ147" s="538">
        <f>IF('Técnicas de Ki'!W42=0,0,IFERROR(IF('Técnicas de Ki'!AJ42&lt;&gt;0,'Técnicas de Ki'!AJ42+TS!$R147,0)*$R147/$R147,0))</f>
        <v>0</v>
      </c>
      <c r="BA147" s="538">
        <f>IF('Técnicas de Ki'!W42=0,0,IFERROR(IF('Técnicas de Ki'!AK42&lt;&gt;0,'Técnicas de Ki'!AK42+TS!$S147,0)*$S147/$S147,0))</f>
        <v>0</v>
      </c>
      <c r="BB147" s="539">
        <f>IF('Técnicas de Ki'!W42=0,0,IFERROR(IF('Técnicas de Ki'!AL42&lt;&gt;0,'Técnicas de Ki'!AL42+TS!$T147,0)*$T147/$T147,0))</f>
        <v>0</v>
      </c>
      <c r="BD147" s="571" t="str">
        <f>IF('Técnicas de Ki'!W45&lt;&gt;0,'Técnicas de Ki'!V45&amp;" "&amp;'Técnicas de Ki'!W45,"")</f>
        <v/>
      </c>
      <c r="BE147" s="302" t="b">
        <f t="shared" si="19"/>
        <v>0</v>
      </c>
      <c r="BF147" s="302" t="str">
        <f t="shared" si="5"/>
        <v/>
      </c>
      <c r="BL147" s="537">
        <f>IF('Técnicas de Ki'!AR42=0,0,IF('Técnicas de Ki'!AY42=TS!BL$119,'Técnicas de Ki'!AS42-(IF($O147&lt;&gt;0,'Técnicas de Ki'!BB42,0)+IF($P147&lt;&gt;0,'Técnicas de Ki'!BC42,0)+IF($Q147&lt;&gt;0,'Técnicas de Ki'!BD42,0)+IF($R147&lt;&gt;0,'Técnicas de Ki'!BE42,0)+IF($S147&lt;&gt;0,'Técnicas de Ki'!BF42,0)+IF($T147&lt;&gt;0,'Técnicas de Ki'!BG42,0)),0))</f>
        <v>0</v>
      </c>
      <c r="BM147" s="538">
        <f>IF('Técnicas de Ki'!AR42=0,0,IF('Técnicas de Ki'!AY42=TS!BM$119,'Técnicas de Ki'!AS42-(IF($O147&lt;&gt;0,'Técnicas de Ki'!BB42,0)+IF($P147&lt;&gt;0,'Técnicas de Ki'!BC42,0)+IF($Q147&lt;&gt;0,'Técnicas de Ki'!BD42,0)+IF($R147&lt;&gt;0,'Técnicas de Ki'!BE42,0)+IF($S147&lt;&gt;0,'Técnicas de Ki'!BF42,0)+IF($T147&lt;&gt;0,'Técnicas de Ki'!BG42,0)),0))</f>
        <v>0</v>
      </c>
      <c r="BN147" s="538">
        <f>IF('Técnicas de Ki'!AR42=0,0,IF('Técnicas de Ki'!AY42=TS!BN$119,'Técnicas de Ki'!AS42-(IF($O147&lt;&gt;0,'Técnicas de Ki'!BB42,0)+IF($P147&lt;&gt;0,'Técnicas de Ki'!BC42,0)+IF($Q147&lt;&gt;0,'Técnicas de Ki'!BD42,0)+IF($R147&lt;&gt;0,'Técnicas de Ki'!BE42,0)+IF($S147&lt;&gt;0,'Técnicas de Ki'!BF42,0)+IF($T147&lt;&gt;0,'Técnicas de Ki'!BG42,0)),0))</f>
        <v>0</v>
      </c>
      <c r="BO147" s="538">
        <f>IF('Técnicas de Ki'!AR42=0,0,IF('Técnicas de Ki'!AY42=TS!BO$119,'Técnicas de Ki'!AS42-(IF($O147&lt;&gt;0,'Técnicas de Ki'!BB42,0)+IF($P147&lt;&gt;0,'Técnicas de Ki'!BC42,0)+IF($Q147&lt;&gt;0,'Técnicas de Ki'!BD42,0)+IF($R147&lt;&gt;0,'Técnicas de Ki'!BE42,0)+IF($S147&lt;&gt;0,'Técnicas de Ki'!BF42,0)+IF($T147&lt;&gt;0,'Técnicas de Ki'!BG42,0)),0))</f>
        <v>0</v>
      </c>
      <c r="BP147" s="538">
        <f>IF('Técnicas de Ki'!AR42=0,0,IF('Técnicas de Ki'!AY42=TS!BP$119,'Técnicas de Ki'!AS42-(IF($O147&lt;&gt;0,'Técnicas de Ki'!BB42,0)+IF($P147&lt;&gt;0,'Técnicas de Ki'!BC42,0)+IF($Q147&lt;&gt;0,'Técnicas de Ki'!BD42,0)+IF($R147&lt;&gt;0,'Técnicas de Ki'!BE42,0)+IF($S147&lt;&gt;0,'Técnicas de Ki'!BF42,0)+IF($T147&lt;&gt;0,'Técnicas de Ki'!BG42,0)),0))</f>
        <v>0</v>
      </c>
      <c r="BQ147" s="539">
        <f>IF('Técnicas de Ki'!AR42=0,0,IF('Técnicas de Ki'!AY42=TS!BQ$119,'Técnicas de Ki'!AS42-(IF($O147&lt;&gt;0,'Técnicas de Ki'!BB42,0)+IF($P147&lt;&gt;0,'Técnicas de Ki'!BC42,0)+IF($Q147&lt;&gt;0,'Técnicas de Ki'!BD42,0)+IF($R147&lt;&gt;0,'Técnicas de Ki'!BE42,0)+IF($S147&lt;&gt;0,'Técnicas de Ki'!BF42,0)+IF($T147&lt;&gt;0,'Técnicas de Ki'!BG42,0)),0))</f>
        <v>0</v>
      </c>
      <c r="BR147" s="538">
        <f>IF('Técnicas de Ki'!AR42=0,0,IFERROR(IF('Técnicas de Ki'!BB42&lt;&gt;0,'Técnicas de Ki'!BB42+TS!$O147,0)*$O147/$O147,0))</f>
        <v>0</v>
      </c>
      <c r="BS147" s="538">
        <f>IF('Técnicas de Ki'!AR42=0,0,IFERROR(IF('Técnicas de Ki'!BC42&lt;&gt;0,'Técnicas de Ki'!BC42+TS!$P147,0)*$P147/$P147,0))</f>
        <v>0</v>
      </c>
      <c r="BT147" s="538">
        <f>IF('Técnicas de Ki'!AR42=0,0,IFERROR(IF('Técnicas de Ki'!BD42&lt;&gt;0,'Técnicas de Ki'!BD42+TS!$Q147,0)*$Q147/$Q147,0))</f>
        <v>0</v>
      </c>
      <c r="BU147" s="538">
        <f>IF('Técnicas de Ki'!AR42=0,0,IFERROR(IF('Técnicas de Ki'!BE42&lt;&gt;0,'Técnicas de Ki'!BE42+TS!$R147,0)*$R147/$R147,0))</f>
        <v>0</v>
      </c>
      <c r="BV147" s="538">
        <f>IF('Técnicas de Ki'!AR42=0,0,IFERROR(IF('Técnicas de Ki'!BF42&lt;&gt;0,'Técnicas de Ki'!BF42+TS!$S147,0)*$S147/$S147,0))</f>
        <v>0</v>
      </c>
      <c r="BW147" s="539">
        <f>IF('Técnicas de Ki'!AR42=0,0,IFERROR(IF('Técnicas de Ki'!BG42&lt;&gt;0,'Técnicas de Ki'!BG42+TS!$T147,0)*$T147/$T147,0))</f>
        <v>0</v>
      </c>
      <c r="BY147" s="571" t="str">
        <f>IF('Técnicas de Ki'!AR45&lt;&gt;0,'Técnicas de Ki'!AQ45&amp;" "&amp;'Técnicas de Ki'!AR45,"")</f>
        <v/>
      </c>
      <c r="BZ147" s="302" t="b">
        <f t="shared" si="20"/>
        <v>0</v>
      </c>
      <c r="CA147" s="302" t="str">
        <f t="shared" si="6"/>
        <v/>
      </c>
      <c r="CG147" s="537">
        <f>IF('Técnicas de Ki'!BM42=0,0,IF('Técnicas de Ki'!BT42=TS!CG$119,'Técnicas de Ki'!BN42-(IF($O147&lt;&gt;0,'Técnicas de Ki'!BW42,0)+IF($P147&lt;&gt;0,'Técnicas de Ki'!BX42,0)+IF($Q147&lt;&gt;0,'Técnicas de Ki'!BY42,0)+IF($R147&lt;&gt;0,'Técnicas de Ki'!BZ42,0)+IF($S147&lt;&gt;0,'Técnicas de Ki'!CA42,0)+IF($T147&lt;&gt;0,'Técnicas de Ki'!CB42,0)),0))</f>
        <v>0</v>
      </c>
      <c r="CH147" s="538">
        <f>IF('Técnicas de Ki'!BM42=0,0,IF('Técnicas de Ki'!BT42=TS!CH$119,'Técnicas de Ki'!BN42-(IF($O147&lt;&gt;0,'Técnicas de Ki'!BW42,0)+IF($P147&lt;&gt;0,'Técnicas de Ki'!BX42,0)+IF($Q147&lt;&gt;0,'Técnicas de Ki'!BY42,0)+IF($R147&lt;&gt;0,'Técnicas de Ki'!BZ42,0)+IF($S147&lt;&gt;0,'Técnicas de Ki'!CA42,0)+IF($T147&lt;&gt;0,'Técnicas de Ki'!CB42,0)),0))</f>
        <v>0</v>
      </c>
      <c r="CI147" s="538">
        <f>IF('Técnicas de Ki'!BM42=0,0,IF('Técnicas de Ki'!BT42=TS!CI$119,'Técnicas de Ki'!BN42-(IF($O147&lt;&gt;0,'Técnicas de Ki'!BW42,0)+IF($P147&lt;&gt;0,'Técnicas de Ki'!BX42,0)+IF($Q147&lt;&gt;0,'Técnicas de Ki'!BY42,0)+IF($R147&lt;&gt;0,'Técnicas de Ki'!BZ42,0)+IF($S147&lt;&gt;0,'Técnicas de Ki'!CA42,0)+IF($T147&lt;&gt;0,'Técnicas de Ki'!CB42,0)),0))</f>
        <v>0</v>
      </c>
      <c r="CJ147" s="538">
        <f>IF('Técnicas de Ki'!BM42=0,0,IF('Técnicas de Ki'!BT42=TS!CJ$119,'Técnicas de Ki'!BN42-(IF($O147&lt;&gt;0,'Técnicas de Ki'!BW42,0)+IF($P147&lt;&gt;0,'Técnicas de Ki'!BX42,0)+IF($Q147&lt;&gt;0,'Técnicas de Ki'!BY42,0)+IF($R147&lt;&gt;0,'Técnicas de Ki'!BZ42,0)+IF($S147&lt;&gt;0,'Técnicas de Ki'!CA42,0)+IF($T147&lt;&gt;0,'Técnicas de Ki'!CB42,0)),0))</f>
        <v>0</v>
      </c>
      <c r="CK147" s="538">
        <f>IF('Técnicas de Ki'!BM42=0,0,IF('Técnicas de Ki'!BT42=TS!CK$119,'Técnicas de Ki'!BN42-(IF($O147&lt;&gt;0,'Técnicas de Ki'!BW42,0)+IF($P147&lt;&gt;0,'Técnicas de Ki'!BX42,0)+IF($Q147&lt;&gt;0,'Técnicas de Ki'!BY42,0)+IF($R147&lt;&gt;0,'Técnicas de Ki'!BZ42,0)+IF($S147&lt;&gt;0,'Técnicas de Ki'!CA42,0)+IF($T147&lt;&gt;0,'Técnicas de Ki'!CB42,0)),0))</f>
        <v>0</v>
      </c>
      <c r="CL147" s="539">
        <f>IF('Técnicas de Ki'!BM42=0,0,IF('Técnicas de Ki'!BT42=TS!CL$119,'Técnicas de Ki'!BN42-(IF($O147&lt;&gt;0,'Técnicas de Ki'!BW42,0)+IF($P147&lt;&gt;0,'Técnicas de Ki'!BX42,0)+IF($Q147&lt;&gt;0,'Técnicas de Ki'!BY42,0)+IF($R147&lt;&gt;0,'Técnicas de Ki'!BZ42,0)+IF($S147&lt;&gt;0,'Técnicas de Ki'!CA42,0)+IF($T147&lt;&gt;0,'Técnicas de Ki'!CB42,0)),0))</f>
        <v>0</v>
      </c>
      <c r="CM147" s="538">
        <f>IF('Técnicas de Ki'!BM42=0,0,IFERROR(IF('Técnicas de Ki'!BW42&lt;&gt;0,'Técnicas de Ki'!BW42+TS!$O147,0)*$O147/$O147,0))</f>
        <v>0</v>
      </c>
      <c r="CN147" s="538">
        <f>IF('Técnicas de Ki'!BM42=0,0,IFERROR(IF('Técnicas de Ki'!BX42&lt;&gt;0,'Técnicas de Ki'!BX42+TS!$P147,0)*$P147/$P147,0))</f>
        <v>0</v>
      </c>
      <c r="CO147" s="538">
        <f>IF('Técnicas de Ki'!BM42=0,0,IFERROR(IF('Técnicas de Ki'!BY42&lt;&gt;0,'Técnicas de Ki'!BY42+TS!$Q147,0)*$Q147/$Q147,0))</f>
        <v>0</v>
      </c>
      <c r="CP147" s="538">
        <f>IF('Técnicas de Ki'!BM42=0,0,IFERROR(IF('Técnicas de Ki'!BZ42&lt;&gt;0,'Técnicas de Ki'!BZ42+TS!$R147,0)*$R147/$R147,0))</f>
        <v>0</v>
      </c>
      <c r="CQ147" s="538">
        <f>IF('Técnicas de Ki'!BM42=0,0,IFERROR(IF('Técnicas de Ki'!CA42&lt;&gt;0,'Técnicas de Ki'!CA42+TS!$S147,0)*$S147/$S147,0))</f>
        <v>0</v>
      </c>
      <c r="CR147" s="539">
        <f>IF('Técnicas de Ki'!BM42=0,0,IFERROR(IF('Técnicas de Ki'!CB42&lt;&gt;0,'Técnicas de Ki'!CB42+TS!$T147,0)*$T147/$T147,0))</f>
        <v>0</v>
      </c>
      <c r="CT147" s="571" t="str">
        <f>IF('Técnicas de Ki'!BM45&lt;&gt;0,'Técnicas de Ki'!BL45&amp;" "&amp;'Técnicas de Ki'!BM45,"")</f>
        <v/>
      </c>
      <c r="CU147" s="302" t="b">
        <f t="shared" si="21"/>
        <v>0</v>
      </c>
      <c r="CV147" s="302" t="str">
        <f t="shared" si="7"/>
        <v/>
      </c>
    </row>
    <row r="148" spans="1:102" x14ac:dyDescent="0.2">
      <c r="A148" s="302" t="s">
        <v>6850</v>
      </c>
      <c r="B148" s="301" t="s">
        <v>6804</v>
      </c>
      <c r="C148" s="301" t="str">
        <f t="shared" si="15"/>
        <v>Aumento de daño real+25</v>
      </c>
      <c r="D148" s="302">
        <v>3</v>
      </c>
      <c r="E148" s="302">
        <v>5</v>
      </c>
      <c r="F148" s="302">
        <v>15</v>
      </c>
      <c r="G148" s="302">
        <v>2</v>
      </c>
      <c r="H148" s="302">
        <v>4</v>
      </c>
      <c r="I148" s="302">
        <v>7</v>
      </c>
      <c r="J148" s="302">
        <v>1</v>
      </c>
      <c r="N148" s="302" t="s">
        <v>6865</v>
      </c>
      <c r="P148" s="302">
        <v>2</v>
      </c>
      <c r="R148" s="302">
        <v>1</v>
      </c>
      <c r="S148" s="302">
        <v>3</v>
      </c>
      <c r="T148" s="302">
        <v>3</v>
      </c>
      <c r="V148" s="537">
        <f>IF('Técnicas de Ki'!B43=0,0,IF('Técnicas de Ki'!I43=TS!V$119,'Técnicas de Ki'!C43-(IF($O148&lt;&gt;0,'Técnicas de Ki'!L43,0)+IF($P148&lt;&gt;0,'Técnicas de Ki'!M43,0)+IF($Q148&lt;&gt;0,'Técnicas de Ki'!N43,0)+IF($R148&lt;&gt;0,'Técnicas de Ki'!O43,0)+IF($S148&lt;&gt;0,'Técnicas de Ki'!P43,0)+IF($T148&lt;&gt;0,'Técnicas de Ki'!Q43,0)),0))</f>
        <v>0</v>
      </c>
      <c r="W148" s="538">
        <f>IF('Técnicas de Ki'!B43=0,0,IF('Técnicas de Ki'!I43=TS!W$119,'Técnicas de Ki'!C43-(IF($O148&lt;&gt;0,'Técnicas de Ki'!L43,0)+IF($P148&lt;&gt;0,'Técnicas de Ki'!M43,0)+IF($Q148&lt;&gt;0,'Técnicas de Ki'!N43,0)+IF($R148&lt;&gt;0,'Técnicas de Ki'!O43,0)+IF($S148&lt;&gt;0,'Técnicas de Ki'!P43,0)+IF($T148&lt;&gt;0,'Técnicas de Ki'!Q43,0)),0))</f>
        <v>0</v>
      </c>
      <c r="X148" s="538">
        <f>IF('Técnicas de Ki'!B43=0,0,IF('Técnicas de Ki'!I43=TS!X$119,'Técnicas de Ki'!C43-(IF($O148&lt;&gt;0,'Técnicas de Ki'!L43,0)+IF($P148&lt;&gt;0,'Técnicas de Ki'!M43,0)+IF($Q148&lt;&gt;0,'Técnicas de Ki'!N43,0)+IF($R148&lt;&gt;0,'Técnicas de Ki'!O43,0)+IF($S148&lt;&gt;0,'Técnicas de Ki'!P43,0)+IF($T148&lt;&gt;0,'Técnicas de Ki'!Q43,0)),0))</f>
        <v>0</v>
      </c>
      <c r="Y148" s="538">
        <f>IF('Técnicas de Ki'!B43=0,0,IF('Técnicas de Ki'!I43=TS!Y$119,'Técnicas de Ki'!C43-(IF($O148&lt;&gt;0,'Técnicas de Ki'!L43,0)+IF($P148&lt;&gt;0,'Técnicas de Ki'!M43,0)+IF($Q148&lt;&gt;0,'Técnicas de Ki'!N43,0)+IF($R148&lt;&gt;0,'Técnicas de Ki'!O43,0)+IF($S148&lt;&gt;0,'Técnicas de Ki'!P43,0)+IF($T148&lt;&gt;0,'Técnicas de Ki'!Q43,0)),0))</f>
        <v>0</v>
      </c>
      <c r="Z148" s="538">
        <f>IF('Técnicas de Ki'!B43=0,0,IF('Técnicas de Ki'!I43=TS!Z$119,'Técnicas de Ki'!C43-(IF($O148&lt;&gt;0,'Técnicas de Ki'!L43,0)+IF($P148&lt;&gt;0,'Técnicas de Ki'!M43,0)+IF($Q148&lt;&gt;0,'Técnicas de Ki'!N43,0)+IF($R148&lt;&gt;0,'Técnicas de Ki'!O43,0)+IF($S148&lt;&gt;0,'Técnicas de Ki'!P43,0)+IF($T148&lt;&gt;0,'Técnicas de Ki'!Q43,0)),0))</f>
        <v>0</v>
      </c>
      <c r="AA148" s="539">
        <f>IF('Técnicas de Ki'!B43=0,0,IF('Técnicas de Ki'!I43=TS!AA$119,'Técnicas de Ki'!C43-(IF($O148&lt;&gt;0,'Técnicas de Ki'!L43,0)+IF($P148&lt;&gt;0,'Técnicas de Ki'!M43,0)+IF($Q148&lt;&gt;0,'Técnicas de Ki'!N43,0)+IF($R148&lt;&gt;0,'Técnicas de Ki'!O43,0)+IF($S148&lt;&gt;0,'Técnicas de Ki'!P43,0)+IF($T148&lt;&gt;0,'Técnicas de Ki'!Q43,0)),0))</f>
        <v>0</v>
      </c>
      <c r="AB148" s="538">
        <f>IF('Técnicas de Ki'!B43=0,0,IFERROR(IF('Técnicas de Ki'!L43&lt;&gt;0,'Técnicas de Ki'!L43+TS!$O148,0)*$O148/$O148,0))</f>
        <v>0</v>
      </c>
      <c r="AC148" s="538">
        <f>IF('Técnicas de Ki'!B43=0,0,IFERROR(IF('Técnicas de Ki'!M43&lt;&gt;0,'Técnicas de Ki'!M43+TS!$P148,0)*$P148/$P148,0))</f>
        <v>0</v>
      </c>
      <c r="AD148" s="538">
        <f>IF('Técnicas de Ki'!B43=0,0,IFERROR(IF('Técnicas de Ki'!N43&lt;&gt;0,'Técnicas de Ki'!N43+TS!$Q148,0)*$Q148/$Q148,0))</f>
        <v>0</v>
      </c>
      <c r="AE148" s="538">
        <f>IF('Técnicas de Ki'!B43=0,0,IFERROR(IF('Técnicas de Ki'!O43&lt;&gt;0,'Técnicas de Ki'!O43+TS!$R148,0)*$R148/$R148,0))</f>
        <v>0</v>
      </c>
      <c r="AF148" s="538">
        <f>IF('Técnicas de Ki'!B43=0,0,IFERROR(IF('Técnicas de Ki'!P43&lt;&gt;0,'Técnicas de Ki'!P43+TS!$S148,0)*$S148/$S148,0))</f>
        <v>0</v>
      </c>
      <c r="AG148" s="539">
        <f>IF('Técnicas de Ki'!B43=0,0,IFERROR(IF('Técnicas de Ki'!Q43&lt;&gt;0,'Técnicas de Ki'!Q43+TS!$T148,0)*$T148/$T148,0))</f>
        <v>0</v>
      </c>
      <c r="AI148" s="571" t="str">
        <f>IF('Técnicas de Ki'!B46&lt;&gt;0,'Técnicas de Ki'!A46&amp;" "&amp;'Técnicas de Ki'!B46,"")</f>
        <v/>
      </c>
      <c r="AJ148" s="302" t="b">
        <f t="shared" si="8"/>
        <v>0</v>
      </c>
      <c r="AK148" s="302" t="str">
        <f t="shared" si="4"/>
        <v/>
      </c>
      <c r="AQ148" s="537">
        <f>IF('Técnicas de Ki'!W43=0,0,IF('Técnicas de Ki'!AD43=TS!AQ$119,'Técnicas de Ki'!X43-(IF($O148&lt;&gt;0,'Técnicas de Ki'!AG43,0)+IF($P148&lt;&gt;0,'Técnicas de Ki'!AH43,0)+IF($Q148&lt;&gt;0,'Técnicas de Ki'!AI43,0)+IF($R148&lt;&gt;0,'Técnicas de Ki'!AJ43,0)+IF($S148&lt;&gt;0,'Técnicas de Ki'!AK43,0)+IF($T148&lt;&gt;0,'Técnicas de Ki'!AL43,0)),0))</f>
        <v>0</v>
      </c>
      <c r="AR148" s="538">
        <f>IF('Técnicas de Ki'!W43=0,0,IF('Técnicas de Ki'!AD43=TS!AR$119,'Técnicas de Ki'!X43-(IF($O148&lt;&gt;0,'Técnicas de Ki'!AG43,0)+IF($P148&lt;&gt;0,'Técnicas de Ki'!AH43,0)+IF($Q148&lt;&gt;0,'Técnicas de Ki'!AI43,0)+IF($R148&lt;&gt;0,'Técnicas de Ki'!AJ43,0)+IF($S148&lt;&gt;0,'Técnicas de Ki'!AK43,0)+IF($T148&lt;&gt;0,'Técnicas de Ki'!AL43,0)),0))</f>
        <v>0</v>
      </c>
      <c r="AS148" s="538">
        <f>IF('Técnicas de Ki'!W43=0,0,IF('Técnicas de Ki'!AD43=TS!AS$119,'Técnicas de Ki'!X43-(IF($O148&lt;&gt;0,'Técnicas de Ki'!AG43,0)+IF($P148&lt;&gt;0,'Técnicas de Ki'!AH43,0)+IF($Q148&lt;&gt;0,'Técnicas de Ki'!AI43,0)+IF($R148&lt;&gt;0,'Técnicas de Ki'!AJ43,0)+IF($S148&lt;&gt;0,'Técnicas de Ki'!AK43,0)+IF($T148&lt;&gt;0,'Técnicas de Ki'!AL43,0)),0))</f>
        <v>0</v>
      </c>
      <c r="AT148" s="538">
        <f>IF('Técnicas de Ki'!W43=0,0,IF('Técnicas de Ki'!AD43=TS!AT$119,'Técnicas de Ki'!X43-(IF($O148&lt;&gt;0,'Técnicas de Ki'!AG43,0)+IF($P148&lt;&gt;0,'Técnicas de Ki'!AH43,0)+IF($Q148&lt;&gt;0,'Técnicas de Ki'!AI43,0)+IF($R148&lt;&gt;0,'Técnicas de Ki'!AJ43,0)+IF($S148&lt;&gt;0,'Técnicas de Ki'!AK43,0)+IF($T148&lt;&gt;0,'Técnicas de Ki'!AL43,0)),0))</f>
        <v>0</v>
      </c>
      <c r="AU148" s="538">
        <f>IF('Técnicas de Ki'!W43=0,0,IF('Técnicas de Ki'!AD43=TS!AU$119,'Técnicas de Ki'!X43-(IF($O148&lt;&gt;0,'Técnicas de Ki'!AG43,0)+IF($P148&lt;&gt;0,'Técnicas de Ki'!AH43,0)+IF($Q148&lt;&gt;0,'Técnicas de Ki'!AI43,0)+IF($R148&lt;&gt;0,'Técnicas de Ki'!AJ43,0)+IF($S148&lt;&gt;0,'Técnicas de Ki'!AK43,0)+IF($T148&lt;&gt;0,'Técnicas de Ki'!AL43,0)),0))</f>
        <v>0</v>
      </c>
      <c r="AV148" s="539">
        <f>IF('Técnicas de Ki'!W43=0,0,IF('Técnicas de Ki'!AD43=TS!AV$119,'Técnicas de Ki'!X43-(IF($O148&lt;&gt;0,'Técnicas de Ki'!AG43,0)+IF($P148&lt;&gt;0,'Técnicas de Ki'!AH43,0)+IF($Q148&lt;&gt;0,'Técnicas de Ki'!AI43,0)+IF($R148&lt;&gt;0,'Técnicas de Ki'!AJ43,0)+IF($S148&lt;&gt;0,'Técnicas de Ki'!AK43,0)+IF($T148&lt;&gt;0,'Técnicas de Ki'!AL43,0)),0))</f>
        <v>0</v>
      </c>
      <c r="AW148" s="538">
        <f>IF('Técnicas de Ki'!W43=0,0,IFERROR(IF('Técnicas de Ki'!AG43&lt;&gt;0,'Técnicas de Ki'!AG43+TS!$O148,0)*$O148/$O148,0))</f>
        <v>0</v>
      </c>
      <c r="AX148" s="538">
        <f>IF('Técnicas de Ki'!W43=0,0,IFERROR(IF('Técnicas de Ki'!AH43&lt;&gt;0,'Técnicas de Ki'!AH43+TS!$P148,0)*$P148/$P148,0))</f>
        <v>0</v>
      </c>
      <c r="AY148" s="538">
        <f>IF('Técnicas de Ki'!W43=0,0,IFERROR(IF('Técnicas de Ki'!AI43&lt;&gt;0,'Técnicas de Ki'!AI43+TS!$Q148,0)*$Q148/$Q148,0))</f>
        <v>0</v>
      </c>
      <c r="AZ148" s="538">
        <f>IF('Técnicas de Ki'!W43=0,0,IFERROR(IF('Técnicas de Ki'!AJ43&lt;&gt;0,'Técnicas de Ki'!AJ43+TS!$R148,0)*$R148/$R148,0))</f>
        <v>0</v>
      </c>
      <c r="BA148" s="538">
        <f>IF('Técnicas de Ki'!W43=0,0,IFERROR(IF('Técnicas de Ki'!AK43&lt;&gt;0,'Técnicas de Ki'!AK43+TS!$S148,0)*$S148/$S148,0))</f>
        <v>0</v>
      </c>
      <c r="BB148" s="539">
        <f>IF('Técnicas de Ki'!W43=0,0,IFERROR(IF('Técnicas de Ki'!AL43&lt;&gt;0,'Técnicas de Ki'!AL43+TS!$T148,0)*$T148/$T148,0))</f>
        <v>0</v>
      </c>
      <c r="BD148" s="571" t="str">
        <f>IF('Técnicas de Ki'!W46&lt;&gt;0,'Técnicas de Ki'!V46&amp;" "&amp;'Técnicas de Ki'!W46,"")</f>
        <v/>
      </c>
      <c r="BE148" s="302" t="b">
        <f t="shared" si="19"/>
        <v>0</v>
      </c>
      <c r="BF148" s="302" t="str">
        <f t="shared" si="5"/>
        <v/>
      </c>
      <c r="BL148" s="537">
        <f>IF('Técnicas de Ki'!AR43=0,0,IF('Técnicas de Ki'!AY43=TS!BL$119,'Técnicas de Ki'!AS43-(IF($O148&lt;&gt;0,'Técnicas de Ki'!BB43,0)+IF($P148&lt;&gt;0,'Técnicas de Ki'!BC43,0)+IF($Q148&lt;&gt;0,'Técnicas de Ki'!BD43,0)+IF($R148&lt;&gt;0,'Técnicas de Ki'!BE43,0)+IF($S148&lt;&gt;0,'Técnicas de Ki'!BF43,0)+IF($T148&lt;&gt;0,'Técnicas de Ki'!BG43,0)),0))</f>
        <v>0</v>
      </c>
      <c r="BM148" s="538">
        <f>IF('Técnicas de Ki'!AR43=0,0,IF('Técnicas de Ki'!AY43=TS!BM$119,'Técnicas de Ki'!AS43-(IF($O148&lt;&gt;0,'Técnicas de Ki'!BB43,0)+IF($P148&lt;&gt;0,'Técnicas de Ki'!BC43,0)+IF($Q148&lt;&gt;0,'Técnicas de Ki'!BD43,0)+IF($R148&lt;&gt;0,'Técnicas de Ki'!BE43,0)+IF($S148&lt;&gt;0,'Técnicas de Ki'!BF43,0)+IF($T148&lt;&gt;0,'Técnicas de Ki'!BG43,0)),0))</f>
        <v>0</v>
      </c>
      <c r="BN148" s="538">
        <f>IF('Técnicas de Ki'!AR43=0,0,IF('Técnicas de Ki'!AY43=TS!BN$119,'Técnicas de Ki'!AS43-(IF($O148&lt;&gt;0,'Técnicas de Ki'!BB43,0)+IF($P148&lt;&gt;0,'Técnicas de Ki'!BC43,0)+IF($Q148&lt;&gt;0,'Técnicas de Ki'!BD43,0)+IF($R148&lt;&gt;0,'Técnicas de Ki'!BE43,0)+IF($S148&lt;&gt;0,'Técnicas de Ki'!BF43,0)+IF($T148&lt;&gt;0,'Técnicas de Ki'!BG43,0)),0))</f>
        <v>0</v>
      </c>
      <c r="BO148" s="538">
        <f>IF('Técnicas de Ki'!AR43=0,0,IF('Técnicas de Ki'!AY43=TS!BO$119,'Técnicas de Ki'!AS43-(IF($O148&lt;&gt;0,'Técnicas de Ki'!BB43,0)+IF($P148&lt;&gt;0,'Técnicas de Ki'!BC43,0)+IF($Q148&lt;&gt;0,'Técnicas de Ki'!BD43,0)+IF($R148&lt;&gt;0,'Técnicas de Ki'!BE43,0)+IF($S148&lt;&gt;0,'Técnicas de Ki'!BF43,0)+IF($T148&lt;&gt;0,'Técnicas de Ki'!BG43,0)),0))</f>
        <v>0</v>
      </c>
      <c r="BP148" s="538">
        <f>IF('Técnicas de Ki'!AR43=0,0,IF('Técnicas de Ki'!AY43=TS!BP$119,'Técnicas de Ki'!AS43-(IF($O148&lt;&gt;0,'Técnicas de Ki'!BB43,0)+IF($P148&lt;&gt;0,'Técnicas de Ki'!BC43,0)+IF($Q148&lt;&gt;0,'Técnicas de Ki'!BD43,0)+IF($R148&lt;&gt;0,'Técnicas de Ki'!BE43,0)+IF($S148&lt;&gt;0,'Técnicas de Ki'!BF43,0)+IF($T148&lt;&gt;0,'Técnicas de Ki'!BG43,0)),0))</f>
        <v>0</v>
      </c>
      <c r="BQ148" s="539">
        <f>IF('Técnicas de Ki'!AR43=0,0,IF('Técnicas de Ki'!AY43=TS!BQ$119,'Técnicas de Ki'!AS43-(IF($O148&lt;&gt;0,'Técnicas de Ki'!BB43,0)+IF($P148&lt;&gt;0,'Técnicas de Ki'!BC43,0)+IF($Q148&lt;&gt;0,'Técnicas de Ki'!BD43,0)+IF($R148&lt;&gt;0,'Técnicas de Ki'!BE43,0)+IF($S148&lt;&gt;0,'Técnicas de Ki'!BF43,0)+IF($T148&lt;&gt;0,'Técnicas de Ki'!BG43,0)),0))</f>
        <v>0</v>
      </c>
      <c r="BR148" s="538">
        <f>IF('Técnicas de Ki'!AR43=0,0,IFERROR(IF('Técnicas de Ki'!BB43&lt;&gt;0,'Técnicas de Ki'!BB43+TS!$O148,0)*$O148/$O148,0))</f>
        <v>0</v>
      </c>
      <c r="BS148" s="538">
        <f>IF('Técnicas de Ki'!AR43=0,0,IFERROR(IF('Técnicas de Ki'!BC43&lt;&gt;0,'Técnicas de Ki'!BC43+TS!$P148,0)*$P148/$P148,0))</f>
        <v>0</v>
      </c>
      <c r="BT148" s="538">
        <f>IF('Técnicas de Ki'!AR43=0,0,IFERROR(IF('Técnicas de Ki'!BD43&lt;&gt;0,'Técnicas de Ki'!BD43+TS!$Q148,0)*$Q148/$Q148,0))</f>
        <v>0</v>
      </c>
      <c r="BU148" s="538">
        <f>IF('Técnicas de Ki'!AR43=0,0,IFERROR(IF('Técnicas de Ki'!BE43&lt;&gt;0,'Técnicas de Ki'!BE43+TS!$R148,0)*$R148/$R148,0))</f>
        <v>0</v>
      </c>
      <c r="BV148" s="538">
        <f>IF('Técnicas de Ki'!AR43=0,0,IFERROR(IF('Técnicas de Ki'!BF43&lt;&gt;0,'Técnicas de Ki'!BF43+TS!$S148,0)*$S148/$S148,0))</f>
        <v>0</v>
      </c>
      <c r="BW148" s="539">
        <f>IF('Técnicas de Ki'!AR43=0,0,IFERROR(IF('Técnicas de Ki'!BG43&lt;&gt;0,'Técnicas de Ki'!BG43+TS!$T148,0)*$T148/$T148,0))</f>
        <v>0</v>
      </c>
      <c r="BY148" s="571" t="str">
        <f>IF('Técnicas de Ki'!AR46&lt;&gt;0,'Técnicas de Ki'!AQ46&amp;" "&amp;'Técnicas de Ki'!AR46,"")</f>
        <v/>
      </c>
      <c r="BZ148" s="302" t="b">
        <f t="shared" si="20"/>
        <v>0</v>
      </c>
      <c r="CA148" s="302" t="str">
        <f t="shared" si="6"/>
        <v/>
      </c>
      <c r="CG148" s="537">
        <f>IF('Técnicas de Ki'!BM43=0,0,IF('Técnicas de Ki'!BT43=TS!CG$119,'Técnicas de Ki'!BN43-(IF($O148&lt;&gt;0,'Técnicas de Ki'!BW43,0)+IF($P148&lt;&gt;0,'Técnicas de Ki'!BX43,0)+IF($Q148&lt;&gt;0,'Técnicas de Ki'!BY43,0)+IF($R148&lt;&gt;0,'Técnicas de Ki'!BZ43,0)+IF($S148&lt;&gt;0,'Técnicas de Ki'!CA43,0)+IF($T148&lt;&gt;0,'Técnicas de Ki'!CB43,0)),0))</f>
        <v>0</v>
      </c>
      <c r="CH148" s="538">
        <f>IF('Técnicas de Ki'!BM43=0,0,IF('Técnicas de Ki'!BT43=TS!CH$119,'Técnicas de Ki'!BN43-(IF($O148&lt;&gt;0,'Técnicas de Ki'!BW43,0)+IF($P148&lt;&gt;0,'Técnicas de Ki'!BX43,0)+IF($Q148&lt;&gt;0,'Técnicas de Ki'!BY43,0)+IF($R148&lt;&gt;0,'Técnicas de Ki'!BZ43,0)+IF($S148&lt;&gt;0,'Técnicas de Ki'!CA43,0)+IF($T148&lt;&gt;0,'Técnicas de Ki'!CB43,0)),0))</f>
        <v>0</v>
      </c>
      <c r="CI148" s="538">
        <f>IF('Técnicas de Ki'!BM43=0,0,IF('Técnicas de Ki'!BT43=TS!CI$119,'Técnicas de Ki'!BN43-(IF($O148&lt;&gt;0,'Técnicas de Ki'!BW43,0)+IF($P148&lt;&gt;0,'Técnicas de Ki'!BX43,0)+IF($Q148&lt;&gt;0,'Técnicas de Ki'!BY43,0)+IF($R148&lt;&gt;0,'Técnicas de Ki'!BZ43,0)+IF($S148&lt;&gt;0,'Técnicas de Ki'!CA43,0)+IF($T148&lt;&gt;0,'Técnicas de Ki'!CB43,0)),0))</f>
        <v>0</v>
      </c>
      <c r="CJ148" s="538">
        <f>IF('Técnicas de Ki'!BM43=0,0,IF('Técnicas de Ki'!BT43=TS!CJ$119,'Técnicas de Ki'!BN43-(IF($O148&lt;&gt;0,'Técnicas de Ki'!BW43,0)+IF($P148&lt;&gt;0,'Técnicas de Ki'!BX43,0)+IF($Q148&lt;&gt;0,'Técnicas de Ki'!BY43,0)+IF($R148&lt;&gt;0,'Técnicas de Ki'!BZ43,0)+IF($S148&lt;&gt;0,'Técnicas de Ki'!CA43,0)+IF($T148&lt;&gt;0,'Técnicas de Ki'!CB43,0)),0))</f>
        <v>0</v>
      </c>
      <c r="CK148" s="538">
        <f>IF('Técnicas de Ki'!BM43=0,0,IF('Técnicas de Ki'!BT43=TS!CK$119,'Técnicas de Ki'!BN43-(IF($O148&lt;&gt;0,'Técnicas de Ki'!BW43,0)+IF($P148&lt;&gt;0,'Técnicas de Ki'!BX43,0)+IF($Q148&lt;&gt;0,'Técnicas de Ki'!BY43,0)+IF($R148&lt;&gt;0,'Técnicas de Ki'!BZ43,0)+IF($S148&lt;&gt;0,'Técnicas de Ki'!CA43,0)+IF($T148&lt;&gt;0,'Técnicas de Ki'!CB43,0)),0))</f>
        <v>0</v>
      </c>
      <c r="CL148" s="539">
        <f>IF('Técnicas de Ki'!BM43=0,0,IF('Técnicas de Ki'!BT43=TS!CL$119,'Técnicas de Ki'!BN43-(IF($O148&lt;&gt;0,'Técnicas de Ki'!BW43,0)+IF($P148&lt;&gt;0,'Técnicas de Ki'!BX43,0)+IF($Q148&lt;&gt;0,'Técnicas de Ki'!BY43,0)+IF($R148&lt;&gt;0,'Técnicas de Ki'!BZ43,0)+IF($S148&lt;&gt;0,'Técnicas de Ki'!CA43,0)+IF($T148&lt;&gt;0,'Técnicas de Ki'!CB43,0)),0))</f>
        <v>0</v>
      </c>
      <c r="CM148" s="538">
        <f>IF('Técnicas de Ki'!BM43=0,0,IFERROR(IF('Técnicas de Ki'!BW43&lt;&gt;0,'Técnicas de Ki'!BW43+TS!$O148,0)*$O148/$O148,0))</f>
        <v>0</v>
      </c>
      <c r="CN148" s="538">
        <f>IF('Técnicas de Ki'!BM43=0,0,IFERROR(IF('Técnicas de Ki'!BX43&lt;&gt;0,'Técnicas de Ki'!BX43+TS!$P148,0)*$P148/$P148,0))</f>
        <v>0</v>
      </c>
      <c r="CO148" s="538">
        <f>IF('Técnicas de Ki'!BM43=0,0,IFERROR(IF('Técnicas de Ki'!BY43&lt;&gt;0,'Técnicas de Ki'!BY43+TS!$Q148,0)*$Q148/$Q148,0))</f>
        <v>0</v>
      </c>
      <c r="CP148" s="538">
        <f>IF('Técnicas de Ki'!BM43=0,0,IFERROR(IF('Técnicas de Ki'!BZ43&lt;&gt;0,'Técnicas de Ki'!BZ43+TS!$R148,0)*$R148/$R148,0))</f>
        <v>0</v>
      </c>
      <c r="CQ148" s="538">
        <f>IF('Técnicas de Ki'!BM43=0,0,IFERROR(IF('Técnicas de Ki'!CA43&lt;&gt;0,'Técnicas de Ki'!CA43+TS!$S148,0)*$S148/$S148,0))</f>
        <v>0</v>
      </c>
      <c r="CR148" s="539">
        <f>IF('Técnicas de Ki'!BM43=0,0,IFERROR(IF('Técnicas de Ki'!CB43&lt;&gt;0,'Técnicas de Ki'!CB43+TS!$T148,0)*$T148/$T148,0))</f>
        <v>0</v>
      </c>
      <c r="CT148" s="571" t="str">
        <f>IF('Técnicas de Ki'!BM46&lt;&gt;0,'Técnicas de Ki'!BL46&amp;" "&amp;'Técnicas de Ki'!BM46,"")</f>
        <v/>
      </c>
      <c r="CU148" s="302" t="b">
        <f t="shared" si="21"/>
        <v>0</v>
      </c>
      <c r="CV148" s="302" t="str">
        <f t="shared" si="7"/>
        <v/>
      </c>
    </row>
    <row r="149" spans="1:102" x14ac:dyDescent="0.2">
      <c r="A149" s="302" t="s">
        <v>6850</v>
      </c>
      <c r="B149" s="301" t="s">
        <v>6805</v>
      </c>
      <c r="C149" s="301" t="str">
        <f t="shared" si="15"/>
        <v>Aumento de daño real+40</v>
      </c>
      <c r="D149" s="302">
        <v>5</v>
      </c>
      <c r="E149" s="302">
        <v>8</v>
      </c>
      <c r="F149" s="302">
        <v>20</v>
      </c>
      <c r="G149" s="302">
        <v>3</v>
      </c>
      <c r="H149" s="302">
        <v>6</v>
      </c>
      <c r="I149" s="302">
        <v>11</v>
      </c>
      <c r="J149" s="302">
        <v>1</v>
      </c>
      <c r="N149" s="302" t="s">
        <v>6866</v>
      </c>
      <c r="P149" s="302">
        <v>2</v>
      </c>
      <c r="R149" s="302">
        <v>1</v>
      </c>
      <c r="S149" s="302">
        <v>3</v>
      </c>
      <c r="T149" s="302">
        <v>3</v>
      </c>
      <c r="V149" s="537">
        <f>IF('Técnicas de Ki'!B44=0,0,IF('Técnicas de Ki'!I44=TS!V$119,'Técnicas de Ki'!C44-(IF($O149&lt;&gt;0,'Técnicas de Ki'!L44,0)+IF($P149&lt;&gt;0,'Técnicas de Ki'!M44,0)+IF($Q149&lt;&gt;0,'Técnicas de Ki'!N44,0)+IF($R149&lt;&gt;0,'Técnicas de Ki'!O44,0)+IF($S149&lt;&gt;0,'Técnicas de Ki'!P44,0)+IF($T149&lt;&gt;0,'Técnicas de Ki'!Q44,0)),0))</f>
        <v>0</v>
      </c>
      <c r="W149" s="538">
        <f>IF('Técnicas de Ki'!B44=0,0,IF('Técnicas de Ki'!I44=TS!W$119,'Técnicas de Ki'!C44-(IF($O149&lt;&gt;0,'Técnicas de Ki'!L44,0)+IF($P149&lt;&gt;0,'Técnicas de Ki'!M44,0)+IF($Q149&lt;&gt;0,'Técnicas de Ki'!N44,0)+IF($R149&lt;&gt;0,'Técnicas de Ki'!O44,0)+IF($S149&lt;&gt;0,'Técnicas de Ki'!P44,0)+IF($T149&lt;&gt;0,'Técnicas de Ki'!Q44,0)),0))</f>
        <v>0</v>
      </c>
      <c r="X149" s="538">
        <f>IF('Técnicas de Ki'!B44=0,0,IF('Técnicas de Ki'!I44=TS!X$119,'Técnicas de Ki'!C44-(IF($O149&lt;&gt;0,'Técnicas de Ki'!L44,0)+IF($P149&lt;&gt;0,'Técnicas de Ki'!M44,0)+IF($Q149&lt;&gt;0,'Técnicas de Ki'!N44,0)+IF($R149&lt;&gt;0,'Técnicas de Ki'!O44,0)+IF($S149&lt;&gt;0,'Técnicas de Ki'!P44,0)+IF($T149&lt;&gt;0,'Técnicas de Ki'!Q44,0)),0))</f>
        <v>0</v>
      </c>
      <c r="Y149" s="538">
        <f>IF('Técnicas de Ki'!B44=0,0,IF('Técnicas de Ki'!I44=TS!Y$119,'Técnicas de Ki'!C44-(IF($O149&lt;&gt;0,'Técnicas de Ki'!L44,0)+IF($P149&lt;&gt;0,'Técnicas de Ki'!M44,0)+IF($Q149&lt;&gt;0,'Técnicas de Ki'!N44,0)+IF($R149&lt;&gt;0,'Técnicas de Ki'!O44,0)+IF($S149&lt;&gt;0,'Técnicas de Ki'!P44,0)+IF($T149&lt;&gt;0,'Técnicas de Ki'!Q44,0)),0))</f>
        <v>0</v>
      </c>
      <c r="Z149" s="538">
        <f>IF('Técnicas de Ki'!B44=0,0,IF('Técnicas de Ki'!I44=TS!Z$119,'Técnicas de Ki'!C44-(IF($O149&lt;&gt;0,'Técnicas de Ki'!L44,0)+IF($P149&lt;&gt;0,'Técnicas de Ki'!M44,0)+IF($Q149&lt;&gt;0,'Técnicas de Ki'!N44,0)+IF($R149&lt;&gt;0,'Técnicas de Ki'!O44,0)+IF($S149&lt;&gt;0,'Técnicas de Ki'!P44,0)+IF($T149&lt;&gt;0,'Técnicas de Ki'!Q44,0)),0))</f>
        <v>0</v>
      </c>
      <c r="AA149" s="539">
        <f>IF('Técnicas de Ki'!B44=0,0,IF('Técnicas de Ki'!I44=TS!AA$119,'Técnicas de Ki'!C44-(IF($O149&lt;&gt;0,'Técnicas de Ki'!L44,0)+IF($P149&lt;&gt;0,'Técnicas de Ki'!M44,0)+IF($Q149&lt;&gt;0,'Técnicas de Ki'!N44,0)+IF($R149&lt;&gt;0,'Técnicas de Ki'!O44,0)+IF($S149&lt;&gt;0,'Técnicas de Ki'!P44,0)+IF($T149&lt;&gt;0,'Técnicas de Ki'!Q44,0)),0))</f>
        <v>0</v>
      </c>
      <c r="AB149" s="538">
        <f>IF('Técnicas de Ki'!B44=0,0,IFERROR(IF('Técnicas de Ki'!L44&lt;&gt;0,'Técnicas de Ki'!L44+TS!$O149,0)*$O149/$O149,0))</f>
        <v>0</v>
      </c>
      <c r="AC149" s="538">
        <f>IF('Técnicas de Ki'!B44=0,0,IFERROR(IF('Técnicas de Ki'!M44&lt;&gt;0,'Técnicas de Ki'!M44+TS!$P149,0)*$P149/$P149,0))</f>
        <v>0</v>
      </c>
      <c r="AD149" s="538">
        <f>IF('Técnicas de Ki'!B44=0,0,IFERROR(IF('Técnicas de Ki'!N44&lt;&gt;0,'Técnicas de Ki'!N44+TS!$Q149,0)*$Q149/$Q149,0))</f>
        <v>0</v>
      </c>
      <c r="AE149" s="538">
        <f>IF('Técnicas de Ki'!B44=0,0,IFERROR(IF('Técnicas de Ki'!O44&lt;&gt;0,'Técnicas de Ki'!O44+TS!$R149,0)*$R149/$R149,0))</f>
        <v>0</v>
      </c>
      <c r="AF149" s="538">
        <f>IF('Técnicas de Ki'!B44=0,0,IFERROR(IF('Técnicas de Ki'!P44&lt;&gt;0,'Técnicas de Ki'!P44+TS!$S149,0)*$S149/$S149,0))</f>
        <v>0</v>
      </c>
      <c r="AG149" s="539">
        <f>IF('Técnicas de Ki'!B44=0,0,IFERROR(IF('Técnicas de Ki'!Q44&lt;&gt;0,'Técnicas de Ki'!Q44+TS!$T149,0)*$T149/$T149,0))</f>
        <v>0</v>
      </c>
      <c r="AI149" s="571" t="str">
        <f>IF('Técnicas de Ki'!B47&lt;&gt;0,'Técnicas de Ki'!A47&amp;" "&amp;'Técnicas de Ki'!B47,"")</f>
        <v/>
      </c>
      <c r="AJ149" s="302" t="b">
        <f t="shared" si="8"/>
        <v>0</v>
      </c>
      <c r="AK149" s="302" t="str">
        <f t="shared" si="4"/>
        <v/>
      </c>
      <c r="AQ149" s="537">
        <f>IF('Técnicas de Ki'!W44=0,0,IF('Técnicas de Ki'!AD44=TS!AQ$119,'Técnicas de Ki'!X44-(IF($O149&lt;&gt;0,'Técnicas de Ki'!AG44,0)+IF($P149&lt;&gt;0,'Técnicas de Ki'!AH44,0)+IF($Q149&lt;&gt;0,'Técnicas de Ki'!AI44,0)+IF($R149&lt;&gt;0,'Técnicas de Ki'!AJ44,0)+IF($S149&lt;&gt;0,'Técnicas de Ki'!AK44,0)+IF($T149&lt;&gt;0,'Técnicas de Ki'!AL44,0)),0))</f>
        <v>0</v>
      </c>
      <c r="AR149" s="538">
        <f>IF('Técnicas de Ki'!W44=0,0,IF('Técnicas de Ki'!AD44=TS!AR$119,'Técnicas de Ki'!X44-(IF($O149&lt;&gt;0,'Técnicas de Ki'!AG44,0)+IF($P149&lt;&gt;0,'Técnicas de Ki'!AH44,0)+IF($Q149&lt;&gt;0,'Técnicas de Ki'!AI44,0)+IF($R149&lt;&gt;0,'Técnicas de Ki'!AJ44,0)+IF($S149&lt;&gt;0,'Técnicas de Ki'!AK44,0)+IF($T149&lt;&gt;0,'Técnicas de Ki'!AL44,0)),0))</f>
        <v>0</v>
      </c>
      <c r="AS149" s="538">
        <f>IF('Técnicas de Ki'!W44=0,0,IF('Técnicas de Ki'!AD44=TS!AS$119,'Técnicas de Ki'!X44-(IF($O149&lt;&gt;0,'Técnicas de Ki'!AG44,0)+IF($P149&lt;&gt;0,'Técnicas de Ki'!AH44,0)+IF($Q149&lt;&gt;0,'Técnicas de Ki'!AI44,0)+IF($R149&lt;&gt;0,'Técnicas de Ki'!AJ44,0)+IF($S149&lt;&gt;0,'Técnicas de Ki'!AK44,0)+IF($T149&lt;&gt;0,'Técnicas de Ki'!AL44,0)),0))</f>
        <v>0</v>
      </c>
      <c r="AT149" s="538">
        <f>IF('Técnicas de Ki'!W44=0,0,IF('Técnicas de Ki'!AD44=TS!AT$119,'Técnicas de Ki'!X44-(IF($O149&lt;&gt;0,'Técnicas de Ki'!AG44,0)+IF($P149&lt;&gt;0,'Técnicas de Ki'!AH44,0)+IF($Q149&lt;&gt;0,'Técnicas de Ki'!AI44,0)+IF($R149&lt;&gt;0,'Técnicas de Ki'!AJ44,0)+IF($S149&lt;&gt;0,'Técnicas de Ki'!AK44,0)+IF($T149&lt;&gt;0,'Técnicas de Ki'!AL44,0)),0))</f>
        <v>0</v>
      </c>
      <c r="AU149" s="538">
        <f>IF('Técnicas de Ki'!W44=0,0,IF('Técnicas de Ki'!AD44=TS!AU$119,'Técnicas de Ki'!X44-(IF($O149&lt;&gt;0,'Técnicas de Ki'!AG44,0)+IF($P149&lt;&gt;0,'Técnicas de Ki'!AH44,0)+IF($Q149&lt;&gt;0,'Técnicas de Ki'!AI44,0)+IF($R149&lt;&gt;0,'Técnicas de Ki'!AJ44,0)+IF($S149&lt;&gt;0,'Técnicas de Ki'!AK44,0)+IF($T149&lt;&gt;0,'Técnicas de Ki'!AL44,0)),0))</f>
        <v>0</v>
      </c>
      <c r="AV149" s="539">
        <f>IF('Técnicas de Ki'!W44=0,0,IF('Técnicas de Ki'!AD44=TS!AV$119,'Técnicas de Ki'!X44-(IF($O149&lt;&gt;0,'Técnicas de Ki'!AG44,0)+IF($P149&lt;&gt;0,'Técnicas de Ki'!AH44,0)+IF($Q149&lt;&gt;0,'Técnicas de Ki'!AI44,0)+IF($R149&lt;&gt;0,'Técnicas de Ki'!AJ44,0)+IF($S149&lt;&gt;0,'Técnicas de Ki'!AK44,0)+IF($T149&lt;&gt;0,'Técnicas de Ki'!AL44,0)),0))</f>
        <v>0</v>
      </c>
      <c r="AW149" s="538">
        <f>IF('Técnicas de Ki'!W44=0,0,IFERROR(IF('Técnicas de Ki'!AG44&lt;&gt;0,'Técnicas de Ki'!AG44+TS!$O149,0)*$O149/$O149,0))</f>
        <v>0</v>
      </c>
      <c r="AX149" s="538">
        <f>IF('Técnicas de Ki'!W44=0,0,IFERROR(IF('Técnicas de Ki'!AH44&lt;&gt;0,'Técnicas de Ki'!AH44+TS!$P149,0)*$P149/$P149,0))</f>
        <v>0</v>
      </c>
      <c r="AY149" s="538">
        <f>IF('Técnicas de Ki'!W44=0,0,IFERROR(IF('Técnicas de Ki'!AI44&lt;&gt;0,'Técnicas de Ki'!AI44+TS!$Q149,0)*$Q149/$Q149,0))</f>
        <v>0</v>
      </c>
      <c r="AZ149" s="538">
        <f>IF('Técnicas de Ki'!W44=0,0,IFERROR(IF('Técnicas de Ki'!AJ44&lt;&gt;0,'Técnicas de Ki'!AJ44+TS!$R149,0)*$R149/$R149,0))</f>
        <v>0</v>
      </c>
      <c r="BA149" s="538">
        <f>IF('Técnicas de Ki'!W44=0,0,IFERROR(IF('Técnicas de Ki'!AK44&lt;&gt;0,'Técnicas de Ki'!AK44+TS!$S149,0)*$S149/$S149,0))</f>
        <v>0</v>
      </c>
      <c r="BB149" s="539">
        <f>IF('Técnicas de Ki'!W44=0,0,IFERROR(IF('Técnicas de Ki'!AL44&lt;&gt;0,'Técnicas de Ki'!AL44+TS!$T149,0)*$T149/$T149,0))</f>
        <v>0</v>
      </c>
      <c r="BD149" s="571" t="str">
        <f>IF('Técnicas de Ki'!W47&lt;&gt;0,'Técnicas de Ki'!V47&amp;" "&amp;'Técnicas de Ki'!W47,"")</f>
        <v/>
      </c>
      <c r="BE149" s="302" t="b">
        <f t="shared" si="19"/>
        <v>0</v>
      </c>
      <c r="BF149" s="302" t="str">
        <f t="shared" si="5"/>
        <v/>
      </c>
      <c r="BL149" s="537">
        <f>IF('Técnicas de Ki'!AR44=0,0,IF('Técnicas de Ki'!AY44=TS!BL$119,'Técnicas de Ki'!AS44-(IF($O149&lt;&gt;0,'Técnicas de Ki'!BB44,0)+IF($P149&lt;&gt;0,'Técnicas de Ki'!BC44,0)+IF($Q149&lt;&gt;0,'Técnicas de Ki'!BD44,0)+IF($R149&lt;&gt;0,'Técnicas de Ki'!BE44,0)+IF($S149&lt;&gt;0,'Técnicas de Ki'!BF44,0)+IF($T149&lt;&gt;0,'Técnicas de Ki'!BG44,0)),0))</f>
        <v>0</v>
      </c>
      <c r="BM149" s="538">
        <f>IF('Técnicas de Ki'!AR44=0,0,IF('Técnicas de Ki'!AY44=TS!BM$119,'Técnicas de Ki'!AS44-(IF($O149&lt;&gt;0,'Técnicas de Ki'!BB44,0)+IF($P149&lt;&gt;0,'Técnicas de Ki'!BC44,0)+IF($Q149&lt;&gt;0,'Técnicas de Ki'!BD44,0)+IF($R149&lt;&gt;0,'Técnicas de Ki'!BE44,0)+IF($S149&lt;&gt;0,'Técnicas de Ki'!BF44,0)+IF($T149&lt;&gt;0,'Técnicas de Ki'!BG44,0)),0))</f>
        <v>0</v>
      </c>
      <c r="BN149" s="538">
        <f>IF('Técnicas de Ki'!AR44=0,0,IF('Técnicas de Ki'!AY44=TS!BN$119,'Técnicas de Ki'!AS44-(IF($O149&lt;&gt;0,'Técnicas de Ki'!BB44,0)+IF($P149&lt;&gt;0,'Técnicas de Ki'!BC44,0)+IF($Q149&lt;&gt;0,'Técnicas de Ki'!BD44,0)+IF($R149&lt;&gt;0,'Técnicas de Ki'!BE44,0)+IF($S149&lt;&gt;0,'Técnicas de Ki'!BF44,0)+IF($T149&lt;&gt;0,'Técnicas de Ki'!BG44,0)),0))</f>
        <v>0</v>
      </c>
      <c r="BO149" s="538">
        <f>IF('Técnicas de Ki'!AR44=0,0,IF('Técnicas de Ki'!AY44=TS!BO$119,'Técnicas de Ki'!AS44-(IF($O149&lt;&gt;0,'Técnicas de Ki'!BB44,0)+IF($P149&lt;&gt;0,'Técnicas de Ki'!BC44,0)+IF($Q149&lt;&gt;0,'Técnicas de Ki'!BD44,0)+IF($R149&lt;&gt;0,'Técnicas de Ki'!BE44,0)+IF($S149&lt;&gt;0,'Técnicas de Ki'!BF44,0)+IF($T149&lt;&gt;0,'Técnicas de Ki'!BG44,0)),0))</f>
        <v>0</v>
      </c>
      <c r="BP149" s="538">
        <f>IF('Técnicas de Ki'!AR44=0,0,IF('Técnicas de Ki'!AY44=TS!BP$119,'Técnicas de Ki'!AS44-(IF($O149&lt;&gt;0,'Técnicas de Ki'!BB44,0)+IF($P149&lt;&gt;0,'Técnicas de Ki'!BC44,0)+IF($Q149&lt;&gt;0,'Técnicas de Ki'!BD44,0)+IF($R149&lt;&gt;0,'Técnicas de Ki'!BE44,0)+IF($S149&lt;&gt;0,'Técnicas de Ki'!BF44,0)+IF($T149&lt;&gt;0,'Técnicas de Ki'!BG44,0)),0))</f>
        <v>0</v>
      </c>
      <c r="BQ149" s="539">
        <f>IF('Técnicas de Ki'!AR44=0,0,IF('Técnicas de Ki'!AY44=TS!BQ$119,'Técnicas de Ki'!AS44-(IF($O149&lt;&gt;0,'Técnicas de Ki'!BB44,0)+IF($P149&lt;&gt;0,'Técnicas de Ki'!BC44,0)+IF($Q149&lt;&gt;0,'Técnicas de Ki'!BD44,0)+IF($R149&lt;&gt;0,'Técnicas de Ki'!BE44,0)+IF($S149&lt;&gt;0,'Técnicas de Ki'!BF44,0)+IF($T149&lt;&gt;0,'Técnicas de Ki'!BG44,0)),0))</f>
        <v>0</v>
      </c>
      <c r="BR149" s="538">
        <f>IF('Técnicas de Ki'!AR44=0,0,IFERROR(IF('Técnicas de Ki'!BB44&lt;&gt;0,'Técnicas de Ki'!BB44+TS!$O149,0)*$O149/$O149,0))</f>
        <v>0</v>
      </c>
      <c r="BS149" s="538">
        <f>IF('Técnicas de Ki'!AR44=0,0,IFERROR(IF('Técnicas de Ki'!BC44&lt;&gt;0,'Técnicas de Ki'!BC44+TS!$P149,0)*$P149/$P149,0))</f>
        <v>0</v>
      </c>
      <c r="BT149" s="538">
        <f>IF('Técnicas de Ki'!AR44=0,0,IFERROR(IF('Técnicas de Ki'!BD44&lt;&gt;0,'Técnicas de Ki'!BD44+TS!$Q149,0)*$Q149/$Q149,0))</f>
        <v>0</v>
      </c>
      <c r="BU149" s="538">
        <f>IF('Técnicas de Ki'!AR44=0,0,IFERROR(IF('Técnicas de Ki'!BE44&lt;&gt;0,'Técnicas de Ki'!BE44+TS!$R149,0)*$R149/$R149,0))</f>
        <v>0</v>
      </c>
      <c r="BV149" s="538">
        <f>IF('Técnicas de Ki'!AR44=0,0,IFERROR(IF('Técnicas de Ki'!BF44&lt;&gt;0,'Técnicas de Ki'!BF44+TS!$S149,0)*$S149/$S149,0))</f>
        <v>0</v>
      </c>
      <c r="BW149" s="539">
        <f>IF('Técnicas de Ki'!AR44=0,0,IFERROR(IF('Técnicas de Ki'!BG44&lt;&gt;0,'Técnicas de Ki'!BG44+TS!$T149,0)*$T149/$T149,0))</f>
        <v>0</v>
      </c>
      <c r="BY149" s="571" t="str">
        <f>IF('Técnicas de Ki'!AR47&lt;&gt;0,'Técnicas de Ki'!AQ47&amp;" "&amp;'Técnicas de Ki'!AR47,"")</f>
        <v/>
      </c>
      <c r="BZ149" s="302" t="b">
        <f t="shared" si="20"/>
        <v>0</v>
      </c>
      <c r="CA149" s="302" t="str">
        <f t="shared" si="6"/>
        <v/>
      </c>
      <c r="CG149" s="537">
        <f>IF('Técnicas de Ki'!BM44=0,0,IF('Técnicas de Ki'!BT44=TS!CG$119,'Técnicas de Ki'!BN44-(IF($O149&lt;&gt;0,'Técnicas de Ki'!BW44,0)+IF($P149&lt;&gt;0,'Técnicas de Ki'!BX44,0)+IF($Q149&lt;&gt;0,'Técnicas de Ki'!BY44,0)+IF($R149&lt;&gt;0,'Técnicas de Ki'!BZ44,0)+IF($S149&lt;&gt;0,'Técnicas de Ki'!CA44,0)+IF($T149&lt;&gt;0,'Técnicas de Ki'!CB44,0)),0))</f>
        <v>0</v>
      </c>
      <c r="CH149" s="538">
        <f>IF('Técnicas de Ki'!BM44=0,0,IF('Técnicas de Ki'!BT44=TS!CH$119,'Técnicas de Ki'!BN44-(IF($O149&lt;&gt;0,'Técnicas de Ki'!BW44,0)+IF($P149&lt;&gt;0,'Técnicas de Ki'!BX44,0)+IF($Q149&lt;&gt;0,'Técnicas de Ki'!BY44,0)+IF($R149&lt;&gt;0,'Técnicas de Ki'!BZ44,0)+IF($S149&lt;&gt;0,'Técnicas de Ki'!CA44,0)+IF($T149&lt;&gt;0,'Técnicas de Ki'!CB44,0)),0))</f>
        <v>0</v>
      </c>
      <c r="CI149" s="538">
        <f>IF('Técnicas de Ki'!BM44=0,0,IF('Técnicas de Ki'!BT44=TS!CI$119,'Técnicas de Ki'!BN44-(IF($O149&lt;&gt;0,'Técnicas de Ki'!BW44,0)+IF($P149&lt;&gt;0,'Técnicas de Ki'!BX44,0)+IF($Q149&lt;&gt;0,'Técnicas de Ki'!BY44,0)+IF($R149&lt;&gt;0,'Técnicas de Ki'!BZ44,0)+IF($S149&lt;&gt;0,'Técnicas de Ki'!CA44,0)+IF($T149&lt;&gt;0,'Técnicas de Ki'!CB44,0)),0))</f>
        <v>0</v>
      </c>
      <c r="CJ149" s="538">
        <f>IF('Técnicas de Ki'!BM44=0,0,IF('Técnicas de Ki'!BT44=TS!CJ$119,'Técnicas de Ki'!BN44-(IF($O149&lt;&gt;0,'Técnicas de Ki'!BW44,0)+IF($P149&lt;&gt;0,'Técnicas de Ki'!BX44,0)+IF($Q149&lt;&gt;0,'Técnicas de Ki'!BY44,0)+IF($R149&lt;&gt;0,'Técnicas de Ki'!BZ44,0)+IF($S149&lt;&gt;0,'Técnicas de Ki'!CA44,0)+IF($T149&lt;&gt;0,'Técnicas de Ki'!CB44,0)),0))</f>
        <v>0</v>
      </c>
      <c r="CK149" s="538">
        <f>IF('Técnicas de Ki'!BM44=0,0,IF('Técnicas de Ki'!BT44=TS!CK$119,'Técnicas de Ki'!BN44-(IF($O149&lt;&gt;0,'Técnicas de Ki'!BW44,0)+IF($P149&lt;&gt;0,'Técnicas de Ki'!BX44,0)+IF($Q149&lt;&gt;0,'Técnicas de Ki'!BY44,0)+IF($R149&lt;&gt;0,'Técnicas de Ki'!BZ44,0)+IF($S149&lt;&gt;0,'Técnicas de Ki'!CA44,0)+IF($T149&lt;&gt;0,'Técnicas de Ki'!CB44,0)),0))</f>
        <v>0</v>
      </c>
      <c r="CL149" s="539">
        <f>IF('Técnicas de Ki'!BM44=0,0,IF('Técnicas de Ki'!BT44=TS!CL$119,'Técnicas de Ki'!BN44-(IF($O149&lt;&gt;0,'Técnicas de Ki'!BW44,0)+IF($P149&lt;&gt;0,'Técnicas de Ki'!BX44,0)+IF($Q149&lt;&gt;0,'Técnicas de Ki'!BY44,0)+IF($R149&lt;&gt;0,'Técnicas de Ki'!BZ44,0)+IF($S149&lt;&gt;0,'Técnicas de Ki'!CA44,0)+IF($T149&lt;&gt;0,'Técnicas de Ki'!CB44,0)),0))</f>
        <v>0</v>
      </c>
      <c r="CM149" s="538">
        <f>IF('Técnicas de Ki'!BM44=0,0,IFERROR(IF('Técnicas de Ki'!BW44&lt;&gt;0,'Técnicas de Ki'!BW44+TS!$O149,0)*$O149/$O149,0))</f>
        <v>0</v>
      </c>
      <c r="CN149" s="538">
        <f>IF('Técnicas de Ki'!BM44=0,0,IFERROR(IF('Técnicas de Ki'!BX44&lt;&gt;0,'Técnicas de Ki'!BX44+TS!$P149,0)*$P149/$P149,0))</f>
        <v>0</v>
      </c>
      <c r="CO149" s="538">
        <f>IF('Técnicas de Ki'!BM44=0,0,IFERROR(IF('Técnicas de Ki'!BY44&lt;&gt;0,'Técnicas de Ki'!BY44+TS!$Q149,0)*$Q149/$Q149,0))</f>
        <v>0</v>
      </c>
      <c r="CP149" s="538">
        <f>IF('Técnicas de Ki'!BM44=0,0,IFERROR(IF('Técnicas de Ki'!BZ44&lt;&gt;0,'Técnicas de Ki'!BZ44+TS!$R149,0)*$R149/$R149,0))</f>
        <v>0</v>
      </c>
      <c r="CQ149" s="538">
        <f>IF('Técnicas de Ki'!BM44=0,0,IFERROR(IF('Técnicas de Ki'!CA44&lt;&gt;0,'Técnicas de Ki'!CA44+TS!$S149,0)*$S149/$S149,0))</f>
        <v>0</v>
      </c>
      <c r="CR149" s="539">
        <f>IF('Técnicas de Ki'!BM44=0,0,IFERROR(IF('Técnicas de Ki'!CB44&lt;&gt;0,'Técnicas de Ki'!CB44+TS!$T149,0)*$T149/$T149,0))</f>
        <v>0</v>
      </c>
      <c r="CT149" s="571" t="str">
        <f>IF('Técnicas de Ki'!BM47&lt;&gt;0,'Técnicas de Ki'!BL47&amp;" "&amp;'Técnicas de Ki'!BM47,"")</f>
        <v/>
      </c>
      <c r="CU149" s="302" t="b">
        <f t="shared" si="21"/>
        <v>0</v>
      </c>
      <c r="CV149" s="302" t="str">
        <f t="shared" si="7"/>
        <v/>
      </c>
    </row>
    <row r="150" spans="1:102" x14ac:dyDescent="0.2">
      <c r="A150" s="302" t="s">
        <v>6850</v>
      </c>
      <c r="B150" s="301" t="s">
        <v>6806</v>
      </c>
      <c r="C150" s="301" t="str">
        <f t="shared" si="15"/>
        <v>Aumento de daño real+50</v>
      </c>
      <c r="D150" s="302">
        <v>7</v>
      </c>
      <c r="E150" s="302">
        <v>10</v>
      </c>
      <c r="F150" s="302">
        <v>25</v>
      </c>
      <c r="G150" s="302">
        <v>4</v>
      </c>
      <c r="H150" s="302">
        <v>8</v>
      </c>
      <c r="I150" s="302">
        <v>14</v>
      </c>
      <c r="J150" s="302">
        <v>2</v>
      </c>
      <c r="N150" s="302" t="s">
        <v>6867</v>
      </c>
      <c r="P150" s="302">
        <v>2</v>
      </c>
      <c r="R150" s="302">
        <v>1</v>
      </c>
      <c r="S150" s="302">
        <v>3</v>
      </c>
      <c r="T150" s="302">
        <v>3</v>
      </c>
      <c r="V150" s="537">
        <f>IF('Técnicas de Ki'!B45=0,0,IF('Técnicas de Ki'!I45=TS!V$119,'Técnicas de Ki'!C45-(IF($O150&lt;&gt;0,'Técnicas de Ki'!L45,0)+IF($P150&lt;&gt;0,'Técnicas de Ki'!M45,0)+IF($Q150&lt;&gt;0,'Técnicas de Ki'!N45,0)+IF($R150&lt;&gt;0,'Técnicas de Ki'!O45,0)+IF($S150&lt;&gt;0,'Técnicas de Ki'!P45,0)+IF($T150&lt;&gt;0,'Técnicas de Ki'!Q45,0)),0))</f>
        <v>0</v>
      </c>
      <c r="W150" s="538">
        <f>IF('Técnicas de Ki'!B45=0,0,IF('Técnicas de Ki'!I45=TS!W$119,'Técnicas de Ki'!C45-(IF($O150&lt;&gt;0,'Técnicas de Ki'!L45,0)+IF($P150&lt;&gt;0,'Técnicas de Ki'!M45,0)+IF($Q150&lt;&gt;0,'Técnicas de Ki'!N45,0)+IF($R150&lt;&gt;0,'Técnicas de Ki'!O45,0)+IF($S150&lt;&gt;0,'Técnicas de Ki'!P45,0)+IF($T150&lt;&gt;0,'Técnicas de Ki'!Q45,0)),0))</f>
        <v>0</v>
      </c>
      <c r="X150" s="538">
        <f>IF('Técnicas de Ki'!B45=0,0,IF('Técnicas de Ki'!I45=TS!X$119,'Técnicas de Ki'!C45-(IF($O150&lt;&gt;0,'Técnicas de Ki'!L45,0)+IF($P150&lt;&gt;0,'Técnicas de Ki'!M45,0)+IF($Q150&lt;&gt;0,'Técnicas de Ki'!N45,0)+IF($R150&lt;&gt;0,'Técnicas de Ki'!O45,0)+IF($S150&lt;&gt;0,'Técnicas de Ki'!P45,0)+IF($T150&lt;&gt;0,'Técnicas de Ki'!Q45,0)),0))</f>
        <v>0</v>
      </c>
      <c r="Y150" s="538">
        <f>IF('Técnicas de Ki'!B45=0,0,IF('Técnicas de Ki'!I45=TS!Y$119,'Técnicas de Ki'!C45-(IF($O150&lt;&gt;0,'Técnicas de Ki'!L45,0)+IF($P150&lt;&gt;0,'Técnicas de Ki'!M45,0)+IF($Q150&lt;&gt;0,'Técnicas de Ki'!N45,0)+IF($R150&lt;&gt;0,'Técnicas de Ki'!O45,0)+IF($S150&lt;&gt;0,'Técnicas de Ki'!P45,0)+IF($T150&lt;&gt;0,'Técnicas de Ki'!Q45,0)),0))</f>
        <v>0</v>
      </c>
      <c r="Z150" s="538">
        <f>IF('Técnicas de Ki'!B45=0,0,IF('Técnicas de Ki'!I45=TS!Z$119,'Técnicas de Ki'!C45-(IF($O150&lt;&gt;0,'Técnicas de Ki'!L45,0)+IF($P150&lt;&gt;0,'Técnicas de Ki'!M45,0)+IF($Q150&lt;&gt;0,'Técnicas de Ki'!N45,0)+IF($R150&lt;&gt;0,'Técnicas de Ki'!O45,0)+IF($S150&lt;&gt;0,'Técnicas de Ki'!P45,0)+IF($T150&lt;&gt;0,'Técnicas de Ki'!Q45,0)),0))</f>
        <v>0</v>
      </c>
      <c r="AA150" s="539">
        <f>IF('Técnicas de Ki'!B45=0,0,IF('Técnicas de Ki'!I45=TS!AA$119,'Técnicas de Ki'!C45-(IF($O150&lt;&gt;0,'Técnicas de Ki'!L45,0)+IF($P150&lt;&gt;0,'Técnicas de Ki'!M45,0)+IF($Q150&lt;&gt;0,'Técnicas de Ki'!N45,0)+IF($R150&lt;&gt;0,'Técnicas de Ki'!O45,0)+IF($S150&lt;&gt;0,'Técnicas de Ki'!P45,0)+IF($T150&lt;&gt;0,'Técnicas de Ki'!Q45,0)),0))</f>
        <v>0</v>
      </c>
      <c r="AB150" s="538">
        <f>IF('Técnicas de Ki'!B45=0,0,IFERROR(IF('Técnicas de Ki'!L45&lt;&gt;0,'Técnicas de Ki'!L45+TS!$O150,0)*$O150/$O150,0))</f>
        <v>0</v>
      </c>
      <c r="AC150" s="538">
        <f>IF('Técnicas de Ki'!B45=0,0,IFERROR(IF('Técnicas de Ki'!M45&lt;&gt;0,'Técnicas de Ki'!M45+TS!$P150,0)*$P150/$P150,0))</f>
        <v>0</v>
      </c>
      <c r="AD150" s="538">
        <f>IF('Técnicas de Ki'!B45=0,0,IFERROR(IF('Técnicas de Ki'!N45&lt;&gt;0,'Técnicas de Ki'!N45+TS!$Q150,0)*$Q150/$Q150,0))</f>
        <v>0</v>
      </c>
      <c r="AE150" s="538">
        <f>IF('Técnicas de Ki'!B45=0,0,IFERROR(IF('Técnicas de Ki'!O45&lt;&gt;0,'Técnicas de Ki'!O45+TS!$R150,0)*$R150/$R150,0))</f>
        <v>0</v>
      </c>
      <c r="AF150" s="538">
        <f>IF('Técnicas de Ki'!B45=0,0,IFERROR(IF('Técnicas de Ki'!P45&lt;&gt;0,'Técnicas de Ki'!P45+TS!$S150,0)*$S150/$S150,0))</f>
        <v>0</v>
      </c>
      <c r="AG150" s="539">
        <f>IF('Técnicas de Ki'!B45=0,0,IFERROR(IF('Técnicas de Ki'!Q45&lt;&gt;0,'Técnicas de Ki'!Q45+TS!$T150,0)*$T150/$T150,0))</f>
        <v>0</v>
      </c>
      <c r="AI150" s="571" t="str">
        <f>IF('Técnicas de Ki'!B48&lt;&gt;0,'Técnicas de Ki'!A48&amp;" "&amp;'Técnicas de Ki'!B48,"")</f>
        <v/>
      </c>
      <c r="AJ150" s="302" t="b">
        <f t="shared" si="8"/>
        <v>0</v>
      </c>
      <c r="AK150" s="302" t="str">
        <f t="shared" si="4"/>
        <v/>
      </c>
      <c r="AQ150" s="537">
        <f>IF('Técnicas de Ki'!W45=0,0,IF('Técnicas de Ki'!AD45=TS!AQ$119,'Técnicas de Ki'!X45-(IF($O150&lt;&gt;0,'Técnicas de Ki'!AG45,0)+IF($P150&lt;&gt;0,'Técnicas de Ki'!AH45,0)+IF($Q150&lt;&gt;0,'Técnicas de Ki'!AI45,0)+IF($R150&lt;&gt;0,'Técnicas de Ki'!AJ45,0)+IF($S150&lt;&gt;0,'Técnicas de Ki'!AK45,0)+IF($T150&lt;&gt;0,'Técnicas de Ki'!AL45,0)),0))</f>
        <v>0</v>
      </c>
      <c r="AR150" s="538">
        <f>IF('Técnicas de Ki'!W45=0,0,IF('Técnicas de Ki'!AD45=TS!AR$119,'Técnicas de Ki'!X45-(IF($O150&lt;&gt;0,'Técnicas de Ki'!AG45,0)+IF($P150&lt;&gt;0,'Técnicas de Ki'!AH45,0)+IF($Q150&lt;&gt;0,'Técnicas de Ki'!AI45,0)+IF($R150&lt;&gt;0,'Técnicas de Ki'!AJ45,0)+IF($S150&lt;&gt;0,'Técnicas de Ki'!AK45,0)+IF($T150&lt;&gt;0,'Técnicas de Ki'!AL45,0)),0))</f>
        <v>0</v>
      </c>
      <c r="AS150" s="538">
        <f>IF('Técnicas de Ki'!W45=0,0,IF('Técnicas de Ki'!AD45=TS!AS$119,'Técnicas de Ki'!X45-(IF($O150&lt;&gt;0,'Técnicas de Ki'!AG45,0)+IF($P150&lt;&gt;0,'Técnicas de Ki'!AH45,0)+IF($Q150&lt;&gt;0,'Técnicas de Ki'!AI45,0)+IF($R150&lt;&gt;0,'Técnicas de Ki'!AJ45,0)+IF($S150&lt;&gt;0,'Técnicas de Ki'!AK45,0)+IF($T150&lt;&gt;0,'Técnicas de Ki'!AL45,0)),0))</f>
        <v>0</v>
      </c>
      <c r="AT150" s="538">
        <f>IF('Técnicas de Ki'!W45=0,0,IF('Técnicas de Ki'!AD45=TS!AT$119,'Técnicas de Ki'!X45-(IF($O150&lt;&gt;0,'Técnicas de Ki'!AG45,0)+IF($P150&lt;&gt;0,'Técnicas de Ki'!AH45,0)+IF($Q150&lt;&gt;0,'Técnicas de Ki'!AI45,0)+IF($R150&lt;&gt;0,'Técnicas de Ki'!AJ45,0)+IF($S150&lt;&gt;0,'Técnicas de Ki'!AK45,0)+IF($T150&lt;&gt;0,'Técnicas de Ki'!AL45,0)),0))</f>
        <v>0</v>
      </c>
      <c r="AU150" s="538">
        <f>IF('Técnicas de Ki'!W45=0,0,IF('Técnicas de Ki'!AD45=TS!AU$119,'Técnicas de Ki'!X45-(IF($O150&lt;&gt;0,'Técnicas de Ki'!AG45,0)+IF($P150&lt;&gt;0,'Técnicas de Ki'!AH45,0)+IF($Q150&lt;&gt;0,'Técnicas de Ki'!AI45,0)+IF($R150&lt;&gt;0,'Técnicas de Ki'!AJ45,0)+IF($S150&lt;&gt;0,'Técnicas de Ki'!AK45,0)+IF($T150&lt;&gt;0,'Técnicas de Ki'!AL45,0)),0))</f>
        <v>0</v>
      </c>
      <c r="AV150" s="539">
        <f>IF('Técnicas de Ki'!W45=0,0,IF('Técnicas de Ki'!AD45=TS!AV$119,'Técnicas de Ki'!X45-(IF($O150&lt;&gt;0,'Técnicas de Ki'!AG45,0)+IF($P150&lt;&gt;0,'Técnicas de Ki'!AH45,0)+IF($Q150&lt;&gt;0,'Técnicas de Ki'!AI45,0)+IF($R150&lt;&gt;0,'Técnicas de Ki'!AJ45,0)+IF($S150&lt;&gt;0,'Técnicas de Ki'!AK45,0)+IF($T150&lt;&gt;0,'Técnicas de Ki'!AL45,0)),0))</f>
        <v>0</v>
      </c>
      <c r="AW150" s="538">
        <f>IF('Técnicas de Ki'!W45=0,0,IFERROR(IF('Técnicas de Ki'!AG45&lt;&gt;0,'Técnicas de Ki'!AG45+TS!$O150,0)*$O150/$O150,0))</f>
        <v>0</v>
      </c>
      <c r="AX150" s="538">
        <f>IF('Técnicas de Ki'!W45=0,0,IFERROR(IF('Técnicas de Ki'!AH45&lt;&gt;0,'Técnicas de Ki'!AH45+TS!$P150,0)*$P150/$P150,0))</f>
        <v>0</v>
      </c>
      <c r="AY150" s="538">
        <f>IF('Técnicas de Ki'!W45=0,0,IFERROR(IF('Técnicas de Ki'!AI45&lt;&gt;0,'Técnicas de Ki'!AI45+TS!$Q150,0)*$Q150/$Q150,0))</f>
        <v>0</v>
      </c>
      <c r="AZ150" s="538">
        <f>IF('Técnicas de Ki'!W45=0,0,IFERROR(IF('Técnicas de Ki'!AJ45&lt;&gt;0,'Técnicas de Ki'!AJ45+TS!$R150,0)*$R150/$R150,0))</f>
        <v>0</v>
      </c>
      <c r="BA150" s="538">
        <f>IF('Técnicas de Ki'!W45=0,0,IFERROR(IF('Técnicas de Ki'!AK45&lt;&gt;0,'Técnicas de Ki'!AK45+TS!$S150,0)*$S150/$S150,0))</f>
        <v>0</v>
      </c>
      <c r="BB150" s="539">
        <f>IF('Técnicas de Ki'!W45=0,0,IFERROR(IF('Técnicas de Ki'!AL45&lt;&gt;0,'Técnicas de Ki'!AL45+TS!$T150,0)*$T150/$T150,0))</f>
        <v>0</v>
      </c>
      <c r="BD150" s="571" t="str">
        <f>IF('Técnicas de Ki'!W48&lt;&gt;0,'Técnicas de Ki'!V48&amp;" "&amp;'Técnicas de Ki'!W48,"")</f>
        <v/>
      </c>
      <c r="BE150" s="302" t="b">
        <f t="shared" si="19"/>
        <v>0</v>
      </c>
      <c r="BF150" s="302" t="str">
        <f t="shared" si="5"/>
        <v/>
      </c>
      <c r="BL150" s="537">
        <f>IF('Técnicas de Ki'!AR45=0,0,IF('Técnicas de Ki'!AY45=TS!BL$119,'Técnicas de Ki'!AS45-(IF($O150&lt;&gt;0,'Técnicas de Ki'!BB45,0)+IF($P150&lt;&gt;0,'Técnicas de Ki'!BC45,0)+IF($Q150&lt;&gt;0,'Técnicas de Ki'!BD45,0)+IF($R150&lt;&gt;0,'Técnicas de Ki'!BE45,0)+IF($S150&lt;&gt;0,'Técnicas de Ki'!BF45,0)+IF($T150&lt;&gt;0,'Técnicas de Ki'!BG45,0)),0))</f>
        <v>0</v>
      </c>
      <c r="BM150" s="538">
        <f>IF('Técnicas de Ki'!AR45=0,0,IF('Técnicas de Ki'!AY45=TS!BM$119,'Técnicas de Ki'!AS45-(IF($O150&lt;&gt;0,'Técnicas de Ki'!BB45,0)+IF($P150&lt;&gt;0,'Técnicas de Ki'!BC45,0)+IF($Q150&lt;&gt;0,'Técnicas de Ki'!BD45,0)+IF($R150&lt;&gt;0,'Técnicas de Ki'!BE45,0)+IF($S150&lt;&gt;0,'Técnicas de Ki'!BF45,0)+IF($T150&lt;&gt;0,'Técnicas de Ki'!BG45,0)),0))</f>
        <v>0</v>
      </c>
      <c r="BN150" s="538">
        <f>IF('Técnicas de Ki'!AR45=0,0,IF('Técnicas de Ki'!AY45=TS!BN$119,'Técnicas de Ki'!AS45-(IF($O150&lt;&gt;0,'Técnicas de Ki'!BB45,0)+IF($P150&lt;&gt;0,'Técnicas de Ki'!BC45,0)+IF($Q150&lt;&gt;0,'Técnicas de Ki'!BD45,0)+IF($R150&lt;&gt;0,'Técnicas de Ki'!BE45,0)+IF($S150&lt;&gt;0,'Técnicas de Ki'!BF45,0)+IF($T150&lt;&gt;0,'Técnicas de Ki'!BG45,0)),0))</f>
        <v>0</v>
      </c>
      <c r="BO150" s="538">
        <f>IF('Técnicas de Ki'!AR45=0,0,IF('Técnicas de Ki'!AY45=TS!BO$119,'Técnicas de Ki'!AS45-(IF($O150&lt;&gt;0,'Técnicas de Ki'!BB45,0)+IF($P150&lt;&gt;0,'Técnicas de Ki'!BC45,0)+IF($Q150&lt;&gt;0,'Técnicas de Ki'!BD45,0)+IF($R150&lt;&gt;0,'Técnicas de Ki'!BE45,0)+IF($S150&lt;&gt;0,'Técnicas de Ki'!BF45,0)+IF($T150&lt;&gt;0,'Técnicas de Ki'!BG45,0)),0))</f>
        <v>0</v>
      </c>
      <c r="BP150" s="538">
        <f>IF('Técnicas de Ki'!AR45=0,0,IF('Técnicas de Ki'!AY45=TS!BP$119,'Técnicas de Ki'!AS45-(IF($O150&lt;&gt;0,'Técnicas de Ki'!BB45,0)+IF($P150&lt;&gt;0,'Técnicas de Ki'!BC45,0)+IF($Q150&lt;&gt;0,'Técnicas de Ki'!BD45,0)+IF($R150&lt;&gt;0,'Técnicas de Ki'!BE45,0)+IF($S150&lt;&gt;0,'Técnicas de Ki'!BF45,0)+IF($T150&lt;&gt;0,'Técnicas de Ki'!BG45,0)),0))</f>
        <v>0</v>
      </c>
      <c r="BQ150" s="539">
        <f>IF('Técnicas de Ki'!AR45=0,0,IF('Técnicas de Ki'!AY45=TS!BQ$119,'Técnicas de Ki'!AS45-(IF($O150&lt;&gt;0,'Técnicas de Ki'!BB45,0)+IF($P150&lt;&gt;0,'Técnicas de Ki'!BC45,0)+IF($Q150&lt;&gt;0,'Técnicas de Ki'!BD45,0)+IF($R150&lt;&gt;0,'Técnicas de Ki'!BE45,0)+IF($S150&lt;&gt;0,'Técnicas de Ki'!BF45,0)+IF($T150&lt;&gt;0,'Técnicas de Ki'!BG45,0)),0))</f>
        <v>0</v>
      </c>
      <c r="BR150" s="538">
        <f>IF('Técnicas de Ki'!AR45=0,0,IFERROR(IF('Técnicas de Ki'!BB45&lt;&gt;0,'Técnicas de Ki'!BB45+TS!$O150,0)*$O150/$O150,0))</f>
        <v>0</v>
      </c>
      <c r="BS150" s="538">
        <f>IF('Técnicas de Ki'!AR45=0,0,IFERROR(IF('Técnicas de Ki'!BC45&lt;&gt;0,'Técnicas de Ki'!BC45+TS!$P150,0)*$P150/$P150,0))</f>
        <v>0</v>
      </c>
      <c r="BT150" s="538">
        <f>IF('Técnicas de Ki'!AR45=0,0,IFERROR(IF('Técnicas de Ki'!BD45&lt;&gt;0,'Técnicas de Ki'!BD45+TS!$Q150,0)*$Q150/$Q150,0))</f>
        <v>0</v>
      </c>
      <c r="BU150" s="538">
        <f>IF('Técnicas de Ki'!AR45=0,0,IFERROR(IF('Técnicas de Ki'!BE45&lt;&gt;0,'Técnicas de Ki'!BE45+TS!$R150,0)*$R150/$R150,0))</f>
        <v>0</v>
      </c>
      <c r="BV150" s="538">
        <f>IF('Técnicas de Ki'!AR45=0,0,IFERROR(IF('Técnicas de Ki'!BF45&lt;&gt;0,'Técnicas de Ki'!BF45+TS!$S150,0)*$S150/$S150,0))</f>
        <v>0</v>
      </c>
      <c r="BW150" s="539">
        <f>IF('Técnicas de Ki'!AR45=0,0,IFERROR(IF('Técnicas de Ki'!BG45&lt;&gt;0,'Técnicas de Ki'!BG45+TS!$T150,0)*$T150/$T150,0))</f>
        <v>0</v>
      </c>
      <c r="BY150" s="571" t="str">
        <f>IF('Técnicas de Ki'!AR48&lt;&gt;0,'Técnicas de Ki'!AQ48&amp;" "&amp;'Técnicas de Ki'!AR48,"")</f>
        <v/>
      </c>
      <c r="BZ150" s="302" t="b">
        <f t="shared" si="20"/>
        <v>0</v>
      </c>
      <c r="CA150" s="302" t="str">
        <f t="shared" si="6"/>
        <v/>
      </c>
      <c r="CG150" s="537">
        <f>IF('Técnicas de Ki'!BM45=0,0,IF('Técnicas de Ki'!BT45=TS!CG$119,'Técnicas de Ki'!BN45-(IF($O150&lt;&gt;0,'Técnicas de Ki'!BW45,0)+IF($P150&lt;&gt;0,'Técnicas de Ki'!BX45,0)+IF($Q150&lt;&gt;0,'Técnicas de Ki'!BY45,0)+IF($R150&lt;&gt;0,'Técnicas de Ki'!BZ45,0)+IF($S150&lt;&gt;0,'Técnicas de Ki'!CA45,0)+IF($T150&lt;&gt;0,'Técnicas de Ki'!CB45,0)),0))</f>
        <v>0</v>
      </c>
      <c r="CH150" s="538">
        <f>IF('Técnicas de Ki'!BM45=0,0,IF('Técnicas de Ki'!BT45=TS!CH$119,'Técnicas de Ki'!BN45-(IF($O150&lt;&gt;0,'Técnicas de Ki'!BW45,0)+IF($P150&lt;&gt;0,'Técnicas de Ki'!BX45,0)+IF($Q150&lt;&gt;0,'Técnicas de Ki'!BY45,0)+IF($R150&lt;&gt;0,'Técnicas de Ki'!BZ45,0)+IF($S150&lt;&gt;0,'Técnicas de Ki'!CA45,0)+IF($T150&lt;&gt;0,'Técnicas de Ki'!CB45,0)),0))</f>
        <v>0</v>
      </c>
      <c r="CI150" s="538">
        <f>IF('Técnicas de Ki'!BM45=0,0,IF('Técnicas de Ki'!BT45=TS!CI$119,'Técnicas de Ki'!BN45-(IF($O150&lt;&gt;0,'Técnicas de Ki'!BW45,0)+IF($P150&lt;&gt;0,'Técnicas de Ki'!BX45,0)+IF($Q150&lt;&gt;0,'Técnicas de Ki'!BY45,0)+IF($R150&lt;&gt;0,'Técnicas de Ki'!BZ45,0)+IF($S150&lt;&gt;0,'Técnicas de Ki'!CA45,0)+IF($T150&lt;&gt;0,'Técnicas de Ki'!CB45,0)),0))</f>
        <v>0</v>
      </c>
      <c r="CJ150" s="538">
        <f>IF('Técnicas de Ki'!BM45=0,0,IF('Técnicas de Ki'!BT45=TS!CJ$119,'Técnicas de Ki'!BN45-(IF($O150&lt;&gt;0,'Técnicas de Ki'!BW45,0)+IF($P150&lt;&gt;0,'Técnicas de Ki'!BX45,0)+IF($Q150&lt;&gt;0,'Técnicas de Ki'!BY45,0)+IF($R150&lt;&gt;0,'Técnicas de Ki'!BZ45,0)+IF($S150&lt;&gt;0,'Técnicas de Ki'!CA45,0)+IF($T150&lt;&gt;0,'Técnicas de Ki'!CB45,0)),0))</f>
        <v>0</v>
      </c>
      <c r="CK150" s="538">
        <f>IF('Técnicas de Ki'!BM45=0,0,IF('Técnicas de Ki'!BT45=TS!CK$119,'Técnicas de Ki'!BN45-(IF($O150&lt;&gt;0,'Técnicas de Ki'!BW45,0)+IF($P150&lt;&gt;0,'Técnicas de Ki'!BX45,0)+IF($Q150&lt;&gt;0,'Técnicas de Ki'!BY45,0)+IF($R150&lt;&gt;0,'Técnicas de Ki'!BZ45,0)+IF($S150&lt;&gt;0,'Técnicas de Ki'!CA45,0)+IF($T150&lt;&gt;0,'Técnicas de Ki'!CB45,0)),0))</f>
        <v>0</v>
      </c>
      <c r="CL150" s="539">
        <f>IF('Técnicas de Ki'!BM45=0,0,IF('Técnicas de Ki'!BT45=TS!CL$119,'Técnicas de Ki'!BN45-(IF($O150&lt;&gt;0,'Técnicas de Ki'!BW45,0)+IF($P150&lt;&gt;0,'Técnicas de Ki'!BX45,0)+IF($Q150&lt;&gt;0,'Técnicas de Ki'!BY45,0)+IF($R150&lt;&gt;0,'Técnicas de Ki'!BZ45,0)+IF($S150&lt;&gt;0,'Técnicas de Ki'!CA45,0)+IF($T150&lt;&gt;0,'Técnicas de Ki'!CB45,0)),0))</f>
        <v>0</v>
      </c>
      <c r="CM150" s="538">
        <f>IF('Técnicas de Ki'!BM45=0,0,IFERROR(IF('Técnicas de Ki'!BW45&lt;&gt;0,'Técnicas de Ki'!BW45+TS!$O150,0)*$O150/$O150,0))</f>
        <v>0</v>
      </c>
      <c r="CN150" s="538">
        <f>IF('Técnicas de Ki'!BM45=0,0,IFERROR(IF('Técnicas de Ki'!BX45&lt;&gt;0,'Técnicas de Ki'!BX45+TS!$P150,0)*$P150/$P150,0))</f>
        <v>0</v>
      </c>
      <c r="CO150" s="538">
        <f>IF('Técnicas de Ki'!BM45=0,0,IFERROR(IF('Técnicas de Ki'!BY45&lt;&gt;0,'Técnicas de Ki'!BY45+TS!$Q150,0)*$Q150/$Q150,0))</f>
        <v>0</v>
      </c>
      <c r="CP150" s="538">
        <f>IF('Técnicas de Ki'!BM45=0,0,IFERROR(IF('Técnicas de Ki'!BZ45&lt;&gt;0,'Técnicas de Ki'!BZ45+TS!$R150,0)*$R150/$R150,0))</f>
        <v>0</v>
      </c>
      <c r="CQ150" s="538">
        <f>IF('Técnicas de Ki'!BM45=0,0,IFERROR(IF('Técnicas de Ki'!CA45&lt;&gt;0,'Técnicas de Ki'!CA45+TS!$S150,0)*$S150/$S150,0))</f>
        <v>0</v>
      </c>
      <c r="CR150" s="539">
        <f>IF('Técnicas de Ki'!BM45=0,0,IFERROR(IF('Técnicas de Ki'!CB45&lt;&gt;0,'Técnicas de Ki'!CB45+TS!$T150,0)*$T150/$T150,0))</f>
        <v>0</v>
      </c>
      <c r="CT150" s="571" t="str">
        <f>IF('Técnicas de Ki'!BM48&lt;&gt;0,'Técnicas de Ki'!BL48&amp;" "&amp;'Técnicas de Ki'!BM48,"")</f>
        <v/>
      </c>
      <c r="CU150" s="302" t="b">
        <f t="shared" si="21"/>
        <v>0</v>
      </c>
      <c r="CV150" s="302" t="str">
        <f t="shared" si="7"/>
        <v/>
      </c>
    </row>
    <row r="151" spans="1:102" x14ac:dyDescent="0.2">
      <c r="A151" s="302" t="s">
        <v>6850</v>
      </c>
      <c r="B151" s="301" t="s">
        <v>6807</v>
      </c>
      <c r="C151" s="301" t="str">
        <f t="shared" si="15"/>
        <v>Aumento de daño real+75</v>
      </c>
      <c r="D151" s="302">
        <v>10</v>
      </c>
      <c r="E151" s="302">
        <v>13</v>
      </c>
      <c r="F151" s="302">
        <v>35</v>
      </c>
      <c r="G151" s="302">
        <v>6</v>
      </c>
      <c r="H151" s="302">
        <v>12</v>
      </c>
      <c r="I151" s="302">
        <v>21</v>
      </c>
      <c r="J151" s="302">
        <v>2</v>
      </c>
      <c r="N151" s="302" t="s">
        <v>6864</v>
      </c>
      <c r="P151" s="302">
        <v>2</v>
      </c>
      <c r="R151" s="302">
        <v>1</v>
      </c>
      <c r="S151" s="302">
        <v>3</v>
      </c>
      <c r="T151" s="302">
        <v>3</v>
      </c>
      <c r="V151" s="537">
        <f>IF('Técnicas de Ki'!B46=0,0,IF('Técnicas de Ki'!I46=TS!V$119,'Técnicas de Ki'!C46-(IF($O151&lt;&gt;0,'Técnicas de Ki'!L46,0)+IF($P151&lt;&gt;0,'Técnicas de Ki'!M46,0)+IF($Q151&lt;&gt;0,'Técnicas de Ki'!N46,0)+IF($R151&lt;&gt;0,'Técnicas de Ki'!O46,0)+IF($S151&lt;&gt;0,'Técnicas de Ki'!P46,0)+IF($T151&lt;&gt;0,'Técnicas de Ki'!Q46,0)),0))</f>
        <v>0</v>
      </c>
      <c r="W151" s="538">
        <f>IF('Técnicas de Ki'!B46=0,0,IF('Técnicas de Ki'!I46=TS!W$119,'Técnicas de Ki'!C46-(IF($O151&lt;&gt;0,'Técnicas de Ki'!L46,0)+IF($P151&lt;&gt;0,'Técnicas de Ki'!M46,0)+IF($Q151&lt;&gt;0,'Técnicas de Ki'!N46,0)+IF($R151&lt;&gt;0,'Técnicas de Ki'!O46,0)+IF($S151&lt;&gt;0,'Técnicas de Ki'!P46,0)+IF($T151&lt;&gt;0,'Técnicas de Ki'!Q46,0)),0))</f>
        <v>0</v>
      </c>
      <c r="X151" s="538">
        <f>IF('Técnicas de Ki'!B46=0,0,IF('Técnicas de Ki'!I46=TS!X$119,'Técnicas de Ki'!C46-(IF($O151&lt;&gt;0,'Técnicas de Ki'!L46,0)+IF($P151&lt;&gt;0,'Técnicas de Ki'!M46,0)+IF($Q151&lt;&gt;0,'Técnicas de Ki'!N46,0)+IF($R151&lt;&gt;0,'Técnicas de Ki'!O46,0)+IF($S151&lt;&gt;0,'Técnicas de Ki'!P46,0)+IF($T151&lt;&gt;0,'Técnicas de Ki'!Q46,0)),0))</f>
        <v>0</v>
      </c>
      <c r="Y151" s="538">
        <f>IF('Técnicas de Ki'!B46=0,0,IF('Técnicas de Ki'!I46=TS!Y$119,'Técnicas de Ki'!C46-(IF($O151&lt;&gt;0,'Técnicas de Ki'!L46,0)+IF($P151&lt;&gt;0,'Técnicas de Ki'!M46,0)+IF($Q151&lt;&gt;0,'Técnicas de Ki'!N46,0)+IF($R151&lt;&gt;0,'Técnicas de Ki'!O46,0)+IF($S151&lt;&gt;0,'Técnicas de Ki'!P46,0)+IF($T151&lt;&gt;0,'Técnicas de Ki'!Q46,0)),0))</f>
        <v>0</v>
      </c>
      <c r="Z151" s="538">
        <f>IF('Técnicas de Ki'!B46=0,0,IF('Técnicas de Ki'!I46=TS!Z$119,'Técnicas de Ki'!C46-(IF($O151&lt;&gt;0,'Técnicas de Ki'!L46,0)+IF($P151&lt;&gt;0,'Técnicas de Ki'!M46,0)+IF($Q151&lt;&gt;0,'Técnicas de Ki'!N46,0)+IF($R151&lt;&gt;0,'Técnicas de Ki'!O46,0)+IF($S151&lt;&gt;0,'Técnicas de Ki'!P46,0)+IF($T151&lt;&gt;0,'Técnicas de Ki'!Q46,0)),0))</f>
        <v>0</v>
      </c>
      <c r="AA151" s="539">
        <f>IF('Técnicas de Ki'!B46=0,0,IF('Técnicas de Ki'!I46=TS!AA$119,'Técnicas de Ki'!C46-(IF($O151&lt;&gt;0,'Técnicas de Ki'!L46,0)+IF($P151&lt;&gt;0,'Técnicas de Ki'!M46,0)+IF($Q151&lt;&gt;0,'Técnicas de Ki'!N46,0)+IF($R151&lt;&gt;0,'Técnicas de Ki'!O46,0)+IF($S151&lt;&gt;0,'Técnicas de Ki'!P46,0)+IF($T151&lt;&gt;0,'Técnicas de Ki'!Q46,0)),0))</f>
        <v>0</v>
      </c>
      <c r="AB151" s="538">
        <f>IF('Técnicas de Ki'!B46=0,0,IFERROR(IF('Técnicas de Ki'!L46&lt;&gt;0,'Técnicas de Ki'!L46+TS!$O151,0)*$O151/$O151,0))</f>
        <v>0</v>
      </c>
      <c r="AC151" s="538">
        <f>IF('Técnicas de Ki'!B46=0,0,IFERROR(IF('Técnicas de Ki'!M46&lt;&gt;0,'Técnicas de Ki'!M46+TS!$P151,0)*$P151/$P151,0))</f>
        <v>0</v>
      </c>
      <c r="AD151" s="538">
        <f>IF('Técnicas de Ki'!B46=0,0,IFERROR(IF('Técnicas de Ki'!N46&lt;&gt;0,'Técnicas de Ki'!N46+TS!$Q151,0)*$Q151/$Q151,0))</f>
        <v>0</v>
      </c>
      <c r="AE151" s="538">
        <f>IF('Técnicas de Ki'!B46=0,0,IFERROR(IF('Técnicas de Ki'!O46&lt;&gt;0,'Técnicas de Ki'!O46+TS!$R151,0)*$R151/$R151,0))</f>
        <v>0</v>
      </c>
      <c r="AF151" s="538">
        <f>IF('Técnicas de Ki'!B46=0,0,IFERROR(IF('Técnicas de Ki'!P46&lt;&gt;0,'Técnicas de Ki'!P46+TS!$S151,0)*$S151/$S151,0))</f>
        <v>0</v>
      </c>
      <c r="AG151" s="539">
        <f>IF('Técnicas de Ki'!B46=0,0,IFERROR(IF('Técnicas de Ki'!Q46&lt;&gt;0,'Técnicas de Ki'!Q46+TS!$T151,0)*$T151/$T151,0))</f>
        <v>0</v>
      </c>
      <c r="AI151" s="571" t="str">
        <f>IF('Técnicas de Ki'!B49&lt;&gt;0,'Técnicas de Ki'!A49&amp;" "&amp;'Técnicas de Ki'!B49,"")</f>
        <v/>
      </c>
      <c r="AJ151" s="302" t="b">
        <f t="shared" si="8"/>
        <v>0</v>
      </c>
      <c r="AK151" s="302" t="str">
        <f t="shared" si="4"/>
        <v/>
      </c>
      <c r="AQ151" s="537">
        <f>IF('Técnicas de Ki'!W46=0,0,IF('Técnicas de Ki'!AD46=TS!AQ$119,'Técnicas de Ki'!X46-(IF($O151&lt;&gt;0,'Técnicas de Ki'!AG46,0)+IF($P151&lt;&gt;0,'Técnicas de Ki'!AH46,0)+IF($Q151&lt;&gt;0,'Técnicas de Ki'!AI46,0)+IF($R151&lt;&gt;0,'Técnicas de Ki'!AJ46,0)+IF($S151&lt;&gt;0,'Técnicas de Ki'!AK46,0)+IF($T151&lt;&gt;0,'Técnicas de Ki'!AL46,0)),0))</f>
        <v>0</v>
      </c>
      <c r="AR151" s="538">
        <f>IF('Técnicas de Ki'!W46=0,0,IF('Técnicas de Ki'!AD46=TS!AR$119,'Técnicas de Ki'!X46-(IF($O151&lt;&gt;0,'Técnicas de Ki'!AG46,0)+IF($P151&lt;&gt;0,'Técnicas de Ki'!AH46,0)+IF($Q151&lt;&gt;0,'Técnicas de Ki'!AI46,0)+IF($R151&lt;&gt;0,'Técnicas de Ki'!AJ46,0)+IF($S151&lt;&gt;0,'Técnicas de Ki'!AK46,0)+IF($T151&lt;&gt;0,'Técnicas de Ki'!AL46,0)),0))</f>
        <v>0</v>
      </c>
      <c r="AS151" s="538">
        <f>IF('Técnicas de Ki'!W46=0,0,IF('Técnicas de Ki'!AD46=TS!AS$119,'Técnicas de Ki'!X46-(IF($O151&lt;&gt;0,'Técnicas de Ki'!AG46,0)+IF($P151&lt;&gt;0,'Técnicas de Ki'!AH46,0)+IF($Q151&lt;&gt;0,'Técnicas de Ki'!AI46,0)+IF($R151&lt;&gt;0,'Técnicas de Ki'!AJ46,0)+IF($S151&lt;&gt;0,'Técnicas de Ki'!AK46,0)+IF($T151&lt;&gt;0,'Técnicas de Ki'!AL46,0)),0))</f>
        <v>0</v>
      </c>
      <c r="AT151" s="538">
        <f>IF('Técnicas de Ki'!W46=0,0,IF('Técnicas de Ki'!AD46=TS!AT$119,'Técnicas de Ki'!X46-(IF($O151&lt;&gt;0,'Técnicas de Ki'!AG46,0)+IF($P151&lt;&gt;0,'Técnicas de Ki'!AH46,0)+IF($Q151&lt;&gt;0,'Técnicas de Ki'!AI46,0)+IF($R151&lt;&gt;0,'Técnicas de Ki'!AJ46,0)+IF($S151&lt;&gt;0,'Técnicas de Ki'!AK46,0)+IF($T151&lt;&gt;0,'Técnicas de Ki'!AL46,0)),0))</f>
        <v>0</v>
      </c>
      <c r="AU151" s="538">
        <f>IF('Técnicas de Ki'!W46=0,0,IF('Técnicas de Ki'!AD46=TS!AU$119,'Técnicas de Ki'!X46-(IF($O151&lt;&gt;0,'Técnicas de Ki'!AG46,0)+IF($P151&lt;&gt;0,'Técnicas de Ki'!AH46,0)+IF($Q151&lt;&gt;0,'Técnicas de Ki'!AI46,0)+IF($R151&lt;&gt;0,'Técnicas de Ki'!AJ46,0)+IF($S151&lt;&gt;0,'Técnicas de Ki'!AK46,0)+IF($T151&lt;&gt;0,'Técnicas de Ki'!AL46,0)),0))</f>
        <v>0</v>
      </c>
      <c r="AV151" s="539">
        <f>IF('Técnicas de Ki'!W46=0,0,IF('Técnicas de Ki'!AD46=TS!AV$119,'Técnicas de Ki'!X46-(IF($O151&lt;&gt;0,'Técnicas de Ki'!AG46,0)+IF($P151&lt;&gt;0,'Técnicas de Ki'!AH46,0)+IF($Q151&lt;&gt;0,'Técnicas de Ki'!AI46,0)+IF($R151&lt;&gt;0,'Técnicas de Ki'!AJ46,0)+IF($S151&lt;&gt;0,'Técnicas de Ki'!AK46,0)+IF($T151&lt;&gt;0,'Técnicas de Ki'!AL46,0)),0))</f>
        <v>0</v>
      </c>
      <c r="AW151" s="538">
        <f>IF('Técnicas de Ki'!W46=0,0,IFERROR(IF('Técnicas de Ki'!AG46&lt;&gt;0,'Técnicas de Ki'!AG46+TS!$O151,0)*$O151/$O151,0))</f>
        <v>0</v>
      </c>
      <c r="AX151" s="538">
        <f>IF('Técnicas de Ki'!W46=0,0,IFERROR(IF('Técnicas de Ki'!AH46&lt;&gt;0,'Técnicas de Ki'!AH46+TS!$P151,0)*$P151/$P151,0))</f>
        <v>0</v>
      </c>
      <c r="AY151" s="538">
        <f>IF('Técnicas de Ki'!W46=0,0,IFERROR(IF('Técnicas de Ki'!AI46&lt;&gt;0,'Técnicas de Ki'!AI46+TS!$Q151,0)*$Q151/$Q151,0))</f>
        <v>0</v>
      </c>
      <c r="AZ151" s="538">
        <f>IF('Técnicas de Ki'!W46=0,0,IFERROR(IF('Técnicas de Ki'!AJ46&lt;&gt;0,'Técnicas de Ki'!AJ46+TS!$R151,0)*$R151/$R151,0))</f>
        <v>0</v>
      </c>
      <c r="BA151" s="538">
        <f>IF('Técnicas de Ki'!W46=0,0,IFERROR(IF('Técnicas de Ki'!AK46&lt;&gt;0,'Técnicas de Ki'!AK46+TS!$S151,0)*$S151/$S151,0))</f>
        <v>0</v>
      </c>
      <c r="BB151" s="539">
        <f>IF('Técnicas de Ki'!W46=0,0,IFERROR(IF('Técnicas de Ki'!AL46&lt;&gt;0,'Técnicas de Ki'!AL46+TS!$T151,0)*$T151/$T151,0))</f>
        <v>0</v>
      </c>
      <c r="BD151" s="571" t="str">
        <f>IF('Técnicas de Ki'!W49&lt;&gt;0,'Técnicas de Ki'!V49&amp;" "&amp;'Técnicas de Ki'!W49,"")</f>
        <v/>
      </c>
      <c r="BE151" s="302" t="b">
        <f t="shared" si="19"/>
        <v>0</v>
      </c>
      <c r="BF151" s="302" t="str">
        <f t="shared" si="5"/>
        <v/>
      </c>
      <c r="BL151" s="537">
        <f>IF('Técnicas de Ki'!AR46=0,0,IF('Técnicas de Ki'!AY46=TS!BL$119,'Técnicas de Ki'!AS46-(IF($O151&lt;&gt;0,'Técnicas de Ki'!BB46,0)+IF($P151&lt;&gt;0,'Técnicas de Ki'!BC46,0)+IF($Q151&lt;&gt;0,'Técnicas de Ki'!BD46,0)+IF($R151&lt;&gt;0,'Técnicas de Ki'!BE46,0)+IF($S151&lt;&gt;0,'Técnicas de Ki'!BF46,0)+IF($T151&lt;&gt;0,'Técnicas de Ki'!BG46,0)),0))</f>
        <v>0</v>
      </c>
      <c r="BM151" s="538">
        <f>IF('Técnicas de Ki'!AR46=0,0,IF('Técnicas de Ki'!AY46=TS!BM$119,'Técnicas de Ki'!AS46-(IF($O151&lt;&gt;0,'Técnicas de Ki'!BB46,0)+IF($P151&lt;&gt;0,'Técnicas de Ki'!BC46,0)+IF($Q151&lt;&gt;0,'Técnicas de Ki'!BD46,0)+IF($R151&lt;&gt;0,'Técnicas de Ki'!BE46,0)+IF($S151&lt;&gt;0,'Técnicas de Ki'!BF46,0)+IF($T151&lt;&gt;0,'Técnicas de Ki'!BG46,0)),0))</f>
        <v>0</v>
      </c>
      <c r="BN151" s="538">
        <f>IF('Técnicas de Ki'!AR46=0,0,IF('Técnicas de Ki'!AY46=TS!BN$119,'Técnicas de Ki'!AS46-(IF($O151&lt;&gt;0,'Técnicas de Ki'!BB46,0)+IF($P151&lt;&gt;0,'Técnicas de Ki'!BC46,0)+IF($Q151&lt;&gt;0,'Técnicas de Ki'!BD46,0)+IF($R151&lt;&gt;0,'Técnicas de Ki'!BE46,0)+IF($S151&lt;&gt;0,'Técnicas de Ki'!BF46,0)+IF($T151&lt;&gt;0,'Técnicas de Ki'!BG46,0)),0))</f>
        <v>0</v>
      </c>
      <c r="BO151" s="538">
        <f>IF('Técnicas de Ki'!AR46=0,0,IF('Técnicas de Ki'!AY46=TS!BO$119,'Técnicas de Ki'!AS46-(IF($O151&lt;&gt;0,'Técnicas de Ki'!BB46,0)+IF($P151&lt;&gt;0,'Técnicas de Ki'!BC46,0)+IF($Q151&lt;&gt;0,'Técnicas de Ki'!BD46,0)+IF($R151&lt;&gt;0,'Técnicas de Ki'!BE46,0)+IF($S151&lt;&gt;0,'Técnicas de Ki'!BF46,0)+IF($T151&lt;&gt;0,'Técnicas de Ki'!BG46,0)),0))</f>
        <v>0</v>
      </c>
      <c r="BP151" s="538">
        <f>IF('Técnicas de Ki'!AR46=0,0,IF('Técnicas de Ki'!AY46=TS!BP$119,'Técnicas de Ki'!AS46-(IF($O151&lt;&gt;0,'Técnicas de Ki'!BB46,0)+IF($P151&lt;&gt;0,'Técnicas de Ki'!BC46,0)+IF($Q151&lt;&gt;0,'Técnicas de Ki'!BD46,0)+IF($R151&lt;&gt;0,'Técnicas de Ki'!BE46,0)+IF($S151&lt;&gt;0,'Técnicas de Ki'!BF46,0)+IF($T151&lt;&gt;0,'Técnicas de Ki'!BG46,0)),0))</f>
        <v>0</v>
      </c>
      <c r="BQ151" s="539">
        <f>IF('Técnicas de Ki'!AR46=0,0,IF('Técnicas de Ki'!AY46=TS!BQ$119,'Técnicas de Ki'!AS46-(IF($O151&lt;&gt;0,'Técnicas de Ki'!BB46,0)+IF($P151&lt;&gt;0,'Técnicas de Ki'!BC46,0)+IF($Q151&lt;&gt;0,'Técnicas de Ki'!BD46,0)+IF($R151&lt;&gt;0,'Técnicas de Ki'!BE46,0)+IF($S151&lt;&gt;0,'Técnicas de Ki'!BF46,0)+IF($T151&lt;&gt;0,'Técnicas de Ki'!BG46,0)),0))</f>
        <v>0</v>
      </c>
      <c r="BR151" s="538">
        <f>IF('Técnicas de Ki'!AR46=0,0,IFERROR(IF('Técnicas de Ki'!BB46&lt;&gt;0,'Técnicas de Ki'!BB46+TS!$O151,0)*$O151/$O151,0))</f>
        <v>0</v>
      </c>
      <c r="BS151" s="538">
        <f>IF('Técnicas de Ki'!AR46=0,0,IFERROR(IF('Técnicas de Ki'!BC46&lt;&gt;0,'Técnicas de Ki'!BC46+TS!$P151,0)*$P151/$P151,0))</f>
        <v>0</v>
      </c>
      <c r="BT151" s="538">
        <f>IF('Técnicas de Ki'!AR46=0,0,IFERROR(IF('Técnicas de Ki'!BD46&lt;&gt;0,'Técnicas de Ki'!BD46+TS!$Q151,0)*$Q151/$Q151,0))</f>
        <v>0</v>
      </c>
      <c r="BU151" s="538">
        <f>IF('Técnicas de Ki'!AR46=0,0,IFERROR(IF('Técnicas de Ki'!BE46&lt;&gt;0,'Técnicas de Ki'!BE46+TS!$R151,0)*$R151/$R151,0))</f>
        <v>0</v>
      </c>
      <c r="BV151" s="538">
        <f>IF('Técnicas de Ki'!AR46=0,0,IFERROR(IF('Técnicas de Ki'!BF46&lt;&gt;0,'Técnicas de Ki'!BF46+TS!$S151,0)*$S151/$S151,0))</f>
        <v>0</v>
      </c>
      <c r="BW151" s="539">
        <f>IF('Técnicas de Ki'!AR46=0,0,IFERROR(IF('Técnicas de Ki'!BG46&lt;&gt;0,'Técnicas de Ki'!BG46+TS!$T151,0)*$T151/$T151,0))</f>
        <v>0</v>
      </c>
      <c r="BY151" s="571" t="str">
        <f>IF('Técnicas de Ki'!AR49&lt;&gt;0,'Técnicas de Ki'!AQ49&amp;" "&amp;'Técnicas de Ki'!AR49,"")</f>
        <v/>
      </c>
      <c r="BZ151" s="302" t="b">
        <f t="shared" si="20"/>
        <v>0</v>
      </c>
      <c r="CA151" s="302" t="str">
        <f t="shared" si="6"/>
        <v/>
      </c>
      <c r="CG151" s="537">
        <f>IF('Técnicas de Ki'!BM46=0,0,IF('Técnicas de Ki'!BT46=TS!CG$119,'Técnicas de Ki'!BN46-(IF($O151&lt;&gt;0,'Técnicas de Ki'!BW46,0)+IF($P151&lt;&gt;0,'Técnicas de Ki'!BX46,0)+IF($Q151&lt;&gt;0,'Técnicas de Ki'!BY46,0)+IF($R151&lt;&gt;0,'Técnicas de Ki'!BZ46,0)+IF($S151&lt;&gt;0,'Técnicas de Ki'!CA46,0)+IF($T151&lt;&gt;0,'Técnicas de Ki'!CB46,0)),0))</f>
        <v>0</v>
      </c>
      <c r="CH151" s="538">
        <f>IF('Técnicas de Ki'!BM46=0,0,IF('Técnicas de Ki'!BT46=TS!CH$119,'Técnicas de Ki'!BN46-(IF($O151&lt;&gt;0,'Técnicas de Ki'!BW46,0)+IF($P151&lt;&gt;0,'Técnicas de Ki'!BX46,0)+IF($Q151&lt;&gt;0,'Técnicas de Ki'!BY46,0)+IF($R151&lt;&gt;0,'Técnicas de Ki'!BZ46,0)+IF($S151&lt;&gt;0,'Técnicas de Ki'!CA46,0)+IF($T151&lt;&gt;0,'Técnicas de Ki'!CB46,0)),0))</f>
        <v>0</v>
      </c>
      <c r="CI151" s="538">
        <f>IF('Técnicas de Ki'!BM46=0,0,IF('Técnicas de Ki'!BT46=TS!CI$119,'Técnicas de Ki'!BN46-(IF($O151&lt;&gt;0,'Técnicas de Ki'!BW46,0)+IF($P151&lt;&gt;0,'Técnicas de Ki'!BX46,0)+IF($Q151&lt;&gt;0,'Técnicas de Ki'!BY46,0)+IF($R151&lt;&gt;0,'Técnicas de Ki'!BZ46,0)+IF($S151&lt;&gt;0,'Técnicas de Ki'!CA46,0)+IF($T151&lt;&gt;0,'Técnicas de Ki'!CB46,0)),0))</f>
        <v>0</v>
      </c>
      <c r="CJ151" s="538">
        <f>IF('Técnicas de Ki'!BM46=0,0,IF('Técnicas de Ki'!BT46=TS!CJ$119,'Técnicas de Ki'!BN46-(IF($O151&lt;&gt;0,'Técnicas de Ki'!BW46,0)+IF($P151&lt;&gt;0,'Técnicas de Ki'!BX46,0)+IF($Q151&lt;&gt;0,'Técnicas de Ki'!BY46,0)+IF($R151&lt;&gt;0,'Técnicas de Ki'!BZ46,0)+IF($S151&lt;&gt;0,'Técnicas de Ki'!CA46,0)+IF($T151&lt;&gt;0,'Técnicas de Ki'!CB46,0)),0))</f>
        <v>0</v>
      </c>
      <c r="CK151" s="538">
        <f>IF('Técnicas de Ki'!BM46=0,0,IF('Técnicas de Ki'!BT46=TS!CK$119,'Técnicas de Ki'!BN46-(IF($O151&lt;&gt;0,'Técnicas de Ki'!BW46,0)+IF($P151&lt;&gt;0,'Técnicas de Ki'!BX46,0)+IF($Q151&lt;&gt;0,'Técnicas de Ki'!BY46,0)+IF($R151&lt;&gt;0,'Técnicas de Ki'!BZ46,0)+IF($S151&lt;&gt;0,'Técnicas de Ki'!CA46,0)+IF($T151&lt;&gt;0,'Técnicas de Ki'!CB46,0)),0))</f>
        <v>0</v>
      </c>
      <c r="CL151" s="539">
        <f>IF('Técnicas de Ki'!BM46=0,0,IF('Técnicas de Ki'!BT46=TS!CL$119,'Técnicas de Ki'!BN46-(IF($O151&lt;&gt;0,'Técnicas de Ki'!BW46,0)+IF($P151&lt;&gt;0,'Técnicas de Ki'!BX46,0)+IF($Q151&lt;&gt;0,'Técnicas de Ki'!BY46,0)+IF($R151&lt;&gt;0,'Técnicas de Ki'!BZ46,0)+IF($S151&lt;&gt;0,'Técnicas de Ki'!CA46,0)+IF($T151&lt;&gt;0,'Técnicas de Ki'!CB46,0)),0))</f>
        <v>0</v>
      </c>
      <c r="CM151" s="538">
        <f>IF('Técnicas de Ki'!BM46=0,0,IFERROR(IF('Técnicas de Ki'!BW46&lt;&gt;0,'Técnicas de Ki'!BW46+TS!$O151,0)*$O151/$O151,0))</f>
        <v>0</v>
      </c>
      <c r="CN151" s="538">
        <f>IF('Técnicas de Ki'!BM46=0,0,IFERROR(IF('Técnicas de Ki'!BX46&lt;&gt;0,'Técnicas de Ki'!BX46+TS!$P151,0)*$P151/$P151,0))</f>
        <v>0</v>
      </c>
      <c r="CO151" s="538">
        <f>IF('Técnicas de Ki'!BM46=0,0,IFERROR(IF('Técnicas de Ki'!BY46&lt;&gt;0,'Técnicas de Ki'!BY46+TS!$Q151,0)*$Q151/$Q151,0))</f>
        <v>0</v>
      </c>
      <c r="CP151" s="538">
        <f>IF('Técnicas de Ki'!BM46=0,0,IFERROR(IF('Técnicas de Ki'!BZ46&lt;&gt;0,'Técnicas de Ki'!BZ46+TS!$R151,0)*$R151/$R151,0))</f>
        <v>0</v>
      </c>
      <c r="CQ151" s="538">
        <f>IF('Técnicas de Ki'!BM46=0,0,IFERROR(IF('Técnicas de Ki'!CA46&lt;&gt;0,'Técnicas de Ki'!CA46+TS!$S151,0)*$S151/$S151,0))</f>
        <v>0</v>
      </c>
      <c r="CR151" s="539">
        <f>IF('Técnicas de Ki'!BM46=0,0,IFERROR(IF('Técnicas de Ki'!CB46&lt;&gt;0,'Técnicas de Ki'!CB46+TS!$T151,0)*$T151/$T151,0))</f>
        <v>0</v>
      </c>
      <c r="CT151" s="571" t="str">
        <f>IF('Técnicas de Ki'!BM49&lt;&gt;0,'Técnicas de Ki'!BL49&amp;" "&amp;'Técnicas de Ki'!BM49,"")</f>
        <v/>
      </c>
      <c r="CU151" s="302" t="b">
        <f t="shared" si="21"/>
        <v>0</v>
      </c>
      <c r="CV151" s="302" t="str">
        <f t="shared" si="7"/>
        <v/>
      </c>
    </row>
    <row r="152" spans="1:102" ht="13.5" thickBot="1" x14ac:dyDescent="0.25">
      <c r="A152" s="302" t="s">
        <v>6850</v>
      </c>
      <c r="B152" s="301" t="s">
        <v>6808</v>
      </c>
      <c r="C152" s="301" t="str">
        <f t="shared" si="15"/>
        <v>Aumento de daño real+90</v>
      </c>
      <c r="D152" s="302">
        <v>12</v>
      </c>
      <c r="E152" s="302">
        <v>15</v>
      </c>
      <c r="F152" s="302">
        <v>40</v>
      </c>
      <c r="G152" s="302">
        <v>8</v>
      </c>
      <c r="H152" s="302">
        <v>16</v>
      </c>
      <c r="I152" s="302">
        <v>28</v>
      </c>
      <c r="J152" s="302">
        <v>3</v>
      </c>
      <c r="N152" s="302" t="s">
        <v>6868</v>
      </c>
      <c r="Q152" s="302">
        <v>1</v>
      </c>
      <c r="R152" s="302">
        <v>2</v>
      </c>
      <c r="S152" s="302">
        <v>3</v>
      </c>
      <c r="T152" s="302">
        <v>3</v>
      </c>
      <c r="V152" s="537">
        <f>IF('Técnicas de Ki'!B47=0,0,IF('Técnicas de Ki'!I47=TS!V$119,'Técnicas de Ki'!C47-(IF($O152&lt;&gt;0,'Técnicas de Ki'!L47,0)+IF($P152&lt;&gt;0,'Técnicas de Ki'!M47,0)+IF($Q152&lt;&gt;0,'Técnicas de Ki'!N47,0)+IF($R152&lt;&gt;0,'Técnicas de Ki'!O47,0)+IF($S152&lt;&gt;0,'Técnicas de Ki'!P47,0)+IF($T152&lt;&gt;0,'Técnicas de Ki'!Q47,0)),0))</f>
        <v>0</v>
      </c>
      <c r="W152" s="538">
        <f>IF('Técnicas de Ki'!B47=0,0,IF('Técnicas de Ki'!I47=TS!W$119,'Técnicas de Ki'!C47-(IF($O152&lt;&gt;0,'Técnicas de Ki'!L47,0)+IF($P152&lt;&gt;0,'Técnicas de Ki'!M47,0)+IF($Q152&lt;&gt;0,'Técnicas de Ki'!N47,0)+IF($R152&lt;&gt;0,'Técnicas de Ki'!O47,0)+IF($S152&lt;&gt;0,'Técnicas de Ki'!P47,0)+IF($T152&lt;&gt;0,'Técnicas de Ki'!Q47,0)),0))</f>
        <v>0</v>
      </c>
      <c r="X152" s="538">
        <f>IF('Técnicas de Ki'!B47=0,0,IF('Técnicas de Ki'!I47=TS!X$119,'Técnicas de Ki'!C47-(IF($O152&lt;&gt;0,'Técnicas de Ki'!L47,0)+IF($P152&lt;&gt;0,'Técnicas de Ki'!M47,0)+IF($Q152&lt;&gt;0,'Técnicas de Ki'!N47,0)+IF($R152&lt;&gt;0,'Técnicas de Ki'!O47,0)+IF($S152&lt;&gt;0,'Técnicas de Ki'!P47,0)+IF($T152&lt;&gt;0,'Técnicas de Ki'!Q47,0)),0))</f>
        <v>0</v>
      </c>
      <c r="Y152" s="538">
        <f>IF('Técnicas de Ki'!B47=0,0,IF('Técnicas de Ki'!I47=TS!Y$119,'Técnicas de Ki'!C47-(IF($O152&lt;&gt;0,'Técnicas de Ki'!L47,0)+IF($P152&lt;&gt;0,'Técnicas de Ki'!M47,0)+IF($Q152&lt;&gt;0,'Técnicas de Ki'!N47,0)+IF($R152&lt;&gt;0,'Técnicas de Ki'!O47,0)+IF($S152&lt;&gt;0,'Técnicas de Ki'!P47,0)+IF($T152&lt;&gt;0,'Técnicas de Ki'!Q47,0)),0))</f>
        <v>0</v>
      </c>
      <c r="Z152" s="538">
        <f>IF('Técnicas de Ki'!B47=0,0,IF('Técnicas de Ki'!I47=TS!Z$119,'Técnicas de Ki'!C47-(IF($O152&lt;&gt;0,'Técnicas de Ki'!L47,0)+IF($P152&lt;&gt;0,'Técnicas de Ki'!M47,0)+IF($Q152&lt;&gt;0,'Técnicas de Ki'!N47,0)+IF($R152&lt;&gt;0,'Técnicas de Ki'!O47,0)+IF($S152&lt;&gt;0,'Técnicas de Ki'!P47,0)+IF($T152&lt;&gt;0,'Técnicas de Ki'!Q47,0)),0))</f>
        <v>0</v>
      </c>
      <c r="AA152" s="539">
        <f>IF('Técnicas de Ki'!B47=0,0,IF('Técnicas de Ki'!I47=TS!AA$119,'Técnicas de Ki'!C47-(IF($O152&lt;&gt;0,'Técnicas de Ki'!L47,0)+IF($P152&lt;&gt;0,'Técnicas de Ki'!M47,0)+IF($Q152&lt;&gt;0,'Técnicas de Ki'!N47,0)+IF($R152&lt;&gt;0,'Técnicas de Ki'!O47,0)+IF($S152&lt;&gt;0,'Técnicas de Ki'!P47,0)+IF($T152&lt;&gt;0,'Técnicas de Ki'!Q47,0)),0))</f>
        <v>0</v>
      </c>
      <c r="AB152" s="538">
        <f>IF('Técnicas de Ki'!B47=0,0,IFERROR(IF('Técnicas de Ki'!L47&lt;&gt;0,'Técnicas de Ki'!L47+TS!$O152,0)*$O152/$O152,0))</f>
        <v>0</v>
      </c>
      <c r="AC152" s="538">
        <f>IF('Técnicas de Ki'!B47=0,0,IFERROR(IF('Técnicas de Ki'!M47&lt;&gt;0,'Técnicas de Ki'!M47+TS!$P152,0)*$P152/$P152,0))</f>
        <v>0</v>
      </c>
      <c r="AD152" s="538">
        <f>IF('Técnicas de Ki'!B47=0,0,IFERROR(IF('Técnicas de Ki'!N47&lt;&gt;0,'Técnicas de Ki'!N47+TS!$Q152,0)*$Q152/$Q152,0))</f>
        <v>0</v>
      </c>
      <c r="AE152" s="538">
        <f>IF('Técnicas de Ki'!B47=0,0,IFERROR(IF('Técnicas de Ki'!O47&lt;&gt;0,'Técnicas de Ki'!O47+TS!$R152,0)*$R152/$R152,0))</f>
        <v>0</v>
      </c>
      <c r="AF152" s="538">
        <f>IF('Técnicas de Ki'!B47=0,0,IFERROR(IF('Técnicas de Ki'!P47&lt;&gt;0,'Técnicas de Ki'!P47+TS!$S152,0)*$S152/$S152,0))</f>
        <v>0</v>
      </c>
      <c r="AG152" s="539">
        <f>IF('Técnicas de Ki'!B47=0,0,IFERROR(IF('Técnicas de Ki'!Q47&lt;&gt;0,'Técnicas de Ki'!Q47+TS!$T152,0)*$T152/$T152,0))</f>
        <v>0</v>
      </c>
      <c r="AI152" s="572" t="str">
        <f>IF('Técnicas de Ki'!B50&lt;&gt;0,'Técnicas de Ki'!A50&amp;" "&amp;'Técnicas de Ki'!B50,"")</f>
        <v/>
      </c>
      <c r="AJ152" s="302" t="b">
        <f t="shared" si="8"/>
        <v>0</v>
      </c>
      <c r="AK152" s="302" t="str">
        <f t="shared" si="4"/>
        <v/>
      </c>
      <c r="AQ152" s="537">
        <f>IF('Técnicas de Ki'!W47=0,0,IF('Técnicas de Ki'!AD47=TS!AQ$119,'Técnicas de Ki'!X47-(IF($O152&lt;&gt;0,'Técnicas de Ki'!AG47,0)+IF($P152&lt;&gt;0,'Técnicas de Ki'!AH47,0)+IF($Q152&lt;&gt;0,'Técnicas de Ki'!AI47,0)+IF($R152&lt;&gt;0,'Técnicas de Ki'!AJ47,0)+IF($S152&lt;&gt;0,'Técnicas de Ki'!AK47,0)+IF($T152&lt;&gt;0,'Técnicas de Ki'!AL47,0)),0))</f>
        <v>0</v>
      </c>
      <c r="AR152" s="538">
        <f>IF('Técnicas de Ki'!W47=0,0,IF('Técnicas de Ki'!AD47=TS!AR$119,'Técnicas de Ki'!X47-(IF($O152&lt;&gt;0,'Técnicas de Ki'!AG47,0)+IF($P152&lt;&gt;0,'Técnicas de Ki'!AH47,0)+IF($Q152&lt;&gt;0,'Técnicas de Ki'!AI47,0)+IF($R152&lt;&gt;0,'Técnicas de Ki'!AJ47,0)+IF($S152&lt;&gt;0,'Técnicas de Ki'!AK47,0)+IF($T152&lt;&gt;0,'Técnicas de Ki'!AL47,0)),0))</f>
        <v>0</v>
      </c>
      <c r="AS152" s="538">
        <f>IF('Técnicas de Ki'!W47=0,0,IF('Técnicas de Ki'!AD47=TS!AS$119,'Técnicas de Ki'!X47-(IF($O152&lt;&gt;0,'Técnicas de Ki'!AG47,0)+IF($P152&lt;&gt;0,'Técnicas de Ki'!AH47,0)+IF($Q152&lt;&gt;0,'Técnicas de Ki'!AI47,0)+IF($R152&lt;&gt;0,'Técnicas de Ki'!AJ47,0)+IF($S152&lt;&gt;0,'Técnicas de Ki'!AK47,0)+IF($T152&lt;&gt;0,'Técnicas de Ki'!AL47,0)),0))</f>
        <v>0</v>
      </c>
      <c r="AT152" s="538">
        <f>IF('Técnicas de Ki'!W47=0,0,IF('Técnicas de Ki'!AD47=TS!AT$119,'Técnicas de Ki'!X47-(IF($O152&lt;&gt;0,'Técnicas de Ki'!AG47,0)+IF($P152&lt;&gt;0,'Técnicas de Ki'!AH47,0)+IF($Q152&lt;&gt;0,'Técnicas de Ki'!AI47,0)+IF($R152&lt;&gt;0,'Técnicas de Ki'!AJ47,0)+IF($S152&lt;&gt;0,'Técnicas de Ki'!AK47,0)+IF($T152&lt;&gt;0,'Técnicas de Ki'!AL47,0)),0))</f>
        <v>0</v>
      </c>
      <c r="AU152" s="538">
        <f>IF('Técnicas de Ki'!W47=0,0,IF('Técnicas de Ki'!AD47=TS!AU$119,'Técnicas de Ki'!X47-(IF($O152&lt;&gt;0,'Técnicas de Ki'!AG47,0)+IF($P152&lt;&gt;0,'Técnicas de Ki'!AH47,0)+IF($Q152&lt;&gt;0,'Técnicas de Ki'!AI47,0)+IF($R152&lt;&gt;0,'Técnicas de Ki'!AJ47,0)+IF($S152&lt;&gt;0,'Técnicas de Ki'!AK47,0)+IF($T152&lt;&gt;0,'Técnicas de Ki'!AL47,0)),0))</f>
        <v>0</v>
      </c>
      <c r="AV152" s="539">
        <f>IF('Técnicas de Ki'!W47=0,0,IF('Técnicas de Ki'!AD47=TS!AV$119,'Técnicas de Ki'!X47-(IF($O152&lt;&gt;0,'Técnicas de Ki'!AG47,0)+IF($P152&lt;&gt;0,'Técnicas de Ki'!AH47,0)+IF($Q152&lt;&gt;0,'Técnicas de Ki'!AI47,0)+IF($R152&lt;&gt;0,'Técnicas de Ki'!AJ47,0)+IF($S152&lt;&gt;0,'Técnicas de Ki'!AK47,0)+IF($T152&lt;&gt;0,'Técnicas de Ki'!AL47,0)),0))</f>
        <v>0</v>
      </c>
      <c r="AW152" s="538">
        <f>IF('Técnicas de Ki'!W47=0,0,IFERROR(IF('Técnicas de Ki'!AG47&lt;&gt;0,'Técnicas de Ki'!AG47+TS!$O152,0)*$O152/$O152,0))</f>
        <v>0</v>
      </c>
      <c r="AX152" s="538">
        <f>IF('Técnicas de Ki'!W47=0,0,IFERROR(IF('Técnicas de Ki'!AH47&lt;&gt;0,'Técnicas de Ki'!AH47+TS!$P152,0)*$P152/$P152,0))</f>
        <v>0</v>
      </c>
      <c r="AY152" s="538">
        <f>IF('Técnicas de Ki'!W47=0,0,IFERROR(IF('Técnicas de Ki'!AI47&lt;&gt;0,'Técnicas de Ki'!AI47+TS!$Q152,0)*$Q152/$Q152,0))</f>
        <v>0</v>
      </c>
      <c r="AZ152" s="538">
        <f>IF('Técnicas de Ki'!W47=0,0,IFERROR(IF('Técnicas de Ki'!AJ47&lt;&gt;0,'Técnicas de Ki'!AJ47+TS!$R152,0)*$R152/$R152,0))</f>
        <v>0</v>
      </c>
      <c r="BA152" s="538">
        <f>IF('Técnicas de Ki'!W47=0,0,IFERROR(IF('Técnicas de Ki'!AK47&lt;&gt;0,'Técnicas de Ki'!AK47+TS!$S152,0)*$S152/$S152,0))</f>
        <v>0</v>
      </c>
      <c r="BB152" s="539">
        <f>IF('Técnicas de Ki'!W47=0,0,IFERROR(IF('Técnicas de Ki'!AL47&lt;&gt;0,'Técnicas de Ki'!AL47+TS!$T152,0)*$T152/$T152,0))</f>
        <v>0</v>
      </c>
      <c r="BD152" s="572" t="str">
        <f>IF('Técnicas de Ki'!W50&lt;&gt;0,'Técnicas de Ki'!V50&amp;" "&amp;'Técnicas de Ki'!W50,"")</f>
        <v/>
      </c>
      <c r="BE152" s="302" t="b">
        <f t="shared" si="19"/>
        <v>0</v>
      </c>
      <c r="BF152" s="302" t="str">
        <f t="shared" si="5"/>
        <v/>
      </c>
      <c r="BL152" s="537">
        <f>IF('Técnicas de Ki'!AR47=0,0,IF('Técnicas de Ki'!AY47=TS!BL$119,'Técnicas de Ki'!AS47-(IF($O152&lt;&gt;0,'Técnicas de Ki'!BB47,0)+IF($P152&lt;&gt;0,'Técnicas de Ki'!BC47,0)+IF($Q152&lt;&gt;0,'Técnicas de Ki'!BD47,0)+IF($R152&lt;&gt;0,'Técnicas de Ki'!BE47,0)+IF($S152&lt;&gt;0,'Técnicas de Ki'!BF47,0)+IF($T152&lt;&gt;0,'Técnicas de Ki'!BG47,0)),0))</f>
        <v>0</v>
      </c>
      <c r="BM152" s="538">
        <f>IF('Técnicas de Ki'!AR47=0,0,IF('Técnicas de Ki'!AY47=TS!BM$119,'Técnicas de Ki'!AS47-(IF($O152&lt;&gt;0,'Técnicas de Ki'!BB47,0)+IF($P152&lt;&gt;0,'Técnicas de Ki'!BC47,0)+IF($Q152&lt;&gt;0,'Técnicas de Ki'!BD47,0)+IF($R152&lt;&gt;0,'Técnicas de Ki'!BE47,0)+IF($S152&lt;&gt;0,'Técnicas de Ki'!BF47,0)+IF($T152&lt;&gt;0,'Técnicas de Ki'!BG47,0)),0))</f>
        <v>0</v>
      </c>
      <c r="BN152" s="538">
        <f>IF('Técnicas de Ki'!AR47=0,0,IF('Técnicas de Ki'!AY47=TS!BN$119,'Técnicas de Ki'!AS47-(IF($O152&lt;&gt;0,'Técnicas de Ki'!BB47,0)+IF($P152&lt;&gt;0,'Técnicas de Ki'!BC47,0)+IF($Q152&lt;&gt;0,'Técnicas de Ki'!BD47,0)+IF($R152&lt;&gt;0,'Técnicas de Ki'!BE47,0)+IF($S152&lt;&gt;0,'Técnicas de Ki'!BF47,0)+IF($T152&lt;&gt;0,'Técnicas de Ki'!BG47,0)),0))</f>
        <v>0</v>
      </c>
      <c r="BO152" s="538">
        <f>IF('Técnicas de Ki'!AR47=0,0,IF('Técnicas de Ki'!AY47=TS!BO$119,'Técnicas de Ki'!AS47-(IF($O152&lt;&gt;0,'Técnicas de Ki'!BB47,0)+IF($P152&lt;&gt;0,'Técnicas de Ki'!BC47,0)+IF($Q152&lt;&gt;0,'Técnicas de Ki'!BD47,0)+IF($R152&lt;&gt;0,'Técnicas de Ki'!BE47,0)+IF($S152&lt;&gt;0,'Técnicas de Ki'!BF47,0)+IF($T152&lt;&gt;0,'Técnicas de Ki'!BG47,0)),0))</f>
        <v>0</v>
      </c>
      <c r="BP152" s="538">
        <f>IF('Técnicas de Ki'!AR47=0,0,IF('Técnicas de Ki'!AY47=TS!BP$119,'Técnicas de Ki'!AS47-(IF($O152&lt;&gt;0,'Técnicas de Ki'!BB47,0)+IF($P152&lt;&gt;0,'Técnicas de Ki'!BC47,0)+IF($Q152&lt;&gt;0,'Técnicas de Ki'!BD47,0)+IF($R152&lt;&gt;0,'Técnicas de Ki'!BE47,0)+IF($S152&lt;&gt;0,'Técnicas de Ki'!BF47,0)+IF($T152&lt;&gt;0,'Técnicas de Ki'!BG47,0)),0))</f>
        <v>0</v>
      </c>
      <c r="BQ152" s="539">
        <f>IF('Técnicas de Ki'!AR47=0,0,IF('Técnicas de Ki'!AY47=TS!BQ$119,'Técnicas de Ki'!AS47-(IF($O152&lt;&gt;0,'Técnicas de Ki'!BB47,0)+IF($P152&lt;&gt;0,'Técnicas de Ki'!BC47,0)+IF($Q152&lt;&gt;0,'Técnicas de Ki'!BD47,0)+IF($R152&lt;&gt;0,'Técnicas de Ki'!BE47,0)+IF($S152&lt;&gt;0,'Técnicas de Ki'!BF47,0)+IF($T152&lt;&gt;0,'Técnicas de Ki'!BG47,0)),0))</f>
        <v>0</v>
      </c>
      <c r="BR152" s="538">
        <f>IF('Técnicas de Ki'!AR47=0,0,IFERROR(IF('Técnicas de Ki'!BB47&lt;&gt;0,'Técnicas de Ki'!BB47+TS!$O152,0)*$O152/$O152,0))</f>
        <v>0</v>
      </c>
      <c r="BS152" s="538">
        <f>IF('Técnicas de Ki'!AR47=0,0,IFERROR(IF('Técnicas de Ki'!BC47&lt;&gt;0,'Técnicas de Ki'!BC47+TS!$P152,0)*$P152/$P152,0))</f>
        <v>0</v>
      </c>
      <c r="BT152" s="538">
        <f>IF('Técnicas de Ki'!AR47=0,0,IFERROR(IF('Técnicas de Ki'!BD47&lt;&gt;0,'Técnicas de Ki'!BD47+TS!$Q152,0)*$Q152/$Q152,0))</f>
        <v>0</v>
      </c>
      <c r="BU152" s="538">
        <f>IF('Técnicas de Ki'!AR47=0,0,IFERROR(IF('Técnicas de Ki'!BE47&lt;&gt;0,'Técnicas de Ki'!BE47+TS!$R152,0)*$R152/$R152,0))</f>
        <v>0</v>
      </c>
      <c r="BV152" s="538">
        <f>IF('Técnicas de Ki'!AR47=0,0,IFERROR(IF('Técnicas de Ki'!BF47&lt;&gt;0,'Técnicas de Ki'!BF47+TS!$S152,0)*$S152/$S152,0))</f>
        <v>0</v>
      </c>
      <c r="BW152" s="539">
        <f>IF('Técnicas de Ki'!AR47=0,0,IFERROR(IF('Técnicas de Ki'!BG47&lt;&gt;0,'Técnicas de Ki'!BG47+TS!$T152,0)*$T152/$T152,0))</f>
        <v>0</v>
      </c>
      <c r="BY152" s="572" t="str">
        <f>IF('Técnicas de Ki'!AR50&lt;&gt;0,'Técnicas de Ki'!AQ50&amp;" "&amp;'Técnicas de Ki'!AR50,"")</f>
        <v/>
      </c>
      <c r="BZ152" s="302" t="b">
        <f t="shared" si="20"/>
        <v>0</v>
      </c>
      <c r="CA152" s="302" t="str">
        <f t="shared" si="6"/>
        <v/>
      </c>
      <c r="CG152" s="537">
        <f>IF('Técnicas de Ki'!BM47=0,0,IF('Técnicas de Ki'!BT47=TS!CG$119,'Técnicas de Ki'!BN47-(IF($O152&lt;&gt;0,'Técnicas de Ki'!BW47,0)+IF($P152&lt;&gt;0,'Técnicas de Ki'!BX47,0)+IF($Q152&lt;&gt;0,'Técnicas de Ki'!BY47,0)+IF($R152&lt;&gt;0,'Técnicas de Ki'!BZ47,0)+IF($S152&lt;&gt;0,'Técnicas de Ki'!CA47,0)+IF($T152&lt;&gt;0,'Técnicas de Ki'!CB47,0)),0))</f>
        <v>0</v>
      </c>
      <c r="CH152" s="538">
        <f>IF('Técnicas de Ki'!BM47=0,0,IF('Técnicas de Ki'!BT47=TS!CH$119,'Técnicas de Ki'!BN47-(IF($O152&lt;&gt;0,'Técnicas de Ki'!BW47,0)+IF($P152&lt;&gt;0,'Técnicas de Ki'!BX47,0)+IF($Q152&lt;&gt;0,'Técnicas de Ki'!BY47,0)+IF($R152&lt;&gt;0,'Técnicas de Ki'!BZ47,0)+IF($S152&lt;&gt;0,'Técnicas de Ki'!CA47,0)+IF($T152&lt;&gt;0,'Técnicas de Ki'!CB47,0)),0))</f>
        <v>0</v>
      </c>
      <c r="CI152" s="538">
        <f>IF('Técnicas de Ki'!BM47=0,0,IF('Técnicas de Ki'!BT47=TS!CI$119,'Técnicas de Ki'!BN47-(IF($O152&lt;&gt;0,'Técnicas de Ki'!BW47,0)+IF($P152&lt;&gt;0,'Técnicas de Ki'!BX47,0)+IF($Q152&lt;&gt;0,'Técnicas de Ki'!BY47,0)+IF($R152&lt;&gt;0,'Técnicas de Ki'!BZ47,0)+IF($S152&lt;&gt;0,'Técnicas de Ki'!CA47,0)+IF($T152&lt;&gt;0,'Técnicas de Ki'!CB47,0)),0))</f>
        <v>0</v>
      </c>
      <c r="CJ152" s="538">
        <f>IF('Técnicas de Ki'!BM47=0,0,IF('Técnicas de Ki'!BT47=TS!CJ$119,'Técnicas de Ki'!BN47-(IF($O152&lt;&gt;0,'Técnicas de Ki'!BW47,0)+IF($P152&lt;&gt;0,'Técnicas de Ki'!BX47,0)+IF($Q152&lt;&gt;0,'Técnicas de Ki'!BY47,0)+IF($R152&lt;&gt;0,'Técnicas de Ki'!BZ47,0)+IF($S152&lt;&gt;0,'Técnicas de Ki'!CA47,0)+IF($T152&lt;&gt;0,'Técnicas de Ki'!CB47,0)),0))</f>
        <v>0</v>
      </c>
      <c r="CK152" s="538">
        <f>IF('Técnicas de Ki'!BM47=0,0,IF('Técnicas de Ki'!BT47=TS!CK$119,'Técnicas de Ki'!BN47-(IF($O152&lt;&gt;0,'Técnicas de Ki'!BW47,0)+IF($P152&lt;&gt;0,'Técnicas de Ki'!BX47,0)+IF($Q152&lt;&gt;0,'Técnicas de Ki'!BY47,0)+IF($R152&lt;&gt;0,'Técnicas de Ki'!BZ47,0)+IF($S152&lt;&gt;0,'Técnicas de Ki'!CA47,0)+IF($T152&lt;&gt;0,'Técnicas de Ki'!CB47,0)),0))</f>
        <v>0</v>
      </c>
      <c r="CL152" s="539">
        <f>IF('Técnicas de Ki'!BM47=0,0,IF('Técnicas de Ki'!BT47=TS!CL$119,'Técnicas de Ki'!BN47-(IF($O152&lt;&gt;0,'Técnicas de Ki'!BW47,0)+IF($P152&lt;&gt;0,'Técnicas de Ki'!BX47,0)+IF($Q152&lt;&gt;0,'Técnicas de Ki'!BY47,0)+IF($R152&lt;&gt;0,'Técnicas de Ki'!BZ47,0)+IF($S152&lt;&gt;0,'Técnicas de Ki'!CA47,0)+IF($T152&lt;&gt;0,'Técnicas de Ki'!CB47,0)),0))</f>
        <v>0</v>
      </c>
      <c r="CM152" s="538">
        <f>IF('Técnicas de Ki'!BM47=0,0,IFERROR(IF('Técnicas de Ki'!BW47&lt;&gt;0,'Técnicas de Ki'!BW47+TS!$O152,0)*$O152/$O152,0))</f>
        <v>0</v>
      </c>
      <c r="CN152" s="538">
        <f>IF('Técnicas de Ki'!BM47=0,0,IFERROR(IF('Técnicas de Ki'!BX47&lt;&gt;0,'Técnicas de Ki'!BX47+TS!$P152,0)*$P152/$P152,0))</f>
        <v>0</v>
      </c>
      <c r="CO152" s="538">
        <f>IF('Técnicas de Ki'!BM47=0,0,IFERROR(IF('Técnicas de Ki'!BY47&lt;&gt;0,'Técnicas de Ki'!BY47+TS!$Q152,0)*$Q152/$Q152,0))</f>
        <v>0</v>
      </c>
      <c r="CP152" s="538">
        <f>IF('Técnicas de Ki'!BM47=0,0,IFERROR(IF('Técnicas de Ki'!BZ47&lt;&gt;0,'Técnicas de Ki'!BZ47+TS!$R152,0)*$R152/$R152,0))</f>
        <v>0</v>
      </c>
      <c r="CQ152" s="538">
        <f>IF('Técnicas de Ki'!BM47=0,0,IFERROR(IF('Técnicas de Ki'!CA47&lt;&gt;0,'Técnicas de Ki'!CA47+TS!$S152,0)*$S152/$S152,0))</f>
        <v>0</v>
      </c>
      <c r="CR152" s="539">
        <f>IF('Técnicas de Ki'!BM47=0,0,IFERROR(IF('Técnicas de Ki'!CB47&lt;&gt;0,'Técnicas de Ki'!CB47+TS!$T152,0)*$T152/$T152,0))</f>
        <v>0</v>
      </c>
      <c r="CT152" s="572" t="str">
        <f>IF('Técnicas de Ki'!BM50&lt;&gt;0,'Técnicas de Ki'!BL50&amp;" "&amp;'Técnicas de Ki'!BM50,"")</f>
        <v/>
      </c>
      <c r="CU152" s="302" t="b">
        <f t="shared" si="21"/>
        <v>0</v>
      </c>
      <c r="CV152" s="302" t="str">
        <f t="shared" si="7"/>
        <v/>
      </c>
    </row>
    <row r="153" spans="1:102" ht="13.5" thickBot="1" x14ac:dyDescent="0.25">
      <c r="A153" s="302" t="s">
        <v>6850</v>
      </c>
      <c r="B153" s="301" t="s">
        <v>6809</v>
      </c>
      <c r="C153" s="301" t="str">
        <f t="shared" si="15"/>
        <v>Aumento de daño real+100</v>
      </c>
      <c r="D153" s="302">
        <v>14</v>
      </c>
      <c r="E153" s="302">
        <v>18</v>
      </c>
      <c r="F153" s="302">
        <v>50</v>
      </c>
      <c r="G153" s="302">
        <v>10</v>
      </c>
      <c r="H153" s="302">
        <v>20</v>
      </c>
      <c r="I153" s="302">
        <v>35</v>
      </c>
      <c r="J153" s="302">
        <v>3</v>
      </c>
      <c r="N153" s="302" t="s">
        <v>6865</v>
      </c>
      <c r="Q153" s="302">
        <v>1</v>
      </c>
      <c r="R153" s="302">
        <v>2</v>
      </c>
      <c r="S153" s="302">
        <v>3</v>
      </c>
      <c r="T153" s="302">
        <v>3</v>
      </c>
      <c r="V153" s="537">
        <f>IF('Técnicas de Ki'!B48=0,0,IF('Técnicas de Ki'!I48=TS!V$119,'Técnicas de Ki'!C48-(IF($O153&lt;&gt;0,'Técnicas de Ki'!L48,0)+IF($P153&lt;&gt;0,'Técnicas de Ki'!M48,0)+IF($Q153&lt;&gt;0,'Técnicas de Ki'!N48,0)+IF($R153&lt;&gt;0,'Técnicas de Ki'!O48,0)+IF($S153&lt;&gt;0,'Técnicas de Ki'!P48,0)+IF($T153&lt;&gt;0,'Técnicas de Ki'!Q48,0)),0))</f>
        <v>0</v>
      </c>
      <c r="W153" s="538">
        <f>IF('Técnicas de Ki'!B48=0,0,IF('Técnicas de Ki'!I48=TS!W$119,'Técnicas de Ki'!C48-(IF($O153&lt;&gt;0,'Técnicas de Ki'!L48,0)+IF($P153&lt;&gt;0,'Técnicas de Ki'!M48,0)+IF($Q153&lt;&gt;0,'Técnicas de Ki'!N48,0)+IF($R153&lt;&gt;0,'Técnicas de Ki'!O48,0)+IF($S153&lt;&gt;0,'Técnicas de Ki'!P48,0)+IF($T153&lt;&gt;0,'Técnicas de Ki'!Q48,0)),0))</f>
        <v>0</v>
      </c>
      <c r="X153" s="538">
        <f>IF('Técnicas de Ki'!B48=0,0,IF('Técnicas de Ki'!I48=TS!X$119,'Técnicas de Ki'!C48-(IF($O153&lt;&gt;0,'Técnicas de Ki'!L48,0)+IF($P153&lt;&gt;0,'Técnicas de Ki'!M48,0)+IF($Q153&lt;&gt;0,'Técnicas de Ki'!N48,0)+IF($R153&lt;&gt;0,'Técnicas de Ki'!O48,0)+IF($S153&lt;&gt;0,'Técnicas de Ki'!P48,0)+IF($T153&lt;&gt;0,'Técnicas de Ki'!Q48,0)),0))</f>
        <v>0</v>
      </c>
      <c r="Y153" s="538">
        <f>IF('Técnicas de Ki'!B48=0,0,IF('Técnicas de Ki'!I48=TS!Y$119,'Técnicas de Ki'!C48-(IF($O153&lt;&gt;0,'Técnicas de Ki'!L48,0)+IF($P153&lt;&gt;0,'Técnicas de Ki'!M48,0)+IF($Q153&lt;&gt;0,'Técnicas de Ki'!N48,0)+IF($R153&lt;&gt;0,'Técnicas de Ki'!O48,0)+IF($S153&lt;&gt;0,'Técnicas de Ki'!P48,0)+IF($T153&lt;&gt;0,'Técnicas de Ki'!Q48,0)),0))</f>
        <v>0</v>
      </c>
      <c r="Z153" s="538">
        <f>IF('Técnicas de Ki'!B48=0,0,IF('Técnicas de Ki'!I48=TS!Z$119,'Técnicas de Ki'!C48-(IF($O153&lt;&gt;0,'Técnicas de Ki'!L48,0)+IF($P153&lt;&gt;0,'Técnicas de Ki'!M48,0)+IF($Q153&lt;&gt;0,'Técnicas de Ki'!N48,0)+IF($R153&lt;&gt;0,'Técnicas de Ki'!O48,0)+IF($S153&lt;&gt;0,'Técnicas de Ki'!P48,0)+IF($T153&lt;&gt;0,'Técnicas de Ki'!Q48,0)),0))</f>
        <v>0</v>
      </c>
      <c r="AA153" s="539">
        <f>IF('Técnicas de Ki'!B48=0,0,IF('Técnicas de Ki'!I48=TS!AA$119,'Técnicas de Ki'!C48-(IF($O153&lt;&gt;0,'Técnicas de Ki'!L48,0)+IF($P153&lt;&gt;0,'Técnicas de Ki'!M48,0)+IF($Q153&lt;&gt;0,'Técnicas de Ki'!N48,0)+IF($R153&lt;&gt;0,'Técnicas de Ki'!O48,0)+IF($S153&lt;&gt;0,'Técnicas de Ki'!P48,0)+IF($T153&lt;&gt;0,'Técnicas de Ki'!Q48,0)),0))</f>
        <v>0</v>
      </c>
      <c r="AB153" s="538">
        <f>IF('Técnicas de Ki'!B48=0,0,IFERROR(IF('Técnicas de Ki'!L48&lt;&gt;0,'Técnicas de Ki'!L48+TS!$O153,0)*$O153/$O153,0))</f>
        <v>0</v>
      </c>
      <c r="AC153" s="538">
        <f>IF('Técnicas de Ki'!B48=0,0,IFERROR(IF('Técnicas de Ki'!M48&lt;&gt;0,'Técnicas de Ki'!M48+TS!$P153,0)*$P153/$P153,0))</f>
        <v>0</v>
      </c>
      <c r="AD153" s="538">
        <f>IF('Técnicas de Ki'!B48=0,0,IFERROR(IF('Técnicas de Ki'!N48&lt;&gt;0,'Técnicas de Ki'!N48+TS!$Q153,0)*$Q153/$Q153,0))</f>
        <v>0</v>
      </c>
      <c r="AE153" s="538">
        <f>IF('Técnicas de Ki'!B48=0,0,IFERROR(IF('Técnicas de Ki'!O48&lt;&gt;0,'Técnicas de Ki'!O48+TS!$R153,0)*$R153/$R153,0))</f>
        <v>0</v>
      </c>
      <c r="AF153" s="538">
        <f>IF('Técnicas de Ki'!B48=0,0,IFERROR(IF('Técnicas de Ki'!P48&lt;&gt;0,'Técnicas de Ki'!P48+TS!$S153,0)*$S153/$S153,0))</f>
        <v>0</v>
      </c>
      <c r="AG153" s="539">
        <f>IF('Técnicas de Ki'!B48=0,0,IFERROR(IF('Técnicas de Ki'!Q48&lt;&gt;0,'Técnicas de Ki'!Q48+TS!$T153,0)*$T153/$T153,0))</f>
        <v>0</v>
      </c>
      <c r="AI153" s="570" t="str">
        <f>IF('Técnicas de Ki'!B52&lt;&gt;0,'Técnicas de Ki'!A52&amp;" "&amp;'Técnicas de Ki'!B52,"")</f>
        <v/>
      </c>
      <c r="AJ153" s="302" t="b">
        <v>0</v>
      </c>
      <c r="AK153" s="302" t="str">
        <f t="shared" si="4"/>
        <v/>
      </c>
      <c r="AL153" s="573" t="str">
        <f>IF(AM153,N156&amp;": "&amp;CONCATENATE(AK153,AK154,AK155),"")&amp;IF(AM153,"  ","")</f>
        <v/>
      </c>
      <c r="AM153" s="302" t="b">
        <f>OR(AJ153:AJ155,AI155&lt;&gt;"")</f>
        <v>0</v>
      </c>
      <c r="AQ153" s="537">
        <f>IF('Técnicas de Ki'!W48=0,0,IF('Técnicas de Ki'!AD48=TS!AQ$119,'Técnicas de Ki'!X48-(IF($O153&lt;&gt;0,'Técnicas de Ki'!AG48,0)+IF($P153&lt;&gt;0,'Técnicas de Ki'!AH48,0)+IF($Q153&lt;&gt;0,'Técnicas de Ki'!AI48,0)+IF($R153&lt;&gt;0,'Técnicas de Ki'!AJ48,0)+IF($S153&lt;&gt;0,'Técnicas de Ki'!AK48,0)+IF($T153&lt;&gt;0,'Técnicas de Ki'!AL48,0)),0))</f>
        <v>0</v>
      </c>
      <c r="AR153" s="538">
        <f>IF('Técnicas de Ki'!W48=0,0,IF('Técnicas de Ki'!AD48=TS!AR$119,'Técnicas de Ki'!X48-(IF($O153&lt;&gt;0,'Técnicas de Ki'!AG48,0)+IF($P153&lt;&gt;0,'Técnicas de Ki'!AH48,0)+IF($Q153&lt;&gt;0,'Técnicas de Ki'!AI48,0)+IF($R153&lt;&gt;0,'Técnicas de Ki'!AJ48,0)+IF($S153&lt;&gt;0,'Técnicas de Ki'!AK48,0)+IF($T153&lt;&gt;0,'Técnicas de Ki'!AL48,0)),0))</f>
        <v>0</v>
      </c>
      <c r="AS153" s="538">
        <f>IF('Técnicas de Ki'!W48=0,0,IF('Técnicas de Ki'!AD48=TS!AS$119,'Técnicas de Ki'!X48-(IF($O153&lt;&gt;0,'Técnicas de Ki'!AG48,0)+IF($P153&lt;&gt;0,'Técnicas de Ki'!AH48,0)+IF($Q153&lt;&gt;0,'Técnicas de Ki'!AI48,0)+IF($R153&lt;&gt;0,'Técnicas de Ki'!AJ48,0)+IF($S153&lt;&gt;0,'Técnicas de Ki'!AK48,0)+IF($T153&lt;&gt;0,'Técnicas de Ki'!AL48,0)),0))</f>
        <v>0</v>
      </c>
      <c r="AT153" s="538">
        <f>IF('Técnicas de Ki'!W48=0,0,IF('Técnicas de Ki'!AD48=TS!AT$119,'Técnicas de Ki'!X48-(IF($O153&lt;&gt;0,'Técnicas de Ki'!AG48,0)+IF($P153&lt;&gt;0,'Técnicas de Ki'!AH48,0)+IF($Q153&lt;&gt;0,'Técnicas de Ki'!AI48,0)+IF($R153&lt;&gt;0,'Técnicas de Ki'!AJ48,0)+IF($S153&lt;&gt;0,'Técnicas de Ki'!AK48,0)+IF($T153&lt;&gt;0,'Técnicas de Ki'!AL48,0)),0))</f>
        <v>0</v>
      </c>
      <c r="AU153" s="538">
        <f>IF('Técnicas de Ki'!W48=0,0,IF('Técnicas de Ki'!AD48=TS!AU$119,'Técnicas de Ki'!X48-(IF($O153&lt;&gt;0,'Técnicas de Ki'!AG48,0)+IF($P153&lt;&gt;0,'Técnicas de Ki'!AH48,0)+IF($Q153&lt;&gt;0,'Técnicas de Ki'!AI48,0)+IF($R153&lt;&gt;0,'Técnicas de Ki'!AJ48,0)+IF($S153&lt;&gt;0,'Técnicas de Ki'!AK48,0)+IF($T153&lt;&gt;0,'Técnicas de Ki'!AL48,0)),0))</f>
        <v>0</v>
      </c>
      <c r="AV153" s="539">
        <f>IF('Técnicas de Ki'!W48=0,0,IF('Técnicas de Ki'!AD48=TS!AV$119,'Técnicas de Ki'!X48-(IF($O153&lt;&gt;0,'Técnicas de Ki'!AG48,0)+IF($P153&lt;&gt;0,'Técnicas de Ki'!AH48,0)+IF($Q153&lt;&gt;0,'Técnicas de Ki'!AI48,0)+IF($R153&lt;&gt;0,'Técnicas de Ki'!AJ48,0)+IF($S153&lt;&gt;0,'Técnicas de Ki'!AK48,0)+IF($T153&lt;&gt;0,'Técnicas de Ki'!AL48,0)),0))</f>
        <v>0</v>
      </c>
      <c r="AW153" s="538">
        <f>IF('Técnicas de Ki'!W48=0,0,IFERROR(IF('Técnicas de Ki'!AG48&lt;&gt;0,'Técnicas de Ki'!AG48+TS!$O153,0)*$O153/$O153,0))</f>
        <v>0</v>
      </c>
      <c r="AX153" s="538">
        <f>IF('Técnicas de Ki'!W48=0,0,IFERROR(IF('Técnicas de Ki'!AH48&lt;&gt;0,'Técnicas de Ki'!AH48+TS!$P153,0)*$P153/$P153,0))</f>
        <v>0</v>
      </c>
      <c r="AY153" s="538">
        <f>IF('Técnicas de Ki'!W48=0,0,IFERROR(IF('Técnicas de Ki'!AI48&lt;&gt;0,'Técnicas de Ki'!AI48+TS!$Q153,0)*$Q153/$Q153,0))</f>
        <v>0</v>
      </c>
      <c r="AZ153" s="538">
        <f>IF('Técnicas de Ki'!W48=0,0,IFERROR(IF('Técnicas de Ki'!AJ48&lt;&gt;0,'Técnicas de Ki'!AJ48+TS!$R153,0)*$R153/$R153,0))</f>
        <v>0</v>
      </c>
      <c r="BA153" s="538">
        <f>IF('Técnicas de Ki'!W48=0,0,IFERROR(IF('Técnicas de Ki'!AK48&lt;&gt;0,'Técnicas de Ki'!AK48+TS!$S153,0)*$S153/$S153,0))</f>
        <v>0</v>
      </c>
      <c r="BB153" s="539">
        <f>IF('Técnicas de Ki'!W48=0,0,IFERROR(IF('Técnicas de Ki'!AL48&lt;&gt;0,'Técnicas de Ki'!AL48+TS!$T153,0)*$T153/$T153,0))</f>
        <v>0</v>
      </c>
      <c r="BD153" s="570" t="str">
        <f>IF('Técnicas de Ki'!W52&lt;&gt;0,'Técnicas de Ki'!V52&amp;" "&amp;'Técnicas de Ki'!W52,"")</f>
        <v/>
      </c>
      <c r="BE153" s="302" t="b">
        <v>0</v>
      </c>
      <c r="BF153" s="302" t="str">
        <f t="shared" si="5"/>
        <v/>
      </c>
      <c r="BG153" s="573" t="str">
        <f>IF(BH153,AI156&amp;": "&amp;CONCATENATE(BF153,BF154,BF155),"")&amp;IF(BH153,"  ","")</f>
        <v/>
      </c>
      <c r="BH153" s="302" t="b">
        <f>OR(BE153:BE155,BD155&lt;&gt;"")</f>
        <v>0</v>
      </c>
      <c r="BL153" s="537">
        <f>IF('Técnicas de Ki'!AR48=0,0,IF('Técnicas de Ki'!AY48=TS!BL$119,'Técnicas de Ki'!AS48-(IF($O153&lt;&gt;0,'Técnicas de Ki'!BB48,0)+IF($P153&lt;&gt;0,'Técnicas de Ki'!BC48,0)+IF($Q153&lt;&gt;0,'Técnicas de Ki'!BD48,0)+IF($R153&lt;&gt;0,'Técnicas de Ki'!BE48,0)+IF($S153&lt;&gt;0,'Técnicas de Ki'!BF48,0)+IF($T153&lt;&gt;0,'Técnicas de Ki'!BG48,0)),0))</f>
        <v>0</v>
      </c>
      <c r="BM153" s="538">
        <f>IF('Técnicas de Ki'!AR48=0,0,IF('Técnicas de Ki'!AY48=TS!BM$119,'Técnicas de Ki'!AS48-(IF($O153&lt;&gt;0,'Técnicas de Ki'!BB48,0)+IF($P153&lt;&gt;0,'Técnicas de Ki'!BC48,0)+IF($Q153&lt;&gt;0,'Técnicas de Ki'!BD48,0)+IF($R153&lt;&gt;0,'Técnicas de Ki'!BE48,0)+IF($S153&lt;&gt;0,'Técnicas de Ki'!BF48,0)+IF($T153&lt;&gt;0,'Técnicas de Ki'!BG48,0)),0))</f>
        <v>0</v>
      </c>
      <c r="BN153" s="538">
        <f>IF('Técnicas de Ki'!AR48=0,0,IF('Técnicas de Ki'!AY48=TS!BN$119,'Técnicas de Ki'!AS48-(IF($O153&lt;&gt;0,'Técnicas de Ki'!BB48,0)+IF($P153&lt;&gt;0,'Técnicas de Ki'!BC48,0)+IF($Q153&lt;&gt;0,'Técnicas de Ki'!BD48,0)+IF($R153&lt;&gt;0,'Técnicas de Ki'!BE48,0)+IF($S153&lt;&gt;0,'Técnicas de Ki'!BF48,0)+IF($T153&lt;&gt;0,'Técnicas de Ki'!BG48,0)),0))</f>
        <v>0</v>
      </c>
      <c r="BO153" s="538">
        <f>IF('Técnicas de Ki'!AR48=0,0,IF('Técnicas de Ki'!AY48=TS!BO$119,'Técnicas de Ki'!AS48-(IF($O153&lt;&gt;0,'Técnicas de Ki'!BB48,0)+IF($P153&lt;&gt;0,'Técnicas de Ki'!BC48,0)+IF($Q153&lt;&gt;0,'Técnicas de Ki'!BD48,0)+IF($R153&lt;&gt;0,'Técnicas de Ki'!BE48,0)+IF($S153&lt;&gt;0,'Técnicas de Ki'!BF48,0)+IF($T153&lt;&gt;0,'Técnicas de Ki'!BG48,0)),0))</f>
        <v>0</v>
      </c>
      <c r="BP153" s="538">
        <f>IF('Técnicas de Ki'!AR48=0,0,IF('Técnicas de Ki'!AY48=TS!BP$119,'Técnicas de Ki'!AS48-(IF($O153&lt;&gt;0,'Técnicas de Ki'!BB48,0)+IF($P153&lt;&gt;0,'Técnicas de Ki'!BC48,0)+IF($Q153&lt;&gt;0,'Técnicas de Ki'!BD48,0)+IF($R153&lt;&gt;0,'Técnicas de Ki'!BE48,0)+IF($S153&lt;&gt;0,'Técnicas de Ki'!BF48,0)+IF($T153&lt;&gt;0,'Técnicas de Ki'!BG48,0)),0))</f>
        <v>0</v>
      </c>
      <c r="BQ153" s="539">
        <f>IF('Técnicas de Ki'!AR48=0,0,IF('Técnicas de Ki'!AY48=TS!BQ$119,'Técnicas de Ki'!AS48-(IF($O153&lt;&gt;0,'Técnicas de Ki'!BB48,0)+IF($P153&lt;&gt;0,'Técnicas de Ki'!BC48,0)+IF($Q153&lt;&gt;0,'Técnicas de Ki'!BD48,0)+IF($R153&lt;&gt;0,'Técnicas de Ki'!BE48,0)+IF($S153&lt;&gt;0,'Técnicas de Ki'!BF48,0)+IF($T153&lt;&gt;0,'Técnicas de Ki'!BG48,0)),0))</f>
        <v>0</v>
      </c>
      <c r="BR153" s="538">
        <f>IF('Técnicas de Ki'!AR48=0,0,IFERROR(IF('Técnicas de Ki'!BB48&lt;&gt;0,'Técnicas de Ki'!BB48+TS!$O153,0)*$O153/$O153,0))</f>
        <v>0</v>
      </c>
      <c r="BS153" s="538">
        <f>IF('Técnicas de Ki'!AR48=0,0,IFERROR(IF('Técnicas de Ki'!BC48&lt;&gt;0,'Técnicas de Ki'!BC48+TS!$P153,0)*$P153/$P153,0))</f>
        <v>0</v>
      </c>
      <c r="BT153" s="538">
        <f>IF('Técnicas de Ki'!AR48=0,0,IFERROR(IF('Técnicas de Ki'!BD48&lt;&gt;0,'Técnicas de Ki'!BD48+TS!$Q153,0)*$Q153/$Q153,0))</f>
        <v>0</v>
      </c>
      <c r="BU153" s="538">
        <f>IF('Técnicas de Ki'!AR48=0,0,IFERROR(IF('Técnicas de Ki'!BE48&lt;&gt;0,'Técnicas de Ki'!BE48+TS!$R153,0)*$R153/$R153,0))</f>
        <v>0</v>
      </c>
      <c r="BV153" s="538">
        <f>IF('Técnicas de Ki'!AR48=0,0,IFERROR(IF('Técnicas de Ki'!BF48&lt;&gt;0,'Técnicas de Ki'!BF48+TS!$S153,0)*$S153/$S153,0))</f>
        <v>0</v>
      </c>
      <c r="BW153" s="539">
        <f>IF('Técnicas de Ki'!AR48=0,0,IFERROR(IF('Técnicas de Ki'!BG48&lt;&gt;0,'Técnicas de Ki'!BG48+TS!$T153,0)*$T153/$T153,0))</f>
        <v>0</v>
      </c>
      <c r="BY153" s="570" t="str">
        <f>IF('Técnicas de Ki'!AR52&lt;&gt;0,'Técnicas de Ki'!AQ52&amp;" "&amp;'Técnicas de Ki'!AR52,"")</f>
        <v/>
      </c>
      <c r="BZ153" s="302" t="b">
        <v>0</v>
      </c>
      <c r="CA153" s="302" t="str">
        <f t="shared" si="6"/>
        <v/>
      </c>
      <c r="CB153" s="573" t="str">
        <f>IF(CC153,BD156&amp;": "&amp;CONCATENATE(CA153,CA154,CA155),"")&amp;IF(CC153,"  ","")</f>
        <v/>
      </c>
      <c r="CC153" s="302" t="b">
        <f>OR(BZ153:BZ155,BY155&lt;&gt;"")</f>
        <v>0</v>
      </c>
      <c r="CG153" s="537">
        <f>IF('Técnicas de Ki'!BM48=0,0,IF('Técnicas de Ki'!BT48=TS!CG$119,'Técnicas de Ki'!BN48-(IF($O153&lt;&gt;0,'Técnicas de Ki'!BW48,0)+IF($P153&lt;&gt;0,'Técnicas de Ki'!BX48,0)+IF($Q153&lt;&gt;0,'Técnicas de Ki'!BY48,0)+IF($R153&lt;&gt;0,'Técnicas de Ki'!BZ48,0)+IF($S153&lt;&gt;0,'Técnicas de Ki'!CA48,0)+IF($T153&lt;&gt;0,'Técnicas de Ki'!CB48,0)),0))</f>
        <v>0</v>
      </c>
      <c r="CH153" s="538">
        <f>IF('Técnicas de Ki'!BM48=0,0,IF('Técnicas de Ki'!BT48=TS!CH$119,'Técnicas de Ki'!BN48-(IF($O153&lt;&gt;0,'Técnicas de Ki'!BW48,0)+IF($P153&lt;&gt;0,'Técnicas de Ki'!BX48,0)+IF($Q153&lt;&gt;0,'Técnicas de Ki'!BY48,0)+IF($R153&lt;&gt;0,'Técnicas de Ki'!BZ48,0)+IF($S153&lt;&gt;0,'Técnicas de Ki'!CA48,0)+IF($T153&lt;&gt;0,'Técnicas de Ki'!CB48,0)),0))</f>
        <v>0</v>
      </c>
      <c r="CI153" s="538">
        <f>IF('Técnicas de Ki'!BM48=0,0,IF('Técnicas de Ki'!BT48=TS!CI$119,'Técnicas de Ki'!BN48-(IF($O153&lt;&gt;0,'Técnicas de Ki'!BW48,0)+IF($P153&lt;&gt;0,'Técnicas de Ki'!BX48,0)+IF($Q153&lt;&gt;0,'Técnicas de Ki'!BY48,0)+IF($R153&lt;&gt;0,'Técnicas de Ki'!BZ48,0)+IF($S153&lt;&gt;0,'Técnicas de Ki'!CA48,0)+IF($T153&lt;&gt;0,'Técnicas de Ki'!CB48,0)),0))</f>
        <v>0</v>
      </c>
      <c r="CJ153" s="538">
        <f>IF('Técnicas de Ki'!BM48=0,0,IF('Técnicas de Ki'!BT48=TS!CJ$119,'Técnicas de Ki'!BN48-(IF($O153&lt;&gt;0,'Técnicas de Ki'!BW48,0)+IF($P153&lt;&gt;0,'Técnicas de Ki'!BX48,0)+IF($Q153&lt;&gt;0,'Técnicas de Ki'!BY48,0)+IF($R153&lt;&gt;0,'Técnicas de Ki'!BZ48,0)+IF($S153&lt;&gt;0,'Técnicas de Ki'!CA48,0)+IF($T153&lt;&gt;0,'Técnicas de Ki'!CB48,0)),0))</f>
        <v>0</v>
      </c>
      <c r="CK153" s="538">
        <f>IF('Técnicas de Ki'!BM48=0,0,IF('Técnicas de Ki'!BT48=TS!CK$119,'Técnicas de Ki'!BN48-(IF($O153&lt;&gt;0,'Técnicas de Ki'!BW48,0)+IF($P153&lt;&gt;0,'Técnicas de Ki'!BX48,0)+IF($Q153&lt;&gt;0,'Técnicas de Ki'!BY48,0)+IF($R153&lt;&gt;0,'Técnicas de Ki'!BZ48,0)+IF($S153&lt;&gt;0,'Técnicas de Ki'!CA48,0)+IF($T153&lt;&gt;0,'Técnicas de Ki'!CB48,0)),0))</f>
        <v>0</v>
      </c>
      <c r="CL153" s="539">
        <f>IF('Técnicas de Ki'!BM48=0,0,IF('Técnicas de Ki'!BT48=TS!CL$119,'Técnicas de Ki'!BN48-(IF($O153&lt;&gt;0,'Técnicas de Ki'!BW48,0)+IF($P153&lt;&gt;0,'Técnicas de Ki'!BX48,0)+IF($Q153&lt;&gt;0,'Técnicas de Ki'!BY48,0)+IF($R153&lt;&gt;0,'Técnicas de Ki'!BZ48,0)+IF($S153&lt;&gt;0,'Técnicas de Ki'!CA48,0)+IF($T153&lt;&gt;0,'Técnicas de Ki'!CB48,0)),0))</f>
        <v>0</v>
      </c>
      <c r="CM153" s="538">
        <f>IF('Técnicas de Ki'!BM48=0,0,IFERROR(IF('Técnicas de Ki'!BW48&lt;&gt;0,'Técnicas de Ki'!BW48+TS!$O153,0)*$O153/$O153,0))</f>
        <v>0</v>
      </c>
      <c r="CN153" s="538">
        <f>IF('Técnicas de Ki'!BM48=0,0,IFERROR(IF('Técnicas de Ki'!BX48&lt;&gt;0,'Técnicas de Ki'!BX48+TS!$P153,0)*$P153/$P153,0))</f>
        <v>0</v>
      </c>
      <c r="CO153" s="538">
        <f>IF('Técnicas de Ki'!BM48=0,0,IFERROR(IF('Técnicas de Ki'!BY48&lt;&gt;0,'Técnicas de Ki'!BY48+TS!$Q153,0)*$Q153/$Q153,0))</f>
        <v>0</v>
      </c>
      <c r="CP153" s="538">
        <f>IF('Técnicas de Ki'!BM48=0,0,IFERROR(IF('Técnicas de Ki'!BZ48&lt;&gt;0,'Técnicas de Ki'!BZ48+TS!$R153,0)*$R153/$R153,0))</f>
        <v>0</v>
      </c>
      <c r="CQ153" s="538">
        <f>IF('Técnicas de Ki'!BM48=0,0,IFERROR(IF('Técnicas de Ki'!CA48&lt;&gt;0,'Técnicas de Ki'!CA48+TS!$S153,0)*$S153/$S153,0))</f>
        <v>0</v>
      </c>
      <c r="CR153" s="539">
        <f>IF('Técnicas de Ki'!BM48=0,0,IFERROR(IF('Técnicas de Ki'!CB48&lt;&gt;0,'Técnicas de Ki'!CB48+TS!$T153,0)*$T153/$T153,0))</f>
        <v>0</v>
      </c>
      <c r="CT153" s="570" t="str">
        <f>IF('Técnicas de Ki'!BM52&lt;&gt;0,'Técnicas de Ki'!BL52&amp;" "&amp;'Técnicas de Ki'!BM52,"")</f>
        <v/>
      </c>
      <c r="CU153" s="302" t="b">
        <v>0</v>
      </c>
      <c r="CV153" s="302" t="str">
        <f t="shared" si="7"/>
        <v/>
      </c>
      <c r="CW153" s="573" t="str">
        <f>IF(CX153,BY156&amp;": "&amp;CONCATENATE(CV153,CV154,CV155),"")&amp;IF(CX153,"  ","")</f>
        <v/>
      </c>
      <c r="CX153" s="302" t="b">
        <f>OR(CU153:CU155,CT155&lt;&gt;"")</f>
        <v>0</v>
      </c>
    </row>
    <row r="154" spans="1:102" x14ac:dyDescent="0.2">
      <c r="A154" s="302" t="s">
        <v>6851</v>
      </c>
      <c r="B154" s="302" t="s">
        <v>2272</v>
      </c>
      <c r="C154" s="302" t="str">
        <f t="shared" si="15"/>
        <v>Multiplicador al dañox2</v>
      </c>
      <c r="D154" s="302">
        <v>10</v>
      </c>
      <c r="E154" s="302">
        <v>15</v>
      </c>
      <c r="F154" s="302">
        <v>25</v>
      </c>
      <c r="G154" s="302">
        <v>4</v>
      </c>
      <c r="H154" s="302">
        <v>8</v>
      </c>
      <c r="I154" s="302">
        <v>14</v>
      </c>
      <c r="J154" s="302">
        <v>1</v>
      </c>
      <c r="N154" s="302" t="s">
        <v>6869</v>
      </c>
      <c r="P154" s="302">
        <v>1</v>
      </c>
      <c r="R154" s="302">
        <v>1</v>
      </c>
      <c r="S154" s="302">
        <v>2</v>
      </c>
      <c r="T154" s="302">
        <v>3</v>
      </c>
      <c r="V154" s="537">
        <f>IF('Técnicas de Ki'!B49=0,0,IF('Técnicas de Ki'!I49=TS!V$119,'Técnicas de Ki'!C49-(IF($O154&lt;&gt;0,'Técnicas de Ki'!L49,0)+IF($P154&lt;&gt;0,'Técnicas de Ki'!M49,0)+IF($Q154&lt;&gt;0,'Técnicas de Ki'!N49,0)+IF($R154&lt;&gt;0,'Técnicas de Ki'!O49,0)+IF($S154&lt;&gt;0,'Técnicas de Ki'!P49,0)+IF($T154&lt;&gt;0,'Técnicas de Ki'!Q49,0)),0))</f>
        <v>0</v>
      </c>
      <c r="W154" s="538">
        <f>IF('Técnicas de Ki'!B49=0,0,IF('Técnicas de Ki'!I49=TS!W$119,'Técnicas de Ki'!C49-(IF($O154&lt;&gt;0,'Técnicas de Ki'!L49,0)+IF($P154&lt;&gt;0,'Técnicas de Ki'!M49,0)+IF($Q154&lt;&gt;0,'Técnicas de Ki'!N49,0)+IF($R154&lt;&gt;0,'Técnicas de Ki'!O49,0)+IF($S154&lt;&gt;0,'Técnicas de Ki'!P49,0)+IF($T154&lt;&gt;0,'Técnicas de Ki'!Q49,0)),0))</f>
        <v>0</v>
      </c>
      <c r="X154" s="538">
        <f>IF('Técnicas de Ki'!B49=0,0,IF('Técnicas de Ki'!I49=TS!X$119,'Técnicas de Ki'!C49-(IF($O154&lt;&gt;0,'Técnicas de Ki'!L49,0)+IF($P154&lt;&gt;0,'Técnicas de Ki'!M49,0)+IF($Q154&lt;&gt;0,'Técnicas de Ki'!N49,0)+IF($R154&lt;&gt;0,'Técnicas de Ki'!O49,0)+IF($S154&lt;&gt;0,'Técnicas de Ki'!P49,0)+IF($T154&lt;&gt;0,'Técnicas de Ki'!Q49,0)),0))</f>
        <v>0</v>
      </c>
      <c r="Y154" s="538">
        <f>IF('Técnicas de Ki'!B49=0,0,IF('Técnicas de Ki'!I49=TS!Y$119,'Técnicas de Ki'!C49-(IF($O154&lt;&gt;0,'Técnicas de Ki'!L49,0)+IF($P154&lt;&gt;0,'Técnicas de Ki'!M49,0)+IF($Q154&lt;&gt;0,'Técnicas de Ki'!N49,0)+IF($R154&lt;&gt;0,'Técnicas de Ki'!O49,0)+IF($S154&lt;&gt;0,'Técnicas de Ki'!P49,0)+IF($T154&lt;&gt;0,'Técnicas de Ki'!Q49,0)),0))</f>
        <v>0</v>
      </c>
      <c r="Z154" s="538">
        <f>IF('Técnicas de Ki'!B49=0,0,IF('Técnicas de Ki'!I49=TS!Z$119,'Técnicas de Ki'!C49-(IF($O154&lt;&gt;0,'Técnicas de Ki'!L49,0)+IF($P154&lt;&gt;0,'Técnicas de Ki'!M49,0)+IF($Q154&lt;&gt;0,'Técnicas de Ki'!N49,0)+IF($R154&lt;&gt;0,'Técnicas de Ki'!O49,0)+IF($S154&lt;&gt;0,'Técnicas de Ki'!P49,0)+IF($T154&lt;&gt;0,'Técnicas de Ki'!Q49,0)),0))</f>
        <v>0</v>
      </c>
      <c r="AA154" s="539">
        <f>IF('Técnicas de Ki'!B49=0,0,IF('Técnicas de Ki'!I49=TS!AA$119,'Técnicas de Ki'!C49-(IF($O154&lt;&gt;0,'Técnicas de Ki'!L49,0)+IF($P154&lt;&gt;0,'Técnicas de Ki'!M49,0)+IF($Q154&lt;&gt;0,'Técnicas de Ki'!N49,0)+IF($R154&lt;&gt;0,'Técnicas de Ki'!O49,0)+IF($S154&lt;&gt;0,'Técnicas de Ki'!P49,0)+IF($T154&lt;&gt;0,'Técnicas de Ki'!Q49,0)),0))</f>
        <v>0</v>
      </c>
      <c r="AB154" s="538">
        <f>IF('Técnicas de Ki'!B49=0,0,IFERROR(IF('Técnicas de Ki'!L49&lt;&gt;0,'Técnicas de Ki'!L49+TS!$O154,0)*$O154/$O154,0))</f>
        <v>0</v>
      </c>
      <c r="AC154" s="538">
        <f>IF('Técnicas de Ki'!B49=0,0,IFERROR(IF('Técnicas de Ki'!M49&lt;&gt;0,'Técnicas de Ki'!M49+TS!$P154,0)*$P154/$P154,0))</f>
        <v>0</v>
      </c>
      <c r="AD154" s="538">
        <f>IF('Técnicas de Ki'!B49=0,0,IFERROR(IF('Técnicas de Ki'!N49&lt;&gt;0,'Técnicas de Ki'!N49+TS!$Q154,0)*$Q154/$Q154,0))</f>
        <v>0</v>
      </c>
      <c r="AE154" s="538">
        <f>IF('Técnicas de Ki'!B49=0,0,IFERROR(IF('Técnicas de Ki'!O49&lt;&gt;0,'Técnicas de Ki'!O49+TS!$R154,0)*$R154/$R154,0))</f>
        <v>0</v>
      </c>
      <c r="AF154" s="538">
        <f>IF('Técnicas de Ki'!B49=0,0,IFERROR(IF('Técnicas de Ki'!P49&lt;&gt;0,'Técnicas de Ki'!P49+TS!$S154,0)*$S154/$S154,0))</f>
        <v>0</v>
      </c>
      <c r="AG154" s="539">
        <f>IF('Técnicas de Ki'!B49=0,0,IFERROR(IF('Técnicas de Ki'!Q49&lt;&gt;0,'Técnicas de Ki'!Q49+TS!$T154,0)*$T154/$T154,0))</f>
        <v>0</v>
      </c>
      <c r="AI154" s="571" t="str">
        <f>IF('Técnicas de Ki'!B53&lt;&gt;0,'Técnicas de Ki'!A53&amp;" "&amp;'Técnicas de Ki'!B53,"")</f>
        <v/>
      </c>
      <c r="AJ154" s="302" t="b">
        <f t="shared" si="8"/>
        <v>0</v>
      </c>
      <c r="AK154" s="302" t="str">
        <f t="shared" si="4"/>
        <v/>
      </c>
      <c r="AQ154" s="537">
        <f>IF('Técnicas de Ki'!W49=0,0,IF('Técnicas de Ki'!AD49=TS!AQ$119,'Técnicas de Ki'!X49-(IF($O154&lt;&gt;0,'Técnicas de Ki'!AG49,0)+IF($P154&lt;&gt;0,'Técnicas de Ki'!AH49,0)+IF($Q154&lt;&gt;0,'Técnicas de Ki'!AI49,0)+IF($R154&lt;&gt;0,'Técnicas de Ki'!AJ49,0)+IF($S154&lt;&gt;0,'Técnicas de Ki'!AK49,0)+IF($T154&lt;&gt;0,'Técnicas de Ki'!AL49,0)),0))</f>
        <v>0</v>
      </c>
      <c r="AR154" s="538">
        <f>IF('Técnicas de Ki'!W49=0,0,IF('Técnicas de Ki'!AD49=TS!AR$119,'Técnicas de Ki'!X49-(IF($O154&lt;&gt;0,'Técnicas de Ki'!AG49,0)+IF($P154&lt;&gt;0,'Técnicas de Ki'!AH49,0)+IF($Q154&lt;&gt;0,'Técnicas de Ki'!AI49,0)+IF($R154&lt;&gt;0,'Técnicas de Ki'!AJ49,0)+IF($S154&lt;&gt;0,'Técnicas de Ki'!AK49,0)+IF($T154&lt;&gt;0,'Técnicas de Ki'!AL49,0)),0))</f>
        <v>0</v>
      </c>
      <c r="AS154" s="538">
        <f>IF('Técnicas de Ki'!W49=0,0,IF('Técnicas de Ki'!AD49=TS!AS$119,'Técnicas de Ki'!X49-(IF($O154&lt;&gt;0,'Técnicas de Ki'!AG49,0)+IF($P154&lt;&gt;0,'Técnicas de Ki'!AH49,0)+IF($Q154&lt;&gt;0,'Técnicas de Ki'!AI49,0)+IF($R154&lt;&gt;0,'Técnicas de Ki'!AJ49,0)+IF($S154&lt;&gt;0,'Técnicas de Ki'!AK49,0)+IF($T154&lt;&gt;0,'Técnicas de Ki'!AL49,0)),0))</f>
        <v>0</v>
      </c>
      <c r="AT154" s="538">
        <f>IF('Técnicas de Ki'!W49=0,0,IF('Técnicas de Ki'!AD49=TS!AT$119,'Técnicas de Ki'!X49-(IF($O154&lt;&gt;0,'Técnicas de Ki'!AG49,0)+IF($P154&lt;&gt;0,'Técnicas de Ki'!AH49,0)+IF($Q154&lt;&gt;0,'Técnicas de Ki'!AI49,0)+IF($R154&lt;&gt;0,'Técnicas de Ki'!AJ49,0)+IF($S154&lt;&gt;0,'Técnicas de Ki'!AK49,0)+IF($T154&lt;&gt;0,'Técnicas de Ki'!AL49,0)),0))</f>
        <v>0</v>
      </c>
      <c r="AU154" s="538">
        <f>IF('Técnicas de Ki'!W49=0,0,IF('Técnicas de Ki'!AD49=TS!AU$119,'Técnicas de Ki'!X49-(IF($O154&lt;&gt;0,'Técnicas de Ki'!AG49,0)+IF($P154&lt;&gt;0,'Técnicas de Ki'!AH49,0)+IF($Q154&lt;&gt;0,'Técnicas de Ki'!AI49,0)+IF($R154&lt;&gt;0,'Técnicas de Ki'!AJ49,0)+IF($S154&lt;&gt;0,'Técnicas de Ki'!AK49,0)+IF($T154&lt;&gt;0,'Técnicas de Ki'!AL49,0)),0))</f>
        <v>0</v>
      </c>
      <c r="AV154" s="539">
        <f>IF('Técnicas de Ki'!W49=0,0,IF('Técnicas de Ki'!AD49=TS!AV$119,'Técnicas de Ki'!X49-(IF($O154&lt;&gt;0,'Técnicas de Ki'!AG49,0)+IF($P154&lt;&gt;0,'Técnicas de Ki'!AH49,0)+IF($Q154&lt;&gt;0,'Técnicas de Ki'!AI49,0)+IF($R154&lt;&gt;0,'Técnicas de Ki'!AJ49,0)+IF($S154&lt;&gt;0,'Técnicas de Ki'!AK49,0)+IF($T154&lt;&gt;0,'Técnicas de Ki'!AL49,0)),0))</f>
        <v>0</v>
      </c>
      <c r="AW154" s="538">
        <f>IF('Técnicas de Ki'!W49=0,0,IFERROR(IF('Técnicas de Ki'!AG49&lt;&gt;0,'Técnicas de Ki'!AG49+TS!$O154,0)*$O154/$O154,0))</f>
        <v>0</v>
      </c>
      <c r="AX154" s="538">
        <f>IF('Técnicas de Ki'!W49=0,0,IFERROR(IF('Técnicas de Ki'!AH49&lt;&gt;0,'Técnicas de Ki'!AH49+TS!$P154,0)*$P154/$P154,0))</f>
        <v>0</v>
      </c>
      <c r="AY154" s="538">
        <f>IF('Técnicas de Ki'!W49=0,0,IFERROR(IF('Técnicas de Ki'!AI49&lt;&gt;0,'Técnicas de Ki'!AI49+TS!$Q154,0)*$Q154/$Q154,0))</f>
        <v>0</v>
      </c>
      <c r="AZ154" s="538">
        <f>IF('Técnicas de Ki'!W49=0,0,IFERROR(IF('Técnicas de Ki'!AJ49&lt;&gt;0,'Técnicas de Ki'!AJ49+TS!$R154,0)*$R154/$R154,0))</f>
        <v>0</v>
      </c>
      <c r="BA154" s="538">
        <f>IF('Técnicas de Ki'!W49=0,0,IFERROR(IF('Técnicas de Ki'!AK49&lt;&gt;0,'Técnicas de Ki'!AK49+TS!$S154,0)*$S154/$S154,0))</f>
        <v>0</v>
      </c>
      <c r="BB154" s="539">
        <f>IF('Técnicas de Ki'!W49=0,0,IFERROR(IF('Técnicas de Ki'!AL49&lt;&gt;0,'Técnicas de Ki'!AL49+TS!$T154,0)*$T154/$T154,0))</f>
        <v>0</v>
      </c>
      <c r="BD154" s="571" t="str">
        <f>IF('Técnicas de Ki'!W53&lt;&gt;0,'Técnicas de Ki'!V53&amp;" "&amp;'Técnicas de Ki'!W53,"")</f>
        <v/>
      </c>
      <c r="BE154" s="302" t="b">
        <f t="shared" ref="BE154:BE217" si="22">OR(BE153,BD153&lt;&gt;"")</f>
        <v>0</v>
      </c>
      <c r="BF154" s="302" t="str">
        <f t="shared" si="5"/>
        <v/>
      </c>
      <c r="BL154" s="537">
        <f>IF('Técnicas de Ki'!AR49=0,0,IF('Técnicas de Ki'!AY49=TS!BL$119,'Técnicas de Ki'!AS49-(IF($O154&lt;&gt;0,'Técnicas de Ki'!BB49,0)+IF($P154&lt;&gt;0,'Técnicas de Ki'!BC49,0)+IF($Q154&lt;&gt;0,'Técnicas de Ki'!BD49,0)+IF($R154&lt;&gt;0,'Técnicas de Ki'!BE49,0)+IF($S154&lt;&gt;0,'Técnicas de Ki'!BF49,0)+IF($T154&lt;&gt;0,'Técnicas de Ki'!BG49,0)),0))</f>
        <v>0</v>
      </c>
      <c r="BM154" s="538">
        <f>IF('Técnicas de Ki'!AR49=0,0,IF('Técnicas de Ki'!AY49=TS!BM$119,'Técnicas de Ki'!AS49-(IF($O154&lt;&gt;0,'Técnicas de Ki'!BB49,0)+IF($P154&lt;&gt;0,'Técnicas de Ki'!BC49,0)+IF($Q154&lt;&gt;0,'Técnicas de Ki'!BD49,0)+IF($R154&lt;&gt;0,'Técnicas de Ki'!BE49,0)+IF($S154&lt;&gt;0,'Técnicas de Ki'!BF49,0)+IF($T154&lt;&gt;0,'Técnicas de Ki'!BG49,0)),0))</f>
        <v>0</v>
      </c>
      <c r="BN154" s="538">
        <f>IF('Técnicas de Ki'!AR49=0,0,IF('Técnicas de Ki'!AY49=TS!BN$119,'Técnicas de Ki'!AS49-(IF($O154&lt;&gt;0,'Técnicas de Ki'!BB49,0)+IF($P154&lt;&gt;0,'Técnicas de Ki'!BC49,0)+IF($Q154&lt;&gt;0,'Técnicas de Ki'!BD49,0)+IF($R154&lt;&gt;0,'Técnicas de Ki'!BE49,0)+IF($S154&lt;&gt;0,'Técnicas de Ki'!BF49,0)+IF($T154&lt;&gt;0,'Técnicas de Ki'!BG49,0)),0))</f>
        <v>0</v>
      </c>
      <c r="BO154" s="538">
        <f>IF('Técnicas de Ki'!AR49=0,0,IF('Técnicas de Ki'!AY49=TS!BO$119,'Técnicas de Ki'!AS49-(IF($O154&lt;&gt;0,'Técnicas de Ki'!BB49,0)+IF($P154&lt;&gt;0,'Técnicas de Ki'!BC49,0)+IF($Q154&lt;&gt;0,'Técnicas de Ki'!BD49,0)+IF($R154&lt;&gt;0,'Técnicas de Ki'!BE49,0)+IF($S154&lt;&gt;0,'Técnicas de Ki'!BF49,0)+IF($T154&lt;&gt;0,'Técnicas de Ki'!BG49,0)),0))</f>
        <v>0</v>
      </c>
      <c r="BP154" s="538">
        <f>IF('Técnicas de Ki'!AR49=0,0,IF('Técnicas de Ki'!AY49=TS!BP$119,'Técnicas de Ki'!AS49-(IF($O154&lt;&gt;0,'Técnicas de Ki'!BB49,0)+IF($P154&lt;&gt;0,'Técnicas de Ki'!BC49,0)+IF($Q154&lt;&gt;0,'Técnicas de Ki'!BD49,0)+IF($R154&lt;&gt;0,'Técnicas de Ki'!BE49,0)+IF($S154&lt;&gt;0,'Técnicas de Ki'!BF49,0)+IF($T154&lt;&gt;0,'Técnicas de Ki'!BG49,0)),0))</f>
        <v>0</v>
      </c>
      <c r="BQ154" s="539">
        <f>IF('Técnicas de Ki'!AR49=0,0,IF('Técnicas de Ki'!AY49=TS!BQ$119,'Técnicas de Ki'!AS49-(IF($O154&lt;&gt;0,'Técnicas de Ki'!BB49,0)+IF($P154&lt;&gt;0,'Técnicas de Ki'!BC49,0)+IF($Q154&lt;&gt;0,'Técnicas de Ki'!BD49,0)+IF($R154&lt;&gt;0,'Técnicas de Ki'!BE49,0)+IF($S154&lt;&gt;0,'Técnicas de Ki'!BF49,0)+IF($T154&lt;&gt;0,'Técnicas de Ki'!BG49,0)),0))</f>
        <v>0</v>
      </c>
      <c r="BR154" s="538">
        <f>IF('Técnicas de Ki'!AR49=0,0,IFERROR(IF('Técnicas de Ki'!BB49&lt;&gt;0,'Técnicas de Ki'!BB49+TS!$O154,0)*$O154/$O154,0))</f>
        <v>0</v>
      </c>
      <c r="BS154" s="538">
        <f>IF('Técnicas de Ki'!AR49=0,0,IFERROR(IF('Técnicas de Ki'!BC49&lt;&gt;0,'Técnicas de Ki'!BC49+TS!$P154,0)*$P154/$P154,0))</f>
        <v>0</v>
      </c>
      <c r="BT154" s="538">
        <f>IF('Técnicas de Ki'!AR49=0,0,IFERROR(IF('Técnicas de Ki'!BD49&lt;&gt;0,'Técnicas de Ki'!BD49+TS!$Q154,0)*$Q154/$Q154,0))</f>
        <v>0</v>
      </c>
      <c r="BU154" s="538">
        <f>IF('Técnicas de Ki'!AR49=0,0,IFERROR(IF('Técnicas de Ki'!BE49&lt;&gt;0,'Técnicas de Ki'!BE49+TS!$R154,0)*$R154/$R154,0))</f>
        <v>0</v>
      </c>
      <c r="BV154" s="538">
        <f>IF('Técnicas de Ki'!AR49=0,0,IFERROR(IF('Técnicas de Ki'!BF49&lt;&gt;0,'Técnicas de Ki'!BF49+TS!$S154,0)*$S154/$S154,0))</f>
        <v>0</v>
      </c>
      <c r="BW154" s="539">
        <f>IF('Técnicas de Ki'!AR49=0,0,IFERROR(IF('Técnicas de Ki'!BG49&lt;&gt;0,'Técnicas de Ki'!BG49+TS!$T154,0)*$T154/$T154,0))</f>
        <v>0</v>
      </c>
      <c r="BY154" s="571" t="str">
        <f>IF('Técnicas de Ki'!AR53&lt;&gt;0,'Técnicas de Ki'!AQ53&amp;" "&amp;'Técnicas de Ki'!AR53,"")</f>
        <v/>
      </c>
      <c r="BZ154" s="302" t="b">
        <f t="shared" ref="BZ154:BZ217" si="23">OR(BZ153,BY153&lt;&gt;"")</f>
        <v>0</v>
      </c>
      <c r="CA154" s="302" t="str">
        <f t="shared" si="6"/>
        <v/>
      </c>
      <c r="CG154" s="537">
        <f>IF('Técnicas de Ki'!BM49=0,0,IF('Técnicas de Ki'!BT49=TS!CG$119,'Técnicas de Ki'!BN49-(IF($O154&lt;&gt;0,'Técnicas de Ki'!BW49,0)+IF($P154&lt;&gt;0,'Técnicas de Ki'!BX49,0)+IF($Q154&lt;&gt;0,'Técnicas de Ki'!BY49,0)+IF($R154&lt;&gt;0,'Técnicas de Ki'!BZ49,0)+IF($S154&lt;&gt;0,'Técnicas de Ki'!CA49,0)+IF($T154&lt;&gt;0,'Técnicas de Ki'!CB49,0)),0))</f>
        <v>0</v>
      </c>
      <c r="CH154" s="538">
        <f>IF('Técnicas de Ki'!BM49=0,0,IF('Técnicas de Ki'!BT49=TS!CH$119,'Técnicas de Ki'!BN49-(IF($O154&lt;&gt;0,'Técnicas de Ki'!BW49,0)+IF($P154&lt;&gt;0,'Técnicas de Ki'!BX49,0)+IF($Q154&lt;&gt;0,'Técnicas de Ki'!BY49,0)+IF($R154&lt;&gt;0,'Técnicas de Ki'!BZ49,0)+IF($S154&lt;&gt;0,'Técnicas de Ki'!CA49,0)+IF($T154&lt;&gt;0,'Técnicas de Ki'!CB49,0)),0))</f>
        <v>0</v>
      </c>
      <c r="CI154" s="538">
        <f>IF('Técnicas de Ki'!BM49=0,0,IF('Técnicas de Ki'!BT49=TS!CI$119,'Técnicas de Ki'!BN49-(IF($O154&lt;&gt;0,'Técnicas de Ki'!BW49,0)+IF($P154&lt;&gt;0,'Técnicas de Ki'!BX49,0)+IF($Q154&lt;&gt;0,'Técnicas de Ki'!BY49,0)+IF($R154&lt;&gt;0,'Técnicas de Ki'!BZ49,0)+IF($S154&lt;&gt;0,'Técnicas de Ki'!CA49,0)+IF($T154&lt;&gt;0,'Técnicas de Ki'!CB49,0)),0))</f>
        <v>0</v>
      </c>
      <c r="CJ154" s="538">
        <f>IF('Técnicas de Ki'!BM49=0,0,IF('Técnicas de Ki'!BT49=TS!CJ$119,'Técnicas de Ki'!BN49-(IF($O154&lt;&gt;0,'Técnicas de Ki'!BW49,0)+IF($P154&lt;&gt;0,'Técnicas de Ki'!BX49,0)+IF($Q154&lt;&gt;0,'Técnicas de Ki'!BY49,0)+IF($R154&lt;&gt;0,'Técnicas de Ki'!BZ49,0)+IF($S154&lt;&gt;0,'Técnicas de Ki'!CA49,0)+IF($T154&lt;&gt;0,'Técnicas de Ki'!CB49,0)),0))</f>
        <v>0</v>
      </c>
      <c r="CK154" s="538">
        <f>IF('Técnicas de Ki'!BM49=0,0,IF('Técnicas de Ki'!BT49=TS!CK$119,'Técnicas de Ki'!BN49-(IF($O154&lt;&gt;0,'Técnicas de Ki'!BW49,0)+IF($P154&lt;&gt;0,'Técnicas de Ki'!BX49,0)+IF($Q154&lt;&gt;0,'Técnicas de Ki'!BY49,0)+IF($R154&lt;&gt;0,'Técnicas de Ki'!BZ49,0)+IF($S154&lt;&gt;0,'Técnicas de Ki'!CA49,0)+IF($T154&lt;&gt;0,'Técnicas de Ki'!CB49,0)),0))</f>
        <v>0</v>
      </c>
      <c r="CL154" s="539">
        <f>IF('Técnicas de Ki'!BM49=0,0,IF('Técnicas de Ki'!BT49=TS!CL$119,'Técnicas de Ki'!BN49-(IF($O154&lt;&gt;0,'Técnicas de Ki'!BW49,0)+IF($P154&lt;&gt;0,'Técnicas de Ki'!BX49,0)+IF($Q154&lt;&gt;0,'Técnicas de Ki'!BY49,0)+IF($R154&lt;&gt;0,'Técnicas de Ki'!BZ49,0)+IF($S154&lt;&gt;0,'Técnicas de Ki'!CA49,0)+IF($T154&lt;&gt;0,'Técnicas de Ki'!CB49,0)),0))</f>
        <v>0</v>
      </c>
      <c r="CM154" s="538">
        <f>IF('Técnicas de Ki'!BM49=0,0,IFERROR(IF('Técnicas de Ki'!BW49&lt;&gt;0,'Técnicas de Ki'!BW49+TS!$O154,0)*$O154/$O154,0))</f>
        <v>0</v>
      </c>
      <c r="CN154" s="538">
        <f>IF('Técnicas de Ki'!BM49=0,0,IFERROR(IF('Técnicas de Ki'!BX49&lt;&gt;0,'Técnicas de Ki'!BX49+TS!$P154,0)*$P154/$P154,0))</f>
        <v>0</v>
      </c>
      <c r="CO154" s="538">
        <f>IF('Técnicas de Ki'!BM49=0,0,IFERROR(IF('Técnicas de Ki'!BY49&lt;&gt;0,'Técnicas de Ki'!BY49+TS!$Q154,0)*$Q154/$Q154,0))</f>
        <v>0</v>
      </c>
      <c r="CP154" s="538">
        <f>IF('Técnicas de Ki'!BM49=0,0,IFERROR(IF('Técnicas de Ki'!BZ49&lt;&gt;0,'Técnicas de Ki'!BZ49+TS!$R154,0)*$R154/$R154,0))</f>
        <v>0</v>
      </c>
      <c r="CQ154" s="538">
        <f>IF('Técnicas de Ki'!BM49=0,0,IFERROR(IF('Técnicas de Ki'!CA49&lt;&gt;0,'Técnicas de Ki'!CA49+TS!$S154,0)*$S154/$S154,0))</f>
        <v>0</v>
      </c>
      <c r="CR154" s="539">
        <f>IF('Técnicas de Ki'!BM49=0,0,IFERROR(IF('Técnicas de Ki'!CB49&lt;&gt;0,'Técnicas de Ki'!CB49+TS!$T154,0)*$T154/$T154,0))</f>
        <v>0</v>
      </c>
      <c r="CT154" s="571" t="str">
        <f>IF('Técnicas de Ki'!BM53&lt;&gt;0,'Técnicas de Ki'!BL53&amp;" "&amp;'Técnicas de Ki'!BM53,"")</f>
        <v/>
      </c>
      <c r="CU154" s="302" t="b">
        <f t="shared" ref="CU154:CU217" si="24">OR(CU153,CT153&lt;&gt;"")</f>
        <v>0</v>
      </c>
      <c r="CV154" s="302" t="str">
        <f t="shared" si="7"/>
        <v/>
      </c>
    </row>
    <row r="155" spans="1:102" ht="13.5" thickBot="1" x14ac:dyDescent="0.25">
      <c r="A155" s="302" t="s">
        <v>6851</v>
      </c>
      <c r="B155" s="302" t="s">
        <v>6859</v>
      </c>
      <c r="C155" s="302" t="str">
        <f t="shared" si="15"/>
        <v>Multiplicador al dañox3</v>
      </c>
      <c r="D155" s="302">
        <v>15</v>
      </c>
      <c r="E155" s="302">
        <v>20</v>
      </c>
      <c r="F155" s="302">
        <v>40</v>
      </c>
      <c r="G155" s="302">
        <v>8</v>
      </c>
      <c r="H155" s="302">
        <v>16</v>
      </c>
      <c r="I155" s="302">
        <v>28</v>
      </c>
      <c r="J155" s="302">
        <v>2</v>
      </c>
      <c r="N155" s="302" t="s">
        <v>6865</v>
      </c>
      <c r="P155" s="302">
        <v>1</v>
      </c>
      <c r="R155" s="302">
        <v>1</v>
      </c>
      <c r="S155" s="302">
        <v>2</v>
      </c>
      <c r="T155" s="302">
        <v>3</v>
      </c>
      <c r="V155" s="537">
        <f>IF('Técnicas de Ki'!B50=0,0,IF('Técnicas de Ki'!I50=TS!V$119,'Técnicas de Ki'!C50-(IF($O155&lt;&gt;0,'Técnicas de Ki'!L50,0)+IF($P155&lt;&gt;0,'Técnicas de Ki'!M50,0)+IF($Q155&lt;&gt;0,'Técnicas de Ki'!N50,0)+IF($R155&lt;&gt;0,'Técnicas de Ki'!O50,0)+IF($S155&lt;&gt;0,'Técnicas de Ki'!P50,0)+IF($T155&lt;&gt;0,'Técnicas de Ki'!Q50,0)),0))</f>
        <v>0</v>
      </c>
      <c r="W155" s="538">
        <f>IF('Técnicas de Ki'!B50=0,0,IF('Técnicas de Ki'!I50=TS!W$119,'Técnicas de Ki'!C50-(IF($O155&lt;&gt;0,'Técnicas de Ki'!L50,0)+IF($P155&lt;&gt;0,'Técnicas de Ki'!M50,0)+IF($Q155&lt;&gt;0,'Técnicas de Ki'!N50,0)+IF($R155&lt;&gt;0,'Técnicas de Ki'!O50,0)+IF($S155&lt;&gt;0,'Técnicas de Ki'!P50,0)+IF($T155&lt;&gt;0,'Técnicas de Ki'!Q50,0)),0))</f>
        <v>0</v>
      </c>
      <c r="X155" s="538">
        <f>IF('Técnicas de Ki'!B50=0,0,IF('Técnicas de Ki'!I50=TS!X$119,'Técnicas de Ki'!C50-(IF($O155&lt;&gt;0,'Técnicas de Ki'!L50,0)+IF($P155&lt;&gt;0,'Técnicas de Ki'!M50,0)+IF($Q155&lt;&gt;0,'Técnicas de Ki'!N50,0)+IF($R155&lt;&gt;0,'Técnicas de Ki'!O50,0)+IF($S155&lt;&gt;0,'Técnicas de Ki'!P50,0)+IF($T155&lt;&gt;0,'Técnicas de Ki'!Q50,0)),0))</f>
        <v>0</v>
      </c>
      <c r="Y155" s="538">
        <f>IF('Técnicas de Ki'!B50=0,0,IF('Técnicas de Ki'!I50=TS!Y$119,'Técnicas de Ki'!C50-(IF($O155&lt;&gt;0,'Técnicas de Ki'!L50,0)+IF($P155&lt;&gt;0,'Técnicas de Ki'!M50,0)+IF($Q155&lt;&gt;0,'Técnicas de Ki'!N50,0)+IF($R155&lt;&gt;0,'Técnicas de Ki'!O50,0)+IF($S155&lt;&gt;0,'Técnicas de Ki'!P50,0)+IF($T155&lt;&gt;0,'Técnicas de Ki'!Q50,0)),0))</f>
        <v>0</v>
      </c>
      <c r="Z155" s="538">
        <f>IF('Técnicas de Ki'!B50=0,0,IF('Técnicas de Ki'!I50=TS!Z$119,'Técnicas de Ki'!C50-(IF($O155&lt;&gt;0,'Técnicas de Ki'!L50,0)+IF($P155&lt;&gt;0,'Técnicas de Ki'!M50,0)+IF($Q155&lt;&gt;0,'Técnicas de Ki'!N50,0)+IF($R155&lt;&gt;0,'Técnicas de Ki'!O50,0)+IF($S155&lt;&gt;0,'Técnicas de Ki'!P50,0)+IF($T155&lt;&gt;0,'Técnicas de Ki'!Q50,0)),0))</f>
        <v>0</v>
      </c>
      <c r="AA155" s="539">
        <f>IF('Técnicas de Ki'!B50=0,0,IF('Técnicas de Ki'!I50=TS!AA$119,'Técnicas de Ki'!C50-(IF($O155&lt;&gt;0,'Técnicas de Ki'!L50,0)+IF($P155&lt;&gt;0,'Técnicas de Ki'!M50,0)+IF($Q155&lt;&gt;0,'Técnicas de Ki'!N50,0)+IF($R155&lt;&gt;0,'Técnicas de Ki'!O50,0)+IF($S155&lt;&gt;0,'Técnicas de Ki'!P50,0)+IF($T155&lt;&gt;0,'Técnicas de Ki'!Q50,0)),0))</f>
        <v>0</v>
      </c>
      <c r="AB155" s="538">
        <f>IF('Técnicas de Ki'!B50=0,0,IFERROR(IF('Técnicas de Ki'!L50&lt;&gt;0,'Técnicas de Ki'!L50+TS!$O155,0)*$O155/$O155,0))</f>
        <v>0</v>
      </c>
      <c r="AC155" s="538">
        <f>IF('Técnicas de Ki'!B50=0,0,IFERROR(IF('Técnicas de Ki'!M50&lt;&gt;0,'Técnicas de Ki'!M50+TS!$P155,0)*$P155/$P155,0))</f>
        <v>0</v>
      </c>
      <c r="AD155" s="538">
        <f>IF('Técnicas de Ki'!B50=0,0,IFERROR(IF('Técnicas de Ki'!N50&lt;&gt;0,'Técnicas de Ki'!N50+TS!$Q155,0)*$Q155/$Q155,0))</f>
        <v>0</v>
      </c>
      <c r="AE155" s="538">
        <f>IF('Técnicas de Ki'!B50=0,0,IFERROR(IF('Técnicas de Ki'!O50&lt;&gt;0,'Técnicas de Ki'!O50+TS!$R155,0)*$R155/$R155,0))</f>
        <v>0</v>
      </c>
      <c r="AF155" s="538">
        <f>IF('Técnicas de Ki'!B50=0,0,IFERROR(IF('Técnicas de Ki'!P50&lt;&gt;0,'Técnicas de Ki'!P50+TS!$S155,0)*$S155/$S155,0))</f>
        <v>0</v>
      </c>
      <c r="AG155" s="539">
        <f>IF('Técnicas de Ki'!B50=0,0,IFERROR(IF('Técnicas de Ki'!Q50&lt;&gt;0,'Técnicas de Ki'!Q50+TS!$T155,0)*$T155/$T155,0))</f>
        <v>0</v>
      </c>
      <c r="AI155" s="572" t="str">
        <f>IF('Técnicas de Ki'!B54&lt;&gt;0,'Técnicas de Ki'!A54&amp;" "&amp;'Técnicas de Ki'!B54,"")</f>
        <v/>
      </c>
      <c r="AJ155" s="302" t="b">
        <f t="shared" si="8"/>
        <v>0</v>
      </c>
      <c r="AK155" s="302" t="str">
        <f t="shared" si="4"/>
        <v/>
      </c>
      <c r="AQ155" s="537">
        <f>IF('Técnicas de Ki'!W50=0,0,IF('Técnicas de Ki'!AD50=TS!AQ$119,'Técnicas de Ki'!X50-(IF($O155&lt;&gt;0,'Técnicas de Ki'!AG50,0)+IF($P155&lt;&gt;0,'Técnicas de Ki'!AH50,0)+IF($Q155&lt;&gt;0,'Técnicas de Ki'!AI50,0)+IF($R155&lt;&gt;0,'Técnicas de Ki'!AJ50,0)+IF($S155&lt;&gt;0,'Técnicas de Ki'!AK50,0)+IF($T155&lt;&gt;0,'Técnicas de Ki'!AL50,0)),0))</f>
        <v>0</v>
      </c>
      <c r="AR155" s="538">
        <f>IF('Técnicas de Ki'!W50=0,0,IF('Técnicas de Ki'!AD50=TS!AR$119,'Técnicas de Ki'!X50-(IF($O155&lt;&gt;0,'Técnicas de Ki'!AG50,0)+IF($P155&lt;&gt;0,'Técnicas de Ki'!AH50,0)+IF($Q155&lt;&gt;0,'Técnicas de Ki'!AI50,0)+IF($R155&lt;&gt;0,'Técnicas de Ki'!AJ50,0)+IF($S155&lt;&gt;0,'Técnicas de Ki'!AK50,0)+IF($T155&lt;&gt;0,'Técnicas de Ki'!AL50,0)),0))</f>
        <v>0</v>
      </c>
      <c r="AS155" s="538">
        <f>IF('Técnicas de Ki'!W50=0,0,IF('Técnicas de Ki'!AD50=TS!AS$119,'Técnicas de Ki'!X50-(IF($O155&lt;&gt;0,'Técnicas de Ki'!AG50,0)+IF($P155&lt;&gt;0,'Técnicas de Ki'!AH50,0)+IF($Q155&lt;&gt;0,'Técnicas de Ki'!AI50,0)+IF($R155&lt;&gt;0,'Técnicas de Ki'!AJ50,0)+IF($S155&lt;&gt;0,'Técnicas de Ki'!AK50,0)+IF($T155&lt;&gt;0,'Técnicas de Ki'!AL50,0)),0))</f>
        <v>0</v>
      </c>
      <c r="AT155" s="538">
        <f>IF('Técnicas de Ki'!W50=0,0,IF('Técnicas de Ki'!AD50=TS!AT$119,'Técnicas de Ki'!X50-(IF($O155&lt;&gt;0,'Técnicas de Ki'!AG50,0)+IF($P155&lt;&gt;0,'Técnicas de Ki'!AH50,0)+IF($Q155&lt;&gt;0,'Técnicas de Ki'!AI50,0)+IF($R155&lt;&gt;0,'Técnicas de Ki'!AJ50,0)+IF($S155&lt;&gt;0,'Técnicas de Ki'!AK50,0)+IF($T155&lt;&gt;0,'Técnicas de Ki'!AL50,0)),0))</f>
        <v>0</v>
      </c>
      <c r="AU155" s="538">
        <f>IF('Técnicas de Ki'!W50=0,0,IF('Técnicas de Ki'!AD50=TS!AU$119,'Técnicas de Ki'!X50-(IF($O155&lt;&gt;0,'Técnicas de Ki'!AG50,0)+IF($P155&lt;&gt;0,'Técnicas de Ki'!AH50,0)+IF($Q155&lt;&gt;0,'Técnicas de Ki'!AI50,0)+IF($R155&lt;&gt;0,'Técnicas de Ki'!AJ50,0)+IF($S155&lt;&gt;0,'Técnicas de Ki'!AK50,0)+IF($T155&lt;&gt;0,'Técnicas de Ki'!AL50,0)),0))</f>
        <v>0</v>
      </c>
      <c r="AV155" s="539">
        <f>IF('Técnicas de Ki'!W50=0,0,IF('Técnicas de Ki'!AD50=TS!AV$119,'Técnicas de Ki'!X50-(IF($O155&lt;&gt;0,'Técnicas de Ki'!AG50,0)+IF($P155&lt;&gt;0,'Técnicas de Ki'!AH50,0)+IF($Q155&lt;&gt;0,'Técnicas de Ki'!AI50,0)+IF($R155&lt;&gt;0,'Técnicas de Ki'!AJ50,0)+IF($S155&lt;&gt;0,'Técnicas de Ki'!AK50,0)+IF($T155&lt;&gt;0,'Técnicas de Ki'!AL50,0)),0))</f>
        <v>0</v>
      </c>
      <c r="AW155" s="538">
        <f>IF('Técnicas de Ki'!W50=0,0,IFERROR(IF('Técnicas de Ki'!AG50&lt;&gt;0,'Técnicas de Ki'!AG50+TS!$O155,0)*$O155/$O155,0))</f>
        <v>0</v>
      </c>
      <c r="AX155" s="538">
        <f>IF('Técnicas de Ki'!W50=0,0,IFERROR(IF('Técnicas de Ki'!AH50&lt;&gt;0,'Técnicas de Ki'!AH50+TS!$P155,0)*$P155/$P155,0))</f>
        <v>0</v>
      </c>
      <c r="AY155" s="538">
        <f>IF('Técnicas de Ki'!W50=0,0,IFERROR(IF('Técnicas de Ki'!AI50&lt;&gt;0,'Técnicas de Ki'!AI50+TS!$Q155,0)*$Q155/$Q155,0))</f>
        <v>0</v>
      </c>
      <c r="AZ155" s="538">
        <f>IF('Técnicas de Ki'!W50=0,0,IFERROR(IF('Técnicas de Ki'!AJ50&lt;&gt;0,'Técnicas de Ki'!AJ50+TS!$R155,0)*$R155/$R155,0))</f>
        <v>0</v>
      </c>
      <c r="BA155" s="538">
        <f>IF('Técnicas de Ki'!W50=0,0,IFERROR(IF('Técnicas de Ki'!AK50&lt;&gt;0,'Técnicas de Ki'!AK50+TS!$S155,0)*$S155/$S155,0))</f>
        <v>0</v>
      </c>
      <c r="BB155" s="539">
        <f>IF('Técnicas de Ki'!W50=0,0,IFERROR(IF('Técnicas de Ki'!AL50&lt;&gt;0,'Técnicas de Ki'!AL50+TS!$T155,0)*$T155/$T155,0))</f>
        <v>0</v>
      </c>
      <c r="BD155" s="572" t="str">
        <f>IF('Técnicas de Ki'!W54&lt;&gt;0,'Técnicas de Ki'!V54&amp;" "&amp;'Técnicas de Ki'!W54,"")</f>
        <v/>
      </c>
      <c r="BE155" s="302" t="b">
        <f t="shared" si="22"/>
        <v>0</v>
      </c>
      <c r="BF155" s="302" t="str">
        <f t="shared" si="5"/>
        <v/>
      </c>
      <c r="BL155" s="537">
        <f>IF('Técnicas de Ki'!AR50=0,0,IF('Técnicas de Ki'!AY50=TS!BL$119,'Técnicas de Ki'!AS50-(IF($O155&lt;&gt;0,'Técnicas de Ki'!BB50,0)+IF($P155&lt;&gt;0,'Técnicas de Ki'!BC50,0)+IF($Q155&lt;&gt;0,'Técnicas de Ki'!BD50,0)+IF($R155&lt;&gt;0,'Técnicas de Ki'!BE50,0)+IF($S155&lt;&gt;0,'Técnicas de Ki'!BF50,0)+IF($T155&lt;&gt;0,'Técnicas de Ki'!BG50,0)),0))</f>
        <v>0</v>
      </c>
      <c r="BM155" s="538">
        <f>IF('Técnicas de Ki'!AR50=0,0,IF('Técnicas de Ki'!AY50=TS!BM$119,'Técnicas de Ki'!AS50-(IF($O155&lt;&gt;0,'Técnicas de Ki'!BB50,0)+IF($P155&lt;&gt;0,'Técnicas de Ki'!BC50,0)+IF($Q155&lt;&gt;0,'Técnicas de Ki'!BD50,0)+IF($R155&lt;&gt;0,'Técnicas de Ki'!BE50,0)+IF($S155&lt;&gt;0,'Técnicas de Ki'!BF50,0)+IF($T155&lt;&gt;0,'Técnicas de Ki'!BG50,0)),0))</f>
        <v>0</v>
      </c>
      <c r="BN155" s="538">
        <f>IF('Técnicas de Ki'!AR50=0,0,IF('Técnicas de Ki'!AY50=TS!BN$119,'Técnicas de Ki'!AS50-(IF($O155&lt;&gt;0,'Técnicas de Ki'!BB50,0)+IF($P155&lt;&gt;0,'Técnicas de Ki'!BC50,0)+IF($Q155&lt;&gt;0,'Técnicas de Ki'!BD50,0)+IF($R155&lt;&gt;0,'Técnicas de Ki'!BE50,0)+IF($S155&lt;&gt;0,'Técnicas de Ki'!BF50,0)+IF($T155&lt;&gt;0,'Técnicas de Ki'!BG50,0)),0))</f>
        <v>0</v>
      </c>
      <c r="BO155" s="538">
        <f>IF('Técnicas de Ki'!AR50=0,0,IF('Técnicas de Ki'!AY50=TS!BO$119,'Técnicas de Ki'!AS50-(IF($O155&lt;&gt;0,'Técnicas de Ki'!BB50,0)+IF($P155&lt;&gt;0,'Técnicas de Ki'!BC50,0)+IF($Q155&lt;&gt;0,'Técnicas de Ki'!BD50,0)+IF($R155&lt;&gt;0,'Técnicas de Ki'!BE50,0)+IF($S155&lt;&gt;0,'Técnicas de Ki'!BF50,0)+IF($T155&lt;&gt;0,'Técnicas de Ki'!BG50,0)),0))</f>
        <v>0</v>
      </c>
      <c r="BP155" s="538">
        <f>IF('Técnicas de Ki'!AR50=0,0,IF('Técnicas de Ki'!AY50=TS!BP$119,'Técnicas de Ki'!AS50-(IF($O155&lt;&gt;0,'Técnicas de Ki'!BB50,0)+IF($P155&lt;&gt;0,'Técnicas de Ki'!BC50,0)+IF($Q155&lt;&gt;0,'Técnicas de Ki'!BD50,0)+IF($R155&lt;&gt;0,'Técnicas de Ki'!BE50,0)+IF($S155&lt;&gt;0,'Técnicas de Ki'!BF50,0)+IF($T155&lt;&gt;0,'Técnicas de Ki'!BG50,0)),0))</f>
        <v>0</v>
      </c>
      <c r="BQ155" s="539">
        <f>IF('Técnicas de Ki'!AR50=0,0,IF('Técnicas de Ki'!AY50=TS!BQ$119,'Técnicas de Ki'!AS50-(IF($O155&lt;&gt;0,'Técnicas de Ki'!BB50,0)+IF($P155&lt;&gt;0,'Técnicas de Ki'!BC50,0)+IF($Q155&lt;&gt;0,'Técnicas de Ki'!BD50,0)+IF($R155&lt;&gt;0,'Técnicas de Ki'!BE50,0)+IF($S155&lt;&gt;0,'Técnicas de Ki'!BF50,0)+IF($T155&lt;&gt;0,'Técnicas de Ki'!BG50,0)),0))</f>
        <v>0</v>
      </c>
      <c r="BR155" s="538">
        <f>IF('Técnicas de Ki'!AR50=0,0,IFERROR(IF('Técnicas de Ki'!BB50&lt;&gt;0,'Técnicas de Ki'!BB50+TS!$O155,0)*$O155/$O155,0))</f>
        <v>0</v>
      </c>
      <c r="BS155" s="538">
        <f>IF('Técnicas de Ki'!AR50=0,0,IFERROR(IF('Técnicas de Ki'!BC50&lt;&gt;0,'Técnicas de Ki'!BC50+TS!$P155,0)*$P155/$P155,0))</f>
        <v>0</v>
      </c>
      <c r="BT155" s="538">
        <f>IF('Técnicas de Ki'!AR50=0,0,IFERROR(IF('Técnicas de Ki'!BD50&lt;&gt;0,'Técnicas de Ki'!BD50+TS!$Q155,0)*$Q155/$Q155,0))</f>
        <v>0</v>
      </c>
      <c r="BU155" s="538">
        <f>IF('Técnicas de Ki'!AR50=0,0,IFERROR(IF('Técnicas de Ki'!BE50&lt;&gt;0,'Técnicas de Ki'!BE50+TS!$R155,0)*$R155/$R155,0))</f>
        <v>0</v>
      </c>
      <c r="BV155" s="538">
        <f>IF('Técnicas de Ki'!AR50=0,0,IFERROR(IF('Técnicas de Ki'!BF50&lt;&gt;0,'Técnicas de Ki'!BF50+TS!$S155,0)*$S155/$S155,0))</f>
        <v>0</v>
      </c>
      <c r="BW155" s="539">
        <f>IF('Técnicas de Ki'!AR50=0,0,IFERROR(IF('Técnicas de Ki'!BG50&lt;&gt;0,'Técnicas de Ki'!BG50+TS!$T155,0)*$T155/$T155,0))</f>
        <v>0</v>
      </c>
      <c r="BY155" s="572" t="str">
        <f>IF('Técnicas de Ki'!AR54&lt;&gt;0,'Técnicas de Ki'!AQ54&amp;" "&amp;'Técnicas de Ki'!AR54,"")</f>
        <v/>
      </c>
      <c r="BZ155" s="302" t="b">
        <f t="shared" si="23"/>
        <v>0</v>
      </c>
      <c r="CA155" s="302" t="str">
        <f t="shared" si="6"/>
        <v/>
      </c>
      <c r="CG155" s="537">
        <f>IF('Técnicas de Ki'!BM50=0,0,IF('Técnicas de Ki'!BT50=TS!CG$119,'Técnicas de Ki'!BN50-(IF($O155&lt;&gt;0,'Técnicas de Ki'!BW50,0)+IF($P155&lt;&gt;0,'Técnicas de Ki'!BX50,0)+IF($Q155&lt;&gt;0,'Técnicas de Ki'!BY50,0)+IF($R155&lt;&gt;0,'Técnicas de Ki'!BZ50,0)+IF($S155&lt;&gt;0,'Técnicas de Ki'!CA50,0)+IF($T155&lt;&gt;0,'Técnicas de Ki'!CB50,0)),0))</f>
        <v>0</v>
      </c>
      <c r="CH155" s="538">
        <f>IF('Técnicas de Ki'!BM50=0,0,IF('Técnicas de Ki'!BT50=TS!CH$119,'Técnicas de Ki'!BN50-(IF($O155&lt;&gt;0,'Técnicas de Ki'!BW50,0)+IF($P155&lt;&gt;0,'Técnicas de Ki'!BX50,0)+IF($Q155&lt;&gt;0,'Técnicas de Ki'!BY50,0)+IF($R155&lt;&gt;0,'Técnicas de Ki'!BZ50,0)+IF($S155&lt;&gt;0,'Técnicas de Ki'!CA50,0)+IF($T155&lt;&gt;0,'Técnicas de Ki'!CB50,0)),0))</f>
        <v>0</v>
      </c>
      <c r="CI155" s="538">
        <f>IF('Técnicas de Ki'!BM50=0,0,IF('Técnicas de Ki'!BT50=TS!CI$119,'Técnicas de Ki'!BN50-(IF($O155&lt;&gt;0,'Técnicas de Ki'!BW50,0)+IF($P155&lt;&gt;0,'Técnicas de Ki'!BX50,0)+IF($Q155&lt;&gt;0,'Técnicas de Ki'!BY50,0)+IF($R155&lt;&gt;0,'Técnicas de Ki'!BZ50,0)+IF($S155&lt;&gt;0,'Técnicas de Ki'!CA50,0)+IF($T155&lt;&gt;0,'Técnicas de Ki'!CB50,0)),0))</f>
        <v>0</v>
      </c>
      <c r="CJ155" s="538">
        <f>IF('Técnicas de Ki'!BM50=0,0,IF('Técnicas de Ki'!BT50=TS!CJ$119,'Técnicas de Ki'!BN50-(IF($O155&lt;&gt;0,'Técnicas de Ki'!BW50,0)+IF($P155&lt;&gt;0,'Técnicas de Ki'!BX50,0)+IF($Q155&lt;&gt;0,'Técnicas de Ki'!BY50,0)+IF($R155&lt;&gt;0,'Técnicas de Ki'!BZ50,0)+IF($S155&lt;&gt;0,'Técnicas de Ki'!CA50,0)+IF($T155&lt;&gt;0,'Técnicas de Ki'!CB50,0)),0))</f>
        <v>0</v>
      </c>
      <c r="CK155" s="538">
        <f>IF('Técnicas de Ki'!BM50=0,0,IF('Técnicas de Ki'!BT50=TS!CK$119,'Técnicas de Ki'!BN50-(IF($O155&lt;&gt;0,'Técnicas de Ki'!BW50,0)+IF($P155&lt;&gt;0,'Técnicas de Ki'!BX50,0)+IF($Q155&lt;&gt;0,'Técnicas de Ki'!BY50,0)+IF($R155&lt;&gt;0,'Técnicas de Ki'!BZ50,0)+IF($S155&lt;&gt;0,'Técnicas de Ki'!CA50,0)+IF($T155&lt;&gt;0,'Técnicas de Ki'!CB50,0)),0))</f>
        <v>0</v>
      </c>
      <c r="CL155" s="539">
        <f>IF('Técnicas de Ki'!BM50=0,0,IF('Técnicas de Ki'!BT50=TS!CL$119,'Técnicas de Ki'!BN50-(IF($O155&lt;&gt;0,'Técnicas de Ki'!BW50,0)+IF($P155&lt;&gt;0,'Técnicas de Ki'!BX50,0)+IF($Q155&lt;&gt;0,'Técnicas de Ki'!BY50,0)+IF($R155&lt;&gt;0,'Técnicas de Ki'!BZ50,0)+IF($S155&lt;&gt;0,'Técnicas de Ki'!CA50,0)+IF($T155&lt;&gt;0,'Técnicas de Ki'!CB50,0)),0))</f>
        <v>0</v>
      </c>
      <c r="CM155" s="538">
        <f>IF('Técnicas de Ki'!BM50=0,0,IFERROR(IF('Técnicas de Ki'!BW50&lt;&gt;0,'Técnicas de Ki'!BW50+TS!$O155,0)*$O155/$O155,0))</f>
        <v>0</v>
      </c>
      <c r="CN155" s="538">
        <f>IF('Técnicas de Ki'!BM50=0,0,IFERROR(IF('Técnicas de Ki'!BX50&lt;&gt;0,'Técnicas de Ki'!BX50+TS!$P155,0)*$P155/$P155,0))</f>
        <v>0</v>
      </c>
      <c r="CO155" s="538">
        <f>IF('Técnicas de Ki'!BM50=0,0,IFERROR(IF('Técnicas de Ki'!BY50&lt;&gt;0,'Técnicas de Ki'!BY50+TS!$Q155,0)*$Q155/$Q155,0))</f>
        <v>0</v>
      </c>
      <c r="CP155" s="538">
        <f>IF('Técnicas de Ki'!BM50=0,0,IFERROR(IF('Técnicas de Ki'!BZ50&lt;&gt;0,'Técnicas de Ki'!BZ50+TS!$R155,0)*$R155/$R155,0))</f>
        <v>0</v>
      </c>
      <c r="CQ155" s="538">
        <f>IF('Técnicas de Ki'!BM50=0,0,IFERROR(IF('Técnicas de Ki'!CA50&lt;&gt;0,'Técnicas de Ki'!CA50+TS!$S155,0)*$S155/$S155,0))</f>
        <v>0</v>
      </c>
      <c r="CR155" s="539">
        <f>IF('Técnicas de Ki'!BM50=0,0,IFERROR(IF('Técnicas de Ki'!CB50&lt;&gt;0,'Técnicas de Ki'!CB50+TS!$T155,0)*$T155/$T155,0))</f>
        <v>0</v>
      </c>
      <c r="CT155" s="572" t="str">
        <f>IF('Técnicas de Ki'!BM54&lt;&gt;0,'Técnicas de Ki'!BL54&amp;" "&amp;'Técnicas de Ki'!BM54,"")</f>
        <v/>
      </c>
      <c r="CU155" s="302" t="b">
        <f t="shared" si="24"/>
        <v>0</v>
      </c>
      <c r="CV155" s="302" t="str">
        <f t="shared" si="7"/>
        <v/>
      </c>
    </row>
    <row r="156" spans="1:102" ht="13.5" thickBot="1" x14ac:dyDescent="0.25">
      <c r="A156" s="302" t="s">
        <v>6851</v>
      </c>
      <c r="B156" s="302" t="s">
        <v>6860</v>
      </c>
      <c r="C156" s="302" t="str">
        <f t="shared" si="15"/>
        <v>Multiplicador al dañox4</v>
      </c>
      <c r="D156" s="302">
        <v>20</v>
      </c>
      <c r="E156" s="302">
        <v>30</v>
      </c>
      <c r="F156" s="302">
        <v>80</v>
      </c>
      <c r="G156" s="302">
        <v>12</v>
      </c>
      <c r="H156" s="302">
        <v>24</v>
      </c>
      <c r="I156" s="302">
        <v>42</v>
      </c>
      <c r="J156" s="302">
        <v>3</v>
      </c>
      <c r="N156" s="304" t="s">
        <v>6879</v>
      </c>
      <c r="O156" s="298"/>
      <c r="P156" s="298"/>
      <c r="Q156" s="298"/>
      <c r="R156" s="298"/>
      <c r="S156" s="298"/>
      <c r="T156" s="298"/>
      <c r="V156" s="622"/>
      <c r="W156" s="546"/>
      <c r="X156" s="546"/>
      <c r="Y156" s="546"/>
      <c r="Z156" s="546"/>
      <c r="AA156" s="623"/>
      <c r="AB156" s="615"/>
      <c r="AC156" s="545"/>
      <c r="AD156" s="545"/>
      <c r="AE156" s="545"/>
      <c r="AF156" s="545"/>
      <c r="AG156" s="614"/>
      <c r="AI156" s="570" t="str">
        <f>IF('Técnicas de Ki'!B56&lt;&gt;0,'Técnicas de Ki'!A56&amp;" "&amp;'Técnicas de Ki'!B56,"")</f>
        <v/>
      </c>
      <c r="AJ156" s="302" t="b">
        <v>0</v>
      </c>
      <c r="AK156" s="302" t="str">
        <f t="shared" si="4"/>
        <v/>
      </c>
      <c r="AL156" s="573" t="str">
        <f>IF(AM156,N160&amp;": "&amp;CONCATENATE(AK156,AK157,AK158,AK159,AK160,AK161,AK162,AK163,AK164,AK165),"")&amp;IF(AM156,"  ","")</f>
        <v/>
      </c>
      <c r="AM156" s="302" t="b">
        <f>OR(AJ156:AJ165,AI165&lt;&gt;"")</f>
        <v>0</v>
      </c>
      <c r="AQ156" s="622"/>
      <c r="AR156" s="546"/>
      <c r="AS156" s="546"/>
      <c r="AT156" s="546"/>
      <c r="AU156" s="546"/>
      <c r="AV156" s="623"/>
      <c r="AW156" s="615"/>
      <c r="AX156" s="545"/>
      <c r="AY156" s="545"/>
      <c r="AZ156" s="545"/>
      <c r="BA156" s="545"/>
      <c r="BB156" s="614"/>
      <c r="BD156" s="570" t="str">
        <f>IF('Técnicas de Ki'!W56&lt;&gt;0,'Técnicas de Ki'!V56&amp;" "&amp;'Técnicas de Ki'!W56,"")</f>
        <v/>
      </c>
      <c r="BE156" s="302" t="b">
        <v>0</v>
      </c>
      <c r="BF156" s="302" t="str">
        <f t="shared" si="5"/>
        <v/>
      </c>
      <c r="BG156" s="573" t="str">
        <f>IF(BH156,AI160&amp;": "&amp;CONCATENATE(BF156,BF157,BF158,BF159,BF160,BF161,BF162,BF163,BF164,BF165),"")&amp;IF(BH156,"  ","")</f>
        <v/>
      </c>
      <c r="BH156" s="302" t="b">
        <f>OR(BE156:BE165,BD165&lt;&gt;"")</f>
        <v>0</v>
      </c>
      <c r="BL156" s="622"/>
      <c r="BM156" s="546"/>
      <c r="BN156" s="546"/>
      <c r="BO156" s="546"/>
      <c r="BP156" s="546"/>
      <c r="BQ156" s="623"/>
      <c r="BR156" s="615"/>
      <c r="BS156" s="545"/>
      <c r="BT156" s="545"/>
      <c r="BU156" s="545"/>
      <c r="BV156" s="545"/>
      <c r="BW156" s="614"/>
      <c r="BY156" s="570" t="str">
        <f>IF('Técnicas de Ki'!AR56&lt;&gt;0,'Técnicas de Ki'!AQ56&amp;" "&amp;'Técnicas de Ki'!AR56,"")</f>
        <v/>
      </c>
      <c r="BZ156" s="302" t="b">
        <v>0</v>
      </c>
      <c r="CA156" s="302" t="str">
        <f t="shared" si="6"/>
        <v/>
      </c>
      <c r="CB156" s="573" t="str">
        <f>IF(CC156,BD160&amp;": "&amp;CONCATENATE(CA156,CA157,CA158,CA159,CA160,CA161,CA162,CA163,CA164,CA165),"")&amp;IF(CC156,"  ","")</f>
        <v/>
      </c>
      <c r="CC156" s="302" t="b">
        <f>OR(BZ156:BZ165,BY165&lt;&gt;"")</f>
        <v>0</v>
      </c>
      <c r="CG156" s="622"/>
      <c r="CH156" s="546"/>
      <c r="CI156" s="546"/>
      <c r="CJ156" s="546"/>
      <c r="CK156" s="546"/>
      <c r="CL156" s="623"/>
      <c r="CM156" s="615"/>
      <c r="CN156" s="545"/>
      <c r="CO156" s="545"/>
      <c r="CP156" s="545"/>
      <c r="CQ156" s="545"/>
      <c r="CR156" s="614"/>
      <c r="CT156" s="570" t="str">
        <f>IF('Técnicas de Ki'!BM56&lt;&gt;0,'Técnicas de Ki'!BL56&amp;" "&amp;'Técnicas de Ki'!BM56,"")</f>
        <v/>
      </c>
      <c r="CU156" s="302" t="b">
        <v>0</v>
      </c>
      <c r="CV156" s="302" t="str">
        <f t="shared" si="7"/>
        <v/>
      </c>
      <c r="CW156" s="573" t="str">
        <f>IF(CX156,BY160&amp;": "&amp;CONCATENATE(CV156,CV157,CV158,CV159,CV160,CV161,CV162,CV163,CV164,CV165),"")&amp;IF(CX156,"  ","")</f>
        <v/>
      </c>
      <c r="CX156" s="302" t="b">
        <f>OR(CU156:CU165,CT165&lt;&gt;"")</f>
        <v>0</v>
      </c>
    </row>
    <row r="157" spans="1:102" x14ac:dyDescent="0.2">
      <c r="A157" s="302" t="s">
        <v>6852</v>
      </c>
      <c r="B157" s="302" t="s">
        <v>2272</v>
      </c>
      <c r="C157" s="302" t="str">
        <f t="shared" si="15"/>
        <v>Multiplicador al daño realx2</v>
      </c>
      <c r="D157" s="302">
        <v>20</v>
      </c>
      <c r="E157" s="302">
        <v>30</v>
      </c>
      <c r="F157" s="302">
        <v>40</v>
      </c>
      <c r="G157" s="302">
        <v>8</v>
      </c>
      <c r="H157" s="302">
        <v>16</v>
      </c>
      <c r="I157" s="302">
        <v>28</v>
      </c>
      <c r="J157" s="302">
        <v>1</v>
      </c>
      <c r="N157" s="302" t="s">
        <v>6880</v>
      </c>
      <c r="P157" s="302">
        <v>2</v>
      </c>
      <c r="Q157" s="302">
        <v>3</v>
      </c>
      <c r="R157" s="302">
        <v>2</v>
      </c>
      <c r="T157" s="302">
        <v>2</v>
      </c>
      <c r="V157" s="537">
        <f>IF('Técnicas de Ki'!B52=0,0,IF('Técnicas de Ki'!I52=TS!V$119,'Técnicas de Ki'!C52-(IF($O157&lt;&gt;0,'Técnicas de Ki'!L52,0)+IF($P157&lt;&gt;0,'Técnicas de Ki'!M52,0)+IF($Q157&lt;&gt;0,'Técnicas de Ki'!N52,0)+IF($R157&lt;&gt;0,'Técnicas de Ki'!O52,0)+IF($S157&lt;&gt;0,'Técnicas de Ki'!P52,0)+IF($T157&lt;&gt;0,'Técnicas de Ki'!Q52,0)),0))</f>
        <v>0</v>
      </c>
      <c r="W157" s="538">
        <f>IF('Técnicas de Ki'!B52=0,0,IF('Técnicas de Ki'!I52=TS!W$119,'Técnicas de Ki'!C52-(IF($O157&lt;&gt;0,'Técnicas de Ki'!L52,0)+IF($P157&lt;&gt;0,'Técnicas de Ki'!M52,0)+IF($Q157&lt;&gt;0,'Técnicas de Ki'!N52,0)+IF($R157&lt;&gt;0,'Técnicas de Ki'!O52,0)+IF($S157&lt;&gt;0,'Técnicas de Ki'!P52,0)+IF($T157&lt;&gt;0,'Técnicas de Ki'!Q52,0)),0))</f>
        <v>0</v>
      </c>
      <c r="X157" s="538">
        <f>IF('Técnicas de Ki'!B52=0,0,IF('Técnicas de Ki'!I52=TS!X$119,'Técnicas de Ki'!C52-(IF($O157&lt;&gt;0,'Técnicas de Ki'!L52,0)+IF($P157&lt;&gt;0,'Técnicas de Ki'!M52,0)+IF($Q157&lt;&gt;0,'Técnicas de Ki'!N52,0)+IF($R157&lt;&gt;0,'Técnicas de Ki'!O52,0)+IF($S157&lt;&gt;0,'Técnicas de Ki'!P52,0)+IF($T157&lt;&gt;0,'Técnicas de Ki'!Q52,0)),0))</f>
        <v>0</v>
      </c>
      <c r="Y157" s="538">
        <f>IF('Técnicas de Ki'!B52=0,0,IF('Técnicas de Ki'!I52=TS!Y$119,'Técnicas de Ki'!C52-(IF($O157&lt;&gt;0,'Técnicas de Ki'!L52,0)+IF($P157&lt;&gt;0,'Técnicas de Ki'!M52,0)+IF($Q157&lt;&gt;0,'Técnicas de Ki'!N52,0)+IF($R157&lt;&gt;0,'Técnicas de Ki'!O52,0)+IF($S157&lt;&gt;0,'Técnicas de Ki'!P52,0)+IF($T157&lt;&gt;0,'Técnicas de Ki'!Q52,0)),0))</f>
        <v>0</v>
      </c>
      <c r="Z157" s="538">
        <f>IF('Técnicas de Ki'!B52=0,0,IF('Técnicas de Ki'!I52=TS!Z$119,'Técnicas de Ki'!C52-(IF($O157&lt;&gt;0,'Técnicas de Ki'!L52,0)+IF($P157&lt;&gt;0,'Técnicas de Ki'!M52,0)+IF($Q157&lt;&gt;0,'Técnicas de Ki'!N52,0)+IF($R157&lt;&gt;0,'Técnicas de Ki'!O52,0)+IF($S157&lt;&gt;0,'Técnicas de Ki'!P52,0)+IF($T157&lt;&gt;0,'Técnicas de Ki'!Q52,0)),0))</f>
        <v>0</v>
      </c>
      <c r="AA157" s="539">
        <f>IF('Técnicas de Ki'!B52=0,0,IF('Técnicas de Ki'!I52=TS!AA$119,'Técnicas de Ki'!C52-(IF($O157&lt;&gt;0,'Técnicas de Ki'!L52,0)+IF($P157&lt;&gt;0,'Técnicas de Ki'!M52,0)+IF($Q157&lt;&gt;0,'Técnicas de Ki'!N52,0)+IF($R157&lt;&gt;0,'Técnicas de Ki'!O52,0)+IF($S157&lt;&gt;0,'Técnicas de Ki'!P52,0)+IF($T157&lt;&gt;0,'Técnicas de Ki'!Q52,0)),0))</f>
        <v>0</v>
      </c>
      <c r="AB157" s="538">
        <f>IF('Técnicas de Ki'!B52=0,0,IFERROR(IF('Técnicas de Ki'!L52&lt;&gt;0,'Técnicas de Ki'!L52+TS!$O157,0)*$O157/$O157,0))</f>
        <v>0</v>
      </c>
      <c r="AC157" s="538">
        <f>IF('Técnicas de Ki'!B52=0,0,IFERROR(IF('Técnicas de Ki'!M52&lt;&gt;0,'Técnicas de Ki'!M52+TS!$P157,0)*$P157/$P157,0))</f>
        <v>0</v>
      </c>
      <c r="AD157" s="538">
        <f>IF('Técnicas de Ki'!B52=0,0,IFERROR(IF('Técnicas de Ki'!N52&lt;&gt;0,'Técnicas de Ki'!N52+TS!$Q157,0)*$Q157/$Q157,0))</f>
        <v>0</v>
      </c>
      <c r="AE157" s="538">
        <f>IF('Técnicas de Ki'!B52=0,0,IFERROR(IF('Técnicas de Ki'!O52&lt;&gt;0,'Técnicas de Ki'!O52+TS!$R157,0)*$R157/$R157,0))</f>
        <v>0</v>
      </c>
      <c r="AF157" s="538">
        <f>IF('Técnicas de Ki'!B52=0,0,IFERROR(IF('Técnicas de Ki'!P52&lt;&gt;0,'Técnicas de Ki'!P52+TS!$S157,0)*$S157/$S157,0))</f>
        <v>0</v>
      </c>
      <c r="AG157" s="539">
        <f>IF('Técnicas de Ki'!B52=0,0,IFERROR(IF('Técnicas de Ki'!Q52&lt;&gt;0,'Técnicas de Ki'!Q52+TS!$T157,0)*$T157/$T157,0))</f>
        <v>0</v>
      </c>
      <c r="AI157" s="571" t="str">
        <f>IF('Técnicas de Ki'!B57&lt;&gt;0,'Técnicas de Ki'!A57&amp;" "&amp;'Técnicas de Ki'!B57,"")</f>
        <v/>
      </c>
      <c r="AJ157" s="302" t="b">
        <f t="shared" si="8"/>
        <v>0</v>
      </c>
      <c r="AK157" s="302" t="str">
        <f t="shared" si="4"/>
        <v/>
      </c>
      <c r="AQ157" s="537">
        <f>IF('Técnicas de Ki'!W52=0,0,IF('Técnicas de Ki'!AD52=TS!AQ$119,'Técnicas de Ki'!X52-(IF($O157&lt;&gt;0,'Técnicas de Ki'!AG52,0)+IF($P157&lt;&gt;0,'Técnicas de Ki'!AH52,0)+IF($Q157&lt;&gt;0,'Técnicas de Ki'!AI52,0)+IF($R157&lt;&gt;0,'Técnicas de Ki'!AJ52,0)+IF($S157&lt;&gt;0,'Técnicas de Ki'!AK52,0)+IF($T157&lt;&gt;0,'Técnicas de Ki'!AL52,0)),0))</f>
        <v>0</v>
      </c>
      <c r="AR157" s="538">
        <f>IF('Técnicas de Ki'!W52=0,0,IF('Técnicas de Ki'!AD52=TS!AR$119,'Técnicas de Ki'!X52-(IF($O157&lt;&gt;0,'Técnicas de Ki'!AG52,0)+IF($P157&lt;&gt;0,'Técnicas de Ki'!AH52,0)+IF($Q157&lt;&gt;0,'Técnicas de Ki'!AI52,0)+IF($R157&lt;&gt;0,'Técnicas de Ki'!AJ52,0)+IF($S157&lt;&gt;0,'Técnicas de Ki'!AK52,0)+IF($T157&lt;&gt;0,'Técnicas de Ki'!AL52,0)),0))</f>
        <v>0</v>
      </c>
      <c r="AS157" s="538">
        <f>IF('Técnicas de Ki'!W52=0,0,IF('Técnicas de Ki'!AD52=TS!AS$119,'Técnicas de Ki'!X52-(IF($O157&lt;&gt;0,'Técnicas de Ki'!AG52,0)+IF($P157&lt;&gt;0,'Técnicas de Ki'!AH52,0)+IF($Q157&lt;&gt;0,'Técnicas de Ki'!AI52,0)+IF($R157&lt;&gt;0,'Técnicas de Ki'!AJ52,0)+IF($S157&lt;&gt;0,'Técnicas de Ki'!AK52,0)+IF($T157&lt;&gt;0,'Técnicas de Ki'!AL52,0)),0))</f>
        <v>0</v>
      </c>
      <c r="AT157" s="538">
        <f>IF('Técnicas de Ki'!W52=0,0,IF('Técnicas de Ki'!AD52=TS!AT$119,'Técnicas de Ki'!X52-(IF($O157&lt;&gt;0,'Técnicas de Ki'!AG52,0)+IF($P157&lt;&gt;0,'Técnicas de Ki'!AH52,0)+IF($Q157&lt;&gt;0,'Técnicas de Ki'!AI52,0)+IF($R157&lt;&gt;0,'Técnicas de Ki'!AJ52,0)+IF($S157&lt;&gt;0,'Técnicas de Ki'!AK52,0)+IF($T157&lt;&gt;0,'Técnicas de Ki'!AL52,0)),0))</f>
        <v>0</v>
      </c>
      <c r="AU157" s="538">
        <f>IF('Técnicas de Ki'!W52=0,0,IF('Técnicas de Ki'!AD52=TS!AU$119,'Técnicas de Ki'!X52-(IF($O157&lt;&gt;0,'Técnicas de Ki'!AG52,0)+IF($P157&lt;&gt;0,'Técnicas de Ki'!AH52,0)+IF($Q157&lt;&gt;0,'Técnicas de Ki'!AI52,0)+IF($R157&lt;&gt;0,'Técnicas de Ki'!AJ52,0)+IF($S157&lt;&gt;0,'Técnicas de Ki'!AK52,0)+IF($T157&lt;&gt;0,'Técnicas de Ki'!AL52,0)),0))</f>
        <v>0</v>
      </c>
      <c r="AV157" s="539">
        <f>IF('Técnicas de Ki'!W52=0,0,IF('Técnicas de Ki'!AD52=TS!AV$119,'Técnicas de Ki'!X52-(IF($O157&lt;&gt;0,'Técnicas de Ki'!AG52,0)+IF($P157&lt;&gt;0,'Técnicas de Ki'!AH52,0)+IF($Q157&lt;&gt;0,'Técnicas de Ki'!AI52,0)+IF($R157&lt;&gt;0,'Técnicas de Ki'!AJ52,0)+IF($S157&lt;&gt;0,'Técnicas de Ki'!AK52,0)+IF($T157&lt;&gt;0,'Técnicas de Ki'!AL52,0)),0))</f>
        <v>0</v>
      </c>
      <c r="AW157" s="538">
        <f>IF('Técnicas de Ki'!W52=0,0,IFERROR(IF('Técnicas de Ki'!AG52&lt;&gt;0,'Técnicas de Ki'!AG52+TS!$O157,0)*$O157/$O157,0))</f>
        <v>0</v>
      </c>
      <c r="AX157" s="538">
        <f>IF('Técnicas de Ki'!W52=0,0,IFERROR(IF('Técnicas de Ki'!AH52&lt;&gt;0,'Técnicas de Ki'!AH52+TS!$P157,0)*$P157/$P157,0))</f>
        <v>0</v>
      </c>
      <c r="AY157" s="538">
        <f>IF('Técnicas de Ki'!W52=0,0,IFERROR(IF('Técnicas de Ki'!AI52&lt;&gt;0,'Técnicas de Ki'!AI52+TS!$Q157,0)*$Q157/$Q157,0))</f>
        <v>0</v>
      </c>
      <c r="AZ157" s="538">
        <f>IF('Técnicas de Ki'!W52=0,0,IFERROR(IF('Técnicas de Ki'!AJ52&lt;&gt;0,'Técnicas de Ki'!AJ52+TS!$R157,0)*$R157/$R157,0))</f>
        <v>0</v>
      </c>
      <c r="BA157" s="538">
        <f>IF('Técnicas de Ki'!W52=0,0,IFERROR(IF('Técnicas de Ki'!AK52&lt;&gt;0,'Técnicas de Ki'!AK52+TS!$S157,0)*$S157/$S157,0))</f>
        <v>0</v>
      </c>
      <c r="BB157" s="539">
        <f>IF('Técnicas de Ki'!W52=0,0,IFERROR(IF('Técnicas de Ki'!AL52&lt;&gt;0,'Técnicas de Ki'!AL52+TS!$T157,0)*$T157/$T157,0))</f>
        <v>0</v>
      </c>
      <c r="BD157" s="571" t="str">
        <f>IF('Técnicas de Ki'!W57&lt;&gt;0,'Técnicas de Ki'!V57&amp;" "&amp;'Técnicas de Ki'!W57,"")</f>
        <v/>
      </c>
      <c r="BE157" s="302" t="b">
        <f t="shared" ref="BE157:BE220" si="25">OR(BE156,BD156&lt;&gt;"")</f>
        <v>0</v>
      </c>
      <c r="BF157" s="302" t="str">
        <f t="shared" si="5"/>
        <v/>
      </c>
      <c r="BL157" s="537">
        <f>IF('Técnicas de Ki'!AR52=0,0,IF('Técnicas de Ki'!AY52=TS!BL$119,'Técnicas de Ki'!AS52-(IF($O157&lt;&gt;0,'Técnicas de Ki'!BB52,0)+IF($P157&lt;&gt;0,'Técnicas de Ki'!BC52,0)+IF($Q157&lt;&gt;0,'Técnicas de Ki'!BD52,0)+IF($R157&lt;&gt;0,'Técnicas de Ki'!BE52,0)+IF($S157&lt;&gt;0,'Técnicas de Ki'!BF52,0)+IF($T157&lt;&gt;0,'Técnicas de Ki'!BG52,0)),0))</f>
        <v>0</v>
      </c>
      <c r="BM157" s="538">
        <f>IF('Técnicas de Ki'!AR52=0,0,IF('Técnicas de Ki'!AY52=TS!BM$119,'Técnicas de Ki'!AS52-(IF($O157&lt;&gt;0,'Técnicas de Ki'!BB52,0)+IF($P157&lt;&gt;0,'Técnicas de Ki'!BC52,0)+IF($Q157&lt;&gt;0,'Técnicas de Ki'!BD52,0)+IF($R157&lt;&gt;0,'Técnicas de Ki'!BE52,0)+IF($S157&lt;&gt;0,'Técnicas de Ki'!BF52,0)+IF($T157&lt;&gt;0,'Técnicas de Ki'!BG52,0)),0))</f>
        <v>0</v>
      </c>
      <c r="BN157" s="538">
        <f>IF('Técnicas de Ki'!AR52=0,0,IF('Técnicas de Ki'!AY52=TS!BN$119,'Técnicas de Ki'!AS52-(IF($O157&lt;&gt;0,'Técnicas de Ki'!BB52,0)+IF($P157&lt;&gt;0,'Técnicas de Ki'!BC52,0)+IF($Q157&lt;&gt;0,'Técnicas de Ki'!BD52,0)+IF($R157&lt;&gt;0,'Técnicas de Ki'!BE52,0)+IF($S157&lt;&gt;0,'Técnicas de Ki'!BF52,0)+IF($T157&lt;&gt;0,'Técnicas de Ki'!BG52,0)),0))</f>
        <v>0</v>
      </c>
      <c r="BO157" s="538">
        <f>IF('Técnicas de Ki'!AR52=0,0,IF('Técnicas de Ki'!AY52=TS!BO$119,'Técnicas de Ki'!AS52-(IF($O157&lt;&gt;0,'Técnicas de Ki'!BB52,0)+IF($P157&lt;&gt;0,'Técnicas de Ki'!BC52,0)+IF($Q157&lt;&gt;0,'Técnicas de Ki'!BD52,0)+IF($R157&lt;&gt;0,'Técnicas de Ki'!BE52,0)+IF($S157&lt;&gt;0,'Técnicas de Ki'!BF52,0)+IF($T157&lt;&gt;0,'Técnicas de Ki'!BG52,0)),0))</f>
        <v>0</v>
      </c>
      <c r="BP157" s="538">
        <f>IF('Técnicas de Ki'!AR52=0,0,IF('Técnicas de Ki'!AY52=TS!BP$119,'Técnicas de Ki'!AS52-(IF($O157&lt;&gt;0,'Técnicas de Ki'!BB52,0)+IF($P157&lt;&gt;0,'Técnicas de Ki'!BC52,0)+IF($Q157&lt;&gt;0,'Técnicas de Ki'!BD52,0)+IF($R157&lt;&gt;0,'Técnicas de Ki'!BE52,0)+IF($S157&lt;&gt;0,'Técnicas de Ki'!BF52,0)+IF($T157&lt;&gt;0,'Técnicas de Ki'!BG52,0)),0))</f>
        <v>0</v>
      </c>
      <c r="BQ157" s="539">
        <f>IF('Técnicas de Ki'!AR52=0,0,IF('Técnicas de Ki'!AY52=TS!BQ$119,'Técnicas de Ki'!AS52-(IF($O157&lt;&gt;0,'Técnicas de Ki'!BB52,0)+IF($P157&lt;&gt;0,'Técnicas de Ki'!BC52,0)+IF($Q157&lt;&gt;0,'Técnicas de Ki'!BD52,0)+IF($R157&lt;&gt;0,'Técnicas de Ki'!BE52,0)+IF($S157&lt;&gt;0,'Técnicas de Ki'!BF52,0)+IF($T157&lt;&gt;0,'Técnicas de Ki'!BG52,0)),0))</f>
        <v>0</v>
      </c>
      <c r="BR157" s="538">
        <f>IF('Técnicas de Ki'!AR52=0,0,IFERROR(IF('Técnicas de Ki'!BB52&lt;&gt;0,'Técnicas de Ki'!BB52+TS!$O157,0)*$O157/$O157,0))</f>
        <v>0</v>
      </c>
      <c r="BS157" s="538">
        <f>IF('Técnicas de Ki'!AR52=0,0,IFERROR(IF('Técnicas de Ki'!BC52&lt;&gt;0,'Técnicas de Ki'!BC52+TS!$P157,0)*$P157/$P157,0))</f>
        <v>0</v>
      </c>
      <c r="BT157" s="538">
        <f>IF('Técnicas de Ki'!AR52=0,0,IFERROR(IF('Técnicas de Ki'!BD52&lt;&gt;0,'Técnicas de Ki'!BD52+TS!$Q157,0)*$Q157/$Q157,0))</f>
        <v>0</v>
      </c>
      <c r="BU157" s="538">
        <f>IF('Técnicas de Ki'!AR52=0,0,IFERROR(IF('Técnicas de Ki'!BE52&lt;&gt;0,'Técnicas de Ki'!BE52+TS!$R157,0)*$R157/$R157,0))</f>
        <v>0</v>
      </c>
      <c r="BV157" s="538">
        <f>IF('Técnicas de Ki'!AR52=0,0,IFERROR(IF('Técnicas de Ki'!BF52&lt;&gt;0,'Técnicas de Ki'!BF52+TS!$S157,0)*$S157/$S157,0))</f>
        <v>0</v>
      </c>
      <c r="BW157" s="539">
        <f>IF('Técnicas de Ki'!AR52=0,0,IFERROR(IF('Técnicas de Ki'!BG52&lt;&gt;0,'Técnicas de Ki'!BG52+TS!$T157,0)*$T157/$T157,0))</f>
        <v>0</v>
      </c>
      <c r="BY157" s="571" t="str">
        <f>IF('Técnicas de Ki'!AR57&lt;&gt;0,'Técnicas de Ki'!AQ57&amp;" "&amp;'Técnicas de Ki'!AR57,"")</f>
        <v/>
      </c>
      <c r="BZ157" s="302" t="b">
        <f t="shared" ref="BZ157:BZ220" si="26">OR(BZ156,BY156&lt;&gt;"")</f>
        <v>0</v>
      </c>
      <c r="CA157" s="302" t="str">
        <f t="shared" si="6"/>
        <v/>
      </c>
      <c r="CG157" s="537">
        <f>IF('Técnicas de Ki'!BM52=0,0,IF('Técnicas de Ki'!BT52=TS!CG$119,'Técnicas de Ki'!BN52-(IF($O157&lt;&gt;0,'Técnicas de Ki'!BW52,0)+IF($P157&lt;&gt;0,'Técnicas de Ki'!BX52,0)+IF($Q157&lt;&gt;0,'Técnicas de Ki'!BY52,0)+IF($R157&lt;&gt;0,'Técnicas de Ki'!BZ52,0)+IF($S157&lt;&gt;0,'Técnicas de Ki'!CA52,0)+IF($T157&lt;&gt;0,'Técnicas de Ki'!CB52,0)),0))</f>
        <v>0</v>
      </c>
      <c r="CH157" s="538">
        <f>IF('Técnicas de Ki'!BM52=0,0,IF('Técnicas de Ki'!BT52=TS!CH$119,'Técnicas de Ki'!BN52-(IF($O157&lt;&gt;0,'Técnicas de Ki'!BW52,0)+IF($P157&lt;&gt;0,'Técnicas de Ki'!BX52,0)+IF($Q157&lt;&gt;0,'Técnicas de Ki'!BY52,0)+IF($R157&lt;&gt;0,'Técnicas de Ki'!BZ52,0)+IF($S157&lt;&gt;0,'Técnicas de Ki'!CA52,0)+IF($T157&lt;&gt;0,'Técnicas de Ki'!CB52,0)),0))</f>
        <v>0</v>
      </c>
      <c r="CI157" s="538">
        <f>IF('Técnicas de Ki'!BM52=0,0,IF('Técnicas de Ki'!BT52=TS!CI$119,'Técnicas de Ki'!BN52-(IF($O157&lt;&gt;0,'Técnicas de Ki'!BW52,0)+IF($P157&lt;&gt;0,'Técnicas de Ki'!BX52,0)+IF($Q157&lt;&gt;0,'Técnicas de Ki'!BY52,0)+IF($R157&lt;&gt;0,'Técnicas de Ki'!BZ52,0)+IF($S157&lt;&gt;0,'Técnicas de Ki'!CA52,0)+IF($T157&lt;&gt;0,'Técnicas de Ki'!CB52,0)),0))</f>
        <v>0</v>
      </c>
      <c r="CJ157" s="538">
        <f>IF('Técnicas de Ki'!BM52=0,0,IF('Técnicas de Ki'!BT52=TS!CJ$119,'Técnicas de Ki'!BN52-(IF($O157&lt;&gt;0,'Técnicas de Ki'!BW52,0)+IF($P157&lt;&gt;0,'Técnicas de Ki'!BX52,0)+IF($Q157&lt;&gt;0,'Técnicas de Ki'!BY52,0)+IF($R157&lt;&gt;0,'Técnicas de Ki'!BZ52,0)+IF($S157&lt;&gt;0,'Técnicas de Ki'!CA52,0)+IF($T157&lt;&gt;0,'Técnicas de Ki'!CB52,0)),0))</f>
        <v>0</v>
      </c>
      <c r="CK157" s="538">
        <f>IF('Técnicas de Ki'!BM52=0,0,IF('Técnicas de Ki'!BT52=TS!CK$119,'Técnicas de Ki'!BN52-(IF($O157&lt;&gt;0,'Técnicas de Ki'!BW52,0)+IF($P157&lt;&gt;0,'Técnicas de Ki'!BX52,0)+IF($Q157&lt;&gt;0,'Técnicas de Ki'!BY52,0)+IF($R157&lt;&gt;0,'Técnicas de Ki'!BZ52,0)+IF($S157&lt;&gt;0,'Técnicas de Ki'!CA52,0)+IF($T157&lt;&gt;0,'Técnicas de Ki'!CB52,0)),0))</f>
        <v>0</v>
      </c>
      <c r="CL157" s="539">
        <f>IF('Técnicas de Ki'!BM52=0,0,IF('Técnicas de Ki'!BT52=TS!CL$119,'Técnicas de Ki'!BN52-(IF($O157&lt;&gt;0,'Técnicas de Ki'!BW52,0)+IF($P157&lt;&gt;0,'Técnicas de Ki'!BX52,0)+IF($Q157&lt;&gt;0,'Técnicas de Ki'!BY52,0)+IF($R157&lt;&gt;0,'Técnicas de Ki'!BZ52,0)+IF($S157&lt;&gt;0,'Técnicas de Ki'!CA52,0)+IF($T157&lt;&gt;0,'Técnicas de Ki'!CB52,0)),0))</f>
        <v>0</v>
      </c>
      <c r="CM157" s="538">
        <f>IF('Técnicas de Ki'!BM52=0,0,IFERROR(IF('Técnicas de Ki'!BW52&lt;&gt;0,'Técnicas de Ki'!BW52+TS!$O157,0)*$O157/$O157,0))</f>
        <v>0</v>
      </c>
      <c r="CN157" s="538">
        <f>IF('Técnicas de Ki'!BM52=0,0,IFERROR(IF('Técnicas de Ki'!BX52&lt;&gt;0,'Técnicas de Ki'!BX52+TS!$P157,0)*$P157/$P157,0))</f>
        <v>0</v>
      </c>
      <c r="CO157" s="538">
        <f>IF('Técnicas de Ki'!BM52=0,0,IFERROR(IF('Técnicas de Ki'!BY52&lt;&gt;0,'Técnicas de Ki'!BY52+TS!$Q157,0)*$Q157/$Q157,0))</f>
        <v>0</v>
      </c>
      <c r="CP157" s="538">
        <f>IF('Técnicas de Ki'!BM52=0,0,IFERROR(IF('Técnicas de Ki'!BZ52&lt;&gt;0,'Técnicas de Ki'!BZ52+TS!$R157,0)*$R157/$R157,0))</f>
        <v>0</v>
      </c>
      <c r="CQ157" s="538">
        <f>IF('Técnicas de Ki'!BM52=0,0,IFERROR(IF('Técnicas de Ki'!CA52&lt;&gt;0,'Técnicas de Ki'!CA52+TS!$S157,0)*$S157/$S157,0))</f>
        <v>0</v>
      </c>
      <c r="CR157" s="539">
        <f>IF('Técnicas de Ki'!BM52=0,0,IFERROR(IF('Técnicas de Ki'!CB52&lt;&gt;0,'Técnicas de Ki'!CB52+TS!$T157,0)*$T157/$T157,0))</f>
        <v>0</v>
      </c>
      <c r="CT157" s="571" t="str">
        <f>IF('Técnicas de Ki'!BM57&lt;&gt;0,'Técnicas de Ki'!BL57&amp;" "&amp;'Técnicas de Ki'!BM57,"")</f>
        <v/>
      </c>
      <c r="CU157" s="302" t="b">
        <f t="shared" ref="CU157:CU220" si="27">OR(CU156,CT156&lt;&gt;"")</f>
        <v>0</v>
      </c>
      <c r="CV157" s="302" t="str">
        <f t="shared" si="7"/>
        <v/>
      </c>
    </row>
    <row r="158" spans="1:102" x14ac:dyDescent="0.2">
      <c r="A158" s="302" t="s">
        <v>6852</v>
      </c>
      <c r="B158" s="302" t="s">
        <v>6859</v>
      </c>
      <c r="C158" s="302" t="str">
        <f t="shared" si="15"/>
        <v>Multiplicador al daño realx3</v>
      </c>
      <c r="D158" s="302">
        <v>30</v>
      </c>
      <c r="E158" s="302">
        <v>36</v>
      </c>
      <c r="F158" s="302">
        <v>70</v>
      </c>
      <c r="G158" s="302">
        <v>16</v>
      </c>
      <c r="H158" s="302">
        <v>32</v>
      </c>
      <c r="I158" s="302">
        <v>56</v>
      </c>
      <c r="J158" s="302">
        <v>2</v>
      </c>
      <c r="N158" s="302" t="s">
        <v>6881</v>
      </c>
      <c r="O158" s="302">
        <v>1</v>
      </c>
      <c r="Q158" s="302">
        <v>3</v>
      </c>
      <c r="R158" s="302">
        <v>2</v>
      </c>
      <c r="S158" s="302">
        <v>1</v>
      </c>
      <c r="V158" s="537">
        <f>IF('Técnicas de Ki'!B53=0,0,IF('Técnicas de Ki'!I53=TS!V$119,'Técnicas de Ki'!C53-(IF($O158&lt;&gt;0,'Técnicas de Ki'!L53,0)+IF($P158&lt;&gt;0,'Técnicas de Ki'!M53,0)+IF($Q158&lt;&gt;0,'Técnicas de Ki'!N53,0)+IF($R158&lt;&gt;0,'Técnicas de Ki'!O53,0)+IF($S158&lt;&gt;0,'Técnicas de Ki'!P53,0)+IF($T158&lt;&gt;0,'Técnicas de Ki'!Q53,0)),0))</f>
        <v>0</v>
      </c>
      <c r="W158" s="538">
        <f>IF('Técnicas de Ki'!B53=0,0,IF('Técnicas de Ki'!I53=TS!W$119,'Técnicas de Ki'!C53-(IF($O158&lt;&gt;0,'Técnicas de Ki'!L53,0)+IF($P158&lt;&gt;0,'Técnicas de Ki'!M53,0)+IF($Q158&lt;&gt;0,'Técnicas de Ki'!N53,0)+IF($R158&lt;&gt;0,'Técnicas de Ki'!O53,0)+IF($S158&lt;&gt;0,'Técnicas de Ki'!P53,0)+IF($T158&lt;&gt;0,'Técnicas de Ki'!Q53,0)),0))</f>
        <v>0</v>
      </c>
      <c r="X158" s="538">
        <f>IF('Técnicas de Ki'!B53=0,0,IF('Técnicas de Ki'!I53=TS!X$119,'Técnicas de Ki'!C53-(IF($O158&lt;&gt;0,'Técnicas de Ki'!L53,0)+IF($P158&lt;&gt;0,'Técnicas de Ki'!M53,0)+IF($Q158&lt;&gt;0,'Técnicas de Ki'!N53,0)+IF($R158&lt;&gt;0,'Técnicas de Ki'!O53,0)+IF($S158&lt;&gt;0,'Técnicas de Ki'!P53,0)+IF($T158&lt;&gt;0,'Técnicas de Ki'!Q53,0)),0))</f>
        <v>0</v>
      </c>
      <c r="Y158" s="538">
        <f>IF('Técnicas de Ki'!B53=0,0,IF('Técnicas de Ki'!I53=TS!Y$119,'Técnicas de Ki'!C53-(IF($O158&lt;&gt;0,'Técnicas de Ki'!L53,0)+IF($P158&lt;&gt;0,'Técnicas de Ki'!M53,0)+IF($Q158&lt;&gt;0,'Técnicas de Ki'!N53,0)+IF($R158&lt;&gt;0,'Técnicas de Ki'!O53,0)+IF($S158&lt;&gt;0,'Técnicas de Ki'!P53,0)+IF($T158&lt;&gt;0,'Técnicas de Ki'!Q53,0)),0))</f>
        <v>0</v>
      </c>
      <c r="Z158" s="538">
        <f>IF('Técnicas de Ki'!B53=0,0,IF('Técnicas de Ki'!I53=TS!Z$119,'Técnicas de Ki'!C53-(IF($O158&lt;&gt;0,'Técnicas de Ki'!L53,0)+IF($P158&lt;&gt;0,'Técnicas de Ki'!M53,0)+IF($Q158&lt;&gt;0,'Técnicas de Ki'!N53,0)+IF($R158&lt;&gt;0,'Técnicas de Ki'!O53,0)+IF($S158&lt;&gt;0,'Técnicas de Ki'!P53,0)+IF($T158&lt;&gt;0,'Técnicas de Ki'!Q53,0)),0))</f>
        <v>0</v>
      </c>
      <c r="AA158" s="539">
        <f>IF('Técnicas de Ki'!B53=0,0,IF('Técnicas de Ki'!I53=TS!AA$119,'Técnicas de Ki'!C53-(IF($O158&lt;&gt;0,'Técnicas de Ki'!L53,0)+IF($P158&lt;&gt;0,'Técnicas de Ki'!M53,0)+IF($Q158&lt;&gt;0,'Técnicas de Ki'!N53,0)+IF($R158&lt;&gt;0,'Técnicas de Ki'!O53,0)+IF($S158&lt;&gt;0,'Técnicas de Ki'!P53,0)+IF($T158&lt;&gt;0,'Técnicas de Ki'!Q53,0)),0))</f>
        <v>0</v>
      </c>
      <c r="AB158" s="538">
        <f>IF('Técnicas de Ki'!B53=0,0,IFERROR(IF('Técnicas de Ki'!L53&lt;&gt;0,'Técnicas de Ki'!L53+TS!$O158,0)*$O158/$O158,0))</f>
        <v>0</v>
      </c>
      <c r="AC158" s="538">
        <f>IF('Técnicas de Ki'!B53=0,0,IFERROR(IF('Técnicas de Ki'!M53&lt;&gt;0,'Técnicas de Ki'!M53+TS!$P158,0)*$P158/$P158,0))</f>
        <v>0</v>
      </c>
      <c r="AD158" s="538">
        <f>IF('Técnicas de Ki'!B53=0,0,IFERROR(IF('Técnicas de Ki'!N53&lt;&gt;0,'Técnicas de Ki'!N53+TS!$Q158,0)*$Q158/$Q158,0))</f>
        <v>0</v>
      </c>
      <c r="AE158" s="538">
        <f>IF('Técnicas de Ki'!B53=0,0,IFERROR(IF('Técnicas de Ki'!O53&lt;&gt;0,'Técnicas de Ki'!O53+TS!$R158,0)*$R158/$R158,0))</f>
        <v>0</v>
      </c>
      <c r="AF158" s="538">
        <f>IF('Técnicas de Ki'!B53=0,0,IFERROR(IF('Técnicas de Ki'!P53&lt;&gt;0,'Técnicas de Ki'!P53+TS!$S158,0)*$S158/$S158,0))</f>
        <v>0</v>
      </c>
      <c r="AG158" s="539">
        <f>IF('Técnicas de Ki'!B53=0,0,IFERROR(IF('Técnicas de Ki'!Q53&lt;&gt;0,'Técnicas de Ki'!Q53+TS!$T158,0)*$T158/$T158,0))</f>
        <v>0</v>
      </c>
      <c r="AI158" s="571" t="str">
        <f>IF('Técnicas de Ki'!B58&lt;&gt;0,'Técnicas de Ki'!A58&amp;" "&amp;'Técnicas de Ki'!B58,"")</f>
        <v/>
      </c>
      <c r="AJ158" s="302" t="b">
        <f t="shared" si="8"/>
        <v>0</v>
      </c>
      <c r="AK158" s="302" t="str">
        <f t="shared" si="4"/>
        <v/>
      </c>
      <c r="AQ158" s="537">
        <f>IF('Técnicas de Ki'!W53=0,0,IF('Técnicas de Ki'!AD53=TS!AQ$119,'Técnicas de Ki'!X53-(IF($O158&lt;&gt;0,'Técnicas de Ki'!AG53,0)+IF($P158&lt;&gt;0,'Técnicas de Ki'!AH53,0)+IF($Q158&lt;&gt;0,'Técnicas de Ki'!AI53,0)+IF($R158&lt;&gt;0,'Técnicas de Ki'!AJ53,0)+IF($S158&lt;&gt;0,'Técnicas de Ki'!AK53,0)+IF($T158&lt;&gt;0,'Técnicas de Ki'!AL53,0)),0))</f>
        <v>0</v>
      </c>
      <c r="AR158" s="538">
        <f>IF('Técnicas de Ki'!W53=0,0,IF('Técnicas de Ki'!AD53=TS!AR$119,'Técnicas de Ki'!X53-(IF($O158&lt;&gt;0,'Técnicas de Ki'!AG53,0)+IF($P158&lt;&gt;0,'Técnicas de Ki'!AH53,0)+IF($Q158&lt;&gt;0,'Técnicas de Ki'!AI53,0)+IF($R158&lt;&gt;0,'Técnicas de Ki'!AJ53,0)+IF($S158&lt;&gt;0,'Técnicas de Ki'!AK53,0)+IF($T158&lt;&gt;0,'Técnicas de Ki'!AL53,0)),0))</f>
        <v>0</v>
      </c>
      <c r="AS158" s="538">
        <f>IF('Técnicas de Ki'!W53=0,0,IF('Técnicas de Ki'!AD53=TS!AS$119,'Técnicas de Ki'!X53-(IF($O158&lt;&gt;0,'Técnicas de Ki'!AG53,0)+IF($P158&lt;&gt;0,'Técnicas de Ki'!AH53,0)+IF($Q158&lt;&gt;0,'Técnicas de Ki'!AI53,0)+IF($R158&lt;&gt;0,'Técnicas de Ki'!AJ53,0)+IF($S158&lt;&gt;0,'Técnicas de Ki'!AK53,0)+IF($T158&lt;&gt;0,'Técnicas de Ki'!AL53,0)),0))</f>
        <v>0</v>
      </c>
      <c r="AT158" s="538">
        <f>IF('Técnicas de Ki'!W53=0,0,IF('Técnicas de Ki'!AD53=TS!AT$119,'Técnicas de Ki'!X53-(IF($O158&lt;&gt;0,'Técnicas de Ki'!AG53,0)+IF($P158&lt;&gt;0,'Técnicas de Ki'!AH53,0)+IF($Q158&lt;&gt;0,'Técnicas de Ki'!AI53,0)+IF($R158&lt;&gt;0,'Técnicas de Ki'!AJ53,0)+IF($S158&lt;&gt;0,'Técnicas de Ki'!AK53,0)+IF($T158&lt;&gt;0,'Técnicas de Ki'!AL53,0)),0))</f>
        <v>0</v>
      </c>
      <c r="AU158" s="538">
        <f>IF('Técnicas de Ki'!W53=0,0,IF('Técnicas de Ki'!AD53=TS!AU$119,'Técnicas de Ki'!X53-(IF($O158&lt;&gt;0,'Técnicas de Ki'!AG53,0)+IF($P158&lt;&gt;0,'Técnicas de Ki'!AH53,0)+IF($Q158&lt;&gt;0,'Técnicas de Ki'!AI53,0)+IF($R158&lt;&gt;0,'Técnicas de Ki'!AJ53,0)+IF($S158&lt;&gt;0,'Técnicas de Ki'!AK53,0)+IF($T158&lt;&gt;0,'Técnicas de Ki'!AL53,0)),0))</f>
        <v>0</v>
      </c>
      <c r="AV158" s="539">
        <f>IF('Técnicas de Ki'!W53=0,0,IF('Técnicas de Ki'!AD53=TS!AV$119,'Técnicas de Ki'!X53-(IF($O158&lt;&gt;0,'Técnicas de Ki'!AG53,0)+IF($P158&lt;&gt;0,'Técnicas de Ki'!AH53,0)+IF($Q158&lt;&gt;0,'Técnicas de Ki'!AI53,0)+IF($R158&lt;&gt;0,'Técnicas de Ki'!AJ53,0)+IF($S158&lt;&gt;0,'Técnicas de Ki'!AK53,0)+IF($T158&lt;&gt;0,'Técnicas de Ki'!AL53,0)),0))</f>
        <v>0</v>
      </c>
      <c r="AW158" s="538">
        <f>IF('Técnicas de Ki'!W53=0,0,IFERROR(IF('Técnicas de Ki'!AG53&lt;&gt;0,'Técnicas de Ki'!AG53+TS!$O158,0)*$O158/$O158,0))</f>
        <v>0</v>
      </c>
      <c r="AX158" s="538">
        <f>IF('Técnicas de Ki'!W53=0,0,IFERROR(IF('Técnicas de Ki'!AH53&lt;&gt;0,'Técnicas de Ki'!AH53+TS!$P158,0)*$P158/$P158,0))</f>
        <v>0</v>
      </c>
      <c r="AY158" s="538">
        <f>IF('Técnicas de Ki'!W53=0,0,IFERROR(IF('Técnicas de Ki'!AI53&lt;&gt;0,'Técnicas de Ki'!AI53+TS!$Q158,0)*$Q158/$Q158,0))</f>
        <v>0</v>
      </c>
      <c r="AZ158" s="538">
        <f>IF('Técnicas de Ki'!W53=0,0,IFERROR(IF('Técnicas de Ki'!AJ53&lt;&gt;0,'Técnicas de Ki'!AJ53+TS!$R158,0)*$R158/$R158,0))</f>
        <v>0</v>
      </c>
      <c r="BA158" s="538">
        <f>IF('Técnicas de Ki'!W53=0,0,IFERROR(IF('Técnicas de Ki'!AK53&lt;&gt;0,'Técnicas de Ki'!AK53+TS!$S158,0)*$S158/$S158,0))</f>
        <v>0</v>
      </c>
      <c r="BB158" s="539">
        <f>IF('Técnicas de Ki'!W53=0,0,IFERROR(IF('Técnicas de Ki'!AL53&lt;&gt;0,'Técnicas de Ki'!AL53+TS!$T158,0)*$T158/$T158,0))</f>
        <v>0</v>
      </c>
      <c r="BD158" s="571" t="str">
        <f>IF('Técnicas de Ki'!W58&lt;&gt;0,'Técnicas de Ki'!V58&amp;" "&amp;'Técnicas de Ki'!W58,"")</f>
        <v/>
      </c>
      <c r="BE158" s="302" t="b">
        <f t="shared" si="25"/>
        <v>0</v>
      </c>
      <c r="BF158" s="302" t="str">
        <f t="shared" si="5"/>
        <v/>
      </c>
      <c r="BL158" s="537">
        <f>IF('Técnicas de Ki'!AR53=0,0,IF('Técnicas de Ki'!AY53=TS!BL$119,'Técnicas de Ki'!AS53-(IF($O158&lt;&gt;0,'Técnicas de Ki'!BB53,0)+IF($P158&lt;&gt;0,'Técnicas de Ki'!BC53,0)+IF($Q158&lt;&gt;0,'Técnicas de Ki'!BD53,0)+IF($R158&lt;&gt;0,'Técnicas de Ki'!BE53,0)+IF($S158&lt;&gt;0,'Técnicas de Ki'!BF53,0)+IF($T158&lt;&gt;0,'Técnicas de Ki'!BG53,0)),0))</f>
        <v>0</v>
      </c>
      <c r="BM158" s="538">
        <f>IF('Técnicas de Ki'!AR53=0,0,IF('Técnicas de Ki'!AY53=TS!BM$119,'Técnicas de Ki'!AS53-(IF($O158&lt;&gt;0,'Técnicas de Ki'!BB53,0)+IF($P158&lt;&gt;0,'Técnicas de Ki'!BC53,0)+IF($Q158&lt;&gt;0,'Técnicas de Ki'!BD53,0)+IF($R158&lt;&gt;0,'Técnicas de Ki'!BE53,0)+IF($S158&lt;&gt;0,'Técnicas de Ki'!BF53,0)+IF($T158&lt;&gt;0,'Técnicas de Ki'!BG53,0)),0))</f>
        <v>0</v>
      </c>
      <c r="BN158" s="538">
        <f>IF('Técnicas de Ki'!AR53=0,0,IF('Técnicas de Ki'!AY53=TS!BN$119,'Técnicas de Ki'!AS53-(IF($O158&lt;&gt;0,'Técnicas de Ki'!BB53,0)+IF($P158&lt;&gt;0,'Técnicas de Ki'!BC53,0)+IF($Q158&lt;&gt;0,'Técnicas de Ki'!BD53,0)+IF($R158&lt;&gt;0,'Técnicas de Ki'!BE53,0)+IF($S158&lt;&gt;0,'Técnicas de Ki'!BF53,0)+IF($T158&lt;&gt;0,'Técnicas de Ki'!BG53,0)),0))</f>
        <v>0</v>
      </c>
      <c r="BO158" s="538">
        <f>IF('Técnicas de Ki'!AR53=0,0,IF('Técnicas de Ki'!AY53=TS!BO$119,'Técnicas de Ki'!AS53-(IF($O158&lt;&gt;0,'Técnicas de Ki'!BB53,0)+IF($P158&lt;&gt;0,'Técnicas de Ki'!BC53,0)+IF($Q158&lt;&gt;0,'Técnicas de Ki'!BD53,0)+IF($R158&lt;&gt;0,'Técnicas de Ki'!BE53,0)+IF($S158&lt;&gt;0,'Técnicas de Ki'!BF53,0)+IF($T158&lt;&gt;0,'Técnicas de Ki'!BG53,0)),0))</f>
        <v>0</v>
      </c>
      <c r="BP158" s="538">
        <f>IF('Técnicas de Ki'!AR53=0,0,IF('Técnicas de Ki'!AY53=TS!BP$119,'Técnicas de Ki'!AS53-(IF($O158&lt;&gt;0,'Técnicas de Ki'!BB53,0)+IF($P158&lt;&gt;0,'Técnicas de Ki'!BC53,0)+IF($Q158&lt;&gt;0,'Técnicas de Ki'!BD53,0)+IF($R158&lt;&gt;0,'Técnicas de Ki'!BE53,0)+IF($S158&lt;&gt;0,'Técnicas de Ki'!BF53,0)+IF($T158&lt;&gt;0,'Técnicas de Ki'!BG53,0)),0))</f>
        <v>0</v>
      </c>
      <c r="BQ158" s="539">
        <f>IF('Técnicas de Ki'!AR53=0,0,IF('Técnicas de Ki'!AY53=TS!BQ$119,'Técnicas de Ki'!AS53-(IF($O158&lt;&gt;0,'Técnicas de Ki'!BB53,0)+IF($P158&lt;&gt;0,'Técnicas de Ki'!BC53,0)+IF($Q158&lt;&gt;0,'Técnicas de Ki'!BD53,0)+IF($R158&lt;&gt;0,'Técnicas de Ki'!BE53,0)+IF($S158&lt;&gt;0,'Técnicas de Ki'!BF53,0)+IF($T158&lt;&gt;0,'Técnicas de Ki'!BG53,0)),0))</f>
        <v>0</v>
      </c>
      <c r="BR158" s="538">
        <f>IF('Técnicas de Ki'!AR53=0,0,IFERROR(IF('Técnicas de Ki'!BB53&lt;&gt;0,'Técnicas de Ki'!BB53+TS!$O158,0)*$O158/$O158,0))</f>
        <v>0</v>
      </c>
      <c r="BS158" s="538">
        <f>IF('Técnicas de Ki'!AR53=0,0,IFERROR(IF('Técnicas de Ki'!BC53&lt;&gt;0,'Técnicas de Ki'!BC53+TS!$P158,0)*$P158/$P158,0))</f>
        <v>0</v>
      </c>
      <c r="BT158" s="538">
        <f>IF('Técnicas de Ki'!AR53=0,0,IFERROR(IF('Técnicas de Ki'!BD53&lt;&gt;0,'Técnicas de Ki'!BD53+TS!$Q158,0)*$Q158/$Q158,0))</f>
        <v>0</v>
      </c>
      <c r="BU158" s="538">
        <f>IF('Técnicas de Ki'!AR53=0,0,IFERROR(IF('Técnicas de Ki'!BE53&lt;&gt;0,'Técnicas de Ki'!BE53+TS!$R158,0)*$R158/$R158,0))</f>
        <v>0</v>
      </c>
      <c r="BV158" s="538">
        <f>IF('Técnicas de Ki'!AR53=0,0,IFERROR(IF('Técnicas de Ki'!BF53&lt;&gt;0,'Técnicas de Ki'!BF53+TS!$S158,0)*$S158/$S158,0))</f>
        <v>0</v>
      </c>
      <c r="BW158" s="539">
        <f>IF('Técnicas de Ki'!AR53=0,0,IFERROR(IF('Técnicas de Ki'!BG53&lt;&gt;0,'Técnicas de Ki'!BG53+TS!$T158,0)*$T158/$T158,0))</f>
        <v>0</v>
      </c>
      <c r="BY158" s="571" t="str">
        <f>IF('Técnicas de Ki'!AR58&lt;&gt;0,'Técnicas de Ki'!AQ58&amp;" "&amp;'Técnicas de Ki'!AR58,"")</f>
        <v/>
      </c>
      <c r="BZ158" s="302" t="b">
        <f t="shared" si="26"/>
        <v>0</v>
      </c>
      <c r="CA158" s="302" t="str">
        <f t="shared" si="6"/>
        <v/>
      </c>
      <c r="CG158" s="537">
        <f>IF('Técnicas de Ki'!BM53=0,0,IF('Técnicas de Ki'!BT53=TS!CG$119,'Técnicas de Ki'!BN53-(IF($O158&lt;&gt;0,'Técnicas de Ki'!BW53,0)+IF($P158&lt;&gt;0,'Técnicas de Ki'!BX53,0)+IF($Q158&lt;&gt;0,'Técnicas de Ki'!BY53,0)+IF($R158&lt;&gt;0,'Técnicas de Ki'!BZ53,0)+IF($S158&lt;&gt;0,'Técnicas de Ki'!CA53,0)+IF($T158&lt;&gt;0,'Técnicas de Ki'!CB53,0)),0))</f>
        <v>0</v>
      </c>
      <c r="CH158" s="538">
        <f>IF('Técnicas de Ki'!BM53=0,0,IF('Técnicas de Ki'!BT53=TS!CH$119,'Técnicas de Ki'!BN53-(IF($O158&lt;&gt;0,'Técnicas de Ki'!BW53,0)+IF($P158&lt;&gt;0,'Técnicas de Ki'!BX53,0)+IF($Q158&lt;&gt;0,'Técnicas de Ki'!BY53,0)+IF($R158&lt;&gt;0,'Técnicas de Ki'!BZ53,0)+IF($S158&lt;&gt;0,'Técnicas de Ki'!CA53,0)+IF($T158&lt;&gt;0,'Técnicas de Ki'!CB53,0)),0))</f>
        <v>0</v>
      </c>
      <c r="CI158" s="538">
        <f>IF('Técnicas de Ki'!BM53=0,0,IF('Técnicas de Ki'!BT53=TS!CI$119,'Técnicas de Ki'!BN53-(IF($O158&lt;&gt;0,'Técnicas de Ki'!BW53,0)+IF($P158&lt;&gt;0,'Técnicas de Ki'!BX53,0)+IF($Q158&lt;&gt;0,'Técnicas de Ki'!BY53,0)+IF($R158&lt;&gt;0,'Técnicas de Ki'!BZ53,0)+IF($S158&lt;&gt;0,'Técnicas de Ki'!CA53,0)+IF($T158&lt;&gt;0,'Técnicas de Ki'!CB53,0)),0))</f>
        <v>0</v>
      </c>
      <c r="CJ158" s="538">
        <f>IF('Técnicas de Ki'!BM53=0,0,IF('Técnicas de Ki'!BT53=TS!CJ$119,'Técnicas de Ki'!BN53-(IF($O158&lt;&gt;0,'Técnicas de Ki'!BW53,0)+IF($P158&lt;&gt;0,'Técnicas de Ki'!BX53,0)+IF($Q158&lt;&gt;0,'Técnicas de Ki'!BY53,0)+IF($R158&lt;&gt;0,'Técnicas de Ki'!BZ53,0)+IF($S158&lt;&gt;0,'Técnicas de Ki'!CA53,0)+IF($T158&lt;&gt;0,'Técnicas de Ki'!CB53,0)),0))</f>
        <v>0</v>
      </c>
      <c r="CK158" s="538">
        <f>IF('Técnicas de Ki'!BM53=0,0,IF('Técnicas de Ki'!BT53=TS!CK$119,'Técnicas de Ki'!BN53-(IF($O158&lt;&gt;0,'Técnicas de Ki'!BW53,0)+IF($P158&lt;&gt;0,'Técnicas de Ki'!BX53,0)+IF($Q158&lt;&gt;0,'Técnicas de Ki'!BY53,0)+IF($R158&lt;&gt;0,'Técnicas de Ki'!BZ53,0)+IF($S158&lt;&gt;0,'Técnicas de Ki'!CA53,0)+IF($T158&lt;&gt;0,'Técnicas de Ki'!CB53,0)),0))</f>
        <v>0</v>
      </c>
      <c r="CL158" s="539">
        <f>IF('Técnicas de Ki'!BM53=0,0,IF('Técnicas de Ki'!BT53=TS!CL$119,'Técnicas de Ki'!BN53-(IF($O158&lt;&gt;0,'Técnicas de Ki'!BW53,0)+IF($P158&lt;&gt;0,'Técnicas de Ki'!BX53,0)+IF($Q158&lt;&gt;0,'Técnicas de Ki'!BY53,0)+IF($R158&lt;&gt;0,'Técnicas de Ki'!BZ53,0)+IF($S158&lt;&gt;0,'Técnicas de Ki'!CA53,0)+IF($T158&lt;&gt;0,'Técnicas de Ki'!CB53,0)),0))</f>
        <v>0</v>
      </c>
      <c r="CM158" s="538">
        <f>IF('Técnicas de Ki'!BM53=0,0,IFERROR(IF('Técnicas de Ki'!BW53&lt;&gt;0,'Técnicas de Ki'!BW53+TS!$O158,0)*$O158/$O158,0))</f>
        <v>0</v>
      </c>
      <c r="CN158" s="538">
        <f>IF('Técnicas de Ki'!BM53=0,0,IFERROR(IF('Técnicas de Ki'!BX53&lt;&gt;0,'Técnicas de Ki'!BX53+TS!$P158,0)*$P158/$P158,0))</f>
        <v>0</v>
      </c>
      <c r="CO158" s="538">
        <f>IF('Técnicas de Ki'!BM53=0,0,IFERROR(IF('Técnicas de Ki'!BY53&lt;&gt;0,'Técnicas de Ki'!BY53+TS!$Q158,0)*$Q158/$Q158,0))</f>
        <v>0</v>
      </c>
      <c r="CP158" s="538">
        <f>IF('Técnicas de Ki'!BM53=0,0,IFERROR(IF('Técnicas de Ki'!BZ53&lt;&gt;0,'Técnicas de Ki'!BZ53+TS!$R158,0)*$R158/$R158,0))</f>
        <v>0</v>
      </c>
      <c r="CQ158" s="538">
        <f>IF('Técnicas de Ki'!BM53=0,0,IFERROR(IF('Técnicas de Ki'!CA53&lt;&gt;0,'Técnicas de Ki'!CA53+TS!$S158,0)*$S158/$S158,0))</f>
        <v>0</v>
      </c>
      <c r="CR158" s="539">
        <f>IF('Técnicas de Ki'!BM53=0,0,IFERROR(IF('Técnicas de Ki'!CB53&lt;&gt;0,'Técnicas de Ki'!CB53+TS!$T158,0)*$T158/$T158,0))</f>
        <v>0</v>
      </c>
      <c r="CT158" s="571" t="str">
        <f>IF('Técnicas de Ki'!BM58&lt;&gt;0,'Técnicas de Ki'!BL58&amp;" "&amp;'Técnicas de Ki'!BM58,"")</f>
        <v/>
      </c>
      <c r="CU158" s="302" t="b">
        <f t="shared" si="27"/>
        <v>0</v>
      </c>
      <c r="CV158" s="302" t="str">
        <f t="shared" si="7"/>
        <v/>
      </c>
    </row>
    <row r="159" spans="1:102" x14ac:dyDescent="0.2">
      <c r="A159" s="302" t="s">
        <v>6852</v>
      </c>
      <c r="B159" s="302" t="s">
        <v>6860</v>
      </c>
      <c r="C159" s="302" t="str">
        <f t="shared" si="15"/>
        <v>Multiplicador al daño realx4</v>
      </c>
      <c r="D159" s="302">
        <v>40</v>
      </c>
      <c r="E159" s="302">
        <v>48</v>
      </c>
      <c r="F159" s="302">
        <v>100</v>
      </c>
      <c r="G159" s="302">
        <v>22</v>
      </c>
      <c r="H159" s="302">
        <v>44</v>
      </c>
      <c r="I159" s="302">
        <v>77</v>
      </c>
      <c r="J159" s="302">
        <v>3</v>
      </c>
      <c r="N159" s="302" t="s">
        <v>6882</v>
      </c>
      <c r="O159" s="302">
        <v>1</v>
      </c>
      <c r="Q159" s="302">
        <v>3</v>
      </c>
      <c r="R159" s="302">
        <v>2</v>
      </c>
      <c r="S159" s="302">
        <v>1</v>
      </c>
      <c r="V159" s="537">
        <f>IF('Técnicas de Ki'!B54=0,0,IF('Técnicas de Ki'!I54=TS!V$119,'Técnicas de Ki'!C54-(IF($O159&lt;&gt;0,'Técnicas de Ki'!L54,0)+IF($P159&lt;&gt;0,'Técnicas de Ki'!M54,0)+IF($Q159&lt;&gt;0,'Técnicas de Ki'!N54,0)+IF($R159&lt;&gt;0,'Técnicas de Ki'!O54,0)+IF($S159&lt;&gt;0,'Técnicas de Ki'!P54,0)+IF($T159&lt;&gt;0,'Técnicas de Ki'!Q54,0)),0))</f>
        <v>0</v>
      </c>
      <c r="W159" s="538">
        <f>IF('Técnicas de Ki'!B54=0,0,IF('Técnicas de Ki'!I54=TS!W$119,'Técnicas de Ki'!C54-(IF($O159&lt;&gt;0,'Técnicas de Ki'!L54,0)+IF($P159&lt;&gt;0,'Técnicas de Ki'!M54,0)+IF($Q159&lt;&gt;0,'Técnicas de Ki'!N54,0)+IF($R159&lt;&gt;0,'Técnicas de Ki'!O54,0)+IF($S159&lt;&gt;0,'Técnicas de Ki'!P54,0)+IF($T159&lt;&gt;0,'Técnicas de Ki'!Q54,0)),0))</f>
        <v>0</v>
      </c>
      <c r="X159" s="538">
        <f>IF('Técnicas de Ki'!B54=0,0,IF('Técnicas de Ki'!I54=TS!X$119,'Técnicas de Ki'!C54-(IF($O159&lt;&gt;0,'Técnicas de Ki'!L54,0)+IF($P159&lt;&gt;0,'Técnicas de Ki'!M54,0)+IF($Q159&lt;&gt;0,'Técnicas de Ki'!N54,0)+IF($R159&lt;&gt;0,'Técnicas de Ki'!O54,0)+IF($S159&lt;&gt;0,'Técnicas de Ki'!P54,0)+IF($T159&lt;&gt;0,'Técnicas de Ki'!Q54,0)),0))</f>
        <v>0</v>
      </c>
      <c r="Y159" s="538">
        <f>IF('Técnicas de Ki'!B54=0,0,IF('Técnicas de Ki'!I54=TS!Y$119,'Técnicas de Ki'!C54-(IF($O159&lt;&gt;0,'Técnicas de Ki'!L54,0)+IF($P159&lt;&gt;0,'Técnicas de Ki'!M54,0)+IF($Q159&lt;&gt;0,'Técnicas de Ki'!N54,0)+IF($R159&lt;&gt;0,'Técnicas de Ki'!O54,0)+IF($S159&lt;&gt;0,'Técnicas de Ki'!P54,0)+IF($T159&lt;&gt;0,'Técnicas de Ki'!Q54,0)),0))</f>
        <v>0</v>
      </c>
      <c r="Z159" s="538">
        <f>IF('Técnicas de Ki'!B54=0,0,IF('Técnicas de Ki'!I54=TS!Z$119,'Técnicas de Ki'!C54-(IF($O159&lt;&gt;0,'Técnicas de Ki'!L54,0)+IF($P159&lt;&gt;0,'Técnicas de Ki'!M54,0)+IF($Q159&lt;&gt;0,'Técnicas de Ki'!N54,0)+IF($R159&lt;&gt;0,'Técnicas de Ki'!O54,0)+IF($S159&lt;&gt;0,'Técnicas de Ki'!P54,0)+IF($T159&lt;&gt;0,'Técnicas de Ki'!Q54,0)),0))</f>
        <v>0</v>
      </c>
      <c r="AA159" s="539">
        <f>IF('Técnicas de Ki'!B54=0,0,IF('Técnicas de Ki'!I54=TS!AA$119,'Técnicas de Ki'!C54-(IF($O159&lt;&gt;0,'Técnicas de Ki'!L54,0)+IF($P159&lt;&gt;0,'Técnicas de Ki'!M54,0)+IF($Q159&lt;&gt;0,'Técnicas de Ki'!N54,0)+IF($R159&lt;&gt;0,'Técnicas de Ki'!O54,0)+IF($S159&lt;&gt;0,'Técnicas de Ki'!P54,0)+IF($T159&lt;&gt;0,'Técnicas de Ki'!Q54,0)),0))</f>
        <v>0</v>
      </c>
      <c r="AB159" s="538">
        <f>IF('Técnicas de Ki'!B54=0,0,IFERROR(IF('Técnicas de Ki'!L54&lt;&gt;0,'Técnicas de Ki'!L54+TS!$O159,0)*$O159/$O159,0))</f>
        <v>0</v>
      </c>
      <c r="AC159" s="538">
        <f>IF('Técnicas de Ki'!B54=0,0,IFERROR(IF('Técnicas de Ki'!M54&lt;&gt;0,'Técnicas de Ki'!M54+TS!$P159,0)*$P159/$P159,0))</f>
        <v>0</v>
      </c>
      <c r="AD159" s="538">
        <f>IF('Técnicas de Ki'!B54=0,0,IFERROR(IF('Técnicas de Ki'!N54&lt;&gt;0,'Técnicas de Ki'!N54+TS!$Q159,0)*$Q159/$Q159,0))</f>
        <v>0</v>
      </c>
      <c r="AE159" s="538">
        <f>IF('Técnicas de Ki'!B54=0,0,IFERROR(IF('Técnicas de Ki'!O54&lt;&gt;0,'Técnicas de Ki'!O54+TS!$R159,0)*$R159/$R159,0))</f>
        <v>0</v>
      </c>
      <c r="AF159" s="538">
        <f>IF('Técnicas de Ki'!B54=0,0,IFERROR(IF('Técnicas de Ki'!P54&lt;&gt;0,'Técnicas de Ki'!P54+TS!$S159,0)*$S159/$S159,0))</f>
        <v>0</v>
      </c>
      <c r="AG159" s="539">
        <f>IF('Técnicas de Ki'!B54=0,0,IFERROR(IF('Técnicas de Ki'!Q54&lt;&gt;0,'Técnicas de Ki'!Q54+TS!$T159,0)*$T159/$T159,0))</f>
        <v>0</v>
      </c>
      <c r="AI159" s="571" t="str">
        <f>IF('Técnicas de Ki'!B59&lt;&gt;0,'Técnicas de Ki'!A59&amp;" "&amp;'Técnicas de Ki'!B59,"")</f>
        <v/>
      </c>
      <c r="AJ159" s="302" t="b">
        <f t="shared" si="8"/>
        <v>0</v>
      </c>
      <c r="AK159" s="302" t="str">
        <f t="shared" si="4"/>
        <v/>
      </c>
      <c r="AQ159" s="537">
        <f>IF('Técnicas de Ki'!W54=0,0,IF('Técnicas de Ki'!AD54=TS!AQ$119,'Técnicas de Ki'!X54-(IF($O159&lt;&gt;0,'Técnicas de Ki'!AG54,0)+IF($P159&lt;&gt;0,'Técnicas de Ki'!AH54,0)+IF($Q159&lt;&gt;0,'Técnicas de Ki'!AI54,0)+IF($R159&lt;&gt;0,'Técnicas de Ki'!AJ54,0)+IF($S159&lt;&gt;0,'Técnicas de Ki'!AK54,0)+IF($T159&lt;&gt;0,'Técnicas de Ki'!AL54,0)),0))</f>
        <v>0</v>
      </c>
      <c r="AR159" s="538">
        <f>IF('Técnicas de Ki'!W54=0,0,IF('Técnicas de Ki'!AD54=TS!AR$119,'Técnicas de Ki'!X54-(IF($O159&lt;&gt;0,'Técnicas de Ki'!AG54,0)+IF($P159&lt;&gt;0,'Técnicas de Ki'!AH54,0)+IF($Q159&lt;&gt;0,'Técnicas de Ki'!AI54,0)+IF($R159&lt;&gt;0,'Técnicas de Ki'!AJ54,0)+IF($S159&lt;&gt;0,'Técnicas de Ki'!AK54,0)+IF($T159&lt;&gt;0,'Técnicas de Ki'!AL54,0)),0))</f>
        <v>0</v>
      </c>
      <c r="AS159" s="538">
        <f>IF('Técnicas de Ki'!W54=0,0,IF('Técnicas de Ki'!AD54=TS!AS$119,'Técnicas de Ki'!X54-(IF($O159&lt;&gt;0,'Técnicas de Ki'!AG54,0)+IF($P159&lt;&gt;0,'Técnicas de Ki'!AH54,0)+IF($Q159&lt;&gt;0,'Técnicas de Ki'!AI54,0)+IF($R159&lt;&gt;0,'Técnicas de Ki'!AJ54,0)+IF($S159&lt;&gt;0,'Técnicas de Ki'!AK54,0)+IF($T159&lt;&gt;0,'Técnicas de Ki'!AL54,0)),0))</f>
        <v>0</v>
      </c>
      <c r="AT159" s="538">
        <f>IF('Técnicas de Ki'!W54=0,0,IF('Técnicas de Ki'!AD54=TS!AT$119,'Técnicas de Ki'!X54-(IF($O159&lt;&gt;0,'Técnicas de Ki'!AG54,0)+IF($P159&lt;&gt;0,'Técnicas de Ki'!AH54,0)+IF($Q159&lt;&gt;0,'Técnicas de Ki'!AI54,0)+IF($R159&lt;&gt;0,'Técnicas de Ki'!AJ54,0)+IF($S159&lt;&gt;0,'Técnicas de Ki'!AK54,0)+IF($T159&lt;&gt;0,'Técnicas de Ki'!AL54,0)),0))</f>
        <v>0</v>
      </c>
      <c r="AU159" s="538">
        <f>IF('Técnicas de Ki'!W54=0,0,IF('Técnicas de Ki'!AD54=TS!AU$119,'Técnicas de Ki'!X54-(IF($O159&lt;&gt;0,'Técnicas de Ki'!AG54,0)+IF($P159&lt;&gt;0,'Técnicas de Ki'!AH54,0)+IF($Q159&lt;&gt;0,'Técnicas de Ki'!AI54,0)+IF($R159&lt;&gt;0,'Técnicas de Ki'!AJ54,0)+IF($S159&lt;&gt;0,'Técnicas de Ki'!AK54,0)+IF($T159&lt;&gt;0,'Técnicas de Ki'!AL54,0)),0))</f>
        <v>0</v>
      </c>
      <c r="AV159" s="539">
        <f>IF('Técnicas de Ki'!W54=0,0,IF('Técnicas de Ki'!AD54=TS!AV$119,'Técnicas de Ki'!X54-(IF($O159&lt;&gt;0,'Técnicas de Ki'!AG54,0)+IF($P159&lt;&gt;0,'Técnicas de Ki'!AH54,0)+IF($Q159&lt;&gt;0,'Técnicas de Ki'!AI54,0)+IF($R159&lt;&gt;0,'Técnicas de Ki'!AJ54,0)+IF($S159&lt;&gt;0,'Técnicas de Ki'!AK54,0)+IF($T159&lt;&gt;0,'Técnicas de Ki'!AL54,0)),0))</f>
        <v>0</v>
      </c>
      <c r="AW159" s="538">
        <f>IF('Técnicas de Ki'!W54=0,0,IFERROR(IF('Técnicas de Ki'!AG54&lt;&gt;0,'Técnicas de Ki'!AG54+TS!$O159,0)*$O159/$O159,0))</f>
        <v>0</v>
      </c>
      <c r="AX159" s="538">
        <f>IF('Técnicas de Ki'!W54=0,0,IFERROR(IF('Técnicas de Ki'!AH54&lt;&gt;0,'Técnicas de Ki'!AH54+TS!$P159,0)*$P159/$P159,0))</f>
        <v>0</v>
      </c>
      <c r="AY159" s="538">
        <f>IF('Técnicas de Ki'!W54=0,0,IFERROR(IF('Técnicas de Ki'!AI54&lt;&gt;0,'Técnicas de Ki'!AI54+TS!$Q159,0)*$Q159/$Q159,0))</f>
        <v>0</v>
      </c>
      <c r="AZ159" s="538">
        <f>IF('Técnicas de Ki'!W54=0,0,IFERROR(IF('Técnicas de Ki'!AJ54&lt;&gt;0,'Técnicas de Ki'!AJ54+TS!$R159,0)*$R159/$R159,0))</f>
        <v>0</v>
      </c>
      <c r="BA159" s="538">
        <f>IF('Técnicas de Ki'!W54=0,0,IFERROR(IF('Técnicas de Ki'!AK54&lt;&gt;0,'Técnicas de Ki'!AK54+TS!$S159,0)*$S159/$S159,0))</f>
        <v>0</v>
      </c>
      <c r="BB159" s="539">
        <f>IF('Técnicas de Ki'!W54=0,0,IFERROR(IF('Técnicas de Ki'!AL54&lt;&gt;0,'Técnicas de Ki'!AL54+TS!$T159,0)*$T159/$T159,0))</f>
        <v>0</v>
      </c>
      <c r="BD159" s="571" t="str">
        <f>IF('Técnicas de Ki'!W59&lt;&gt;0,'Técnicas de Ki'!V59&amp;" "&amp;'Técnicas de Ki'!W59,"")</f>
        <v/>
      </c>
      <c r="BE159" s="302" t="b">
        <f t="shared" si="25"/>
        <v>0</v>
      </c>
      <c r="BF159" s="302" t="str">
        <f t="shared" si="5"/>
        <v/>
      </c>
      <c r="BL159" s="537">
        <f>IF('Técnicas de Ki'!AR54=0,0,IF('Técnicas de Ki'!AY54=TS!BL$119,'Técnicas de Ki'!AS54-(IF($O159&lt;&gt;0,'Técnicas de Ki'!BB54,0)+IF($P159&lt;&gt;0,'Técnicas de Ki'!BC54,0)+IF($Q159&lt;&gt;0,'Técnicas de Ki'!BD54,0)+IF($R159&lt;&gt;0,'Técnicas de Ki'!BE54,0)+IF($S159&lt;&gt;0,'Técnicas de Ki'!BF54,0)+IF($T159&lt;&gt;0,'Técnicas de Ki'!BG54,0)),0))</f>
        <v>0</v>
      </c>
      <c r="BM159" s="538">
        <f>IF('Técnicas de Ki'!AR54=0,0,IF('Técnicas de Ki'!AY54=TS!BM$119,'Técnicas de Ki'!AS54-(IF($O159&lt;&gt;0,'Técnicas de Ki'!BB54,0)+IF($P159&lt;&gt;0,'Técnicas de Ki'!BC54,0)+IF($Q159&lt;&gt;0,'Técnicas de Ki'!BD54,0)+IF($R159&lt;&gt;0,'Técnicas de Ki'!BE54,0)+IF($S159&lt;&gt;0,'Técnicas de Ki'!BF54,0)+IF($T159&lt;&gt;0,'Técnicas de Ki'!BG54,0)),0))</f>
        <v>0</v>
      </c>
      <c r="BN159" s="538">
        <f>IF('Técnicas de Ki'!AR54=0,0,IF('Técnicas de Ki'!AY54=TS!BN$119,'Técnicas de Ki'!AS54-(IF($O159&lt;&gt;0,'Técnicas de Ki'!BB54,0)+IF($P159&lt;&gt;0,'Técnicas de Ki'!BC54,0)+IF($Q159&lt;&gt;0,'Técnicas de Ki'!BD54,0)+IF($R159&lt;&gt;0,'Técnicas de Ki'!BE54,0)+IF($S159&lt;&gt;0,'Técnicas de Ki'!BF54,0)+IF($T159&lt;&gt;0,'Técnicas de Ki'!BG54,0)),0))</f>
        <v>0</v>
      </c>
      <c r="BO159" s="538">
        <f>IF('Técnicas de Ki'!AR54=0,0,IF('Técnicas de Ki'!AY54=TS!BO$119,'Técnicas de Ki'!AS54-(IF($O159&lt;&gt;0,'Técnicas de Ki'!BB54,0)+IF($P159&lt;&gt;0,'Técnicas de Ki'!BC54,0)+IF($Q159&lt;&gt;0,'Técnicas de Ki'!BD54,0)+IF($R159&lt;&gt;0,'Técnicas de Ki'!BE54,0)+IF($S159&lt;&gt;0,'Técnicas de Ki'!BF54,0)+IF($T159&lt;&gt;0,'Técnicas de Ki'!BG54,0)),0))</f>
        <v>0</v>
      </c>
      <c r="BP159" s="538">
        <f>IF('Técnicas de Ki'!AR54=0,0,IF('Técnicas de Ki'!AY54=TS!BP$119,'Técnicas de Ki'!AS54-(IF($O159&lt;&gt;0,'Técnicas de Ki'!BB54,0)+IF($P159&lt;&gt;0,'Técnicas de Ki'!BC54,0)+IF($Q159&lt;&gt;0,'Técnicas de Ki'!BD54,0)+IF($R159&lt;&gt;0,'Técnicas de Ki'!BE54,0)+IF($S159&lt;&gt;0,'Técnicas de Ki'!BF54,0)+IF($T159&lt;&gt;0,'Técnicas de Ki'!BG54,0)),0))</f>
        <v>0</v>
      </c>
      <c r="BQ159" s="539">
        <f>IF('Técnicas de Ki'!AR54=0,0,IF('Técnicas de Ki'!AY54=TS!BQ$119,'Técnicas de Ki'!AS54-(IF($O159&lt;&gt;0,'Técnicas de Ki'!BB54,0)+IF($P159&lt;&gt;0,'Técnicas de Ki'!BC54,0)+IF($Q159&lt;&gt;0,'Técnicas de Ki'!BD54,0)+IF($R159&lt;&gt;0,'Técnicas de Ki'!BE54,0)+IF($S159&lt;&gt;0,'Técnicas de Ki'!BF54,0)+IF($T159&lt;&gt;0,'Técnicas de Ki'!BG54,0)),0))</f>
        <v>0</v>
      </c>
      <c r="BR159" s="538">
        <f>IF('Técnicas de Ki'!AR54=0,0,IFERROR(IF('Técnicas de Ki'!BB54&lt;&gt;0,'Técnicas de Ki'!BB54+TS!$O159,0)*$O159/$O159,0))</f>
        <v>0</v>
      </c>
      <c r="BS159" s="538">
        <f>IF('Técnicas de Ki'!AR54=0,0,IFERROR(IF('Técnicas de Ki'!BC54&lt;&gt;0,'Técnicas de Ki'!BC54+TS!$P159,0)*$P159/$P159,0))</f>
        <v>0</v>
      </c>
      <c r="BT159" s="538">
        <f>IF('Técnicas de Ki'!AR54=0,0,IFERROR(IF('Técnicas de Ki'!BD54&lt;&gt;0,'Técnicas de Ki'!BD54+TS!$Q159,0)*$Q159/$Q159,0))</f>
        <v>0</v>
      </c>
      <c r="BU159" s="538">
        <f>IF('Técnicas de Ki'!AR54=0,0,IFERROR(IF('Técnicas de Ki'!BE54&lt;&gt;0,'Técnicas de Ki'!BE54+TS!$R159,0)*$R159/$R159,0))</f>
        <v>0</v>
      </c>
      <c r="BV159" s="538">
        <f>IF('Técnicas de Ki'!AR54=0,0,IFERROR(IF('Técnicas de Ki'!BF54&lt;&gt;0,'Técnicas de Ki'!BF54+TS!$S159,0)*$S159/$S159,0))</f>
        <v>0</v>
      </c>
      <c r="BW159" s="539">
        <f>IF('Técnicas de Ki'!AR54=0,0,IFERROR(IF('Técnicas de Ki'!BG54&lt;&gt;0,'Técnicas de Ki'!BG54+TS!$T159,0)*$T159/$T159,0))</f>
        <v>0</v>
      </c>
      <c r="BY159" s="571" t="str">
        <f>IF('Técnicas de Ki'!AR59&lt;&gt;0,'Técnicas de Ki'!AQ59&amp;" "&amp;'Técnicas de Ki'!AR59,"")</f>
        <v/>
      </c>
      <c r="BZ159" s="302" t="b">
        <f t="shared" si="26"/>
        <v>0</v>
      </c>
      <c r="CA159" s="302" t="str">
        <f t="shared" si="6"/>
        <v/>
      </c>
      <c r="CG159" s="537">
        <f>IF('Técnicas de Ki'!BM54=0,0,IF('Técnicas de Ki'!BT54=TS!CG$119,'Técnicas de Ki'!BN54-(IF($O159&lt;&gt;0,'Técnicas de Ki'!BW54,0)+IF($P159&lt;&gt;0,'Técnicas de Ki'!BX54,0)+IF($Q159&lt;&gt;0,'Técnicas de Ki'!BY54,0)+IF($R159&lt;&gt;0,'Técnicas de Ki'!BZ54,0)+IF($S159&lt;&gt;0,'Técnicas de Ki'!CA54,0)+IF($T159&lt;&gt;0,'Técnicas de Ki'!CB54,0)),0))</f>
        <v>0</v>
      </c>
      <c r="CH159" s="538">
        <f>IF('Técnicas de Ki'!BM54=0,0,IF('Técnicas de Ki'!BT54=TS!CH$119,'Técnicas de Ki'!BN54-(IF($O159&lt;&gt;0,'Técnicas de Ki'!BW54,0)+IF($P159&lt;&gt;0,'Técnicas de Ki'!BX54,0)+IF($Q159&lt;&gt;0,'Técnicas de Ki'!BY54,0)+IF($R159&lt;&gt;0,'Técnicas de Ki'!BZ54,0)+IF($S159&lt;&gt;0,'Técnicas de Ki'!CA54,0)+IF($T159&lt;&gt;0,'Técnicas de Ki'!CB54,0)),0))</f>
        <v>0</v>
      </c>
      <c r="CI159" s="538">
        <f>IF('Técnicas de Ki'!BM54=0,0,IF('Técnicas de Ki'!BT54=TS!CI$119,'Técnicas de Ki'!BN54-(IF($O159&lt;&gt;0,'Técnicas de Ki'!BW54,0)+IF($P159&lt;&gt;0,'Técnicas de Ki'!BX54,0)+IF($Q159&lt;&gt;0,'Técnicas de Ki'!BY54,0)+IF($R159&lt;&gt;0,'Técnicas de Ki'!BZ54,0)+IF($S159&lt;&gt;0,'Técnicas de Ki'!CA54,0)+IF($T159&lt;&gt;0,'Técnicas de Ki'!CB54,0)),0))</f>
        <v>0</v>
      </c>
      <c r="CJ159" s="538">
        <f>IF('Técnicas de Ki'!BM54=0,0,IF('Técnicas de Ki'!BT54=TS!CJ$119,'Técnicas de Ki'!BN54-(IF($O159&lt;&gt;0,'Técnicas de Ki'!BW54,0)+IF($P159&lt;&gt;0,'Técnicas de Ki'!BX54,0)+IF($Q159&lt;&gt;0,'Técnicas de Ki'!BY54,0)+IF($R159&lt;&gt;0,'Técnicas de Ki'!BZ54,0)+IF($S159&lt;&gt;0,'Técnicas de Ki'!CA54,0)+IF($T159&lt;&gt;0,'Técnicas de Ki'!CB54,0)),0))</f>
        <v>0</v>
      </c>
      <c r="CK159" s="538">
        <f>IF('Técnicas de Ki'!BM54=0,0,IF('Técnicas de Ki'!BT54=TS!CK$119,'Técnicas de Ki'!BN54-(IF($O159&lt;&gt;0,'Técnicas de Ki'!BW54,0)+IF($P159&lt;&gt;0,'Técnicas de Ki'!BX54,0)+IF($Q159&lt;&gt;0,'Técnicas de Ki'!BY54,0)+IF($R159&lt;&gt;0,'Técnicas de Ki'!BZ54,0)+IF($S159&lt;&gt;0,'Técnicas de Ki'!CA54,0)+IF($T159&lt;&gt;0,'Técnicas de Ki'!CB54,0)),0))</f>
        <v>0</v>
      </c>
      <c r="CL159" s="539">
        <f>IF('Técnicas de Ki'!BM54=0,0,IF('Técnicas de Ki'!BT54=TS!CL$119,'Técnicas de Ki'!BN54-(IF($O159&lt;&gt;0,'Técnicas de Ki'!BW54,0)+IF($P159&lt;&gt;0,'Técnicas de Ki'!BX54,0)+IF($Q159&lt;&gt;0,'Técnicas de Ki'!BY54,0)+IF($R159&lt;&gt;0,'Técnicas de Ki'!BZ54,0)+IF($S159&lt;&gt;0,'Técnicas de Ki'!CA54,0)+IF($T159&lt;&gt;0,'Técnicas de Ki'!CB54,0)),0))</f>
        <v>0</v>
      </c>
      <c r="CM159" s="538">
        <f>IF('Técnicas de Ki'!BM54=0,0,IFERROR(IF('Técnicas de Ki'!BW54&lt;&gt;0,'Técnicas de Ki'!BW54+TS!$O159,0)*$O159/$O159,0))</f>
        <v>0</v>
      </c>
      <c r="CN159" s="538">
        <f>IF('Técnicas de Ki'!BM54=0,0,IFERROR(IF('Técnicas de Ki'!BX54&lt;&gt;0,'Técnicas de Ki'!BX54+TS!$P159,0)*$P159/$P159,0))</f>
        <v>0</v>
      </c>
      <c r="CO159" s="538">
        <f>IF('Técnicas de Ki'!BM54=0,0,IFERROR(IF('Técnicas de Ki'!BY54&lt;&gt;0,'Técnicas de Ki'!BY54+TS!$Q159,0)*$Q159/$Q159,0))</f>
        <v>0</v>
      </c>
      <c r="CP159" s="538">
        <f>IF('Técnicas de Ki'!BM54=0,0,IFERROR(IF('Técnicas de Ki'!BZ54&lt;&gt;0,'Técnicas de Ki'!BZ54+TS!$R159,0)*$R159/$R159,0))</f>
        <v>0</v>
      </c>
      <c r="CQ159" s="538">
        <f>IF('Técnicas de Ki'!BM54=0,0,IFERROR(IF('Técnicas de Ki'!CA54&lt;&gt;0,'Técnicas de Ki'!CA54+TS!$S159,0)*$S159/$S159,0))</f>
        <v>0</v>
      </c>
      <c r="CR159" s="539">
        <f>IF('Técnicas de Ki'!BM54=0,0,IFERROR(IF('Técnicas de Ki'!CB54&lt;&gt;0,'Técnicas de Ki'!CB54+TS!$T159,0)*$T159/$T159,0))</f>
        <v>0</v>
      </c>
      <c r="CT159" s="571" t="str">
        <f>IF('Técnicas de Ki'!BM59&lt;&gt;0,'Técnicas de Ki'!BL59&amp;" "&amp;'Técnicas de Ki'!BM59,"")</f>
        <v/>
      </c>
      <c r="CU159" s="302" t="b">
        <f t="shared" si="27"/>
        <v>0</v>
      </c>
      <c r="CV159" s="302" t="str">
        <f t="shared" si="7"/>
        <v/>
      </c>
    </row>
    <row r="160" spans="1:102" x14ac:dyDescent="0.2">
      <c r="A160" s="302" t="s">
        <v>6853</v>
      </c>
      <c r="B160" s="302">
        <v>50</v>
      </c>
      <c r="C160" s="302" t="str">
        <f t="shared" si="15"/>
        <v>Sustitución de daño50</v>
      </c>
      <c r="D160" s="302">
        <v>1</v>
      </c>
      <c r="E160" s="302">
        <v>2</v>
      </c>
      <c r="F160" s="302">
        <v>5</v>
      </c>
      <c r="G160" s="302">
        <v>1</v>
      </c>
      <c r="H160" s="302">
        <v>2</v>
      </c>
      <c r="I160" s="302">
        <v>4</v>
      </c>
      <c r="J160" s="302">
        <v>1</v>
      </c>
      <c r="N160" s="297" t="s">
        <v>6893</v>
      </c>
      <c r="O160" s="298"/>
      <c r="P160" s="298"/>
      <c r="Q160" s="298"/>
      <c r="R160" s="298"/>
      <c r="S160" s="298"/>
      <c r="T160" s="298"/>
      <c r="V160" s="622"/>
      <c r="W160" s="546"/>
      <c r="X160" s="546"/>
      <c r="Y160" s="546"/>
      <c r="Z160" s="546"/>
      <c r="AA160" s="623"/>
      <c r="AB160" s="615"/>
      <c r="AC160" s="545"/>
      <c r="AD160" s="545"/>
      <c r="AE160" s="545"/>
      <c r="AF160" s="545"/>
      <c r="AG160" s="614"/>
      <c r="AI160" s="571" t="str">
        <f>IF('Técnicas de Ki'!B60&lt;&gt;0,'Técnicas de Ki'!A60&amp;" "&amp;'Técnicas de Ki'!B60,"")</f>
        <v/>
      </c>
      <c r="AJ160" s="302" t="b">
        <f t="shared" si="8"/>
        <v>0</v>
      </c>
      <c r="AK160" s="302" t="str">
        <f t="shared" si="4"/>
        <v/>
      </c>
      <c r="AQ160" s="622"/>
      <c r="AR160" s="546"/>
      <c r="AS160" s="546"/>
      <c r="AT160" s="546"/>
      <c r="AU160" s="546"/>
      <c r="AV160" s="623"/>
      <c r="AW160" s="615"/>
      <c r="AX160" s="545"/>
      <c r="AY160" s="545"/>
      <c r="AZ160" s="545"/>
      <c r="BA160" s="545"/>
      <c r="BB160" s="614"/>
      <c r="BD160" s="571" t="str">
        <f>IF('Técnicas de Ki'!W60&lt;&gt;0,'Técnicas de Ki'!V60&amp;" "&amp;'Técnicas de Ki'!W60,"")</f>
        <v/>
      </c>
      <c r="BE160" s="302" t="b">
        <f t="shared" si="25"/>
        <v>0</v>
      </c>
      <c r="BF160" s="302" t="str">
        <f t="shared" si="5"/>
        <v/>
      </c>
      <c r="BL160" s="622"/>
      <c r="BM160" s="546"/>
      <c r="BN160" s="546"/>
      <c r="BO160" s="546"/>
      <c r="BP160" s="546"/>
      <c r="BQ160" s="623"/>
      <c r="BR160" s="615"/>
      <c r="BS160" s="545"/>
      <c r="BT160" s="545"/>
      <c r="BU160" s="545"/>
      <c r="BV160" s="545"/>
      <c r="BW160" s="614"/>
      <c r="BY160" s="571" t="str">
        <f>IF('Técnicas de Ki'!AR60&lt;&gt;0,'Técnicas de Ki'!AQ60&amp;" "&amp;'Técnicas de Ki'!AR60,"")</f>
        <v/>
      </c>
      <c r="BZ160" s="302" t="b">
        <f t="shared" si="26"/>
        <v>0</v>
      </c>
      <c r="CA160" s="302" t="str">
        <f t="shared" si="6"/>
        <v/>
      </c>
      <c r="CG160" s="622"/>
      <c r="CH160" s="546"/>
      <c r="CI160" s="546"/>
      <c r="CJ160" s="546"/>
      <c r="CK160" s="546"/>
      <c r="CL160" s="623"/>
      <c r="CM160" s="615"/>
      <c r="CN160" s="545"/>
      <c r="CO160" s="545"/>
      <c r="CP160" s="545"/>
      <c r="CQ160" s="545"/>
      <c r="CR160" s="614"/>
      <c r="CT160" s="571" t="str">
        <f>IF('Técnicas de Ki'!BM60&lt;&gt;0,'Técnicas de Ki'!BL60&amp;" "&amp;'Técnicas de Ki'!BM60,"")</f>
        <v/>
      </c>
      <c r="CU160" s="302" t="b">
        <f t="shared" si="27"/>
        <v>0</v>
      </c>
      <c r="CV160" s="302" t="str">
        <f t="shared" si="7"/>
        <v/>
      </c>
    </row>
    <row r="161" spans="1:102" x14ac:dyDescent="0.2">
      <c r="A161" s="302" t="s">
        <v>6853</v>
      </c>
      <c r="B161" s="302">
        <v>100</v>
      </c>
      <c r="C161" s="302" t="str">
        <f t="shared" si="15"/>
        <v>Sustitución de daño100</v>
      </c>
      <c r="D161" s="302">
        <v>3</v>
      </c>
      <c r="E161" s="302">
        <v>5</v>
      </c>
      <c r="F161" s="302">
        <v>10</v>
      </c>
      <c r="G161" s="302">
        <v>2</v>
      </c>
      <c r="H161" s="302">
        <v>4</v>
      </c>
      <c r="I161" s="302">
        <v>7</v>
      </c>
      <c r="J161" s="302">
        <v>1</v>
      </c>
      <c r="N161" t="s">
        <v>6894</v>
      </c>
      <c r="P161" s="302">
        <v>3</v>
      </c>
      <c r="Q161" s="302">
        <v>2</v>
      </c>
      <c r="R161" s="302">
        <v>4</v>
      </c>
      <c r="S161" s="302">
        <v>1</v>
      </c>
      <c r="V161" s="537">
        <f>IF('Técnicas de Ki'!B56=0,0,IF('Técnicas de Ki'!I56=TS!V$119,'Técnicas de Ki'!C56-(IF($O161&lt;&gt;0,'Técnicas de Ki'!L56,0)+IF($P161&lt;&gt;0,'Técnicas de Ki'!M56,0)+IF($Q161&lt;&gt;0,'Técnicas de Ki'!N56,0)+IF($R161&lt;&gt;0,'Técnicas de Ki'!O56,0)+IF($S161&lt;&gt;0,'Técnicas de Ki'!P56,0)+IF($T161&lt;&gt;0,'Técnicas de Ki'!Q56,0)),0))</f>
        <v>0</v>
      </c>
      <c r="W161" s="538">
        <f>IF('Técnicas de Ki'!B56=0,0,IF('Técnicas de Ki'!I56=TS!W$119,'Técnicas de Ki'!C56-(IF($O161&lt;&gt;0,'Técnicas de Ki'!L56,0)+IF($P161&lt;&gt;0,'Técnicas de Ki'!M56,0)+IF($Q161&lt;&gt;0,'Técnicas de Ki'!N56,0)+IF($R161&lt;&gt;0,'Técnicas de Ki'!O56,0)+IF($S161&lt;&gt;0,'Técnicas de Ki'!P56,0)+IF($T161&lt;&gt;0,'Técnicas de Ki'!Q56,0)),0))</f>
        <v>0</v>
      </c>
      <c r="X161" s="538">
        <f>IF('Técnicas de Ki'!B56=0,0,IF('Técnicas de Ki'!I56=TS!X$119,'Técnicas de Ki'!C56-(IF($O161&lt;&gt;0,'Técnicas de Ki'!L56,0)+IF($P161&lt;&gt;0,'Técnicas de Ki'!M56,0)+IF($Q161&lt;&gt;0,'Técnicas de Ki'!N56,0)+IF($R161&lt;&gt;0,'Técnicas de Ki'!O56,0)+IF($S161&lt;&gt;0,'Técnicas de Ki'!P56,0)+IF($T161&lt;&gt;0,'Técnicas de Ki'!Q56,0)),0))</f>
        <v>0</v>
      </c>
      <c r="Y161" s="538">
        <f>IF('Técnicas de Ki'!B56=0,0,IF('Técnicas de Ki'!I56=TS!Y$119,'Técnicas de Ki'!C56-(IF($O161&lt;&gt;0,'Técnicas de Ki'!L56,0)+IF($P161&lt;&gt;0,'Técnicas de Ki'!M56,0)+IF($Q161&lt;&gt;0,'Técnicas de Ki'!N56,0)+IF($R161&lt;&gt;0,'Técnicas de Ki'!O56,0)+IF($S161&lt;&gt;0,'Técnicas de Ki'!P56,0)+IF($T161&lt;&gt;0,'Técnicas de Ki'!Q56,0)),0))</f>
        <v>0</v>
      </c>
      <c r="Z161" s="538">
        <f>IF('Técnicas de Ki'!B56=0,0,IF('Técnicas de Ki'!I56=TS!Z$119,'Técnicas de Ki'!C56-(IF($O161&lt;&gt;0,'Técnicas de Ki'!L56,0)+IF($P161&lt;&gt;0,'Técnicas de Ki'!M56,0)+IF($Q161&lt;&gt;0,'Técnicas de Ki'!N56,0)+IF($R161&lt;&gt;0,'Técnicas de Ki'!O56,0)+IF($S161&lt;&gt;0,'Técnicas de Ki'!P56,0)+IF($T161&lt;&gt;0,'Técnicas de Ki'!Q56,0)),0))</f>
        <v>0</v>
      </c>
      <c r="AA161" s="539">
        <f>IF('Técnicas de Ki'!B56=0,0,IF('Técnicas de Ki'!I56=TS!AA$119,'Técnicas de Ki'!C56-(IF($O161&lt;&gt;0,'Técnicas de Ki'!L56,0)+IF($P161&lt;&gt;0,'Técnicas de Ki'!M56,0)+IF($Q161&lt;&gt;0,'Técnicas de Ki'!N56,0)+IF($R161&lt;&gt;0,'Técnicas de Ki'!O56,0)+IF($S161&lt;&gt;0,'Técnicas de Ki'!P56,0)+IF($T161&lt;&gt;0,'Técnicas de Ki'!Q56,0)),0))</f>
        <v>0</v>
      </c>
      <c r="AB161" s="538">
        <f>IF('Técnicas de Ki'!B56=0,0,IFERROR(IF('Técnicas de Ki'!L56&lt;&gt;0,'Técnicas de Ki'!L56+TS!$O161,0)*$O161/$O161,0))</f>
        <v>0</v>
      </c>
      <c r="AC161" s="538">
        <f>IF('Técnicas de Ki'!B56=0,0,IFERROR(IF('Técnicas de Ki'!M56&lt;&gt;0,'Técnicas de Ki'!M56+TS!$P161,0)*$P161/$P161,0))</f>
        <v>0</v>
      </c>
      <c r="AD161" s="538">
        <f>IF('Técnicas de Ki'!B56=0,0,IFERROR(IF('Técnicas de Ki'!N56&lt;&gt;0,'Técnicas de Ki'!N56+TS!$Q161,0)*$Q161/$Q161,0))</f>
        <v>0</v>
      </c>
      <c r="AE161" s="538">
        <f>IF('Técnicas de Ki'!B56=0,0,IFERROR(IF('Técnicas de Ki'!O56&lt;&gt;0,'Técnicas de Ki'!O56+TS!$R161,0)*$R161/$R161,0))</f>
        <v>0</v>
      </c>
      <c r="AF161" s="538">
        <f>IF('Técnicas de Ki'!B56=0,0,IFERROR(IF('Técnicas de Ki'!P56&lt;&gt;0,'Técnicas de Ki'!P56+TS!$S161,0)*$S161/$S161,0))</f>
        <v>0</v>
      </c>
      <c r="AG161" s="539">
        <f>IF('Técnicas de Ki'!B56=0,0,IFERROR(IF('Técnicas de Ki'!Q56&lt;&gt;0,'Técnicas de Ki'!Q56+TS!$T161,0)*$T161/$T161,0))</f>
        <v>0</v>
      </c>
      <c r="AI161" s="571" t="str">
        <f>IF('Técnicas de Ki'!B61&lt;&gt;0,'Técnicas de Ki'!A61&amp;" "&amp;'Técnicas de Ki'!B61,"")</f>
        <v/>
      </c>
      <c r="AJ161" s="302" t="b">
        <f t="shared" si="8"/>
        <v>0</v>
      </c>
      <c r="AK161" s="302" t="str">
        <f t="shared" si="4"/>
        <v/>
      </c>
      <c r="AQ161" s="537">
        <f>IF('Técnicas de Ki'!W56=0,0,IF('Técnicas de Ki'!AD56=TS!AQ$119,'Técnicas de Ki'!X56-(IF($O161&lt;&gt;0,'Técnicas de Ki'!AG56,0)+IF($P161&lt;&gt;0,'Técnicas de Ki'!AH56,0)+IF($Q161&lt;&gt;0,'Técnicas de Ki'!AI56,0)+IF($R161&lt;&gt;0,'Técnicas de Ki'!AJ56,0)+IF($S161&lt;&gt;0,'Técnicas de Ki'!AK56,0)+IF($T161&lt;&gt;0,'Técnicas de Ki'!AL56,0)),0))</f>
        <v>0</v>
      </c>
      <c r="AR161" s="538">
        <f>IF('Técnicas de Ki'!W56=0,0,IF('Técnicas de Ki'!AD56=TS!AR$119,'Técnicas de Ki'!X56-(IF($O161&lt;&gt;0,'Técnicas de Ki'!AG56,0)+IF($P161&lt;&gt;0,'Técnicas de Ki'!AH56,0)+IF($Q161&lt;&gt;0,'Técnicas de Ki'!AI56,0)+IF($R161&lt;&gt;0,'Técnicas de Ki'!AJ56,0)+IF($S161&lt;&gt;0,'Técnicas de Ki'!AK56,0)+IF($T161&lt;&gt;0,'Técnicas de Ki'!AL56,0)),0))</f>
        <v>0</v>
      </c>
      <c r="AS161" s="538">
        <f>IF('Técnicas de Ki'!W56=0,0,IF('Técnicas de Ki'!AD56=TS!AS$119,'Técnicas de Ki'!X56-(IF($O161&lt;&gt;0,'Técnicas de Ki'!AG56,0)+IF($P161&lt;&gt;0,'Técnicas de Ki'!AH56,0)+IF($Q161&lt;&gt;0,'Técnicas de Ki'!AI56,0)+IF($R161&lt;&gt;0,'Técnicas de Ki'!AJ56,0)+IF($S161&lt;&gt;0,'Técnicas de Ki'!AK56,0)+IF($T161&lt;&gt;0,'Técnicas de Ki'!AL56,0)),0))</f>
        <v>0</v>
      </c>
      <c r="AT161" s="538">
        <f>IF('Técnicas de Ki'!W56=0,0,IF('Técnicas de Ki'!AD56=TS!AT$119,'Técnicas de Ki'!X56-(IF($O161&lt;&gt;0,'Técnicas de Ki'!AG56,0)+IF($P161&lt;&gt;0,'Técnicas de Ki'!AH56,0)+IF($Q161&lt;&gt;0,'Técnicas de Ki'!AI56,0)+IF($R161&lt;&gt;0,'Técnicas de Ki'!AJ56,0)+IF($S161&lt;&gt;0,'Técnicas de Ki'!AK56,0)+IF($T161&lt;&gt;0,'Técnicas de Ki'!AL56,0)),0))</f>
        <v>0</v>
      </c>
      <c r="AU161" s="538">
        <f>IF('Técnicas de Ki'!W56=0,0,IF('Técnicas de Ki'!AD56=TS!AU$119,'Técnicas de Ki'!X56-(IF($O161&lt;&gt;0,'Técnicas de Ki'!AG56,0)+IF($P161&lt;&gt;0,'Técnicas de Ki'!AH56,0)+IF($Q161&lt;&gt;0,'Técnicas de Ki'!AI56,0)+IF($R161&lt;&gt;0,'Técnicas de Ki'!AJ56,0)+IF($S161&lt;&gt;0,'Técnicas de Ki'!AK56,0)+IF($T161&lt;&gt;0,'Técnicas de Ki'!AL56,0)),0))</f>
        <v>0</v>
      </c>
      <c r="AV161" s="539">
        <f>IF('Técnicas de Ki'!W56=0,0,IF('Técnicas de Ki'!AD56=TS!AV$119,'Técnicas de Ki'!X56-(IF($O161&lt;&gt;0,'Técnicas de Ki'!AG56,0)+IF($P161&lt;&gt;0,'Técnicas de Ki'!AH56,0)+IF($Q161&lt;&gt;0,'Técnicas de Ki'!AI56,0)+IF($R161&lt;&gt;0,'Técnicas de Ki'!AJ56,0)+IF($S161&lt;&gt;0,'Técnicas de Ki'!AK56,0)+IF($T161&lt;&gt;0,'Técnicas de Ki'!AL56,0)),0))</f>
        <v>0</v>
      </c>
      <c r="AW161" s="538">
        <f>IF('Técnicas de Ki'!W56=0,0,IFERROR(IF('Técnicas de Ki'!AG56&lt;&gt;0,'Técnicas de Ki'!AG56+TS!$O161,0)*$O161/$O161,0))</f>
        <v>0</v>
      </c>
      <c r="AX161" s="538">
        <f>IF('Técnicas de Ki'!W56=0,0,IFERROR(IF('Técnicas de Ki'!AH56&lt;&gt;0,'Técnicas de Ki'!AH56+TS!$P161,0)*$P161/$P161,0))</f>
        <v>0</v>
      </c>
      <c r="AY161" s="538">
        <f>IF('Técnicas de Ki'!W56=0,0,IFERROR(IF('Técnicas de Ki'!AI56&lt;&gt;0,'Técnicas de Ki'!AI56+TS!$Q161,0)*$Q161/$Q161,0))</f>
        <v>0</v>
      </c>
      <c r="AZ161" s="538">
        <f>IF('Técnicas de Ki'!W56=0,0,IFERROR(IF('Técnicas de Ki'!AJ56&lt;&gt;0,'Técnicas de Ki'!AJ56+TS!$R161,0)*$R161/$R161,0))</f>
        <v>0</v>
      </c>
      <c r="BA161" s="538">
        <f>IF('Técnicas de Ki'!W56=0,0,IFERROR(IF('Técnicas de Ki'!AK56&lt;&gt;0,'Técnicas de Ki'!AK56+TS!$S161,0)*$S161/$S161,0))</f>
        <v>0</v>
      </c>
      <c r="BB161" s="539">
        <f>IF('Técnicas de Ki'!W56=0,0,IFERROR(IF('Técnicas de Ki'!AL56&lt;&gt;0,'Técnicas de Ki'!AL56+TS!$T161,0)*$T161/$T161,0))</f>
        <v>0</v>
      </c>
      <c r="BD161" s="571" t="str">
        <f>IF('Técnicas de Ki'!W61&lt;&gt;0,'Técnicas de Ki'!V61&amp;" "&amp;'Técnicas de Ki'!W61,"")</f>
        <v/>
      </c>
      <c r="BE161" s="302" t="b">
        <f t="shared" si="25"/>
        <v>0</v>
      </c>
      <c r="BF161" s="302" t="str">
        <f t="shared" si="5"/>
        <v/>
      </c>
      <c r="BL161" s="537">
        <f>IF('Técnicas de Ki'!AR56=0,0,IF('Técnicas de Ki'!AY56=TS!BL$119,'Técnicas de Ki'!AS56-(IF($O161&lt;&gt;0,'Técnicas de Ki'!BB56,0)+IF($P161&lt;&gt;0,'Técnicas de Ki'!BC56,0)+IF($Q161&lt;&gt;0,'Técnicas de Ki'!BD56,0)+IF($R161&lt;&gt;0,'Técnicas de Ki'!BE56,0)+IF($S161&lt;&gt;0,'Técnicas de Ki'!BF56,0)+IF($T161&lt;&gt;0,'Técnicas de Ki'!BG56,0)),0))</f>
        <v>0</v>
      </c>
      <c r="BM161" s="538">
        <f>IF('Técnicas de Ki'!AR56=0,0,IF('Técnicas de Ki'!AY56=TS!BM$119,'Técnicas de Ki'!AS56-(IF($O161&lt;&gt;0,'Técnicas de Ki'!BB56,0)+IF($P161&lt;&gt;0,'Técnicas de Ki'!BC56,0)+IF($Q161&lt;&gt;0,'Técnicas de Ki'!BD56,0)+IF($R161&lt;&gt;0,'Técnicas de Ki'!BE56,0)+IF($S161&lt;&gt;0,'Técnicas de Ki'!BF56,0)+IF($T161&lt;&gt;0,'Técnicas de Ki'!BG56,0)),0))</f>
        <v>0</v>
      </c>
      <c r="BN161" s="538">
        <f>IF('Técnicas de Ki'!AR56=0,0,IF('Técnicas de Ki'!AY56=TS!BN$119,'Técnicas de Ki'!AS56-(IF($O161&lt;&gt;0,'Técnicas de Ki'!BB56,0)+IF($P161&lt;&gt;0,'Técnicas de Ki'!BC56,0)+IF($Q161&lt;&gt;0,'Técnicas de Ki'!BD56,0)+IF($R161&lt;&gt;0,'Técnicas de Ki'!BE56,0)+IF($S161&lt;&gt;0,'Técnicas de Ki'!BF56,0)+IF($T161&lt;&gt;0,'Técnicas de Ki'!BG56,0)),0))</f>
        <v>0</v>
      </c>
      <c r="BO161" s="538">
        <f>IF('Técnicas de Ki'!AR56=0,0,IF('Técnicas de Ki'!AY56=TS!BO$119,'Técnicas de Ki'!AS56-(IF($O161&lt;&gt;0,'Técnicas de Ki'!BB56,0)+IF($P161&lt;&gt;0,'Técnicas de Ki'!BC56,0)+IF($Q161&lt;&gt;0,'Técnicas de Ki'!BD56,0)+IF($R161&lt;&gt;0,'Técnicas de Ki'!BE56,0)+IF($S161&lt;&gt;0,'Técnicas de Ki'!BF56,0)+IF($T161&lt;&gt;0,'Técnicas de Ki'!BG56,0)),0))</f>
        <v>0</v>
      </c>
      <c r="BP161" s="538">
        <f>IF('Técnicas de Ki'!AR56=0,0,IF('Técnicas de Ki'!AY56=TS!BP$119,'Técnicas de Ki'!AS56-(IF($O161&lt;&gt;0,'Técnicas de Ki'!BB56,0)+IF($P161&lt;&gt;0,'Técnicas de Ki'!BC56,0)+IF($Q161&lt;&gt;0,'Técnicas de Ki'!BD56,0)+IF($R161&lt;&gt;0,'Técnicas de Ki'!BE56,0)+IF($S161&lt;&gt;0,'Técnicas de Ki'!BF56,0)+IF($T161&lt;&gt;0,'Técnicas de Ki'!BG56,0)),0))</f>
        <v>0</v>
      </c>
      <c r="BQ161" s="539">
        <f>IF('Técnicas de Ki'!AR56=0,0,IF('Técnicas de Ki'!AY56=TS!BQ$119,'Técnicas de Ki'!AS56-(IF($O161&lt;&gt;0,'Técnicas de Ki'!BB56,0)+IF($P161&lt;&gt;0,'Técnicas de Ki'!BC56,0)+IF($Q161&lt;&gt;0,'Técnicas de Ki'!BD56,0)+IF($R161&lt;&gt;0,'Técnicas de Ki'!BE56,0)+IF($S161&lt;&gt;0,'Técnicas de Ki'!BF56,0)+IF($T161&lt;&gt;0,'Técnicas de Ki'!BG56,0)),0))</f>
        <v>0</v>
      </c>
      <c r="BR161" s="538">
        <f>IF('Técnicas de Ki'!AR56=0,0,IFERROR(IF('Técnicas de Ki'!BB56&lt;&gt;0,'Técnicas de Ki'!BB56+TS!$O161,0)*$O161/$O161,0))</f>
        <v>0</v>
      </c>
      <c r="BS161" s="538">
        <f>IF('Técnicas de Ki'!AR56=0,0,IFERROR(IF('Técnicas de Ki'!BC56&lt;&gt;0,'Técnicas de Ki'!BC56+TS!$P161,0)*$P161/$P161,0))</f>
        <v>0</v>
      </c>
      <c r="BT161" s="538">
        <f>IF('Técnicas de Ki'!AR56=0,0,IFERROR(IF('Técnicas de Ki'!BD56&lt;&gt;0,'Técnicas de Ki'!BD56+TS!$Q161,0)*$Q161/$Q161,0))</f>
        <v>0</v>
      </c>
      <c r="BU161" s="538">
        <f>IF('Técnicas de Ki'!AR56=0,0,IFERROR(IF('Técnicas de Ki'!BE56&lt;&gt;0,'Técnicas de Ki'!BE56+TS!$R161,0)*$R161/$R161,0))</f>
        <v>0</v>
      </c>
      <c r="BV161" s="538">
        <f>IF('Técnicas de Ki'!AR56=0,0,IFERROR(IF('Técnicas de Ki'!BF56&lt;&gt;0,'Técnicas de Ki'!BF56+TS!$S161,0)*$S161/$S161,0))</f>
        <v>0</v>
      </c>
      <c r="BW161" s="539">
        <f>IF('Técnicas de Ki'!AR56=0,0,IFERROR(IF('Técnicas de Ki'!BG56&lt;&gt;0,'Técnicas de Ki'!BG56+TS!$T161,0)*$T161/$T161,0))</f>
        <v>0</v>
      </c>
      <c r="BY161" s="571" t="str">
        <f>IF('Técnicas de Ki'!AR61&lt;&gt;0,'Técnicas de Ki'!AQ61&amp;" "&amp;'Técnicas de Ki'!AR61,"")</f>
        <v/>
      </c>
      <c r="BZ161" s="302" t="b">
        <f t="shared" si="26"/>
        <v>0</v>
      </c>
      <c r="CA161" s="302" t="str">
        <f t="shared" si="6"/>
        <v/>
      </c>
      <c r="CG161" s="537">
        <f>IF('Técnicas de Ki'!BM56=0,0,IF('Técnicas de Ki'!BT56=TS!CG$119,'Técnicas de Ki'!BN56-(IF($O161&lt;&gt;0,'Técnicas de Ki'!BW56,0)+IF($P161&lt;&gt;0,'Técnicas de Ki'!BX56,0)+IF($Q161&lt;&gt;0,'Técnicas de Ki'!BY56,0)+IF($R161&lt;&gt;0,'Técnicas de Ki'!BZ56,0)+IF($S161&lt;&gt;0,'Técnicas de Ki'!CA56,0)+IF($T161&lt;&gt;0,'Técnicas de Ki'!CB56,0)),0))</f>
        <v>0</v>
      </c>
      <c r="CH161" s="538">
        <f>IF('Técnicas de Ki'!BM56=0,0,IF('Técnicas de Ki'!BT56=TS!CH$119,'Técnicas de Ki'!BN56-(IF($O161&lt;&gt;0,'Técnicas de Ki'!BW56,0)+IF($P161&lt;&gt;0,'Técnicas de Ki'!BX56,0)+IF($Q161&lt;&gt;0,'Técnicas de Ki'!BY56,0)+IF($R161&lt;&gt;0,'Técnicas de Ki'!BZ56,0)+IF($S161&lt;&gt;0,'Técnicas de Ki'!CA56,0)+IF($T161&lt;&gt;0,'Técnicas de Ki'!CB56,0)),0))</f>
        <v>0</v>
      </c>
      <c r="CI161" s="538">
        <f>IF('Técnicas de Ki'!BM56=0,0,IF('Técnicas de Ki'!BT56=TS!CI$119,'Técnicas de Ki'!BN56-(IF($O161&lt;&gt;0,'Técnicas de Ki'!BW56,0)+IF($P161&lt;&gt;0,'Técnicas de Ki'!BX56,0)+IF($Q161&lt;&gt;0,'Técnicas de Ki'!BY56,0)+IF($R161&lt;&gt;0,'Técnicas de Ki'!BZ56,0)+IF($S161&lt;&gt;0,'Técnicas de Ki'!CA56,0)+IF($T161&lt;&gt;0,'Técnicas de Ki'!CB56,0)),0))</f>
        <v>0</v>
      </c>
      <c r="CJ161" s="538">
        <f>IF('Técnicas de Ki'!BM56=0,0,IF('Técnicas de Ki'!BT56=TS!CJ$119,'Técnicas de Ki'!BN56-(IF($O161&lt;&gt;0,'Técnicas de Ki'!BW56,0)+IF($P161&lt;&gt;0,'Técnicas de Ki'!BX56,0)+IF($Q161&lt;&gt;0,'Técnicas de Ki'!BY56,0)+IF($R161&lt;&gt;0,'Técnicas de Ki'!BZ56,0)+IF($S161&lt;&gt;0,'Técnicas de Ki'!CA56,0)+IF($T161&lt;&gt;0,'Técnicas de Ki'!CB56,0)),0))</f>
        <v>0</v>
      </c>
      <c r="CK161" s="538">
        <f>IF('Técnicas de Ki'!BM56=0,0,IF('Técnicas de Ki'!BT56=TS!CK$119,'Técnicas de Ki'!BN56-(IF($O161&lt;&gt;0,'Técnicas de Ki'!BW56,0)+IF($P161&lt;&gt;0,'Técnicas de Ki'!BX56,0)+IF($Q161&lt;&gt;0,'Técnicas de Ki'!BY56,0)+IF($R161&lt;&gt;0,'Técnicas de Ki'!BZ56,0)+IF($S161&lt;&gt;0,'Técnicas de Ki'!CA56,0)+IF($T161&lt;&gt;0,'Técnicas de Ki'!CB56,0)),0))</f>
        <v>0</v>
      </c>
      <c r="CL161" s="539">
        <f>IF('Técnicas de Ki'!BM56=0,0,IF('Técnicas de Ki'!BT56=TS!CL$119,'Técnicas de Ki'!BN56-(IF($O161&lt;&gt;0,'Técnicas de Ki'!BW56,0)+IF($P161&lt;&gt;0,'Técnicas de Ki'!BX56,0)+IF($Q161&lt;&gt;0,'Técnicas de Ki'!BY56,0)+IF($R161&lt;&gt;0,'Técnicas de Ki'!BZ56,0)+IF($S161&lt;&gt;0,'Técnicas de Ki'!CA56,0)+IF($T161&lt;&gt;0,'Técnicas de Ki'!CB56,0)),0))</f>
        <v>0</v>
      </c>
      <c r="CM161" s="538">
        <f>IF('Técnicas de Ki'!BM56=0,0,IFERROR(IF('Técnicas de Ki'!BW56&lt;&gt;0,'Técnicas de Ki'!BW56+TS!$O161,0)*$O161/$O161,0))</f>
        <v>0</v>
      </c>
      <c r="CN161" s="538">
        <f>IF('Técnicas de Ki'!BM56=0,0,IFERROR(IF('Técnicas de Ki'!BX56&lt;&gt;0,'Técnicas de Ki'!BX56+TS!$P161,0)*$P161/$P161,0))</f>
        <v>0</v>
      </c>
      <c r="CO161" s="538">
        <f>IF('Técnicas de Ki'!BM56=0,0,IFERROR(IF('Técnicas de Ki'!BY56&lt;&gt;0,'Técnicas de Ki'!BY56+TS!$Q161,0)*$Q161/$Q161,0))</f>
        <v>0</v>
      </c>
      <c r="CP161" s="538">
        <f>IF('Técnicas de Ki'!BM56=0,0,IFERROR(IF('Técnicas de Ki'!BZ56&lt;&gt;0,'Técnicas de Ki'!BZ56+TS!$R161,0)*$R161/$R161,0))</f>
        <v>0</v>
      </c>
      <c r="CQ161" s="538">
        <f>IF('Técnicas de Ki'!BM56=0,0,IFERROR(IF('Técnicas de Ki'!CA56&lt;&gt;0,'Técnicas de Ki'!CA56+TS!$S161,0)*$S161/$S161,0))</f>
        <v>0</v>
      </c>
      <c r="CR161" s="539">
        <f>IF('Técnicas de Ki'!BM56=0,0,IFERROR(IF('Técnicas de Ki'!CB56&lt;&gt;0,'Técnicas de Ki'!CB56+TS!$T161,0)*$T161/$T161,0))</f>
        <v>0</v>
      </c>
      <c r="CT161" s="571" t="str">
        <f>IF('Técnicas de Ki'!BM61&lt;&gt;0,'Técnicas de Ki'!BL61&amp;" "&amp;'Técnicas de Ki'!BM61,"")</f>
        <v/>
      </c>
      <c r="CU161" s="302" t="b">
        <f t="shared" si="27"/>
        <v>0</v>
      </c>
      <c r="CV161" s="302" t="str">
        <f t="shared" si="7"/>
        <v/>
      </c>
    </row>
    <row r="162" spans="1:102" x14ac:dyDescent="0.2">
      <c r="A162" s="302" t="s">
        <v>6853</v>
      </c>
      <c r="B162" s="302">
        <v>120</v>
      </c>
      <c r="C162" s="302" t="str">
        <f t="shared" si="15"/>
        <v>Sustitución de daño120</v>
      </c>
      <c r="D162" s="302">
        <v>5</v>
      </c>
      <c r="E162" s="302">
        <v>8</v>
      </c>
      <c r="F162" s="302">
        <v>15</v>
      </c>
      <c r="G162" s="302">
        <v>3</v>
      </c>
      <c r="H162" s="302">
        <v>6</v>
      </c>
      <c r="I162" s="302">
        <v>11</v>
      </c>
      <c r="J162" s="302">
        <v>1</v>
      </c>
      <c r="N162" t="s">
        <v>6895</v>
      </c>
      <c r="P162" s="302">
        <v>3</v>
      </c>
      <c r="Q162" s="302">
        <v>2</v>
      </c>
      <c r="R162" s="302">
        <v>4</v>
      </c>
      <c r="S162" s="302">
        <v>1</v>
      </c>
      <c r="V162" s="537">
        <f>IF('Técnicas de Ki'!B57=0,0,IF('Técnicas de Ki'!I57=TS!V$119,'Técnicas de Ki'!C57-(IF($O162&lt;&gt;0,'Técnicas de Ki'!L57,0)+IF($P162&lt;&gt;0,'Técnicas de Ki'!M57,0)+IF($Q162&lt;&gt;0,'Técnicas de Ki'!N57,0)+IF($R162&lt;&gt;0,'Técnicas de Ki'!O57,0)+IF($S162&lt;&gt;0,'Técnicas de Ki'!P57,0)+IF($T162&lt;&gt;0,'Técnicas de Ki'!Q57,0)),0))</f>
        <v>0</v>
      </c>
      <c r="W162" s="538">
        <f>IF('Técnicas de Ki'!B57=0,0,IF('Técnicas de Ki'!I57=TS!W$119,'Técnicas de Ki'!C57-(IF($O162&lt;&gt;0,'Técnicas de Ki'!L57,0)+IF($P162&lt;&gt;0,'Técnicas de Ki'!M57,0)+IF($Q162&lt;&gt;0,'Técnicas de Ki'!N57,0)+IF($R162&lt;&gt;0,'Técnicas de Ki'!O57,0)+IF($S162&lt;&gt;0,'Técnicas de Ki'!P57,0)+IF($T162&lt;&gt;0,'Técnicas de Ki'!Q57,0)),0))</f>
        <v>0</v>
      </c>
      <c r="X162" s="538">
        <f>IF('Técnicas de Ki'!B57=0,0,IF('Técnicas de Ki'!I57=TS!X$119,'Técnicas de Ki'!C57-(IF($O162&lt;&gt;0,'Técnicas de Ki'!L57,0)+IF($P162&lt;&gt;0,'Técnicas de Ki'!M57,0)+IF($Q162&lt;&gt;0,'Técnicas de Ki'!N57,0)+IF($R162&lt;&gt;0,'Técnicas de Ki'!O57,0)+IF($S162&lt;&gt;0,'Técnicas de Ki'!P57,0)+IF($T162&lt;&gt;0,'Técnicas de Ki'!Q57,0)),0))</f>
        <v>0</v>
      </c>
      <c r="Y162" s="538">
        <f>IF('Técnicas de Ki'!B57=0,0,IF('Técnicas de Ki'!I57=TS!Y$119,'Técnicas de Ki'!C57-(IF($O162&lt;&gt;0,'Técnicas de Ki'!L57,0)+IF($P162&lt;&gt;0,'Técnicas de Ki'!M57,0)+IF($Q162&lt;&gt;0,'Técnicas de Ki'!N57,0)+IF($R162&lt;&gt;0,'Técnicas de Ki'!O57,0)+IF($S162&lt;&gt;0,'Técnicas de Ki'!P57,0)+IF($T162&lt;&gt;0,'Técnicas de Ki'!Q57,0)),0))</f>
        <v>0</v>
      </c>
      <c r="Z162" s="538">
        <f>IF('Técnicas de Ki'!B57=0,0,IF('Técnicas de Ki'!I57=TS!Z$119,'Técnicas de Ki'!C57-(IF($O162&lt;&gt;0,'Técnicas de Ki'!L57,0)+IF($P162&lt;&gt;0,'Técnicas de Ki'!M57,0)+IF($Q162&lt;&gt;0,'Técnicas de Ki'!N57,0)+IF($R162&lt;&gt;0,'Técnicas de Ki'!O57,0)+IF($S162&lt;&gt;0,'Técnicas de Ki'!P57,0)+IF($T162&lt;&gt;0,'Técnicas de Ki'!Q57,0)),0))</f>
        <v>0</v>
      </c>
      <c r="AA162" s="539">
        <f>IF('Técnicas de Ki'!B57=0,0,IF('Técnicas de Ki'!I57=TS!AA$119,'Técnicas de Ki'!C57-(IF($O162&lt;&gt;0,'Técnicas de Ki'!L57,0)+IF($P162&lt;&gt;0,'Técnicas de Ki'!M57,0)+IF($Q162&lt;&gt;0,'Técnicas de Ki'!N57,0)+IF($R162&lt;&gt;0,'Técnicas de Ki'!O57,0)+IF($S162&lt;&gt;0,'Técnicas de Ki'!P57,0)+IF($T162&lt;&gt;0,'Técnicas de Ki'!Q57,0)),0))</f>
        <v>0</v>
      </c>
      <c r="AB162" s="538">
        <f>IF('Técnicas de Ki'!B57=0,0,IFERROR(IF('Técnicas de Ki'!L57&lt;&gt;0,'Técnicas de Ki'!L57+TS!$O162,0)*$O162/$O162,0))</f>
        <v>0</v>
      </c>
      <c r="AC162" s="538">
        <f>IF('Técnicas de Ki'!B57=0,0,IFERROR(IF('Técnicas de Ki'!M57&lt;&gt;0,'Técnicas de Ki'!M57+TS!$P162,0)*$P162/$P162,0))</f>
        <v>0</v>
      </c>
      <c r="AD162" s="538">
        <f>IF('Técnicas de Ki'!B57=0,0,IFERROR(IF('Técnicas de Ki'!N57&lt;&gt;0,'Técnicas de Ki'!N57+TS!$Q162,0)*$Q162/$Q162,0))</f>
        <v>0</v>
      </c>
      <c r="AE162" s="538">
        <f>IF('Técnicas de Ki'!B57=0,0,IFERROR(IF('Técnicas de Ki'!O57&lt;&gt;0,'Técnicas de Ki'!O57+TS!$R162,0)*$R162/$R162,0))</f>
        <v>0</v>
      </c>
      <c r="AF162" s="538">
        <f>IF('Técnicas de Ki'!B57=0,0,IFERROR(IF('Técnicas de Ki'!P57&lt;&gt;0,'Técnicas de Ki'!P57+TS!$S162,0)*$S162/$S162,0))</f>
        <v>0</v>
      </c>
      <c r="AG162" s="539">
        <f>IF('Técnicas de Ki'!B57=0,0,IFERROR(IF('Técnicas de Ki'!Q57&lt;&gt;0,'Técnicas de Ki'!Q57+TS!$T162,0)*$T162/$T162,0))</f>
        <v>0</v>
      </c>
      <c r="AI162" s="571" t="str">
        <f>IF('Técnicas de Ki'!B62&lt;&gt;0,'Técnicas de Ki'!A62&amp;" "&amp;'Técnicas de Ki'!B62,"")</f>
        <v/>
      </c>
      <c r="AJ162" s="302" t="b">
        <f t="shared" si="8"/>
        <v>0</v>
      </c>
      <c r="AK162" s="302" t="str">
        <f t="shared" si="4"/>
        <v/>
      </c>
      <c r="AQ162" s="537">
        <f>IF('Técnicas de Ki'!W57=0,0,IF('Técnicas de Ki'!AD57=TS!AQ$119,'Técnicas de Ki'!X57-(IF($O162&lt;&gt;0,'Técnicas de Ki'!AG57,0)+IF($P162&lt;&gt;0,'Técnicas de Ki'!AH57,0)+IF($Q162&lt;&gt;0,'Técnicas de Ki'!AI57,0)+IF($R162&lt;&gt;0,'Técnicas de Ki'!AJ57,0)+IF($S162&lt;&gt;0,'Técnicas de Ki'!AK57,0)+IF($T162&lt;&gt;0,'Técnicas de Ki'!AL57,0)),0))</f>
        <v>0</v>
      </c>
      <c r="AR162" s="538">
        <f>IF('Técnicas de Ki'!W57=0,0,IF('Técnicas de Ki'!AD57=TS!AR$119,'Técnicas de Ki'!X57-(IF($O162&lt;&gt;0,'Técnicas de Ki'!AG57,0)+IF($P162&lt;&gt;0,'Técnicas de Ki'!AH57,0)+IF($Q162&lt;&gt;0,'Técnicas de Ki'!AI57,0)+IF($R162&lt;&gt;0,'Técnicas de Ki'!AJ57,0)+IF($S162&lt;&gt;0,'Técnicas de Ki'!AK57,0)+IF($T162&lt;&gt;0,'Técnicas de Ki'!AL57,0)),0))</f>
        <v>0</v>
      </c>
      <c r="AS162" s="538">
        <f>IF('Técnicas de Ki'!W57=0,0,IF('Técnicas de Ki'!AD57=TS!AS$119,'Técnicas de Ki'!X57-(IF($O162&lt;&gt;0,'Técnicas de Ki'!AG57,0)+IF($P162&lt;&gt;0,'Técnicas de Ki'!AH57,0)+IF($Q162&lt;&gt;0,'Técnicas de Ki'!AI57,0)+IF($R162&lt;&gt;0,'Técnicas de Ki'!AJ57,0)+IF($S162&lt;&gt;0,'Técnicas de Ki'!AK57,0)+IF($T162&lt;&gt;0,'Técnicas de Ki'!AL57,0)),0))</f>
        <v>0</v>
      </c>
      <c r="AT162" s="538">
        <f>IF('Técnicas de Ki'!W57=0,0,IF('Técnicas de Ki'!AD57=TS!AT$119,'Técnicas de Ki'!X57-(IF($O162&lt;&gt;0,'Técnicas de Ki'!AG57,0)+IF($P162&lt;&gt;0,'Técnicas de Ki'!AH57,0)+IF($Q162&lt;&gt;0,'Técnicas de Ki'!AI57,0)+IF($R162&lt;&gt;0,'Técnicas de Ki'!AJ57,0)+IF($S162&lt;&gt;0,'Técnicas de Ki'!AK57,0)+IF($T162&lt;&gt;0,'Técnicas de Ki'!AL57,0)),0))</f>
        <v>0</v>
      </c>
      <c r="AU162" s="538">
        <f>IF('Técnicas de Ki'!W57=0,0,IF('Técnicas de Ki'!AD57=TS!AU$119,'Técnicas de Ki'!X57-(IF($O162&lt;&gt;0,'Técnicas de Ki'!AG57,0)+IF($P162&lt;&gt;0,'Técnicas de Ki'!AH57,0)+IF($Q162&lt;&gt;0,'Técnicas de Ki'!AI57,0)+IF($R162&lt;&gt;0,'Técnicas de Ki'!AJ57,0)+IF($S162&lt;&gt;0,'Técnicas de Ki'!AK57,0)+IF($T162&lt;&gt;0,'Técnicas de Ki'!AL57,0)),0))</f>
        <v>0</v>
      </c>
      <c r="AV162" s="539">
        <f>IF('Técnicas de Ki'!W57=0,0,IF('Técnicas de Ki'!AD57=TS!AV$119,'Técnicas de Ki'!X57-(IF($O162&lt;&gt;0,'Técnicas de Ki'!AG57,0)+IF($P162&lt;&gt;0,'Técnicas de Ki'!AH57,0)+IF($Q162&lt;&gt;0,'Técnicas de Ki'!AI57,0)+IF($R162&lt;&gt;0,'Técnicas de Ki'!AJ57,0)+IF($S162&lt;&gt;0,'Técnicas de Ki'!AK57,0)+IF($T162&lt;&gt;0,'Técnicas de Ki'!AL57,0)),0))</f>
        <v>0</v>
      </c>
      <c r="AW162" s="538">
        <f>IF('Técnicas de Ki'!W57=0,0,IFERROR(IF('Técnicas de Ki'!AG57&lt;&gt;0,'Técnicas de Ki'!AG57+TS!$O162,0)*$O162/$O162,0))</f>
        <v>0</v>
      </c>
      <c r="AX162" s="538">
        <f>IF('Técnicas de Ki'!W57=0,0,IFERROR(IF('Técnicas de Ki'!AH57&lt;&gt;0,'Técnicas de Ki'!AH57+TS!$P162,0)*$P162/$P162,0))</f>
        <v>0</v>
      </c>
      <c r="AY162" s="538">
        <f>IF('Técnicas de Ki'!W57=0,0,IFERROR(IF('Técnicas de Ki'!AI57&lt;&gt;0,'Técnicas de Ki'!AI57+TS!$Q162,0)*$Q162/$Q162,0))</f>
        <v>0</v>
      </c>
      <c r="AZ162" s="538">
        <f>IF('Técnicas de Ki'!W57=0,0,IFERROR(IF('Técnicas de Ki'!AJ57&lt;&gt;0,'Técnicas de Ki'!AJ57+TS!$R162,0)*$R162/$R162,0))</f>
        <v>0</v>
      </c>
      <c r="BA162" s="538">
        <f>IF('Técnicas de Ki'!W57=0,0,IFERROR(IF('Técnicas de Ki'!AK57&lt;&gt;0,'Técnicas de Ki'!AK57+TS!$S162,0)*$S162/$S162,0))</f>
        <v>0</v>
      </c>
      <c r="BB162" s="539">
        <f>IF('Técnicas de Ki'!W57=0,0,IFERROR(IF('Técnicas de Ki'!AL57&lt;&gt;0,'Técnicas de Ki'!AL57+TS!$T162,0)*$T162/$T162,0))</f>
        <v>0</v>
      </c>
      <c r="BD162" s="571" t="str">
        <f>IF('Técnicas de Ki'!W62&lt;&gt;0,'Técnicas de Ki'!V62&amp;" "&amp;'Técnicas de Ki'!W62,"")</f>
        <v/>
      </c>
      <c r="BE162" s="302" t="b">
        <f t="shared" si="25"/>
        <v>0</v>
      </c>
      <c r="BF162" s="302" t="str">
        <f t="shared" si="5"/>
        <v/>
      </c>
      <c r="BL162" s="537">
        <f>IF('Técnicas de Ki'!AR57=0,0,IF('Técnicas de Ki'!AY57=TS!BL$119,'Técnicas de Ki'!AS57-(IF($O162&lt;&gt;0,'Técnicas de Ki'!BB57,0)+IF($P162&lt;&gt;0,'Técnicas de Ki'!BC57,0)+IF($Q162&lt;&gt;0,'Técnicas de Ki'!BD57,0)+IF($R162&lt;&gt;0,'Técnicas de Ki'!BE57,0)+IF($S162&lt;&gt;0,'Técnicas de Ki'!BF57,0)+IF($T162&lt;&gt;0,'Técnicas de Ki'!BG57,0)),0))</f>
        <v>0</v>
      </c>
      <c r="BM162" s="538">
        <f>IF('Técnicas de Ki'!AR57=0,0,IF('Técnicas de Ki'!AY57=TS!BM$119,'Técnicas de Ki'!AS57-(IF($O162&lt;&gt;0,'Técnicas de Ki'!BB57,0)+IF($P162&lt;&gt;0,'Técnicas de Ki'!BC57,0)+IF($Q162&lt;&gt;0,'Técnicas de Ki'!BD57,0)+IF($R162&lt;&gt;0,'Técnicas de Ki'!BE57,0)+IF($S162&lt;&gt;0,'Técnicas de Ki'!BF57,0)+IF($T162&lt;&gt;0,'Técnicas de Ki'!BG57,0)),0))</f>
        <v>0</v>
      </c>
      <c r="BN162" s="538">
        <f>IF('Técnicas de Ki'!AR57=0,0,IF('Técnicas de Ki'!AY57=TS!BN$119,'Técnicas de Ki'!AS57-(IF($O162&lt;&gt;0,'Técnicas de Ki'!BB57,0)+IF($P162&lt;&gt;0,'Técnicas de Ki'!BC57,0)+IF($Q162&lt;&gt;0,'Técnicas de Ki'!BD57,0)+IF($R162&lt;&gt;0,'Técnicas de Ki'!BE57,0)+IF($S162&lt;&gt;0,'Técnicas de Ki'!BF57,0)+IF($T162&lt;&gt;0,'Técnicas de Ki'!BG57,0)),0))</f>
        <v>0</v>
      </c>
      <c r="BO162" s="538">
        <f>IF('Técnicas de Ki'!AR57=0,0,IF('Técnicas de Ki'!AY57=TS!BO$119,'Técnicas de Ki'!AS57-(IF($O162&lt;&gt;0,'Técnicas de Ki'!BB57,0)+IF($P162&lt;&gt;0,'Técnicas de Ki'!BC57,0)+IF($Q162&lt;&gt;0,'Técnicas de Ki'!BD57,0)+IF($R162&lt;&gt;0,'Técnicas de Ki'!BE57,0)+IF($S162&lt;&gt;0,'Técnicas de Ki'!BF57,0)+IF($T162&lt;&gt;0,'Técnicas de Ki'!BG57,0)),0))</f>
        <v>0</v>
      </c>
      <c r="BP162" s="538">
        <f>IF('Técnicas de Ki'!AR57=0,0,IF('Técnicas de Ki'!AY57=TS!BP$119,'Técnicas de Ki'!AS57-(IF($O162&lt;&gt;0,'Técnicas de Ki'!BB57,0)+IF($P162&lt;&gt;0,'Técnicas de Ki'!BC57,0)+IF($Q162&lt;&gt;0,'Técnicas de Ki'!BD57,0)+IF($R162&lt;&gt;0,'Técnicas de Ki'!BE57,0)+IF($S162&lt;&gt;0,'Técnicas de Ki'!BF57,0)+IF($T162&lt;&gt;0,'Técnicas de Ki'!BG57,0)),0))</f>
        <v>0</v>
      </c>
      <c r="BQ162" s="539">
        <f>IF('Técnicas de Ki'!AR57=0,0,IF('Técnicas de Ki'!AY57=TS!BQ$119,'Técnicas de Ki'!AS57-(IF($O162&lt;&gt;0,'Técnicas de Ki'!BB57,0)+IF($P162&lt;&gt;0,'Técnicas de Ki'!BC57,0)+IF($Q162&lt;&gt;0,'Técnicas de Ki'!BD57,0)+IF($R162&lt;&gt;0,'Técnicas de Ki'!BE57,0)+IF($S162&lt;&gt;0,'Técnicas de Ki'!BF57,0)+IF($T162&lt;&gt;0,'Técnicas de Ki'!BG57,0)),0))</f>
        <v>0</v>
      </c>
      <c r="BR162" s="538">
        <f>IF('Técnicas de Ki'!AR57=0,0,IFERROR(IF('Técnicas de Ki'!BB57&lt;&gt;0,'Técnicas de Ki'!BB57+TS!$O162,0)*$O162/$O162,0))</f>
        <v>0</v>
      </c>
      <c r="BS162" s="538">
        <f>IF('Técnicas de Ki'!AR57=0,0,IFERROR(IF('Técnicas de Ki'!BC57&lt;&gt;0,'Técnicas de Ki'!BC57+TS!$P162,0)*$P162/$P162,0))</f>
        <v>0</v>
      </c>
      <c r="BT162" s="538">
        <f>IF('Técnicas de Ki'!AR57=0,0,IFERROR(IF('Técnicas de Ki'!BD57&lt;&gt;0,'Técnicas de Ki'!BD57+TS!$Q162,0)*$Q162/$Q162,0))</f>
        <v>0</v>
      </c>
      <c r="BU162" s="538">
        <f>IF('Técnicas de Ki'!AR57=0,0,IFERROR(IF('Técnicas de Ki'!BE57&lt;&gt;0,'Técnicas de Ki'!BE57+TS!$R162,0)*$R162/$R162,0))</f>
        <v>0</v>
      </c>
      <c r="BV162" s="538">
        <f>IF('Técnicas de Ki'!AR57=0,0,IFERROR(IF('Técnicas de Ki'!BF57&lt;&gt;0,'Técnicas de Ki'!BF57+TS!$S162,0)*$S162/$S162,0))</f>
        <v>0</v>
      </c>
      <c r="BW162" s="539">
        <f>IF('Técnicas de Ki'!AR57=0,0,IFERROR(IF('Técnicas de Ki'!BG57&lt;&gt;0,'Técnicas de Ki'!BG57+TS!$T162,0)*$T162/$T162,0))</f>
        <v>0</v>
      </c>
      <c r="BY162" s="571" t="str">
        <f>IF('Técnicas de Ki'!AR62&lt;&gt;0,'Técnicas de Ki'!AQ62&amp;" "&amp;'Técnicas de Ki'!AR62,"")</f>
        <v/>
      </c>
      <c r="BZ162" s="302" t="b">
        <f t="shared" si="26"/>
        <v>0</v>
      </c>
      <c r="CA162" s="302" t="str">
        <f t="shared" si="6"/>
        <v/>
      </c>
      <c r="CG162" s="537">
        <f>IF('Técnicas de Ki'!BM57=0,0,IF('Técnicas de Ki'!BT57=TS!CG$119,'Técnicas de Ki'!BN57-(IF($O162&lt;&gt;0,'Técnicas de Ki'!BW57,0)+IF($P162&lt;&gt;0,'Técnicas de Ki'!BX57,0)+IF($Q162&lt;&gt;0,'Técnicas de Ki'!BY57,0)+IF($R162&lt;&gt;0,'Técnicas de Ki'!BZ57,0)+IF($S162&lt;&gt;0,'Técnicas de Ki'!CA57,0)+IF($T162&lt;&gt;0,'Técnicas de Ki'!CB57,0)),0))</f>
        <v>0</v>
      </c>
      <c r="CH162" s="538">
        <f>IF('Técnicas de Ki'!BM57=0,0,IF('Técnicas de Ki'!BT57=TS!CH$119,'Técnicas de Ki'!BN57-(IF($O162&lt;&gt;0,'Técnicas de Ki'!BW57,0)+IF($P162&lt;&gt;0,'Técnicas de Ki'!BX57,0)+IF($Q162&lt;&gt;0,'Técnicas de Ki'!BY57,0)+IF($R162&lt;&gt;0,'Técnicas de Ki'!BZ57,0)+IF($S162&lt;&gt;0,'Técnicas de Ki'!CA57,0)+IF($T162&lt;&gt;0,'Técnicas de Ki'!CB57,0)),0))</f>
        <v>0</v>
      </c>
      <c r="CI162" s="538">
        <f>IF('Técnicas de Ki'!BM57=0,0,IF('Técnicas de Ki'!BT57=TS!CI$119,'Técnicas de Ki'!BN57-(IF($O162&lt;&gt;0,'Técnicas de Ki'!BW57,0)+IF($P162&lt;&gt;0,'Técnicas de Ki'!BX57,0)+IF($Q162&lt;&gt;0,'Técnicas de Ki'!BY57,0)+IF($R162&lt;&gt;0,'Técnicas de Ki'!BZ57,0)+IF($S162&lt;&gt;0,'Técnicas de Ki'!CA57,0)+IF($T162&lt;&gt;0,'Técnicas de Ki'!CB57,0)),0))</f>
        <v>0</v>
      </c>
      <c r="CJ162" s="538">
        <f>IF('Técnicas de Ki'!BM57=0,0,IF('Técnicas de Ki'!BT57=TS!CJ$119,'Técnicas de Ki'!BN57-(IF($O162&lt;&gt;0,'Técnicas de Ki'!BW57,0)+IF($P162&lt;&gt;0,'Técnicas de Ki'!BX57,0)+IF($Q162&lt;&gt;0,'Técnicas de Ki'!BY57,0)+IF($R162&lt;&gt;0,'Técnicas de Ki'!BZ57,0)+IF($S162&lt;&gt;0,'Técnicas de Ki'!CA57,0)+IF($T162&lt;&gt;0,'Técnicas de Ki'!CB57,0)),0))</f>
        <v>0</v>
      </c>
      <c r="CK162" s="538">
        <f>IF('Técnicas de Ki'!BM57=0,0,IF('Técnicas de Ki'!BT57=TS!CK$119,'Técnicas de Ki'!BN57-(IF($O162&lt;&gt;0,'Técnicas de Ki'!BW57,0)+IF($P162&lt;&gt;0,'Técnicas de Ki'!BX57,0)+IF($Q162&lt;&gt;0,'Técnicas de Ki'!BY57,0)+IF($R162&lt;&gt;0,'Técnicas de Ki'!BZ57,0)+IF($S162&lt;&gt;0,'Técnicas de Ki'!CA57,0)+IF($T162&lt;&gt;0,'Técnicas de Ki'!CB57,0)),0))</f>
        <v>0</v>
      </c>
      <c r="CL162" s="539">
        <f>IF('Técnicas de Ki'!BM57=0,0,IF('Técnicas de Ki'!BT57=TS!CL$119,'Técnicas de Ki'!BN57-(IF($O162&lt;&gt;0,'Técnicas de Ki'!BW57,0)+IF($P162&lt;&gt;0,'Técnicas de Ki'!BX57,0)+IF($Q162&lt;&gt;0,'Técnicas de Ki'!BY57,0)+IF($R162&lt;&gt;0,'Técnicas de Ki'!BZ57,0)+IF($S162&lt;&gt;0,'Técnicas de Ki'!CA57,0)+IF($T162&lt;&gt;0,'Técnicas de Ki'!CB57,0)),0))</f>
        <v>0</v>
      </c>
      <c r="CM162" s="538">
        <f>IF('Técnicas de Ki'!BM57=0,0,IFERROR(IF('Técnicas de Ki'!BW57&lt;&gt;0,'Técnicas de Ki'!BW57+TS!$O162,0)*$O162/$O162,0))</f>
        <v>0</v>
      </c>
      <c r="CN162" s="538">
        <f>IF('Técnicas de Ki'!BM57=0,0,IFERROR(IF('Técnicas de Ki'!BX57&lt;&gt;0,'Técnicas de Ki'!BX57+TS!$P162,0)*$P162/$P162,0))</f>
        <v>0</v>
      </c>
      <c r="CO162" s="538">
        <f>IF('Técnicas de Ki'!BM57=0,0,IFERROR(IF('Técnicas de Ki'!BY57&lt;&gt;0,'Técnicas de Ki'!BY57+TS!$Q162,0)*$Q162/$Q162,0))</f>
        <v>0</v>
      </c>
      <c r="CP162" s="538">
        <f>IF('Técnicas de Ki'!BM57=0,0,IFERROR(IF('Técnicas de Ki'!BZ57&lt;&gt;0,'Técnicas de Ki'!BZ57+TS!$R162,0)*$R162/$R162,0))</f>
        <v>0</v>
      </c>
      <c r="CQ162" s="538">
        <f>IF('Técnicas de Ki'!BM57=0,0,IFERROR(IF('Técnicas de Ki'!CA57&lt;&gt;0,'Técnicas de Ki'!CA57+TS!$S162,0)*$S162/$S162,0))</f>
        <v>0</v>
      </c>
      <c r="CR162" s="539">
        <f>IF('Técnicas de Ki'!BM57=0,0,IFERROR(IF('Técnicas de Ki'!CB57&lt;&gt;0,'Técnicas de Ki'!CB57+TS!$T162,0)*$T162/$T162,0))</f>
        <v>0</v>
      </c>
      <c r="CT162" s="571" t="str">
        <f>IF('Técnicas de Ki'!BM62&lt;&gt;0,'Técnicas de Ki'!BL62&amp;" "&amp;'Técnicas de Ki'!BM62,"")</f>
        <v/>
      </c>
      <c r="CU162" s="302" t="b">
        <f t="shared" si="27"/>
        <v>0</v>
      </c>
      <c r="CV162" s="302" t="str">
        <f t="shared" si="7"/>
        <v/>
      </c>
    </row>
    <row r="163" spans="1:102" x14ac:dyDescent="0.2">
      <c r="A163" s="302" t="s">
        <v>6853</v>
      </c>
      <c r="B163" s="302">
        <v>150</v>
      </c>
      <c r="C163" s="302" t="str">
        <f t="shared" si="15"/>
        <v>Sustitución de daño150</v>
      </c>
      <c r="D163" s="302">
        <v>7</v>
      </c>
      <c r="E163" s="302">
        <v>10</v>
      </c>
      <c r="F163" s="302">
        <v>20</v>
      </c>
      <c r="G163" s="302">
        <v>5</v>
      </c>
      <c r="H163" s="302">
        <v>10</v>
      </c>
      <c r="I163" s="302">
        <v>18</v>
      </c>
      <c r="J163" s="302">
        <v>2</v>
      </c>
      <c r="N163" t="s">
        <v>6896</v>
      </c>
      <c r="P163" s="302">
        <v>3</v>
      </c>
      <c r="Q163" s="302">
        <v>2</v>
      </c>
      <c r="R163" s="302">
        <v>4</v>
      </c>
      <c r="S163" s="302">
        <v>1</v>
      </c>
      <c r="V163" s="537">
        <f>IF('Técnicas de Ki'!B58=0,0,IF('Técnicas de Ki'!I58=TS!V$119,'Técnicas de Ki'!C58-(IF($O163&lt;&gt;0,'Técnicas de Ki'!L58,0)+IF($P163&lt;&gt;0,'Técnicas de Ki'!M58,0)+IF($Q163&lt;&gt;0,'Técnicas de Ki'!N58,0)+IF($R163&lt;&gt;0,'Técnicas de Ki'!O58,0)+IF($S163&lt;&gt;0,'Técnicas de Ki'!P58,0)+IF($T163&lt;&gt;0,'Técnicas de Ki'!Q58,0)),0))</f>
        <v>0</v>
      </c>
      <c r="W163" s="538">
        <f>IF('Técnicas de Ki'!B58=0,0,IF('Técnicas de Ki'!I58=TS!W$119,'Técnicas de Ki'!C58-(IF($O163&lt;&gt;0,'Técnicas de Ki'!L58,0)+IF($P163&lt;&gt;0,'Técnicas de Ki'!M58,0)+IF($Q163&lt;&gt;0,'Técnicas de Ki'!N58,0)+IF($R163&lt;&gt;0,'Técnicas de Ki'!O58,0)+IF($S163&lt;&gt;0,'Técnicas de Ki'!P58,0)+IF($T163&lt;&gt;0,'Técnicas de Ki'!Q58,0)),0))</f>
        <v>0</v>
      </c>
      <c r="X163" s="538">
        <f>IF('Técnicas de Ki'!B58=0,0,IF('Técnicas de Ki'!I58=TS!X$119,'Técnicas de Ki'!C58-(IF($O163&lt;&gt;0,'Técnicas de Ki'!L58,0)+IF($P163&lt;&gt;0,'Técnicas de Ki'!M58,0)+IF($Q163&lt;&gt;0,'Técnicas de Ki'!N58,0)+IF($R163&lt;&gt;0,'Técnicas de Ki'!O58,0)+IF($S163&lt;&gt;0,'Técnicas de Ki'!P58,0)+IF($T163&lt;&gt;0,'Técnicas de Ki'!Q58,0)),0))</f>
        <v>0</v>
      </c>
      <c r="Y163" s="538">
        <f>IF('Técnicas de Ki'!B58=0,0,IF('Técnicas de Ki'!I58=TS!Y$119,'Técnicas de Ki'!C58-(IF($O163&lt;&gt;0,'Técnicas de Ki'!L58,0)+IF($P163&lt;&gt;0,'Técnicas de Ki'!M58,0)+IF($Q163&lt;&gt;0,'Técnicas de Ki'!N58,0)+IF($R163&lt;&gt;0,'Técnicas de Ki'!O58,0)+IF($S163&lt;&gt;0,'Técnicas de Ki'!P58,0)+IF($T163&lt;&gt;0,'Técnicas de Ki'!Q58,0)),0))</f>
        <v>0</v>
      </c>
      <c r="Z163" s="538">
        <f>IF('Técnicas de Ki'!B58=0,0,IF('Técnicas de Ki'!I58=TS!Z$119,'Técnicas de Ki'!C58-(IF($O163&lt;&gt;0,'Técnicas de Ki'!L58,0)+IF($P163&lt;&gt;0,'Técnicas de Ki'!M58,0)+IF($Q163&lt;&gt;0,'Técnicas de Ki'!N58,0)+IF($R163&lt;&gt;0,'Técnicas de Ki'!O58,0)+IF($S163&lt;&gt;0,'Técnicas de Ki'!P58,0)+IF($T163&lt;&gt;0,'Técnicas de Ki'!Q58,0)),0))</f>
        <v>0</v>
      </c>
      <c r="AA163" s="539">
        <f>IF('Técnicas de Ki'!B58=0,0,IF('Técnicas de Ki'!I58=TS!AA$119,'Técnicas de Ki'!C58-(IF($O163&lt;&gt;0,'Técnicas de Ki'!L58,0)+IF($P163&lt;&gt;0,'Técnicas de Ki'!M58,0)+IF($Q163&lt;&gt;0,'Técnicas de Ki'!N58,0)+IF($R163&lt;&gt;0,'Técnicas de Ki'!O58,0)+IF($S163&lt;&gt;0,'Técnicas de Ki'!P58,0)+IF($T163&lt;&gt;0,'Técnicas de Ki'!Q58,0)),0))</f>
        <v>0</v>
      </c>
      <c r="AB163" s="538">
        <f>IF('Técnicas de Ki'!B58=0,0,IFERROR(IF('Técnicas de Ki'!L58&lt;&gt;0,'Técnicas de Ki'!L58+TS!$O163,0)*$O163/$O163,0))</f>
        <v>0</v>
      </c>
      <c r="AC163" s="538">
        <f>IF('Técnicas de Ki'!B58=0,0,IFERROR(IF('Técnicas de Ki'!M58&lt;&gt;0,'Técnicas de Ki'!M58+TS!$P163,0)*$P163/$P163,0))</f>
        <v>0</v>
      </c>
      <c r="AD163" s="538">
        <f>IF('Técnicas de Ki'!B58=0,0,IFERROR(IF('Técnicas de Ki'!N58&lt;&gt;0,'Técnicas de Ki'!N58+TS!$Q163,0)*$Q163/$Q163,0))</f>
        <v>0</v>
      </c>
      <c r="AE163" s="538">
        <f>IF('Técnicas de Ki'!B58=0,0,IFERROR(IF('Técnicas de Ki'!O58&lt;&gt;0,'Técnicas de Ki'!O58+TS!$R163,0)*$R163/$R163,0))</f>
        <v>0</v>
      </c>
      <c r="AF163" s="538">
        <f>IF('Técnicas de Ki'!B58=0,0,IFERROR(IF('Técnicas de Ki'!P58&lt;&gt;0,'Técnicas de Ki'!P58+TS!$S163,0)*$S163/$S163,0))</f>
        <v>0</v>
      </c>
      <c r="AG163" s="539">
        <f>IF('Técnicas de Ki'!B58=0,0,IFERROR(IF('Técnicas de Ki'!Q58&lt;&gt;0,'Técnicas de Ki'!Q58+TS!$T163,0)*$T163/$T163,0))</f>
        <v>0</v>
      </c>
      <c r="AI163" s="571" t="str">
        <f>IF('Técnicas de Ki'!B63&lt;&gt;0,'Técnicas de Ki'!A63&amp;" "&amp;'Técnicas de Ki'!B63,"")</f>
        <v/>
      </c>
      <c r="AJ163" s="302" t="b">
        <f t="shared" si="8"/>
        <v>0</v>
      </c>
      <c r="AK163" s="302" t="str">
        <f t="shared" si="4"/>
        <v/>
      </c>
      <c r="AQ163" s="537">
        <f>IF('Técnicas de Ki'!W58=0,0,IF('Técnicas de Ki'!AD58=TS!AQ$119,'Técnicas de Ki'!X58-(IF($O163&lt;&gt;0,'Técnicas de Ki'!AG58,0)+IF($P163&lt;&gt;0,'Técnicas de Ki'!AH58,0)+IF($Q163&lt;&gt;0,'Técnicas de Ki'!AI58,0)+IF($R163&lt;&gt;0,'Técnicas de Ki'!AJ58,0)+IF($S163&lt;&gt;0,'Técnicas de Ki'!AK58,0)+IF($T163&lt;&gt;0,'Técnicas de Ki'!AL58,0)),0))</f>
        <v>0</v>
      </c>
      <c r="AR163" s="538">
        <f>IF('Técnicas de Ki'!W58=0,0,IF('Técnicas de Ki'!AD58=TS!AR$119,'Técnicas de Ki'!X58-(IF($O163&lt;&gt;0,'Técnicas de Ki'!AG58,0)+IF($P163&lt;&gt;0,'Técnicas de Ki'!AH58,0)+IF($Q163&lt;&gt;0,'Técnicas de Ki'!AI58,0)+IF($R163&lt;&gt;0,'Técnicas de Ki'!AJ58,0)+IF($S163&lt;&gt;0,'Técnicas de Ki'!AK58,0)+IF($T163&lt;&gt;0,'Técnicas de Ki'!AL58,0)),0))</f>
        <v>0</v>
      </c>
      <c r="AS163" s="538">
        <f>IF('Técnicas de Ki'!W58=0,0,IF('Técnicas de Ki'!AD58=TS!AS$119,'Técnicas de Ki'!X58-(IF($O163&lt;&gt;0,'Técnicas de Ki'!AG58,0)+IF($P163&lt;&gt;0,'Técnicas de Ki'!AH58,0)+IF($Q163&lt;&gt;0,'Técnicas de Ki'!AI58,0)+IF($R163&lt;&gt;0,'Técnicas de Ki'!AJ58,0)+IF($S163&lt;&gt;0,'Técnicas de Ki'!AK58,0)+IF($T163&lt;&gt;0,'Técnicas de Ki'!AL58,0)),0))</f>
        <v>0</v>
      </c>
      <c r="AT163" s="538">
        <f>IF('Técnicas de Ki'!W58=0,0,IF('Técnicas de Ki'!AD58=TS!AT$119,'Técnicas de Ki'!X58-(IF($O163&lt;&gt;0,'Técnicas de Ki'!AG58,0)+IF($P163&lt;&gt;0,'Técnicas de Ki'!AH58,0)+IF($Q163&lt;&gt;0,'Técnicas de Ki'!AI58,0)+IF($R163&lt;&gt;0,'Técnicas de Ki'!AJ58,0)+IF($S163&lt;&gt;0,'Técnicas de Ki'!AK58,0)+IF($T163&lt;&gt;0,'Técnicas de Ki'!AL58,0)),0))</f>
        <v>0</v>
      </c>
      <c r="AU163" s="538">
        <f>IF('Técnicas de Ki'!W58=0,0,IF('Técnicas de Ki'!AD58=TS!AU$119,'Técnicas de Ki'!X58-(IF($O163&lt;&gt;0,'Técnicas de Ki'!AG58,0)+IF($P163&lt;&gt;0,'Técnicas de Ki'!AH58,0)+IF($Q163&lt;&gt;0,'Técnicas de Ki'!AI58,0)+IF($R163&lt;&gt;0,'Técnicas de Ki'!AJ58,0)+IF($S163&lt;&gt;0,'Técnicas de Ki'!AK58,0)+IF($T163&lt;&gt;0,'Técnicas de Ki'!AL58,0)),0))</f>
        <v>0</v>
      </c>
      <c r="AV163" s="539">
        <f>IF('Técnicas de Ki'!W58=0,0,IF('Técnicas de Ki'!AD58=TS!AV$119,'Técnicas de Ki'!X58-(IF($O163&lt;&gt;0,'Técnicas de Ki'!AG58,0)+IF($P163&lt;&gt;0,'Técnicas de Ki'!AH58,0)+IF($Q163&lt;&gt;0,'Técnicas de Ki'!AI58,0)+IF($R163&lt;&gt;0,'Técnicas de Ki'!AJ58,0)+IF($S163&lt;&gt;0,'Técnicas de Ki'!AK58,0)+IF($T163&lt;&gt;0,'Técnicas de Ki'!AL58,0)),0))</f>
        <v>0</v>
      </c>
      <c r="AW163" s="538">
        <f>IF('Técnicas de Ki'!W58=0,0,IFERROR(IF('Técnicas de Ki'!AG58&lt;&gt;0,'Técnicas de Ki'!AG58+TS!$O163,0)*$O163/$O163,0))</f>
        <v>0</v>
      </c>
      <c r="AX163" s="538">
        <f>IF('Técnicas de Ki'!W58=0,0,IFERROR(IF('Técnicas de Ki'!AH58&lt;&gt;0,'Técnicas de Ki'!AH58+TS!$P163,0)*$P163/$P163,0))</f>
        <v>0</v>
      </c>
      <c r="AY163" s="538">
        <f>IF('Técnicas de Ki'!W58=0,0,IFERROR(IF('Técnicas de Ki'!AI58&lt;&gt;0,'Técnicas de Ki'!AI58+TS!$Q163,0)*$Q163/$Q163,0))</f>
        <v>0</v>
      </c>
      <c r="AZ163" s="538">
        <f>IF('Técnicas de Ki'!W58=0,0,IFERROR(IF('Técnicas de Ki'!AJ58&lt;&gt;0,'Técnicas de Ki'!AJ58+TS!$R163,0)*$R163/$R163,0))</f>
        <v>0</v>
      </c>
      <c r="BA163" s="538">
        <f>IF('Técnicas de Ki'!W58=0,0,IFERROR(IF('Técnicas de Ki'!AK58&lt;&gt;0,'Técnicas de Ki'!AK58+TS!$S163,0)*$S163/$S163,0))</f>
        <v>0</v>
      </c>
      <c r="BB163" s="539">
        <f>IF('Técnicas de Ki'!W58=0,0,IFERROR(IF('Técnicas de Ki'!AL58&lt;&gt;0,'Técnicas de Ki'!AL58+TS!$T163,0)*$T163/$T163,0))</f>
        <v>0</v>
      </c>
      <c r="BD163" s="571" t="str">
        <f>IF('Técnicas de Ki'!W63&lt;&gt;0,'Técnicas de Ki'!V63&amp;" "&amp;'Técnicas de Ki'!W63,"")</f>
        <v/>
      </c>
      <c r="BE163" s="302" t="b">
        <f t="shared" si="25"/>
        <v>0</v>
      </c>
      <c r="BF163" s="302" t="str">
        <f t="shared" si="5"/>
        <v/>
      </c>
      <c r="BL163" s="537">
        <f>IF('Técnicas de Ki'!AR58=0,0,IF('Técnicas de Ki'!AY58=TS!BL$119,'Técnicas de Ki'!AS58-(IF($O163&lt;&gt;0,'Técnicas de Ki'!BB58,0)+IF($P163&lt;&gt;0,'Técnicas de Ki'!BC58,0)+IF($Q163&lt;&gt;0,'Técnicas de Ki'!BD58,0)+IF($R163&lt;&gt;0,'Técnicas de Ki'!BE58,0)+IF($S163&lt;&gt;0,'Técnicas de Ki'!BF58,0)+IF($T163&lt;&gt;0,'Técnicas de Ki'!BG58,0)),0))</f>
        <v>0</v>
      </c>
      <c r="BM163" s="538">
        <f>IF('Técnicas de Ki'!AR58=0,0,IF('Técnicas de Ki'!AY58=TS!BM$119,'Técnicas de Ki'!AS58-(IF($O163&lt;&gt;0,'Técnicas de Ki'!BB58,0)+IF($P163&lt;&gt;0,'Técnicas de Ki'!BC58,0)+IF($Q163&lt;&gt;0,'Técnicas de Ki'!BD58,0)+IF($R163&lt;&gt;0,'Técnicas de Ki'!BE58,0)+IF($S163&lt;&gt;0,'Técnicas de Ki'!BF58,0)+IF($T163&lt;&gt;0,'Técnicas de Ki'!BG58,0)),0))</f>
        <v>0</v>
      </c>
      <c r="BN163" s="538">
        <f>IF('Técnicas de Ki'!AR58=0,0,IF('Técnicas de Ki'!AY58=TS!BN$119,'Técnicas de Ki'!AS58-(IF($O163&lt;&gt;0,'Técnicas de Ki'!BB58,0)+IF($P163&lt;&gt;0,'Técnicas de Ki'!BC58,0)+IF($Q163&lt;&gt;0,'Técnicas de Ki'!BD58,0)+IF($R163&lt;&gt;0,'Técnicas de Ki'!BE58,0)+IF($S163&lt;&gt;0,'Técnicas de Ki'!BF58,0)+IF($T163&lt;&gt;0,'Técnicas de Ki'!BG58,0)),0))</f>
        <v>0</v>
      </c>
      <c r="BO163" s="538">
        <f>IF('Técnicas de Ki'!AR58=0,0,IF('Técnicas de Ki'!AY58=TS!BO$119,'Técnicas de Ki'!AS58-(IF($O163&lt;&gt;0,'Técnicas de Ki'!BB58,0)+IF($P163&lt;&gt;0,'Técnicas de Ki'!BC58,0)+IF($Q163&lt;&gt;0,'Técnicas de Ki'!BD58,0)+IF($R163&lt;&gt;0,'Técnicas de Ki'!BE58,0)+IF($S163&lt;&gt;0,'Técnicas de Ki'!BF58,0)+IF($T163&lt;&gt;0,'Técnicas de Ki'!BG58,0)),0))</f>
        <v>0</v>
      </c>
      <c r="BP163" s="538">
        <f>IF('Técnicas de Ki'!AR58=0,0,IF('Técnicas de Ki'!AY58=TS!BP$119,'Técnicas de Ki'!AS58-(IF($O163&lt;&gt;0,'Técnicas de Ki'!BB58,0)+IF($P163&lt;&gt;0,'Técnicas de Ki'!BC58,0)+IF($Q163&lt;&gt;0,'Técnicas de Ki'!BD58,0)+IF($R163&lt;&gt;0,'Técnicas de Ki'!BE58,0)+IF($S163&lt;&gt;0,'Técnicas de Ki'!BF58,0)+IF($T163&lt;&gt;0,'Técnicas de Ki'!BG58,0)),0))</f>
        <v>0</v>
      </c>
      <c r="BQ163" s="539">
        <f>IF('Técnicas de Ki'!AR58=0,0,IF('Técnicas de Ki'!AY58=TS!BQ$119,'Técnicas de Ki'!AS58-(IF($O163&lt;&gt;0,'Técnicas de Ki'!BB58,0)+IF($P163&lt;&gt;0,'Técnicas de Ki'!BC58,0)+IF($Q163&lt;&gt;0,'Técnicas de Ki'!BD58,0)+IF($R163&lt;&gt;0,'Técnicas de Ki'!BE58,0)+IF($S163&lt;&gt;0,'Técnicas de Ki'!BF58,0)+IF($T163&lt;&gt;0,'Técnicas de Ki'!BG58,0)),0))</f>
        <v>0</v>
      </c>
      <c r="BR163" s="538">
        <f>IF('Técnicas de Ki'!AR58=0,0,IFERROR(IF('Técnicas de Ki'!BB58&lt;&gt;0,'Técnicas de Ki'!BB58+TS!$O163,0)*$O163/$O163,0))</f>
        <v>0</v>
      </c>
      <c r="BS163" s="538">
        <f>IF('Técnicas de Ki'!AR58=0,0,IFERROR(IF('Técnicas de Ki'!BC58&lt;&gt;0,'Técnicas de Ki'!BC58+TS!$P163,0)*$P163/$P163,0))</f>
        <v>0</v>
      </c>
      <c r="BT163" s="538">
        <f>IF('Técnicas de Ki'!AR58=0,0,IFERROR(IF('Técnicas de Ki'!BD58&lt;&gt;0,'Técnicas de Ki'!BD58+TS!$Q163,0)*$Q163/$Q163,0))</f>
        <v>0</v>
      </c>
      <c r="BU163" s="538">
        <f>IF('Técnicas de Ki'!AR58=0,0,IFERROR(IF('Técnicas de Ki'!BE58&lt;&gt;0,'Técnicas de Ki'!BE58+TS!$R163,0)*$R163/$R163,0))</f>
        <v>0</v>
      </c>
      <c r="BV163" s="538">
        <f>IF('Técnicas de Ki'!AR58=0,0,IFERROR(IF('Técnicas de Ki'!BF58&lt;&gt;0,'Técnicas de Ki'!BF58+TS!$S163,0)*$S163/$S163,0))</f>
        <v>0</v>
      </c>
      <c r="BW163" s="539">
        <f>IF('Técnicas de Ki'!AR58=0,0,IFERROR(IF('Técnicas de Ki'!BG58&lt;&gt;0,'Técnicas de Ki'!BG58+TS!$T163,0)*$T163/$T163,0))</f>
        <v>0</v>
      </c>
      <c r="BY163" s="571" t="str">
        <f>IF('Técnicas de Ki'!AR63&lt;&gt;0,'Técnicas de Ki'!AQ63&amp;" "&amp;'Técnicas de Ki'!AR63,"")</f>
        <v/>
      </c>
      <c r="BZ163" s="302" t="b">
        <f t="shared" si="26"/>
        <v>0</v>
      </c>
      <c r="CA163" s="302" t="str">
        <f t="shared" si="6"/>
        <v/>
      </c>
      <c r="CG163" s="537">
        <f>IF('Técnicas de Ki'!BM58=0,0,IF('Técnicas de Ki'!BT58=TS!CG$119,'Técnicas de Ki'!BN58-(IF($O163&lt;&gt;0,'Técnicas de Ki'!BW58,0)+IF($P163&lt;&gt;0,'Técnicas de Ki'!BX58,0)+IF($Q163&lt;&gt;0,'Técnicas de Ki'!BY58,0)+IF($R163&lt;&gt;0,'Técnicas de Ki'!BZ58,0)+IF($S163&lt;&gt;0,'Técnicas de Ki'!CA58,0)+IF($T163&lt;&gt;0,'Técnicas de Ki'!CB58,0)),0))</f>
        <v>0</v>
      </c>
      <c r="CH163" s="538">
        <f>IF('Técnicas de Ki'!BM58=0,0,IF('Técnicas de Ki'!BT58=TS!CH$119,'Técnicas de Ki'!BN58-(IF($O163&lt;&gt;0,'Técnicas de Ki'!BW58,0)+IF($P163&lt;&gt;0,'Técnicas de Ki'!BX58,0)+IF($Q163&lt;&gt;0,'Técnicas de Ki'!BY58,0)+IF($R163&lt;&gt;0,'Técnicas de Ki'!BZ58,0)+IF($S163&lt;&gt;0,'Técnicas de Ki'!CA58,0)+IF($T163&lt;&gt;0,'Técnicas de Ki'!CB58,0)),0))</f>
        <v>0</v>
      </c>
      <c r="CI163" s="538">
        <f>IF('Técnicas de Ki'!BM58=0,0,IF('Técnicas de Ki'!BT58=TS!CI$119,'Técnicas de Ki'!BN58-(IF($O163&lt;&gt;0,'Técnicas de Ki'!BW58,0)+IF($P163&lt;&gt;0,'Técnicas de Ki'!BX58,0)+IF($Q163&lt;&gt;0,'Técnicas de Ki'!BY58,0)+IF($R163&lt;&gt;0,'Técnicas de Ki'!BZ58,0)+IF($S163&lt;&gt;0,'Técnicas de Ki'!CA58,0)+IF($T163&lt;&gt;0,'Técnicas de Ki'!CB58,0)),0))</f>
        <v>0</v>
      </c>
      <c r="CJ163" s="538">
        <f>IF('Técnicas de Ki'!BM58=0,0,IF('Técnicas de Ki'!BT58=TS!CJ$119,'Técnicas de Ki'!BN58-(IF($O163&lt;&gt;0,'Técnicas de Ki'!BW58,0)+IF($P163&lt;&gt;0,'Técnicas de Ki'!BX58,0)+IF($Q163&lt;&gt;0,'Técnicas de Ki'!BY58,0)+IF($R163&lt;&gt;0,'Técnicas de Ki'!BZ58,0)+IF($S163&lt;&gt;0,'Técnicas de Ki'!CA58,0)+IF($T163&lt;&gt;0,'Técnicas de Ki'!CB58,0)),0))</f>
        <v>0</v>
      </c>
      <c r="CK163" s="538">
        <f>IF('Técnicas de Ki'!BM58=0,0,IF('Técnicas de Ki'!BT58=TS!CK$119,'Técnicas de Ki'!BN58-(IF($O163&lt;&gt;0,'Técnicas de Ki'!BW58,0)+IF($P163&lt;&gt;0,'Técnicas de Ki'!BX58,0)+IF($Q163&lt;&gt;0,'Técnicas de Ki'!BY58,0)+IF($R163&lt;&gt;0,'Técnicas de Ki'!BZ58,0)+IF($S163&lt;&gt;0,'Técnicas de Ki'!CA58,0)+IF($T163&lt;&gt;0,'Técnicas de Ki'!CB58,0)),0))</f>
        <v>0</v>
      </c>
      <c r="CL163" s="539">
        <f>IF('Técnicas de Ki'!BM58=0,0,IF('Técnicas de Ki'!BT58=TS!CL$119,'Técnicas de Ki'!BN58-(IF($O163&lt;&gt;0,'Técnicas de Ki'!BW58,0)+IF($P163&lt;&gt;0,'Técnicas de Ki'!BX58,0)+IF($Q163&lt;&gt;0,'Técnicas de Ki'!BY58,0)+IF($R163&lt;&gt;0,'Técnicas de Ki'!BZ58,0)+IF($S163&lt;&gt;0,'Técnicas de Ki'!CA58,0)+IF($T163&lt;&gt;0,'Técnicas de Ki'!CB58,0)),0))</f>
        <v>0</v>
      </c>
      <c r="CM163" s="538">
        <f>IF('Técnicas de Ki'!BM58=0,0,IFERROR(IF('Técnicas de Ki'!BW58&lt;&gt;0,'Técnicas de Ki'!BW58+TS!$O163,0)*$O163/$O163,0))</f>
        <v>0</v>
      </c>
      <c r="CN163" s="538">
        <f>IF('Técnicas de Ki'!BM58=0,0,IFERROR(IF('Técnicas de Ki'!BX58&lt;&gt;0,'Técnicas de Ki'!BX58+TS!$P163,0)*$P163/$P163,0))</f>
        <v>0</v>
      </c>
      <c r="CO163" s="538">
        <f>IF('Técnicas de Ki'!BM58=0,0,IFERROR(IF('Técnicas de Ki'!BY58&lt;&gt;0,'Técnicas de Ki'!BY58+TS!$Q163,0)*$Q163/$Q163,0))</f>
        <v>0</v>
      </c>
      <c r="CP163" s="538">
        <f>IF('Técnicas de Ki'!BM58=0,0,IFERROR(IF('Técnicas de Ki'!BZ58&lt;&gt;0,'Técnicas de Ki'!BZ58+TS!$R163,0)*$R163/$R163,0))</f>
        <v>0</v>
      </c>
      <c r="CQ163" s="538">
        <f>IF('Técnicas de Ki'!BM58=0,0,IFERROR(IF('Técnicas de Ki'!CA58&lt;&gt;0,'Técnicas de Ki'!CA58+TS!$S163,0)*$S163/$S163,0))</f>
        <v>0</v>
      </c>
      <c r="CR163" s="539">
        <f>IF('Técnicas de Ki'!BM58=0,0,IFERROR(IF('Técnicas de Ki'!CB58&lt;&gt;0,'Técnicas de Ki'!CB58+TS!$T163,0)*$T163/$T163,0))</f>
        <v>0</v>
      </c>
      <c r="CT163" s="571" t="str">
        <f>IF('Técnicas de Ki'!BM63&lt;&gt;0,'Técnicas de Ki'!BL63&amp;" "&amp;'Técnicas de Ki'!BM63,"")</f>
        <v/>
      </c>
      <c r="CU163" s="302" t="b">
        <f t="shared" si="27"/>
        <v>0</v>
      </c>
      <c r="CV163" s="302" t="str">
        <f t="shared" si="7"/>
        <v/>
      </c>
    </row>
    <row r="164" spans="1:102" x14ac:dyDescent="0.2">
      <c r="A164" s="302" t="s">
        <v>6853</v>
      </c>
      <c r="B164" s="302">
        <v>180</v>
      </c>
      <c r="C164" s="302" t="str">
        <f t="shared" si="15"/>
        <v>Sustitución de daño180</v>
      </c>
      <c r="D164" s="302">
        <v>9</v>
      </c>
      <c r="E164" s="302">
        <v>12</v>
      </c>
      <c r="F164" s="302">
        <v>25</v>
      </c>
      <c r="G164" s="302">
        <v>7</v>
      </c>
      <c r="H164" s="302">
        <v>14</v>
      </c>
      <c r="I164" s="302">
        <v>25</v>
      </c>
      <c r="J164" s="302">
        <v>2</v>
      </c>
      <c r="N164" t="s">
        <v>6897</v>
      </c>
      <c r="P164" s="302">
        <v>3</v>
      </c>
      <c r="Q164" s="528">
        <v>2</v>
      </c>
      <c r="R164" s="528">
        <v>4</v>
      </c>
      <c r="S164" s="528">
        <v>1</v>
      </c>
      <c r="V164" s="537">
        <f>IF('Técnicas de Ki'!B59=0,0,IF('Técnicas de Ki'!I59=TS!V$119,'Técnicas de Ki'!C59-(IF($O164&lt;&gt;0,'Técnicas de Ki'!L59,0)+IF($P164&lt;&gt;0,'Técnicas de Ki'!M59,0)+IF($Q164&lt;&gt;0,'Técnicas de Ki'!N59,0)+IF($R164&lt;&gt;0,'Técnicas de Ki'!O59,0)+IF($S164&lt;&gt;0,'Técnicas de Ki'!P59,0)+IF($T164&lt;&gt;0,'Técnicas de Ki'!Q59,0)),0))</f>
        <v>0</v>
      </c>
      <c r="W164" s="538">
        <f>IF('Técnicas de Ki'!B59=0,0,IF('Técnicas de Ki'!I59=TS!W$119,'Técnicas de Ki'!C59-(IF($O164&lt;&gt;0,'Técnicas de Ki'!L59,0)+IF($P164&lt;&gt;0,'Técnicas de Ki'!M59,0)+IF($Q164&lt;&gt;0,'Técnicas de Ki'!N59,0)+IF($R164&lt;&gt;0,'Técnicas de Ki'!O59,0)+IF($S164&lt;&gt;0,'Técnicas de Ki'!P59,0)+IF($T164&lt;&gt;0,'Técnicas de Ki'!Q59,0)),0))</f>
        <v>0</v>
      </c>
      <c r="X164" s="538">
        <f>IF('Técnicas de Ki'!B59=0,0,IF('Técnicas de Ki'!I59=TS!X$119,'Técnicas de Ki'!C59-(IF($O164&lt;&gt;0,'Técnicas de Ki'!L59,0)+IF($P164&lt;&gt;0,'Técnicas de Ki'!M59,0)+IF($Q164&lt;&gt;0,'Técnicas de Ki'!N59,0)+IF($R164&lt;&gt;0,'Técnicas de Ki'!O59,0)+IF($S164&lt;&gt;0,'Técnicas de Ki'!P59,0)+IF($T164&lt;&gt;0,'Técnicas de Ki'!Q59,0)),0))</f>
        <v>0</v>
      </c>
      <c r="Y164" s="538">
        <f>IF('Técnicas de Ki'!B59=0,0,IF('Técnicas de Ki'!I59=TS!Y$119,'Técnicas de Ki'!C59-(IF($O164&lt;&gt;0,'Técnicas de Ki'!L59,0)+IF($P164&lt;&gt;0,'Técnicas de Ki'!M59,0)+IF($Q164&lt;&gt;0,'Técnicas de Ki'!N59,0)+IF($R164&lt;&gt;0,'Técnicas de Ki'!O59,0)+IF($S164&lt;&gt;0,'Técnicas de Ki'!P59,0)+IF($T164&lt;&gt;0,'Técnicas de Ki'!Q59,0)),0))</f>
        <v>0</v>
      </c>
      <c r="Z164" s="538">
        <f>IF('Técnicas de Ki'!B59=0,0,IF('Técnicas de Ki'!I59=TS!Z$119,'Técnicas de Ki'!C59-(IF($O164&lt;&gt;0,'Técnicas de Ki'!L59,0)+IF($P164&lt;&gt;0,'Técnicas de Ki'!M59,0)+IF($Q164&lt;&gt;0,'Técnicas de Ki'!N59,0)+IF($R164&lt;&gt;0,'Técnicas de Ki'!O59,0)+IF($S164&lt;&gt;0,'Técnicas de Ki'!P59,0)+IF($T164&lt;&gt;0,'Técnicas de Ki'!Q59,0)),0))</f>
        <v>0</v>
      </c>
      <c r="AA164" s="539">
        <f>IF('Técnicas de Ki'!B59=0,0,IF('Técnicas de Ki'!I59=TS!AA$119,'Técnicas de Ki'!C59-(IF($O164&lt;&gt;0,'Técnicas de Ki'!L59,0)+IF($P164&lt;&gt;0,'Técnicas de Ki'!M59,0)+IF($Q164&lt;&gt;0,'Técnicas de Ki'!N59,0)+IF($R164&lt;&gt;0,'Técnicas de Ki'!O59,0)+IF($S164&lt;&gt;0,'Técnicas de Ki'!P59,0)+IF($T164&lt;&gt;0,'Técnicas de Ki'!Q59,0)),0))</f>
        <v>0</v>
      </c>
      <c r="AB164" s="538">
        <f>IF('Técnicas de Ki'!B59=0,0,IFERROR(IF('Técnicas de Ki'!L59&lt;&gt;0,'Técnicas de Ki'!L59+TS!$O164,0)*$O164/$O164,0))</f>
        <v>0</v>
      </c>
      <c r="AC164" s="538">
        <f>IF('Técnicas de Ki'!B59=0,0,IFERROR(IF('Técnicas de Ki'!M59&lt;&gt;0,'Técnicas de Ki'!M59+TS!$P164,0)*$P164/$P164,0))</f>
        <v>0</v>
      </c>
      <c r="AD164" s="538">
        <f>IF('Técnicas de Ki'!B59=0,0,IFERROR(IF('Técnicas de Ki'!N59&lt;&gt;0,'Técnicas de Ki'!N59+TS!$Q164,0)*$Q164/$Q164,0))</f>
        <v>0</v>
      </c>
      <c r="AE164" s="538">
        <f>IF('Técnicas de Ki'!B59=0,0,IFERROR(IF('Técnicas de Ki'!O59&lt;&gt;0,'Técnicas de Ki'!O59+TS!$R164,0)*$R164/$R164,0))</f>
        <v>0</v>
      </c>
      <c r="AF164" s="538">
        <f>IF('Técnicas de Ki'!B59=0,0,IFERROR(IF('Técnicas de Ki'!P59&lt;&gt;0,'Técnicas de Ki'!P59+TS!$S164,0)*$S164/$S164,0))</f>
        <v>0</v>
      </c>
      <c r="AG164" s="539">
        <f>IF('Técnicas de Ki'!B59=0,0,IFERROR(IF('Técnicas de Ki'!Q59&lt;&gt;0,'Técnicas de Ki'!Q59+TS!$T164,0)*$T164/$T164,0))</f>
        <v>0</v>
      </c>
      <c r="AI164" s="571" t="str">
        <f>IF('Técnicas de Ki'!B64&lt;&gt;0,'Técnicas de Ki'!A64&amp;" "&amp;'Técnicas de Ki'!B64,"")</f>
        <v/>
      </c>
      <c r="AJ164" s="302" t="b">
        <f t="shared" si="8"/>
        <v>0</v>
      </c>
      <c r="AK164" s="302" t="str">
        <f t="shared" si="4"/>
        <v/>
      </c>
      <c r="AQ164" s="537">
        <f>IF('Técnicas de Ki'!W59=0,0,IF('Técnicas de Ki'!AD59=TS!AQ$119,'Técnicas de Ki'!X59-(IF($O164&lt;&gt;0,'Técnicas de Ki'!AG59,0)+IF($P164&lt;&gt;0,'Técnicas de Ki'!AH59,0)+IF($Q164&lt;&gt;0,'Técnicas de Ki'!AI59,0)+IF($R164&lt;&gt;0,'Técnicas de Ki'!AJ59,0)+IF($S164&lt;&gt;0,'Técnicas de Ki'!AK59,0)+IF($T164&lt;&gt;0,'Técnicas de Ki'!AL59,0)),0))</f>
        <v>0</v>
      </c>
      <c r="AR164" s="538">
        <f>IF('Técnicas de Ki'!W59=0,0,IF('Técnicas de Ki'!AD59=TS!AR$119,'Técnicas de Ki'!X59-(IF($O164&lt;&gt;0,'Técnicas de Ki'!AG59,0)+IF($P164&lt;&gt;0,'Técnicas de Ki'!AH59,0)+IF($Q164&lt;&gt;0,'Técnicas de Ki'!AI59,0)+IF($R164&lt;&gt;0,'Técnicas de Ki'!AJ59,0)+IF($S164&lt;&gt;0,'Técnicas de Ki'!AK59,0)+IF($T164&lt;&gt;0,'Técnicas de Ki'!AL59,0)),0))</f>
        <v>0</v>
      </c>
      <c r="AS164" s="538">
        <f>IF('Técnicas de Ki'!W59=0,0,IF('Técnicas de Ki'!AD59=TS!AS$119,'Técnicas de Ki'!X59-(IF($O164&lt;&gt;0,'Técnicas de Ki'!AG59,0)+IF($P164&lt;&gt;0,'Técnicas de Ki'!AH59,0)+IF($Q164&lt;&gt;0,'Técnicas de Ki'!AI59,0)+IF($R164&lt;&gt;0,'Técnicas de Ki'!AJ59,0)+IF($S164&lt;&gt;0,'Técnicas de Ki'!AK59,0)+IF($T164&lt;&gt;0,'Técnicas de Ki'!AL59,0)),0))</f>
        <v>0</v>
      </c>
      <c r="AT164" s="538">
        <f>IF('Técnicas de Ki'!W59=0,0,IF('Técnicas de Ki'!AD59=TS!AT$119,'Técnicas de Ki'!X59-(IF($O164&lt;&gt;0,'Técnicas de Ki'!AG59,0)+IF($P164&lt;&gt;0,'Técnicas de Ki'!AH59,0)+IF($Q164&lt;&gt;0,'Técnicas de Ki'!AI59,0)+IF($R164&lt;&gt;0,'Técnicas de Ki'!AJ59,0)+IF($S164&lt;&gt;0,'Técnicas de Ki'!AK59,0)+IF($T164&lt;&gt;0,'Técnicas de Ki'!AL59,0)),0))</f>
        <v>0</v>
      </c>
      <c r="AU164" s="538">
        <f>IF('Técnicas de Ki'!W59=0,0,IF('Técnicas de Ki'!AD59=TS!AU$119,'Técnicas de Ki'!X59-(IF($O164&lt;&gt;0,'Técnicas de Ki'!AG59,0)+IF($P164&lt;&gt;0,'Técnicas de Ki'!AH59,0)+IF($Q164&lt;&gt;0,'Técnicas de Ki'!AI59,0)+IF($R164&lt;&gt;0,'Técnicas de Ki'!AJ59,0)+IF($S164&lt;&gt;0,'Técnicas de Ki'!AK59,0)+IF($T164&lt;&gt;0,'Técnicas de Ki'!AL59,0)),0))</f>
        <v>0</v>
      </c>
      <c r="AV164" s="539">
        <f>IF('Técnicas de Ki'!W59=0,0,IF('Técnicas de Ki'!AD59=TS!AV$119,'Técnicas de Ki'!X59-(IF($O164&lt;&gt;0,'Técnicas de Ki'!AG59,0)+IF($P164&lt;&gt;0,'Técnicas de Ki'!AH59,0)+IF($Q164&lt;&gt;0,'Técnicas de Ki'!AI59,0)+IF($R164&lt;&gt;0,'Técnicas de Ki'!AJ59,0)+IF($S164&lt;&gt;0,'Técnicas de Ki'!AK59,0)+IF($T164&lt;&gt;0,'Técnicas de Ki'!AL59,0)),0))</f>
        <v>0</v>
      </c>
      <c r="AW164" s="538">
        <f>IF('Técnicas de Ki'!W59=0,0,IFERROR(IF('Técnicas de Ki'!AG59&lt;&gt;0,'Técnicas de Ki'!AG59+TS!$O164,0)*$O164/$O164,0))</f>
        <v>0</v>
      </c>
      <c r="AX164" s="538">
        <f>IF('Técnicas de Ki'!W59=0,0,IFERROR(IF('Técnicas de Ki'!AH59&lt;&gt;0,'Técnicas de Ki'!AH59+TS!$P164,0)*$P164/$P164,0))</f>
        <v>0</v>
      </c>
      <c r="AY164" s="538">
        <f>IF('Técnicas de Ki'!W59=0,0,IFERROR(IF('Técnicas de Ki'!AI59&lt;&gt;0,'Técnicas de Ki'!AI59+TS!$Q164,0)*$Q164/$Q164,0))</f>
        <v>0</v>
      </c>
      <c r="AZ164" s="538">
        <f>IF('Técnicas de Ki'!W59=0,0,IFERROR(IF('Técnicas de Ki'!AJ59&lt;&gt;0,'Técnicas de Ki'!AJ59+TS!$R164,0)*$R164/$R164,0))</f>
        <v>0</v>
      </c>
      <c r="BA164" s="538">
        <f>IF('Técnicas de Ki'!W59=0,0,IFERROR(IF('Técnicas de Ki'!AK59&lt;&gt;0,'Técnicas de Ki'!AK59+TS!$S164,0)*$S164/$S164,0))</f>
        <v>0</v>
      </c>
      <c r="BB164" s="539">
        <f>IF('Técnicas de Ki'!W59=0,0,IFERROR(IF('Técnicas de Ki'!AL59&lt;&gt;0,'Técnicas de Ki'!AL59+TS!$T164,0)*$T164/$T164,0))</f>
        <v>0</v>
      </c>
      <c r="BD164" s="571" t="str">
        <f>IF('Técnicas de Ki'!W64&lt;&gt;0,'Técnicas de Ki'!V64&amp;" "&amp;'Técnicas de Ki'!W64,"")</f>
        <v/>
      </c>
      <c r="BE164" s="302" t="b">
        <f t="shared" si="25"/>
        <v>0</v>
      </c>
      <c r="BF164" s="302" t="str">
        <f t="shared" si="5"/>
        <v/>
      </c>
      <c r="BL164" s="537">
        <f>IF('Técnicas de Ki'!AR59=0,0,IF('Técnicas de Ki'!AY59=TS!BL$119,'Técnicas de Ki'!AS59-(IF($O164&lt;&gt;0,'Técnicas de Ki'!BB59,0)+IF($P164&lt;&gt;0,'Técnicas de Ki'!BC59,0)+IF($Q164&lt;&gt;0,'Técnicas de Ki'!BD59,0)+IF($R164&lt;&gt;0,'Técnicas de Ki'!BE59,0)+IF($S164&lt;&gt;0,'Técnicas de Ki'!BF59,0)+IF($T164&lt;&gt;0,'Técnicas de Ki'!BG59,0)),0))</f>
        <v>0</v>
      </c>
      <c r="BM164" s="538">
        <f>IF('Técnicas de Ki'!AR59=0,0,IF('Técnicas de Ki'!AY59=TS!BM$119,'Técnicas de Ki'!AS59-(IF($O164&lt;&gt;0,'Técnicas de Ki'!BB59,0)+IF($P164&lt;&gt;0,'Técnicas de Ki'!BC59,0)+IF($Q164&lt;&gt;0,'Técnicas de Ki'!BD59,0)+IF($R164&lt;&gt;0,'Técnicas de Ki'!BE59,0)+IF($S164&lt;&gt;0,'Técnicas de Ki'!BF59,0)+IF($T164&lt;&gt;0,'Técnicas de Ki'!BG59,0)),0))</f>
        <v>0</v>
      </c>
      <c r="BN164" s="538">
        <f>IF('Técnicas de Ki'!AR59=0,0,IF('Técnicas de Ki'!AY59=TS!BN$119,'Técnicas de Ki'!AS59-(IF($O164&lt;&gt;0,'Técnicas de Ki'!BB59,0)+IF($P164&lt;&gt;0,'Técnicas de Ki'!BC59,0)+IF($Q164&lt;&gt;0,'Técnicas de Ki'!BD59,0)+IF($R164&lt;&gt;0,'Técnicas de Ki'!BE59,0)+IF($S164&lt;&gt;0,'Técnicas de Ki'!BF59,0)+IF($T164&lt;&gt;0,'Técnicas de Ki'!BG59,0)),0))</f>
        <v>0</v>
      </c>
      <c r="BO164" s="538">
        <f>IF('Técnicas de Ki'!AR59=0,0,IF('Técnicas de Ki'!AY59=TS!BO$119,'Técnicas de Ki'!AS59-(IF($O164&lt;&gt;0,'Técnicas de Ki'!BB59,0)+IF($P164&lt;&gt;0,'Técnicas de Ki'!BC59,0)+IF($Q164&lt;&gt;0,'Técnicas de Ki'!BD59,0)+IF($R164&lt;&gt;0,'Técnicas de Ki'!BE59,0)+IF($S164&lt;&gt;0,'Técnicas de Ki'!BF59,0)+IF($T164&lt;&gt;0,'Técnicas de Ki'!BG59,0)),0))</f>
        <v>0</v>
      </c>
      <c r="BP164" s="538">
        <f>IF('Técnicas de Ki'!AR59=0,0,IF('Técnicas de Ki'!AY59=TS!BP$119,'Técnicas de Ki'!AS59-(IF($O164&lt;&gt;0,'Técnicas de Ki'!BB59,0)+IF($P164&lt;&gt;0,'Técnicas de Ki'!BC59,0)+IF($Q164&lt;&gt;0,'Técnicas de Ki'!BD59,0)+IF($R164&lt;&gt;0,'Técnicas de Ki'!BE59,0)+IF($S164&lt;&gt;0,'Técnicas de Ki'!BF59,0)+IF($T164&lt;&gt;0,'Técnicas de Ki'!BG59,0)),0))</f>
        <v>0</v>
      </c>
      <c r="BQ164" s="539">
        <f>IF('Técnicas de Ki'!AR59=0,0,IF('Técnicas de Ki'!AY59=TS!BQ$119,'Técnicas de Ki'!AS59-(IF($O164&lt;&gt;0,'Técnicas de Ki'!BB59,0)+IF($P164&lt;&gt;0,'Técnicas de Ki'!BC59,0)+IF($Q164&lt;&gt;0,'Técnicas de Ki'!BD59,0)+IF($R164&lt;&gt;0,'Técnicas de Ki'!BE59,0)+IF($S164&lt;&gt;0,'Técnicas de Ki'!BF59,0)+IF($T164&lt;&gt;0,'Técnicas de Ki'!BG59,0)),0))</f>
        <v>0</v>
      </c>
      <c r="BR164" s="538">
        <f>IF('Técnicas de Ki'!AR59=0,0,IFERROR(IF('Técnicas de Ki'!BB59&lt;&gt;0,'Técnicas de Ki'!BB59+TS!$O164,0)*$O164/$O164,0))</f>
        <v>0</v>
      </c>
      <c r="BS164" s="538">
        <f>IF('Técnicas de Ki'!AR59=0,0,IFERROR(IF('Técnicas de Ki'!BC59&lt;&gt;0,'Técnicas de Ki'!BC59+TS!$P164,0)*$P164/$P164,0))</f>
        <v>0</v>
      </c>
      <c r="BT164" s="538">
        <f>IF('Técnicas de Ki'!AR59=0,0,IFERROR(IF('Técnicas de Ki'!BD59&lt;&gt;0,'Técnicas de Ki'!BD59+TS!$Q164,0)*$Q164/$Q164,0))</f>
        <v>0</v>
      </c>
      <c r="BU164" s="538">
        <f>IF('Técnicas de Ki'!AR59=0,0,IFERROR(IF('Técnicas de Ki'!BE59&lt;&gt;0,'Técnicas de Ki'!BE59+TS!$R164,0)*$R164/$R164,0))</f>
        <v>0</v>
      </c>
      <c r="BV164" s="538">
        <f>IF('Técnicas de Ki'!AR59=0,0,IFERROR(IF('Técnicas de Ki'!BF59&lt;&gt;0,'Técnicas de Ki'!BF59+TS!$S164,0)*$S164/$S164,0))</f>
        <v>0</v>
      </c>
      <c r="BW164" s="539">
        <f>IF('Técnicas de Ki'!AR59=0,0,IFERROR(IF('Técnicas de Ki'!BG59&lt;&gt;0,'Técnicas de Ki'!BG59+TS!$T164,0)*$T164/$T164,0))</f>
        <v>0</v>
      </c>
      <c r="BY164" s="571" t="str">
        <f>IF('Técnicas de Ki'!AR64&lt;&gt;0,'Técnicas de Ki'!AQ64&amp;" "&amp;'Técnicas de Ki'!AR64,"")</f>
        <v/>
      </c>
      <c r="BZ164" s="302" t="b">
        <f t="shared" si="26"/>
        <v>0</v>
      </c>
      <c r="CA164" s="302" t="str">
        <f t="shared" si="6"/>
        <v/>
      </c>
      <c r="CG164" s="537">
        <f>IF('Técnicas de Ki'!BM59=0,0,IF('Técnicas de Ki'!BT59=TS!CG$119,'Técnicas de Ki'!BN59-(IF($O164&lt;&gt;0,'Técnicas de Ki'!BW59,0)+IF($P164&lt;&gt;0,'Técnicas de Ki'!BX59,0)+IF($Q164&lt;&gt;0,'Técnicas de Ki'!BY59,0)+IF($R164&lt;&gt;0,'Técnicas de Ki'!BZ59,0)+IF($S164&lt;&gt;0,'Técnicas de Ki'!CA59,0)+IF($T164&lt;&gt;0,'Técnicas de Ki'!CB59,0)),0))</f>
        <v>0</v>
      </c>
      <c r="CH164" s="538">
        <f>IF('Técnicas de Ki'!BM59=0,0,IF('Técnicas de Ki'!BT59=TS!CH$119,'Técnicas de Ki'!BN59-(IF($O164&lt;&gt;0,'Técnicas de Ki'!BW59,0)+IF($P164&lt;&gt;0,'Técnicas de Ki'!BX59,0)+IF($Q164&lt;&gt;0,'Técnicas de Ki'!BY59,0)+IF($R164&lt;&gt;0,'Técnicas de Ki'!BZ59,0)+IF($S164&lt;&gt;0,'Técnicas de Ki'!CA59,0)+IF($T164&lt;&gt;0,'Técnicas de Ki'!CB59,0)),0))</f>
        <v>0</v>
      </c>
      <c r="CI164" s="538">
        <f>IF('Técnicas de Ki'!BM59=0,0,IF('Técnicas de Ki'!BT59=TS!CI$119,'Técnicas de Ki'!BN59-(IF($O164&lt;&gt;0,'Técnicas de Ki'!BW59,0)+IF($P164&lt;&gt;0,'Técnicas de Ki'!BX59,0)+IF($Q164&lt;&gt;0,'Técnicas de Ki'!BY59,0)+IF($R164&lt;&gt;0,'Técnicas de Ki'!BZ59,0)+IF($S164&lt;&gt;0,'Técnicas de Ki'!CA59,0)+IF($T164&lt;&gt;0,'Técnicas de Ki'!CB59,0)),0))</f>
        <v>0</v>
      </c>
      <c r="CJ164" s="538">
        <f>IF('Técnicas de Ki'!BM59=0,0,IF('Técnicas de Ki'!BT59=TS!CJ$119,'Técnicas de Ki'!BN59-(IF($O164&lt;&gt;0,'Técnicas de Ki'!BW59,0)+IF($P164&lt;&gt;0,'Técnicas de Ki'!BX59,0)+IF($Q164&lt;&gt;0,'Técnicas de Ki'!BY59,0)+IF($R164&lt;&gt;0,'Técnicas de Ki'!BZ59,0)+IF($S164&lt;&gt;0,'Técnicas de Ki'!CA59,0)+IF($T164&lt;&gt;0,'Técnicas de Ki'!CB59,0)),0))</f>
        <v>0</v>
      </c>
      <c r="CK164" s="538">
        <f>IF('Técnicas de Ki'!BM59=0,0,IF('Técnicas de Ki'!BT59=TS!CK$119,'Técnicas de Ki'!BN59-(IF($O164&lt;&gt;0,'Técnicas de Ki'!BW59,0)+IF($P164&lt;&gt;0,'Técnicas de Ki'!BX59,0)+IF($Q164&lt;&gt;0,'Técnicas de Ki'!BY59,0)+IF($R164&lt;&gt;0,'Técnicas de Ki'!BZ59,0)+IF($S164&lt;&gt;0,'Técnicas de Ki'!CA59,0)+IF($T164&lt;&gt;0,'Técnicas de Ki'!CB59,0)),0))</f>
        <v>0</v>
      </c>
      <c r="CL164" s="539">
        <f>IF('Técnicas de Ki'!BM59=0,0,IF('Técnicas de Ki'!BT59=TS!CL$119,'Técnicas de Ki'!BN59-(IF($O164&lt;&gt;0,'Técnicas de Ki'!BW59,0)+IF($P164&lt;&gt;0,'Técnicas de Ki'!BX59,0)+IF($Q164&lt;&gt;0,'Técnicas de Ki'!BY59,0)+IF($R164&lt;&gt;0,'Técnicas de Ki'!BZ59,0)+IF($S164&lt;&gt;0,'Técnicas de Ki'!CA59,0)+IF($T164&lt;&gt;0,'Técnicas de Ki'!CB59,0)),0))</f>
        <v>0</v>
      </c>
      <c r="CM164" s="538">
        <f>IF('Técnicas de Ki'!BM59=0,0,IFERROR(IF('Técnicas de Ki'!BW59&lt;&gt;0,'Técnicas de Ki'!BW59+TS!$O164,0)*$O164/$O164,0))</f>
        <v>0</v>
      </c>
      <c r="CN164" s="538">
        <f>IF('Técnicas de Ki'!BM59=0,0,IFERROR(IF('Técnicas de Ki'!BX59&lt;&gt;0,'Técnicas de Ki'!BX59+TS!$P164,0)*$P164/$P164,0))</f>
        <v>0</v>
      </c>
      <c r="CO164" s="538">
        <f>IF('Técnicas de Ki'!BM59=0,0,IFERROR(IF('Técnicas de Ki'!BY59&lt;&gt;0,'Técnicas de Ki'!BY59+TS!$Q164,0)*$Q164/$Q164,0))</f>
        <v>0</v>
      </c>
      <c r="CP164" s="538">
        <f>IF('Técnicas de Ki'!BM59=0,0,IFERROR(IF('Técnicas de Ki'!BZ59&lt;&gt;0,'Técnicas de Ki'!BZ59+TS!$R164,0)*$R164/$R164,0))</f>
        <v>0</v>
      </c>
      <c r="CQ164" s="538">
        <f>IF('Técnicas de Ki'!BM59=0,0,IFERROR(IF('Técnicas de Ki'!CA59&lt;&gt;0,'Técnicas de Ki'!CA59+TS!$S164,0)*$S164/$S164,0))</f>
        <v>0</v>
      </c>
      <c r="CR164" s="539">
        <f>IF('Técnicas de Ki'!BM59=0,0,IFERROR(IF('Técnicas de Ki'!CB59&lt;&gt;0,'Técnicas de Ki'!CB59+TS!$T164,0)*$T164/$T164,0))</f>
        <v>0</v>
      </c>
      <c r="CT164" s="571" t="str">
        <f>IF('Técnicas de Ki'!BM64&lt;&gt;0,'Técnicas de Ki'!BL64&amp;" "&amp;'Técnicas de Ki'!BM64,"")</f>
        <v/>
      </c>
      <c r="CU164" s="302" t="b">
        <f t="shared" si="27"/>
        <v>0</v>
      </c>
      <c r="CV164" s="302" t="str">
        <f t="shared" si="7"/>
        <v/>
      </c>
    </row>
    <row r="165" spans="1:102" ht="13.5" thickBot="1" x14ac:dyDescent="0.25">
      <c r="A165" s="302" t="s">
        <v>6853</v>
      </c>
      <c r="B165" s="302">
        <v>200</v>
      </c>
      <c r="C165" s="302" t="str">
        <f t="shared" si="15"/>
        <v>Sustitución de daño200</v>
      </c>
      <c r="D165" s="302">
        <v>12</v>
      </c>
      <c r="E165" s="302">
        <v>15</v>
      </c>
      <c r="F165" s="302">
        <v>30</v>
      </c>
      <c r="G165" s="302">
        <v>9</v>
      </c>
      <c r="H165" s="302">
        <v>18</v>
      </c>
      <c r="I165" s="302">
        <v>32</v>
      </c>
      <c r="J165" s="302">
        <v>3</v>
      </c>
      <c r="N165" t="s">
        <v>6898</v>
      </c>
      <c r="P165" s="528">
        <v>2</v>
      </c>
      <c r="Q165" s="528">
        <v>2</v>
      </c>
      <c r="R165" s="528">
        <v>3</v>
      </c>
      <c r="S165" s="528">
        <v>1</v>
      </c>
      <c r="V165" s="537">
        <f>IF('Técnicas de Ki'!B60=0,0,IF('Técnicas de Ki'!I60=TS!V$119,'Técnicas de Ki'!C60-(IF($O165&lt;&gt;0,'Técnicas de Ki'!L60,0)+IF($P165&lt;&gt;0,'Técnicas de Ki'!M60,0)+IF($Q165&lt;&gt;0,'Técnicas de Ki'!N60,0)+IF($R165&lt;&gt;0,'Técnicas de Ki'!O60,0)+IF($S165&lt;&gt;0,'Técnicas de Ki'!P60,0)+IF($T165&lt;&gt;0,'Técnicas de Ki'!Q60,0)),0))</f>
        <v>0</v>
      </c>
      <c r="W165" s="538">
        <f>IF('Técnicas de Ki'!B60=0,0,IF('Técnicas de Ki'!I60=TS!W$119,'Técnicas de Ki'!C60-(IF($O165&lt;&gt;0,'Técnicas de Ki'!L60,0)+IF($P165&lt;&gt;0,'Técnicas de Ki'!M60,0)+IF($Q165&lt;&gt;0,'Técnicas de Ki'!N60,0)+IF($R165&lt;&gt;0,'Técnicas de Ki'!O60,0)+IF($S165&lt;&gt;0,'Técnicas de Ki'!P60,0)+IF($T165&lt;&gt;0,'Técnicas de Ki'!Q60,0)),0))</f>
        <v>0</v>
      </c>
      <c r="X165" s="538">
        <f>IF('Técnicas de Ki'!B60=0,0,IF('Técnicas de Ki'!I60=TS!X$119,'Técnicas de Ki'!C60-(IF($O165&lt;&gt;0,'Técnicas de Ki'!L60,0)+IF($P165&lt;&gt;0,'Técnicas de Ki'!M60,0)+IF($Q165&lt;&gt;0,'Técnicas de Ki'!N60,0)+IF($R165&lt;&gt;0,'Técnicas de Ki'!O60,0)+IF($S165&lt;&gt;0,'Técnicas de Ki'!P60,0)+IF($T165&lt;&gt;0,'Técnicas de Ki'!Q60,0)),0))</f>
        <v>0</v>
      </c>
      <c r="Y165" s="538">
        <f>IF('Técnicas de Ki'!B60=0,0,IF('Técnicas de Ki'!I60=TS!Y$119,'Técnicas de Ki'!C60-(IF($O165&lt;&gt;0,'Técnicas de Ki'!L60,0)+IF($P165&lt;&gt;0,'Técnicas de Ki'!M60,0)+IF($Q165&lt;&gt;0,'Técnicas de Ki'!N60,0)+IF($R165&lt;&gt;0,'Técnicas de Ki'!O60,0)+IF($S165&lt;&gt;0,'Técnicas de Ki'!P60,0)+IF($T165&lt;&gt;0,'Técnicas de Ki'!Q60,0)),0))</f>
        <v>0</v>
      </c>
      <c r="Z165" s="538">
        <f>IF('Técnicas de Ki'!B60=0,0,IF('Técnicas de Ki'!I60=TS!Z$119,'Técnicas de Ki'!C60-(IF($O165&lt;&gt;0,'Técnicas de Ki'!L60,0)+IF($P165&lt;&gt;0,'Técnicas de Ki'!M60,0)+IF($Q165&lt;&gt;0,'Técnicas de Ki'!N60,0)+IF($R165&lt;&gt;0,'Técnicas de Ki'!O60,0)+IF($S165&lt;&gt;0,'Técnicas de Ki'!P60,0)+IF($T165&lt;&gt;0,'Técnicas de Ki'!Q60,0)),0))</f>
        <v>0</v>
      </c>
      <c r="AA165" s="539">
        <f>IF('Técnicas de Ki'!B60=0,0,IF('Técnicas de Ki'!I60=TS!AA$119,'Técnicas de Ki'!C60-(IF($O165&lt;&gt;0,'Técnicas de Ki'!L60,0)+IF($P165&lt;&gt;0,'Técnicas de Ki'!M60,0)+IF($Q165&lt;&gt;0,'Técnicas de Ki'!N60,0)+IF($R165&lt;&gt;0,'Técnicas de Ki'!O60,0)+IF($S165&lt;&gt;0,'Técnicas de Ki'!P60,0)+IF($T165&lt;&gt;0,'Técnicas de Ki'!Q60,0)),0))</f>
        <v>0</v>
      </c>
      <c r="AB165" s="538">
        <f>IF('Técnicas de Ki'!B60=0,0,IFERROR(IF('Técnicas de Ki'!L60&lt;&gt;0,'Técnicas de Ki'!L60+TS!$O165,0)*$O165/$O165,0))</f>
        <v>0</v>
      </c>
      <c r="AC165" s="538">
        <f>IF('Técnicas de Ki'!B60=0,0,IFERROR(IF('Técnicas de Ki'!M60&lt;&gt;0,'Técnicas de Ki'!M60+TS!$P165,0)*$P165/$P165,0))</f>
        <v>0</v>
      </c>
      <c r="AD165" s="538">
        <f>IF('Técnicas de Ki'!B60=0,0,IFERROR(IF('Técnicas de Ki'!N60&lt;&gt;0,'Técnicas de Ki'!N60+TS!$Q165,0)*$Q165/$Q165,0))</f>
        <v>0</v>
      </c>
      <c r="AE165" s="538">
        <f>IF('Técnicas de Ki'!B60=0,0,IFERROR(IF('Técnicas de Ki'!O60&lt;&gt;0,'Técnicas de Ki'!O60+TS!$R165,0)*$R165/$R165,0))</f>
        <v>0</v>
      </c>
      <c r="AF165" s="538">
        <f>IF('Técnicas de Ki'!B60=0,0,IFERROR(IF('Técnicas de Ki'!P60&lt;&gt;0,'Técnicas de Ki'!P60+TS!$S165,0)*$S165/$S165,0))</f>
        <v>0</v>
      </c>
      <c r="AG165" s="539">
        <f>IF('Técnicas de Ki'!B60=0,0,IFERROR(IF('Técnicas de Ki'!Q60&lt;&gt;0,'Técnicas de Ki'!Q60+TS!$T165,0)*$T165/$T165,0))</f>
        <v>0</v>
      </c>
      <c r="AI165" s="572" t="str">
        <f>IF('Técnicas de Ki'!B65&lt;&gt;0,'Técnicas de Ki'!A65&amp;" "&amp;'Técnicas de Ki'!B65,"")</f>
        <v/>
      </c>
      <c r="AJ165" s="302" t="b">
        <f t="shared" si="8"/>
        <v>0</v>
      </c>
      <c r="AK165" s="302" t="str">
        <f t="shared" si="4"/>
        <v/>
      </c>
      <c r="AQ165" s="537">
        <f>IF('Técnicas de Ki'!W60=0,0,IF('Técnicas de Ki'!AD60=TS!AQ$119,'Técnicas de Ki'!X60-(IF($O165&lt;&gt;0,'Técnicas de Ki'!AG60,0)+IF($P165&lt;&gt;0,'Técnicas de Ki'!AH60,0)+IF($Q165&lt;&gt;0,'Técnicas de Ki'!AI60,0)+IF($R165&lt;&gt;0,'Técnicas de Ki'!AJ60,0)+IF($S165&lt;&gt;0,'Técnicas de Ki'!AK60,0)+IF($T165&lt;&gt;0,'Técnicas de Ki'!AL60,0)),0))</f>
        <v>0</v>
      </c>
      <c r="AR165" s="538">
        <f>IF('Técnicas de Ki'!W60=0,0,IF('Técnicas de Ki'!AD60=TS!AR$119,'Técnicas de Ki'!X60-(IF($O165&lt;&gt;0,'Técnicas de Ki'!AG60,0)+IF($P165&lt;&gt;0,'Técnicas de Ki'!AH60,0)+IF($Q165&lt;&gt;0,'Técnicas de Ki'!AI60,0)+IF($R165&lt;&gt;0,'Técnicas de Ki'!AJ60,0)+IF($S165&lt;&gt;0,'Técnicas de Ki'!AK60,0)+IF($T165&lt;&gt;0,'Técnicas de Ki'!AL60,0)),0))</f>
        <v>0</v>
      </c>
      <c r="AS165" s="538">
        <f>IF('Técnicas de Ki'!W60=0,0,IF('Técnicas de Ki'!AD60=TS!AS$119,'Técnicas de Ki'!X60-(IF($O165&lt;&gt;0,'Técnicas de Ki'!AG60,0)+IF($P165&lt;&gt;0,'Técnicas de Ki'!AH60,0)+IF($Q165&lt;&gt;0,'Técnicas de Ki'!AI60,0)+IF($R165&lt;&gt;0,'Técnicas de Ki'!AJ60,0)+IF($S165&lt;&gt;0,'Técnicas de Ki'!AK60,0)+IF($T165&lt;&gt;0,'Técnicas de Ki'!AL60,0)),0))</f>
        <v>0</v>
      </c>
      <c r="AT165" s="538">
        <f>IF('Técnicas de Ki'!W60=0,0,IF('Técnicas de Ki'!AD60=TS!AT$119,'Técnicas de Ki'!X60-(IF($O165&lt;&gt;0,'Técnicas de Ki'!AG60,0)+IF($P165&lt;&gt;0,'Técnicas de Ki'!AH60,0)+IF($Q165&lt;&gt;0,'Técnicas de Ki'!AI60,0)+IF($R165&lt;&gt;0,'Técnicas de Ki'!AJ60,0)+IF($S165&lt;&gt;0,'Técnicas de Ki'!AK60,0)+IF($T165&lt;&gt;0,'Técnicas de Ki'!AL60,0)),0))</f>
        <v>0</v>
      </c>
      <c r="AU165" s="538">
        <f>IF('Técnicas de Ki'!W60=0,0,IF('Técnicas de Ki'!AD60=TS!AU$119,'Técnicas de Ki'!X60-(IF($O165&lt;&gt;0,'Técnicas de Ki'!AG60,0)+IF($P165&lt;&gt;0,'Técnicas de Ki'!AH60,0)+IF($Q165&lt;&gt;0,'Técnicas de Ki'!AI60,0)+IF($R165&lt;&gt;0,'Técnicas de Ki'!AJ60,0)+IF($S165&lt;&gt;0,'Técnicas de Ki'!AK60,0)+IF($T165&lt;&gt;0,'Técnicas de Ki'!AL60,0)),0))</f>
        <v>0</v>
      </c>
      <c r="AV165" s="539">
        <f>IF('Técnicas de Ki'!W60=0,0,IF('Técnicas de Ki'!AD60=TS!AV$119,'Técnicas de Ki'!X60-(IF($O165&lt;&gt;0,'Técnicas de Ki'!AG60,0)+IF($P165&lt;&gt;0,'Técnicas de Ki'!AH60,0)+IF($Q165&lt;&gt;0,'Técnicas de Ki'!AI60,0)+IF($R165&lt;&gt;0,'Técnicas de Ki'!AJ60,0)+IF($S165&lt;&gt;0,'Técnicas de Ki'!AK60,0)+IF($T165&lt;&gt;0,'Técnicas de Ki'!AL60,0)),0))</f>
        <v>0</v>
      </c>
      <c r="AW165" s="538">
        <f>IF('Técnicas de Ki'!W60=0,0,IFERROR(IF('Técnicas de Ki'!AG60&lt;&gt;0,'Técnicas de Ki'!AG60+TS!$O165,0)*$O165/$O165,0))</f>
        <v>0</v>
      </c>
      <c r="AX165" s="538">
        <f>IF('Técnicas de Ki'!W60=0,0,IFERROR(IF('Técnicas de Ki'!AH60&lt;&gt;0,'Técnicas de Ki'!AH60+TS!$P165,0)*$P165/$P165,0))</f>
        <v>0</v>
      </c>
      <c r="AY165" s="538">
        <f>IF('Técnicas de Ki'!W60=0,0,IFERROR(IF('Técnicas de Ki'!AI60&lt;&gt;0,'Técnicas de Ki'!AI60+TS!$Q165,0)*$Q165/$Q165,0))</f>
        <v>0</v>
      </c>
      <c r="AZ165" s="538">
        <f>IF('Técnicas de Ki'!W60=0,0,IFERROR(IF('Técnicas de Ki'!AJ60&lt;&gt;0,'Técnicas de Ki'!AJ60+TS!$R165,0)*$R165/$R165,0))</f>
        <v>0</v>
      </c>
      <c r="BA165" s="538">
        <f>IF('Técnicas de Ki'!W60=0,0,IFERROR(IF('Técnicas de Ki'!AK60&lt;&gt;0,'Técnicas de Ki'!AK60+TS!$S165,0)*$S165/$S165,0))</f>
        <v>0</v>
      </c>
      <c r="BB165" s="539">
        <f>IF('Técnicas de Ki'!W60=0,0,IFERROR(IF('Técnicas de Ki'!AL60&lt;&gt;0,'Técnicas de Ki'!AL60+TS!$T165,0)*$T165/$T165,0))</f>
        <v>0</v>
      </c>
      <c r="BD165" s="572" t="str">
        <f>IF('Técnicas de Ki'!W65&lt;&gt;0,'Técnicas de Ki'!V65&amp;" "&amp;'Técnicas de Ki'!W65,"")</f>
        <v/>
      </c>
      <c r="BE165" s="302" t="b">
        <f t="shared" si="25"/>
        <v>0</v>
      </c>
      <c r="BF165" s="302" t="str">
        <f t="shared" si="5"/>
        <v/>
      </c>
      <c r="BL165" s="537">
        <f>IF('Técnicas de Ki'!AR60=0,0,IF('Técnicas de Ki'!AY60=TS!BL$119,'Técnicas de Ki'!AS60-(IF($O165&lt;&gt;0,'Técnicas de Ki'!BB60,0)+IF($P165&lt;&gt;0,'Técnicas de Ki'!BC60,0)+IF($Q165&lt;&gt;0,'Técnicas de Ki'!BD60,0)+IF($R165&lt;&gt;0,'Técnicas de Ki'!BE60,0)+IF($S165&lt;&gt;0,'Técnicas de Ki'!BF60,0)+IF($T165&lt;&gt;0,'Técnicas de Ki'!BG60,0)),0))</f>
        <v>0</v>
      </c>
      <c r="BM165" s="538">
        <f>IF('Técnicas de Ki'!AR60=0,0,IF('Técnicas de Ki'!AY60=TS!BM$119,'Técnicas de Ki'!AS60-(IF($O165&lt;&gt;0,'Técnicas de Ki'!BB60,0)+IF($P165&lt;&gt;0,'Técnicas de Ki'!BC60,0)+IF($Q165&lt;&gt;0,'Técnicas de Ki'!BD60,0)+IF($R165&lt;&gt;0,'Técnicas de Ki'!BE60,0)+IF($S165&lt;&gt;0,'Técnicas de Ki'!BF60,0)+IF($T165&lt;&gt;0,'Técnicas de Ki'!BG60,0)),0))</f>
        <v>0</v>
      </c>
      <c r="BN165" s="538">
        <f>IF('Técnicas de Ki'!AR60=0,0,IF('Técnicas de Ki'!AY60=TS!BN$119,'Técnicas de Ki'!AS60-(IF($O165&lt;&gt;0,'Técnicas de Ki'!BB60,0)+IF($P165&lt;&gt;0,'Técnicas de Ki'!BC60,0)+IF($Q165&lt;&gt;0,'Técnicas de Ki'!BD60,0)+IF($R165&lt;&gt;0,'Técnicas de Ki'!BE60,0)+IF($S165&lt;&gt;0,'Técnicas de Ki'!BF60,0)+IF($T165&lt;&gt;0,'Técnicas de Ki'!BG60,0)),0))</f>
        <v>0</v>
      </c>
      <c r="BO165" s="538">
        <f>IF('Técnicas de Ki'!AR60=0,0,IF('Técnicas de Ki'!AY60=TS!BO$119,'Técnicas de Ki'!AS60-(IF($O165&lt;&gt;0,'Técnicas de Ki'!BB60,0)+IF($P165&lt;&gt;0,'Técnicas de Ki'!BC60,0)+IF($Q165&lt;&gt;0,'Técnicas de Ki'!BD60,0)+IF($R165&lt;&gt;0,'Técnicas de Ki'!BE60,0)+IF($S165&lt;&gt;0,'Técnicas de Ki'!BF60,0)+IF($T165&lt;&gt;0,'Técnicas de Ki'!BG60,0)),0))</f>
        <v>0</v>
      </c>
      <c r="BP165" s="538">
        <f>IF('Técnicas de Ki'!AR60=0,0,IF('Técnicas de Ki'!AY60=TS!BP$119,'Técnicas de Ki'!AS60-(IF($O165&lt;&gt;0,'Técnicas de Ki'!BB60,0)+IF($P165&lt;&gt;0,'Técnicas de Ki'!BC60,0)+IF($Q165&lt;&gt;0,'Técnicas de Ki'!BD60,0)+IF($R165&lt;&gt;0,'Técnicas de Ki'!BE60,0)+IF($S165&lt;&gt;0,'Técnicas de Ki'!BF60,0)+IF($T165&lt;&gt;0,'Técnicas de Ki'!BG60,0)),0))</f>
        <v>0</v>
      </c>
      <c r="BQ165" s="539">
        <f>IF('Técnicas de Ki'!AR60=0,0,IF('Técnicas de Ki'!AY60=TS!BQ$119,'Técnicas de Ki'!AS60-(IF($O165&lt;&gt;0,'Técnicas de Ki'!BB60,0)+IF($P165&lt;&gt;0,'Técnicas de Ki'!BC60,0)+IF($Q165&lt;&gt;0,'Técnicas de Ki'!BD60,0)+IF($R165&lt;&gt;0,'Técnicas de Ki'!BE60,0)+IF($S165&lt;&gt;0,'Técnicas de Ki'!BF60,0)+IF($T165&lt;&gt;0,'Técnicas de Ki'!BG60,0)),0))</f>
        <v>0</v>
      </c>
      <c r="BR165" s="538">
        <f>IF('Técnicas de Ki'!AR60=0,0,IFERROR(IF('Técnicas de Ki'!BB60&lt;&gt;0,'Técnicas de Ki'!BB60+TS!$O165,0)*$O165/$O165,0))</f>
        <v>0</v>
      </c>
      <c r="BS165" s="538">
        <f>IF('Técnicas de Ki'!AR60=0,0,IFERROR(IF('Técnicas de Ki'!BC60&lt;&gt;0,'Técnicas de Ki'!BC60+TS!$P165,0)*$P165/$P165,0))</f>
        <v>0</v>
      </c>
      <c r="BT165" s="538">
        <f>IF('Técnicas de Ki'!AR60=0,0,IFERROR(IF('Técnicas de Ki'!BD60&lt;&gt;0,'Técnicas de Ki'!BD60+TS!$Q165,0)*$Q165/$Q165,0))</f>
        <v>0</v>
      </c>
      <c r="BU165" s="538">
        <f>IF('Técnicas de Ki'!AR60=0,0,IFERROR(IF('Técnicas de Ki'!BE60&lt;&gt;0,'Técnicas de Ki'!BE60+TS!$R165,0)*$R165/$R165,0))</f>
        <v>0</v>
      </c>
      <c r="BV165" s="538">
        <f>IF('Técnicas de Ki'!AR60=0,0,IFERROR(IF('Técnicas de Ki'!BF60&lt;&gt;0,'Técnicas de Ki'!BF60+TS!$S165,0)*$S165/$S165,0))</f>
        <v>0</v>
      </c>
      <c r="BW165" s="539">
        <f>IF('Técnicas de Ki'!AR60=0,0,IFERROR(IF('Técnicas de Ki'!BG60&lt;&gt;0,'Técnicas de Ki'!BG60+TS!$T165,0)*$T165/$T165,0))</f>
        <v>0</v>
      </c>
      <c r="BY165" s="572" t="str">
        <f>IF('Técnicas de Ki'!AR65&lt;&gt;0,'Técnicas de Ki'!AQ65&amp;" "&amp;'Técnicas de Ki'!AR65,"")</f>
        <v/>
      </c>
      <c r="BZ165" s="302" t="b">
        <f t="shared" si="26"/>
        <v>0</v>
      </c>
      <c r="CA165" s="302" t="str">
        <f t="shared" si="6"/>
        <v/>
      </c>
      <c r="CG165" s="537">
        <f>IF('Técnicas de Ki'!BM60=0,0,IF('Técnicas de Ki'!BT60=TS!CG$119,'Técnicas de Ki'!BN60-(IF($O165&lt;&gt;0,'Técnicas de Ki'!BW60,0)+IF($P165&lt;&gt;0,'Técnicas de Ki'!BX60,0)+IF($Q165&lt;&gt;0,'Técnicas de Ki'!BY60,0)+IF($R165&lt;&gt;0,'Técnicas de Ki'!BZ60,0)+IF($S165&lt;&gt;0,'Técnicas de Ki'!CA60,0)+IF($T165&lt;&gt;0,'Técnicas de Ki'!CB60,0)),0))</f>
        <v>0</v>
      </c>
      <c r="CH165" s="538">
        <f>IF('Técnicas de Ki'!BM60=0,0,IF('Técnicas de Ki'!BT60=TS!CH$119,'Técnicas de Ki'!BN60-(IF($O165&lt;&gt;0,'Técnicas de Ki'!BW60,0)+IF($P165&lt;&gt;0,'Técnicas de Ki'!BX60,0)+IF($Q165&lt;&gt;0,'Técnicas de Ki'!BY60,0)+IF($R165&lt;&gt;0,'Técnicas de Ki'!BZ60,0)+IF($S165&lt;&gt;0,'Técnicas de Ki'!CA60,0)+IF($T165&lt;&gt;0,'Técnicas de Ki'!CB60,0)),0))</f>
        <v>0</v>
      </c>
      <c r="CI165" s="538">
        <f>IF('Técnicas de Ki'!BM60=0,0,IF('Técnicas de Ki'!BT60=TS!CI$119,'Técnicas de Ki'!BN60-(IF($O165&lt;&gt;0,'Técnicas de Ki'!BW60,0)+IF($P165&lt;&gt;0,'Técnicas de Ki'!BX60,0)+IF($Q165&lt;&gt;0,'Técnicas de Ki'!BY60,0)+IF($R165&lt;&gt;0,'Técnicas de Ki'!BZ60,0)+IF($S165&lt;&gt;0,'Técnicas de Ki'!CA60,0)+IF($T165&lt;&gt;0,'Técnicas de Ki'!CB60,0)),0))</f>
        <v>0</v>
      </c>
      <c r="CJ165" s="538">
        <f>IF('Técnicas de Ki'!BM60=0,0,IF('Técnicas de Ki'!BT60=TS!CJ$119,'Técnicas de Ki'!BN60-(IF($O165&lt;&gt;0,'Técnicas de Ki'!BW60,0)+IF($P165&lt;&gt;0,'Técnicas de Ki'!BX60,0)+IF($Q165&lt;&gt;0,'Técnicas de Ki'!BY60,0)+IF($R165&lt;&gt;0,'Técnicas de Ki'!BZ60,0)+IF($S165&lt;&gt;0,'Técnicas de Ki'!CA60,0)+IF($T165&lt;&gt;0,'Técnicas de Ki'!CB60,0)),0))</f>
        <v>0</v>
      </c>
      <c r="CK165" s="538">
        <f>IF('Técnicas de Ki'!BM60=0,0,IF('Técnicas de Ki'!BT60=TS!CK$119,'Técnicas de Ki'!BN60-(IF($O165&lt;&gt;0,'Técnicas de Ki'!BW60,0)+IF($P165&lt;&gt;0,'Técnicas de Ki'!BX60,0)+IF($Q165&lt;&gt;0,'Técnicas de Ki'!BY60,0)+IF($R165&lt;&gt;0,'Técnicas de Ki'!BZ60,0)+IF($S165&lt;&gt;0,'Técnicas de Ki'!CA60,0)+IF($T165&lt;&gt;0,'Técnicas de Ki'!CB60,0)),0))</f>
        <v>0</v>
      </c>
      <c r="CL165" s="539">
        <f>IF('Técnicas de Ki'!BM60=0,0,IF('Técnicas de Ki'!BT60=TS!CL$119,'Técnicas de Ki'!BN60-(IF($O165&lt;&gt;0,'Técnicas de Ki'!BW60,0)+IF($P165&lt;&gt;0,'Técnicas de Ki'!BX60,0)+IF($Q165&lt;&gt;0,'Técnicas de Ki'!BY60,0)+IF($R165&lt;&gt;0,'Técnicas de Ki'!BZ60,0)+IF($S165&lt;&gt;0,'Técnicas de Ki'!CA60,0)+IF($T165&lt;&gt;0,'Técnicas de Ki'!CB60,0)),0))</f>
        <v>0</v>
      </c>
      <c r="CM165" s="538">
        <f>IF('Técnicas de Ki'!BM60=0,0,IFERROR(IF('Técnicas de Ki'!BW60&lt;&gt;0,'Técnicas de Ki'!BW60+TS!$O165,0)*$O165/$O165,0))</f>
        <v>0</v>
      </c>
      <c r="CN165" s="538">
        <f>IF('Técnicas de Ki'!BM60=0,0,IFERROR(IF('Técnicas de Ki'!BX60&lt;&gt;0,'Técnicas de Ki'!BX60+TS!$P165,0)*$P165/$P165,0))</f>
        <v>0</v>
      </c>
      <c r="CO165" s="538">
        <f>IF('Técnicas de Ki'!BM60=0,0,IFERROR(IF('Técnicas de Ki'!BY60&lt;&gt;0,'Técnicas de Ki'!BY60+TS!$Q165,0)*$Q165/$Q165,0))</f>
        <v>0</v>
      </c>
      <c r="CP165" s="538">
        <f>IF('Técnicas de Ki'!BM60=0,0,IFERROR(IF('Técnicas de Ki'!BZ60&lt;&gt;0,'Técnicas de Ki'!BZ60+TS!$R165,0)*$R165/$R165,0))</f>
        <v>0</v>
      </c>
      <c r="CQ165" s="538">
        <f>IF('Técnicas de Ki'!BM60=0,0,IFERROR(IF('Técnicas de Ki'!CA60&lt;&gt;0,'Técnicas de Ki'!CA60+TS!$S165,0)*$S165/$S165,0))</f>
        <v>0</v>
      </c>
      <c r="CR165" s="539">
        <f>IF('Técnicas de Ki'!BM60=0,0,IFERROR(IF('Técnicas de Ki'!CB60&lt;&gt;0,'Técnicas de Ki'!CB60+TS!$T165,0)*$T165/$T165,0))</f>
        <v>0</v>
      </c>
      <c r="CT165" s="572" t="str">
        <f>IF('Técnicas de Ki'!BM65&lt;&gt;0,'Técnicas de Ki'!BL65&amp;" "&amp;'Técnicas de Ki'!BM65,"")</f>
        <v/>
      </c>
      <c r="CU165" s="302" t="b">
        <f t="shared" si="27"/>
        <v>0</v>
      </c>
      <c r="CV165" s="302" t="str">
        <f t="shared" si="7"/>
        <v/>
      </c>
    </row>
    <row r="166" spans="1:102" ht="13.5" thickBot="1" x14ac:dyDescent="0.25">
      <c r="A166" s="302" t="s">
        <v>6853</v>
      </c>
      <c r="B166" s="302">
        <v>250</v>
      </c>
      <c r="C166" s="302" t="str">
        <f t="shared" si="15"/>
        <v>Sustitución de daño250</v>
      </c>
      <c r="D166" s="302">
        <v>15</v>
      </c>
      <c r="E166" s="302">
        <v>19</v>
      </c>
      <c r="F166" s="302">
        <v>35</v>
      </c>
      <c r="G166" s="302">
        <v>12</v>
      </c>
      <c r="H166" s="302">
        <v>24</v>
      </c>
      <c r="I166" s="302">
        <v>42</v>
      </c>
      <c r="J166" s="302">
        <v>3</v>
      </c>
      <c r="N166" t="s">
        <v>6899</v>
      </c>
      <c r="P166" s="528">
        <v>2</v>
      </c>
      <c r="Q166" s="528">
        <v>2</v>
      </c>
      <c r="R166" s="528">
        <v>3</v>
      </c>
      <c r="S166" s="528">
        <v>1</v>
      </c>
      <c r="V166" s="537">
        <f>IF('Técnicas de Ki'!B61=0,0,IF('Técnicas de Ki'!I61=TS!V$119,'Técnicas de Ki'!C61-(IF($O166&lt;&gt;0,'Técnicas de Ki'!L61,0)+IF($P166&lt;&gt;0,'Técnicas de Ki'!M61,0)+IF($Q166&lt;&gt;0,'Técnicas de Ki'!N61,0)+IF($R166&lt;&gt;0,'Técnicas de Ki'!O61,0)+IF($S166&lt;&gt;0,'Técnicas de Ki'!P61,0)+IF($T166&lt;&gt;0,'Técnicas de Ki'!Q61,0)),0))</f>
        <v>0</v>
      </c>
      <c r="W166" s="538">
        <f>IF('Técnicas de Ki'!B61=0,0,IF('Técnicas de Ki'!I61=TS!W$119,'Técnicas de Ki'!C61-(IF($O166&lt;&gt;0,'Técnicas de Ki'!L61,0)+IF($P166&lt;&gt;0,'Técnicas de Ki'!M61,0)+IF($Q166&lt;&gt;0,'Técnicas de Ki'!N61,0)+IF($R166&lt;&gt;0,'Técnicas de Ki'!O61,0)+IF($S166&lt;&gt;0,'Técnicas de Ki'!P61,0)+IF($T166&lt;&gt;0,'Técnicas de Ki'!Q61,0)),0))</f>
        <v>0</v>
      </c>
      <c r="X166" s="538">
        <f>IF('Técnicas de Ki'!B61=0,0,IF('Técnicas de Ki'!I61=TS!X$119,'Técnicas de Ki'!C61-(IF($O166&lt;&gt;0,'Técnicas de Ki'!L61,0)+IF($P166&lt;&gt;0,'Técnicas de Ki'!M61,0)+IF($Q166&lt;&gt;0,'Técnicas de Ki'!N61,0)+IF($R166&lt;&gt;0,'Técnicas de Ki'!O61,0)+IF($S166&lt;&gt;0,'Técnicas de Ki'!P61,0)+IF($T166&lt;&gt;0,'Técnicas de Ki'!Q61,0)),0))</f>
        <v>0</v>
      </c>
      <c r="Y166" s="538">
        <f>IF('Técnicas de Ki'!B61=0,0,IF('Técnicas de Ki'!I61=TS!Y$119,'Técnicas de Ki'!C61-(IF($O166&lt;&gt;0,'Técnicas de Ki'!L61,0)+IF($P166&lt;&gt;0,'Técnicas de Ki'!M61,0)+IF($Q166&lt;&gt;0,'Técnicas de Ki'!N61,0)+IF($R166&lt;&gt;0,'Técnicas de Ki'!O61,0)+IF($S166&lt;&gt;0,'Técnicas de Ki'!P61,0)+IF($T166&lt;&gt;0,'Técnicas de Ki'!Q61,0)),0))</f>
        <v>0</v>
      </c>
      <c r="Z166" s="538">
        <f>IF('Técnicas de Ki'!B61=0,0,IF('Técnicas de Ki'!I61=TS!Z$119,'Técnicas de Ki'!C61-(IF($O166&lt;&gt;0,'Técnicas de Ki'!L61,0)+IF($P166&lt;&gt;0,'Técnicas de Ki'!M61,0)+IF($Q166&lt;&gt;0,'Técnicas de Ki'!N61,0)+IF($R166&lt;&gt;0,'Técnicas de Ki'!O61,0)+IF($S166&lt;&gt;0,'Técnicas de Ki'!P61,0)+IF($T166&lt;&gt;0,'Técnicas de Ki'!Q61,0)),0))</f>
        <v>0</v>
      </c>
      <c r="AA166" s="539">
        <f>IF('Técnicas de Ki'!B61=0,0,IF('Técnicas de Ki'!I61=TS!AA$119,'Técnicas de Ki'!C61-(IF($O166&lt;&gt;0,'Técnicas de Ki'!L61,0)+IF($P166&lt;&gt;0,'Técnicas de Ki'!M61,0)+IF($Q166&lt;&gt;0,'Técnicas de Ki'!N61,0)+IF($R166&lt;&gt;0,'Técnicas de Ki'!O61,0)+IF($S166&lt;&gt;0,'Técnicas de Ki'!P61,0)+IF($T166&lt;&gt;0,'Técnicas de Ki'!Q61,0)),0))</f>
        <v>0</v>
      </c>
      <c r="AB166" s="538">
        <f>IF('Técnicas de Ki'!B61=0,0,IFERROR(IF('Técnicas de Ki'!L61&lt;&gt;0,'Técnicas de Ki'!L61+TS!$O166,0)*$O166/$O166,0))</f>
        <v>0</v>
      </c>
      <c r="AC166" s="538">
        <f>IF('Técnicas de Ki'!B61=0,0,IFERROR(IF('Técnicas de Ki'!M61&lt;&gt;0,'Técnicas de Ki'!M61+TS!$P166,0)*$P166/$P166,0))</f>
        <v>0</v>
      </c>
      <c r="AD166" s="538">
        <f>IF('Técnicas de Ki'!B61=0,0,IFERROR(IF('Técnicas de Ki'!N61&lt;&gt;0,'Técnicas de Ki'!N61+TS!$Q166,0)*$Q166/$Q166,0))</f>
        <v>0</v>
      </c>
      <c r="AE166" s="538">
        <f>IF('Técnicas de Ki'!B61=0,0,IFERROR(IF('Técnicas de Ki'!O61&lt;&gt;0,'Técnicas de Ki'!O61+TS!$R166,0)*$R166/$R166,0))</f>
        <v>0</v>
      </c>
      <c r="AF166" s="538">
        <f>IF('Técnicas de Ki'!B61=0,0,IFERROR(IF('Técnicas de Ki'!P61&lt;&gt;0,'Técnicas de Ki'!P61+TS!$S166,0)*$S166/$S166,0))</f>
        <v>0</v>
      </c>
      <c r="AG166" s="539">
        <f>IF('Técnicas de Ki'!B61=0,0,IFERROR(IF('Técnicas de Ki'!Q61&lt;&gt;0,'Técnicas de Ki'!Q61+TS!$T166,0)*$T166/$T166,0))</f>
        <v>0</v>
      </c>
      <c r="AI166" s="570" t="str">
        <f>IF('Técnicas de Ki'!B67&lt;&gt;0,'Técnicas de Ki'!A67&amp;" "&amp;'Técnicas de Ki'!B67,"")</f>
        <v/>
      </c>
      <c r="AJ166" s="302" t="b">
        <v>0</v>
      </c>
      <c r="AK166" s="302" t="str">
        <f t="shared" si="4"/>
        <v/>
      </c>
      <c r="AL166" s="573" t="str">
        <f>IF(AM166,N171&amp;": "&amp;CONCATENATE(AK166,AK167,AK168,AK169,AK170,AK171,AK172),"")&amp;IF(AM166,"  ","")</f>
        <v/>
      </c>
      <c r="AM166" s="302" t="b">
        <f>OR(AJ166:AJ172,AI172&lt;&gt;"")</f>
        <v>0</v>
      </c>
      <c r="AQ166" s="537">
        <f>IF('Técnicas de Ki'!W61=0,0,IF('Técnicas de Ki'!AD61=TS!AQ$119,'Técnicas de Ki'!X61-(IF($O166&lt;&gt;0,'Técnicas de Ki'!AG61,0)+IF($P166&lt;&gt;0,'Técnicas de Ki'!AH61,0)+IF($Q166&lt;&gt;0,'Técnicas de Ki'!AI61,0)+IF($R166&lt;&gt;0,'Técnicas de Ki'!AJ61,0)+IF($S166&lt;&gt;0,'Técnicas de Ki'!AK61,0)+IF($T166&lt;&gt;0,'Técnicas de Ki'!AL61,0)),0))</f>
        <v>0</v>
      </c>
      <c r="AR166" s="538">
        <f>IF('Técnicas de Ki'!W61=0,0,IF('Técnicas de Ki'!AD61=TS!AR$119,'Técnicas de Ki'!X61-(IF($O166&lt;&gt;0,'Técnicas de Ki'!AG61,0)+IF($P166&lt;&gt;0,'Técnicas de Ki'!AH61,0)+IF($Q166&lt;&gt;0,'Técnicas de Ki'!AI61,0)+IF($R166&lt;&gt;0,'Técnicas de Ki'!AJ61,0)+IF($S166&lt;&gt;0,'Técnicas de Ki'!AK61,0)+IF($T166&lt;&gt;0,'Técnicas de Ki'!AL61,0)),0))</f>
        <v>0</v>
      </c>
      <c r="AS166" s="538">
        <f>IF('Técnicas de Ki'!W61=0,0,IF('Técnicas de Ki'!AD61=TS!AS$119,'Técnicas de Ki'!X61-(IF($O166&lt;&gt;0,'Técnicas de Ki'!AG61,0)+IF($P166&lt;&gt;0,'Técnicas de Ki'!AH61,0)+IF($Q166&lt;&gt;0,'Técnicas de Ki'!AI61,0)+IF($R166&lt;&gt;0,'Técnicas de Ki'!AJ61,0)+IF($S166&lt;&gt;0,'Técnicas de Ki'!AK61,0)+IF($T166&lt;&gt;0,'Técnicas de Ki'!AL61,0)),0))</f>
        <v>0</v>
      </c>
      <c r="AT166" s="538">
        <f>IF('Técnicas de Ki'!W61=0,0,IF('Técnicas de Ki'!AD61=TS!AT$119,'Técnicas de Ki'!X61-(IF($O166&lt;&gt;0,'Técnicas de Ki'!AG61,0)+IF($P166&lt;&gt;0,'Técnicas de Ki'!AH61,0)+IF($Q166&lt;&gt;0,'Técnicas de Ki'!AI61,0)+IF($R166&lt;&gt;0,'Técnicas de Ki'!AJ61,0)+IF($S166&lt;&gt;0,'Técnicas de Ki'!AK61,0)+IF($T166&lt;&gt;0,'Técnicas de Ki'!AL61,0)),0))</f>
        <v>0</v>
      </c>
      <c r="AU166" s="538">
        <f>IF('Técnicas de Ki'!W61=0,0,IF('Técnicas de Ki'!AD61=TS!AU$119,'Técnicas de Ki'!X61-(IF($O166&lt;&gt;0,'Técnicas de Ki'!AG61,0)+IF($P166&lt;&gt;0,'Técnicas de Ki'!AH61,0)+IF($Q166&lt;&gt;0,'Técnicas de Ki'!AI61,0)+IF($R166&lt;&gt;0,'Técnicas de Ki'!AJ61,0)+IF($S166&lt;&gt;0,'Técnicas de Ki'!AK61,0)+IF($T166&lt;&gt;0,'Técnicas de Ki'!AL61,0)),0))</f>
        <v>0</v>
      </c>
      <c r="AV166" s="539">
        <f>IF('Técnicas de Ki'!W61=0,0,IF('Técnicas de Ki'!AD61=TS!AV$119,'Técnicas de Ki'!X61-(IF($O166&lt;&gt;0,'Técnicas de Ki'!AG61,0)+IF($P166&lt;&gt;0,'Técnicas de Ki'!AH61,0)+IF($Q166&lt;&gt;0,'Técnicas de Ki'!AI61,0)+IF($R166&lt;&gt;0,'Técnicas de Ki'!AJ61,0)+IF($S166&lt;&gt;0,'Técnicas de Ki'!AK61,0)+IF($T166&lt;&gt;0,'Técnicas de Ki'!AL61,0)),0))</f>
        <v>0</v>
      </c>
      <c r="AW166" s="538">
        <f>IF('Técnicas de Ki'!W61=0,0,IFERROR(IF('Técnicas de Ki'!AG61&lt;&gt;0,'Técnicas de Ki'!AG61+TS!$O166,0)*$O166/$O166,0))</f>
        <v>0</v>
      </c>
      <c r="AX166" s="538">
        <f>IF('Técnicas de Ki'!W61=0,0,IFERROR(IF('Técnicas de Ki'!AH61&lt;&gt;0,'Técnicas de Ki'!AH61+TS!$P166,0)*$P166/$P166,0))</f>
        <v>0</v>
      </c>
      <c r="AY166" s="538">
        <f>IF('Técnicas de Ki'!W61=0,0,IFERROR(IF('Técnicas de Ki'!AI61&lt;&gt;0,'Técnicas de Ki'!AI61+TS!$Q166,0)*$Q166/$Q166,0))</f>
        <v>0</v>
      </c>
      <c r="AZ166" s="538">
        <f>IF('Técnicas de Ki'!W61=0,0,IFERROR(IF('Técnicas de Ki'!AJ61&lt;&gt;0,'Técnicas de Ki'!AJ61+TS!$R166,0)*$R166/$R166,0))</f>
        <v>0</v>
      </c>
      <c r="BA166" s="538">
        <f>IF('Técnicas de Ki'!W61=0,0,IFERROR(IF('Técnicas de Ki'!AK61&lt;&gt;0,'Técnicas de Ki'!AK61+TS!$S166,0)*$S166/$S166,0))</f>
        <v>0</v>
      </c>
      <c r="BB166" s="539">
        <f>IF('Técnicas de Ki'!W61=0,0,IFERROR(IF('Técnicas de Ki'!AL61&lt;&gt;0,'Técnicas de Ki'!AL61+TS!$T166,0)*$T166/$T166,0))</f>
        <v>0</v>
      </c>
      <c r="BD166" s="570" t="str">
        <f>IF('Técnicas de Ki'!W67&lt;&gt;0,'Técnicas de Ki'!V67&amp;" "&amp;'Técnicas de Ki'!W67,"")</f>
        <v/>
      </c>
      <c r="BE166" s="302" t="b">
        <v>0</v>
      </c>
      <c r="BF166" s="302" t="str">
        <f t="shared" si="5"/>
        <v/>
      </c>
      <c r="BG166" s="573" t="str">
        <f>IF(BH166,AI171&amp;": "&amp;CONCATENATE(BF166,BF167,BF168,BF169,BF170,BF171,BF172),"")&amp;IF(BH166,"  ","")</f>
        <v/>
      </c>
      <c r="BH166" s="302" t="b">
        <f>OR(BE166:BE172,BD172&lt;&gt;"")</f>
        <v>0</v>
      </c>
      <c r="BL166" s="537">
        <f>IF('Técnicas de Ki'!AR61=0,0,IF('Técnicas de Ki'!AY61=TS!BL$119,'Técnicas de Ki'!AS61-(IF($O166&lt;&gt;0,'Técnicas de Ki'!BB61,0)+IF($P166&lt;&gt;0,'Técnicas de Ki'!BC61,0)+IF($Q166&lt;&gt;0,'Técnicas de Ki'!BD61,0)+IF($R166&lt;&gt;0,'Técnicas de Ki'!BE61,0)+IF($S166&lt;&gt;0,'Técnicas de Ki'!BF61,0)+IF($T166&lt;&gt;0,'Técnicas de Ki'!BG61,0)),0))</f>
        <v>0</v>
      </c>
      <c r="BM166" s="538">
        <f>IF('Técnicas de Ki'!AR61=0,0,IF('Técnicas de Ki'!AY61=TS!BM$119,'Técnicas de Ki'!AS61-(IF($O166&lt;&gt;0,'Técnicas de Ki'!BB61,0)+IF($P166&lt;&gt;0,'Técnicas de Ki'!BC61,0)+IF($Q166&lt;&gt;0,'Técnicas de Ki'!BD61,0)+IF($R166&lt;&gt;0,'Técnicas de Ki'!BE61,0)+IF($S166&lt;&gt;0,'Técnicas de Ki'!BF61,0)+IF($T166&lt;&gt;0,'Técnicas de Ki'!BG61,0)),0))</f>
        <v>0</v>
      </c>
      <c r="BN166" s="538">
        <f>IF('Técnicas de Ki'!AR61=0,0,IF('Técnicas de Ki'!AY61=TS!BN$119,'Técnicas de Ki'!AS61-(IF($O166&lt;&gt;0,'Técnicas de Ki'!BB61,0)+IF($P166&lt;&gt;0,'Técnicas de Ki'!BC61,0)+IF($Q166&lt;&gt;0,'Técnicas de Ki'!BD61,0)+IF($R166&lt;&gt;0,'Técnicas de Ki'!BE61,0)+IF($S166&lt;&gt;0,'Técnicas de Ki'!BF61,0)+IF($T166&lt;&gt;0,'Técnicas de Ki'!BG61,0)),0))</f>
        <v>0</v>
      </c>
      <c r="BO166" s="538">
        <f>IF('Técnicas de Ki'!AR61=0,0,IF('Técnicas de Ki'!AY61=TS!BO$119,'Técnicas de Ki'!AS61-(IF($O166&lt;&gt;0,'Técnicas de Ki'!BB61,0)+IF($P166&lt;&gt;0,'Técnicas de Ki'!BC61,0)+IF($Q166&lt;&gt;0,'Técnicas de Ki'!BD61,0)+IF($R166&lt;&gt;0,'Técnicas de Ki'!BE61,0)+IF($S166&lt;&gt;0,'Técnicas de Ki'!BF61,0)+IF($T166&lt;&gt;0,'Técnicas de Ki'!BG61,0)),0))</f>
        <v>0</v>
      </c>
      <c r="BP166" s="538">
        <f>IF('Técnicas de Ki'!AR61=0,0,IF('Técnicas de Ki'!AY61=TS!BP$119,'Técnicas de Ki'!AS61-(IF($O166&lt;&gt;0,'Técnicas de Ki'!BB61,0)+IF($P166&lt;&gt;0,'Técnicas de Ki'!BC61,0)+IF($Q166&lt;&gt;0,'Técnicas de Ki'!BD61,0)+IF($R166&lt;&gt;0,'Técnicas de Ki'!BE61,0)+IF($S166&lt;&gt;0,'Técnicas de Ki'!BF61,0)+IF($T166&lt;&gt;0,'Técnicas de Ki'!BG61,0)),0))</f>
        <v>0</v>
      </c>
      <c r="BQ166" s="539">
        <f>IF('Técnicas de Ki'!AR61=0,0,IF('Técnicas de Ki'!AY61=TS!BQ$119,'Técnicas de Ki'!AS61-(IF($O166&lt;&gt;0,'Técnicas de Ki'!BB61,0)+IF($P166&lt;&gt;0,'Técnicas de Ki'!BC61,0)+IF($Q166&lt;&gt;0,'Técnicas de Ki'!BD61,0)+IF($R166&lt;&gt;0,'Técnicas de Ki'!BE61,0)+IF($S166&lt;&gt;0,'Técnicas de Ki'!BF61,0)+IF($T166&lt;&gt;0,'Técnicas de Ki'!BG61,0)),0))</f>
        <v>0</v>
      </c>
      <c r="BR166" s="538">
        <f>IF('Técnicas de Ki'!AR61=0,0,IFERROR(IF('Técnicas de Ki'!BB61&lt;&gt;0,'Técnicas de Ki'!BB61+TS!$O166,0)*$O166/$O166,0))</f>
        <v>0</v>
      </c>
      <c r="BS166" s="538">
        <f>IF('Técnicas de Ki'!AR61=0,0,IFERROR(IF('Técnicas de Ki'!BC61&lt;&gt;0,'Técnicas de Ki'!BC61+TS!$P166,0)*$P166/$P166,0))</f>
        <v>0</v>
      </c>
      <c r="BT166" s="538">
        <f>IF('Técnicas de Ki'!AR61=0,0,IFERROR(IF('Técnicas de Ki'!BD61&lt;&gt;0,'Técnicas de Ki'!BD61+TS!$Q166,0)*$Q166/$Q166,0))</f>
        <v>0</v>
      </c>
      <c r="BU166" s="538">
        <f>IF('Técnicas de Ki'!AR61=0,0,IFERROR(IF('Técnicas de Ki'!BE61&lt;&gt;0,'Técnicas de Ki'!BE61+TS!$R166,0)*$R166/$R166,0))</f>
        <v>0</v>
      </c>
      <c r="BV166" s="538">
        <f>IF('Técnicas de Ki'!AR61=0,0,IFERROR(IF('Técnicas de Ki'!BF61&lt;&gt;0,'Técnicas de Ki'!BF61+TS!$S166,0)*$S166/$S166,0))</f>
        <v>0</v>
      </c>
      <c r="BW166" s="539">
        <f>IF('Técnicas de Ki'!AR61=0,0,IFERROR(IF('Técnicas de Ki'!BG61&lt;&gt;0,'Técnicas de Ki'!BG61+TS!$T166,0)*$T166/$T166,0))</f>
        <v>0</v>
      </c>
      <c r="BY166" s="570" t="str">
        <f>IF('Técnicas de Ki'!AR67&lt;&gt;0,'Técnicas de Ki'!AQ67&amp;" "&amp;'Técnicas de Ki'!AR67,"")</f>
        <v/>
      </c>
      <c r="BZ166" s="302" t="b">
        <v>0</v>
      </c>
      <c r="CA166" s="302" t="str">
        <f t="shared" si="6"/>
        <v/>
      </c>
      <c r="CB166" s="573" t="str">
        <f>IF(CC166,BD171&amp;": "&amp;CONCATENATE(CA166,CA167,CA168,CA169,CA170,CA171,CA172),"")&amp;IF(CC166,"  ","")</f>
        <v/>
      </c>
      <c r="CC166" s="302" t="b">
        <f>OR(BZ166:BZ172,BY172&lt;&gt;"")</f>
        <v>0</v>
      </c>
      <c r="CG166" s="537">
        <f>IF('Técnicas de Ki'!BM61=0,0,IF('Técnicas de Ki'!BT61=TS!CG$119,'Técnicas de Ki'!BN61-(IF($O166&lt;&gt;0,'Técnicas de Ki'!BW61,0)+IF($P166&lt;&gt;0,'Técnicas de Ki'!BX61,0)+IF($Q166&lt;&gt;0,'Técnicas de Ki'!BY61,0)+IF($R166&lt;&gt;0,'Técnicas de Ki'!BZ61,0)+IF($S166&lt;&gt;0,'Técnicas de Ki'!CA61,0)+IF($T166&lt;&gt;0,'Técnicas de Ki'!CB61,0)),0))</f>
        <v>0</v>
      </c>
      <c r="CH166" s="538">
        <f>IF('Técnicas de Ki'!BM61=0,0,IF('Técnicas de Ki'!BT61=TS!CH$119,'Técnicas de Ki'!BN61-(IF($O166&lt;&gt;0,'Técnicas de Ki'!BW61,0)+IF($P166&lt;&gt;0,'Técnicas de Ki'!BX61,0)+IF($Q166&lt;&gt;0,'Técnicas de Ki'!BY61,0)+IF($R166&lt;&gt;0,'Técnicas de Ki'!BZ61,0)+IF($S166&lt;&gt;0,'Técnicas de Ki'!CA61,0)+IF($T166&lt;&gt;0,'Técnicas de Ki'!CB61,0)),0))</f>
        <v>0</v>
      </c>
      <c r="CI166" s="538">
        <f>IF('Técnicas de Ki'!BM61=0,0,IF('Técnicas de Ki'!BT61=TS!CI$119,'Técnicas de Ki'!BN61-(IF($O166&lt;&gt;0,'Técnicas de Ki'!BW61,0)+IF($P166&lt;&gt;0,'Técnicas de Ki'!BX61,0)+IF($Q166&lt;&gt;0,'Técnicas de Ki'!BY61,0)+IF($R166&lt;&gt;0,'Técnicas de Ki'!BZ61,0)+IF($S166&lt;&gt;0,'Técnicas de Ki'!CA61,0)+IF($T166&lt;&gt;0,'Técnicas de Ki'!CB61,0)),0))</f>
        <v>0</v>
      </c>
      <c r="CJ166" s="538">
        <f>IF('Técnicas de Ki'!BM61=0,0,IF('Técnicas de Ki'!BT61=TS!CJ$119,'Técnicas de Ki'!BN61-(IF($O166&lt;&gt;0,'Técnicas de Ki'!BW61,0)+IF($P166&lt;&gt;0,'Técnicas de Ki'!BX61,0)+IF($Q166&lt;&gt;0,'Técnicas de Ki'!BY61,0)+IF($R166&lt;&gt;0,'Técnicas de Ki'!BZ61,0)+IF($S166&lt;&gt;0,'Técnicas de Ki'!CA61,0)+IF($T166&lt;&gt;0,'Técnicas de Ki'!CB61,0)),0))</f>
        <v>0</v>
      </c>
      <c r="CK166" s="538">
        <f>IF('Técnicas de Ki'!BM61=0,0,IF('Técnicas de Ki'!BT61=TS!CK$119,'Técnicas de Ki'!BN61-(IF($O166&lt;&gt;0,'Técnicas de Ki'!BW61,0)+IF($P166&lt;&gt;0,'Técnicas de Ki'!BX61,0)+IF($Q166&lt;&gt;0,'Técnicas de Ki'!BY61,0)+IF($R166&lt;&gt;0,'Técnicas de Ki'!BZ61,0)+IF($S166&lt;&gt;0,'Técnicas de Ki'!CA61,0)+IF($T166&lt;&gt;0,'Técnicas de Ki'!CB61,0)),0))</f>
        <v>0</v>
      </c>
      <c r="CL166" s="539">
        <f>IF('Técnicas de Ki'!BM61=0,0,IF('Técnicas de Ki'!BT61=TS!CL$119,'Técnicas de Ki'!BN61-(IF($O166&lt;&gt;0,'Técnicas de Ki'!BW61,0)+IF($P166&lt;&gt;0,'Técnicas de Ki'!BX61,0)+IF($Q166&lt;&gt;0,'Técnicas de Ki'!BY61,0)+IF($R166&lt;&gt;0,'Técnicas de Ki'!BZ61,0)+IF($S166&lt;&gt;0,'Técnicas de Ki'!CA61,0)+IF($T166&lt;&gt;0,'Técnicas de Ki'!CB61,0)),0))</f>
        <v>0</v>
      </c>
      <c r="CM166" s="538">
        <f>IF('Técnicas de Ki'!BM61=0,0,IFERROR(IF('Técnicas de Ki'!BW61&lt;&gt;0,'Técnicas de Ki'!BW61+TS!$O166,0)*$O166/$O166,0))</f>
        <v>0</v>
      </c>
      <c r="CN166" s="538">
        <f>IF('Técnicas de Ki'!BM61=0,0,IFERROR(IF('Técnicas de Ki'!BX61&lt;&gt;0,'Técnicas de Ki'!BX61+TS!$P166,0)*$P166/$P166,0))</f>
        <v>0</v>
      </c>
      <c r="CO166" s="538">
        <f>IF('Técnicas de Ki'!BM61=0,0,IFERROR(IF('Técnicas de Ki'!BY61&lt;&gt;0,'Técnicas de Ki'!BY61+TS!$Q166,0)*$Q166/$Q166,0))</f>
        <v>0</v>
      </c>
      <c r="CP166" s="538">
        <f>IF('Técnicas de Ki'!BM61=0,0,IFERROR(IF('Técnicas de Ki'!BZ61&lt;&gt;0,'Técnicas de Ki'!BZ61+TS!$R166,0)*$R166/$R166,0))</f>
        <v>0</v>
      </c>
      <c r="CQ166" s="538">
        <f>IF('Técnicas de Ki'!BM61=0,0,IFERROR(IF('Técnicas de Ki'!CA61&lt;&gt;0,'Técnicas de Ki'!CA61+TS!$S166,0)*$S166/$S166,0))</f>
        <v>0</v>
      </c>
      <c r="CR166" s="539">
        <f>IF('Técnicas de Ki'!BM61=0,0,IFERROR(IF('Técnicas de Ki'!CB61&lt;&gt;0,'Técnicas de Ki'!CB61+TS!$T166,0)*$T166/$T166,0))</f>
        <v>0</v>
      </c>
      <c r="CT166" s="570" t="str">
        <f>IF('Técnicas de Ki'!BM67&lt;&gt;0,'Técnicas de Ki'!BL67&amp;" "&amp;'Técnicas de Ki'!BM67,"")</f>
        <v/>
      </c>
      <c r="CU166" s="302" t="b">
        <v>0</v>
      </c>
      <c r="CV166" s="302" t="str">
        <f t="shared" si="7"/>
        <v/>
      </c>
      <c r="CW166" s="573" t="str">
        <f>IF(CX166,BY171&amp;": "&amp;CONCATENATE(CV166,CV167,CV168,CV169,CV170,CV171,CV172),"")&amp;IF(CX166,"  ","")</f>
        <v/>
      </c>
      <c r="CX166" s="302" t="b">
        <f>OR(CU166:CU172,CT172&lt;&gt;"")</f>
        <v>0</v>
      </c>
    </row>
    <row r="167" spans="1:102" x14ac:dyDescent="0.2">
      <c r="A167" s="302" t="s">
        <v>6854</v>
      </c>
      <c r="B167" s="302">
        <v>50</v>
      </c>
      <c r="C167" s="302" t="str">
        <f t="shared" si="15"/>
        <v>Sustitución de daño real50</v>
      </c>
      <c r="D167" s="302">
        <v>3</v>
      </c>
      <c r="E167" s="302">
        <v>5</v>
      </c>
      <c r="F167" s="302">
        <v>10</v>
      </c>
      <c r="G167" s="302">
        <v>2</v>
      </c>
      <c r="H167" s="302">
        <v>4</v>
      </c>
      <c r="I167" s="302">
        <v>7</v>
      </c>
      <c r="J167" s="302">
        <v>1</v>
      </c>
      <c r="N167" t="s">
        <v>6900</v>
      </c>
      <c r="P167" s="302">
        <v>2</v>
      </c>
      <c r="Q167" s="302">
        <v>2</v>
      </c>
      <c r="R167" s="302">
        <v>3</v>
      </c>
      <c r="S167" s="302">
        <v>1</v>
      </c>
      <c r="V167" s="537">
        <f>IF('Técnicas de Ki'!B62=0,0,IF('Técnicas de Ki'!I62=TS!V$119,'Técnicas de Ki'!C62-(IF($O167&lt;&gt;0,'Técnicas de Ki'!L62,0)+IF($P167&lt;&gt;0,'Técnicas de Ki'!M62,0)+IF($Q167&lt;&gt;0,'Técnicas de Ki'!N62,0)+IF($R167&lt;&gt;0,'Técnicas de Ki'!O62,0)+IF($S167&lt;&gt;0,'Técnicas de Ki'!P62,0)+IF($T167&lt;&gt;0,'Técnicas de Ki'!Q62,0)),0))</f>
        <v>0</v>
      </c>
      <c r="W167" s="538">
        <f>IF('Técnicas de Ki'!B62=0,0,IF('Técnicas de Ki'!I62=TS!W$119,'Técnicas de Ki'!C62-(IF($O167&lt;&gt;0,'Técnicas de Ki'!L62,0)+IF($P167&lt;&gt;0,'Técnicas de Ki'!M62,0)+IF($Q167&lt;&gt;0,'Técnicas de Ki'!N62,0)+IF($R167&lt;&gt;0,'Técnicas de Ki'!O62,0)+IF($S167&lt;&gt;0,'Técnicas de Ki'!P62,0)+IF($T167&lt;&gt;0,'Técnicas de Ki'!Q62,0)),0))</f>
        <v>0</v>
      </c>
      <c r="X167" s="538">
        <f>IF('Técnicas de Ki'!B62=0,0,IF('Técnicas de Ki'!I62=TS!X$119,'Técnicas de Ki'!C62-(IF($O167&lt;&gt;0,'Técnicas de Ki'!L62,0)+IF($P167&lt;&gt;0,'Técnicas de Ki'!M62,0)+IF($Q167&lt;&gt;0,'Técnicas de Ki'!N62,0)+IF($R167&lt;&gt;0,'Técnicas de Ki'!O62,0)+IF($S167&lt;&gt;0,'Técnicas de Ki'!P62,0)+IF($T167&lt;&gt;0,'Técnicas de Ki'!Q62,0)),0))</f>
        <v>0</v>
      </c>
      <c r="Y167" s="538">
        <f>IF('Técnicas de Ki'!B62=0,0,IF('Técnicas de Ki'!I62=TS!Y$119,'Técnicas de Ki'!C62-(IF($O167&lt;&gt;0,'Técnicas de Ki'!L62,0)+IF($P167&lt;&gt;0,'Técnicas de Ki'!M62,0)+IF($Q167&lt;&gt;0,'Técnicas de Ki'!N62,0)+IF($R167&lt;&gt;0,'Técnicas de Ki'!O62,0)+IF($S167&lt;&gt;0,'Técnicas de Ki'!P62,0)+IF($T167&lt;&gt;0,'Técnicas de Ki'!Q62,0)),0))</f>
        <v>0</v>
      </c>
      <c r="Z167" s="538">
        <f>IF('Técnicas de Ki'!B62=0,0,IF('Técnicas de Ki'!I62=TS!Z$119,'Técnicas de Ki'!C62-(IF($O167&lt;&gt;0,'Técnicas de Ki'!L62,0)+IF($P167&lt;&gt;0,'Técnicas de Ki'!M62,0)+IF($Q167&lt;&gt;0,'Técnicas de Ki'!N62,0)+IF($R167&lt;&gt;0,'Técnicas de Ki'!O62,0)+IF($S167&lt;&gt;0,'Técnicas de Ki'!P62,0)+IF($T167&lt;&gt;0,'Técnicas de Ki'!Q62,0)),0))</f>
        <v>0</v>
      </c>
      <c r="AA167" s="539">
        <f>IF('Técnicas de Ki'!B62=0,0,IF('Técnicas de Ki'!I62=TS!AA$119,'Técnicas de Ki'!C62-(IF($O167&lt;&gt;0,'Técnicas de Ki'!L62,0)+IF($P167&lt;&gt;0,'Técnicas de Ki'!M62,0)+IF($Q167&lt;&gt;0,'Técnicas de Ki'!N62,0)+IF($R167&lt;&gt;0,'Técnicas de Ki'!O62,0)+IF($S167&lt;&gt;0,'Técnicas de Ki'!P62,0)+IF($T167&lt;&gt;0,'Técnicas de Ki'!Q62,0)),0))</f>
        <v>0</v>
      </c>
      <c r="AB167" s="538">
        <f>IF('Técnicas de Ki'!B62=0,0,IFERROR(IF('Técnicas de Ki'!L62&lt;&gt;0,'Técnicas de Ki'!L62+TS!$O167,0)*$O167/$O167,0))</f>
        <v>0</v>
      </c>
      <c r="AC167" s="538">
        <f>IF('Técnicas de Ki'!B62=0,0,IFERROR(IF('Técnicas de Ki'!M62&lt;&gt;0,'Técnicas de Ki'!M62+TS!$P167,0)*$P167/$P167,0))</f>
        <v>0</v>
      </c>
      <c r="AD167" s="538">
        <f>IF('Técnicas de Ki'!B62=0,0,IFERROR(IF('Técnicas de Ki'!N62&lt;&gt;0,'Técnicas de Ki'!N62+TS!$Q167,0)*$Q167/$Q167,0))</f>
        <v>0</v>
      </c>
      <c r="AE167" s="538">
        <f>IF('Técnicas de Ki'!B62=0,0,IFERROR(IF('Técnicas de Ki'!O62&lt;&gt;0,'Técnicas de Ki'!O62+TS!$R167,0)*$R167/$R167,0))</f>
        <v>0</v>
      </c>
      <c r="AF167" s="538">
        <f>IF('Técnicas de Ki'!B62=0,0,IFERROR(IF('Técnicas de Ki'!P62&lt;&gt;0,'Técnicas de Ki'!P62+TS!$S167,0)*$S167/$S167,0))</f>
        <v>0</v>
      </c>
      <c r="AG167" s="539">
        <f>IF('Técnicas de Ki'!B62=0,0,IFERROR(IF('Técnicas de Ki'!Q62&lt;&gt;0,'Técnicas de Ki'!Q62+TS!$T167,0)*$T167/$T167,0))</f>
        <v>0</v>
      </c>
      <c r="AI167" s="571" t="str">
        <f>IF('Técnicas de Ki'!B68&lt;&gt;0,'Técnicas de Ki'!A68&amp;" "&amp;'Técnicas de Ki'!B68,"")</f>
        <v/>
      </c>
      <c r="AJ167" s="302" t="b">
        <f t="shared" si="8"/>
        <v>0</v>
      </c>
      <c r="AK167" s="302" t="str">
        <f t="shared" si="4"/>
        <v/>
      </c>
      <c r="AQ167" s="537">
        <f>IF('Técnicas de Ki'!W62=0,0,IF('Técnicas de Ki'!AD62=TS!AQ$119,'Técnicas de Ki'!X62-(IF($O167&lt;&gt;0,'Técnicas de Ki'!AG62,0)+IF($P167&lt;&gt;0,'Técnicas de Ki'!AH62,0)+IF($Q167&lt;&gt;0,'Técnicas de Ki'!AI62,0)+IF($R167&lt;&gt;0,'Técnicas de Ki'!AJ62,0)+IF($S167&lt;&gt;0,'Técnicas de Ki'!AK62,0)+IF($T167&lt;&gt;0,'Técnicas de Ki'!AL62,0)),0))</f>
        <v>0</v>
      </c>
      <c r="AR167" s="538">
        <f>IF('Técnicas de Ki'!W62=0,0,IF('Técnicas de Ki'!AD62=TS!AR$119,'Técnicas de Ki'!X62-(IF($O167&lt;&gt;0,'Técnicas de Ki'!AG62,0)+IF($P167&lt;&gt;0,'Técnicas de Ki'!AH62,0)+IF($Q167&lt;&gt;0,'Técnicas de Ki'!AI62,0)+IF($R167&lt;&gt;0,'Técnicas de Ki'!AJ62,0)+IF($S167&lt;&gt;0,'Técnicas de Ki'!AK62,0)+IF($T167&lt;&gt;0,'Técnicas de Ki'!AL62,0)),0))</f>
        <v>0</v>
      </c>
      <c r="AS167" s="538">
        <f>IF('Técnicas de Ki'!W62=0,0,IF('Técnicas de Ki'!AD62=TS!AS$119,'Técnicas de Ki'!X62-(IF($O167&lt;&gt;0,'Técnicas de Ki'!AG62,0)+IF($P167&lt;&gt;0,'Técnicas de Ki'!AH62,0)+IF($Q167&lt;&gt;0,'Técnicas de Ki'!AI62,0)+IF($R167&lt;&gt;0,'Técnicas de Ki'!AJ62,0)+IF($S167&lt;&gt;0,'Técnicas de Ki'!AK62,0)+IF($T167&lt;&gt;0,'Técnicas de Ki'!AL62,0)),0))</f>
        <v>0</v>
      </c>
      <c r="AT167" s="538">
        <f>IF('Técnicas de Ki'!W62=0,0,IF('Técnicas de Ki'!AD62=TS!AT$119,'Técnicas de Ki'!X62-(IF($O167&lt;&gt;0,'Técnicas de Ki'!AG62,0)+IF($P167&lt;&gt;0,'Técnicas de Ki'!AH62,0)+IF($Q167&lt;&gt;0,'Técnicas de Ki'!AI62,0)+IF($R167&lt;&gt;0,'Técnicas de Ki'!AJ62,0)+IF($S167&lt;&gt;0,'Técnicas de Ki'!AK62,0)+IF($T167&lt;&gt;0,'Técnicas de Ki'!AL62,0)),0))</f>
        <v>0</v>
      </c>
      <c r="AU167" s="538">
        <f>IF('Técnicas de Ki'!W62=0,0,IF('Técnicas de Ki'!AD62=TS!AU$119,'Técnicas de Ki'!X62-(IF($O167&lt;&gt;0,'Técnicas de Ki'!AG62,0)+IF($P167&lt;&gt;0,'Técnicas de Ki'!AH62,0)+IF($Q167&lt;&gt;0,'Técnicas de Ki'!AI62,0)+IF($R167&lt;&gt;0,'Técnicas de Ki'!AJ62,0)+IF($S167&lt;&gt;0,'Técnicas de Ki'!AK62,0)+IF($T167&lt;&gt;0,'Técnicas de Ki'!AL62,0)),0))</f>
        <v>0</v>
      </c>
      <c r="AV167" s="539">
        <f>IF('Técnicas de Ki'!W62=0,0,IF('Técnicas de Ki'!AD62=TS!AV$119,'Técnicas de Ki'!X62-(IF($O167&lt;&gt;0,'Técnicas de Ki'!AG62,0)+IF($P167&lt;&gt;0,'Técnicas de Ki'!AH62,0)+IF($Q167&lt;&gt;0,'Técnicas de Ki'!AI62,0)+IF($R167&lt;&gt;0,'Técnicas de Ki'!AJ62,0)+IF($S167&lt;&gt;0,'Técnicas de Ki'!AK62,0)+IF($T167&lt;&gt;0,'Técnicas de Ki'!AL62,0)),0))</f>
        <v>0</v>
      </c>
      <c r="AW167" s="538">
        <f>IF('Técnicas de Ki'!W62=0,0,IFERROR(IF('Técnicas de Ki'!AG62&lt;&gt;0,'Técnicas de Ki'!AG62+TS!$O167,0)*$O167/$O167,0))</f>
        <v>0</v>
      </c>
      <c r="AX167" s="538">
        <f>IF('Técnicas de Ki'!W62=0,0,IFERROR(IF('Técnicas de Ki'!AH62&lt;&gt;0,'Técnicas de Ki'!AH62+TS!$P167,0)*$P167/$P167,0))</f>
        <v>0</v>
      </c>
      <c r="AY167" s="538">
        <f>IF('Técnicas de Ki'!W62=0,0,IFERROR(IF('Técnicas de Ki'!AI62&lt;&gt;0,'Técnicas de Ki'!AI62+TS!$Q167,0)*$Q167/$Q167,0))</f>
        <v>0</v>
      </c>
      <c r="AZ167" s="538">
        <f>IF('Técnicas de Ki'!W62=0,0,IFERROR(IF('Técnicas de Ki'!AJ62&lt;&gt;0,'Técnicas de Ki'!AJ62+TS!$R167,0)*$R167/$R167,0))</f>
        <v>0</v>
      </c>
      <c r="BA167" s="538">
        <f>IF('Técnicas de Ki'!W62=0,0,IFERROR(IF('Técnicas de Ki'!AK62&lt;&gt;0,'Técnicas de Ki'!AK62+TS!$S167,0)*$S167/$S167,0))</f>
        <v>0</v>
      </c>
      <c r="BB167" s="539">
        <f>IF('Técnicas de Ki'!W62=0,0,IFERROR(IF('Técnicas de Ki'!AL62&lt;&gt;0,'Técnicas de Ki'!AL62+TS!$T167,0)*$T167/$T167,0))</f>
        <v>0</v>
      </c>
      <c r="BD167" s="571" t="str">
        <f>IF('Técnicas de Ki'!W68&lt;&gt;0,'Técnicas de Ki'!V68&amp;" "&amp;'Técnicas de Ki'!W68,"")</f>
        <v/>
      </c>
      <c r="BE167" s="302" t="b">
        <f t="shared" ref="BE167:BE230" si="28">OR(BE166,BD166&lt;&gt;"")</f>
        <v>0</v>
      </c>
      <c r="BF167" s="302" t="str">
        <f t="shared" si="5"/>
        <v/>
      </c>
      <c r="BL167" s="537">
        <f>IF('Técnicas de Ki'!AR62=0,0,IF('Técnicas de Ki'!AY62=TS!BL$119,'Técnicas de Ki'!AS62-(IF($O167&lt;&gt;0,'Técnicas de Ki'!BB62,0)+IF($P167&lt;&gt;0,'Técnicas de Ki'!BC62,0)+IF($Q167&lt;&gt;0,'Técnicas de Ki'!BD62,0)+IF($R167&lt;&gt;0,'Técnicas de Ki'!BE62,0)+IF($S167&lt;&gt;0,'Técnicas de Ki'!BF62,0)+IF($T167&lt;&gt;0,'Técnicas de Ki'!BG62,0)),0))</f>
        <v>0</v>
      </c>
      <c r="BM167" s="538">
        <f>IF('Técnicas de Ki'!AR62=0,0,IF('Técnicas de Ki'!AY62=TS!BM$119,'Técnicas de Ki'!AS62-(IF($O167&lt;&gt;0,'Técnicas de Ki'!BB62,0)+IF($P167&lt;&gt;0,'Técnicas de Ki'!BC62,0)+IF($Q167&lt;&gt;0,'Técnicas de Ki'!BD62,0)+IF($R167&lt;&gt;0,'Técnicas de Ki'!BE62,0)+IF($S167&lt;&gt;0,'Técnicas de Ki'!BF62,0)+IF($T167&lt;&gt;0,'Técnicas de Ki'!BG62,0)),0))</f>
        <v>0</v>
      </c>
      <c r="BN167" s="538">
        <f>IF('Técnicas de Ki'!AR62=0,0,IF('Técnicas de Ki'!AY62=TS!BN$119,'Técnicas de Ki'!AS62-(IF($O167&lt;&gt;0,'Técnicas de Ki'!BB62,0)+IF($P167&lt;&gt;0,'Técnicas de Ki'!BC62,0)+IF($Q167&lt;&gt;0,'Técnicas de Ki'!BD62,0)+IF($R167&lt;&gt;0,'Técnicas de Ki'!BE62,0)+IF($S167&lt;&gt;0,'Técnicas de Ki'!BF62,0)+IF($T167&lt;&gt;0,'Técnicas de Ki'!BG62,0)),0))</f>
        <v>0</v>
      </c>
      <c r="BO167" s="538">
        <f>IF('Técnicas de Ki'!AR62=0,0,IF('Técnicas de Ki'!AY62=TS!BO$119,'Técnicas de Ki'!AS62-(IF($O167&lt;&gt;0,'Técnicas de Ki'!BB62,0)+IF($P167&lt;&gt;0,'Técnicas de Ki'!BC62,0)+IF($Q167&lt;&gt;0,'Técnicas de Ki'!BD62,0)+IF($R167&lt;&gt;0,'Técnicas de Ki'!BE62,0)+IF($S167&lt;&gt;0,'Técnicas de Ki'!BF62,0)+IF($T167&lt;&gt;0,'Técnicas de Ki'!BG62,0)),0))</f>
        <v>0</v>
      </c>
      <c r="BP167" s="538">
        <f>IF('Técnicas de Ki'!AR62=0,0,IF('Técnicas de Ki'!AY62=TS!BP$119,'Técnicas de Ki'!AS62-(IF($O167&lt;&gt;0,'Técnicas de Ki'!BB62,0)+IF($P167&lt;&gt;0,'Técnicas de Ki'!BC62,0)+IF($Q167&lt;&gt;0,'Técnicas de Ki'!BD62,0)+IF($R167&lt;&gt;0,'Técnicas de Ki'!BE62,0)+IF($S167&lt;&gt;0,'Técnicas de Ki'!BF62,0)+IF($T167&lt;&gt;0,'Técnicas de Ki'!BG62,0)),0))</f>
        <v>0</v>
      </c>
      <c r="BQ167" s="539">
        <f>IF('Técnicas de Ki'!AR62=0,0,IF('Técnicas de Ki'!AY62=TS!BQ$119,'Técnicas de Ki'!AS62-(IF($O167&lt;&gt;0,'Técnicas de Ki'!BB62,0)+IF($P167&lt;&gt;0,'Técnicas de Ki'!BC62,0)+IF($Q167&lt;&gt;0,'Técnicas de Ki'!BD62,0)+IF($R167&lt;&gt;0,'Técnicas de Ki'!BE62,0)+IF($S167&lt;&gt;0,'Técnicas de Ki'!BF62,0)+IF($T167&lt;&gt;0,'Técnicas de Ki'!BG62,0)),0))</f>
        <v>0</v>
      </c>
      <c r="BR167" s="538">
        <f>IF('Técnicas de Ki'!AR62=0,0,IFERROR(IF('Técnicas de Ki'!BB62&lt;&gt;0,'Técnicas de Ki'!BB62+TS!$O167,0)*$O167/$O167,0))</f>
        <v>0</v>
      </c>
      <c r="BS167" s="538">
        <f>IF('Técnicas de Ki'!AR62=0,0,IFERROR(IF('Técnicas de Ki'!BC62&lt;&gt;0,'Técnicas de Ki'!BC62+TS!$P167,0)*$P167/$P167,0))</f>
        <v>0</v>
      </c>
      <c r="BT167" s="538">
        <f>IF('Técnicas de Ki'!AR62=0,0,IFERROR(IF('Técnicas de Ki'!BD62&lt;&gt;0,'Técnicas de Ki'!BD62+TS!$Q167,0)*$Q167/$Q167,0))</f>
        <v>0</v>
      </c>
      <c r="BU167" s="538">
        <f>IF('Técnicas de Ki'!AR62=0,0,IFERROR(IF('Técnicas de Ki'!BE62&lt;&gt;0,'Técnicas de Ki'!BE62+TS!$R167,0)*$R167/$R167,0))</f>
        <v>0</v>
      </c>
      <c r="BV167" s="538">
        <f>IF('Técnicas de Ki'!AR62=0,0,IFERROR(IF('Técnicas de Ki'!BF62&lt;&gt;0,'Técnicas de Ki'!BF62+TS!$S167,0)*$S167/$S167,0))</f>
        <v>0</v>
      </c>
      <c r="BW167" s="539">
        <f>IF('Técnicas de Ki'!AR62=0,0,IFERROR(IF('Técnicas de Ki'!BG62&lt;&gt;0,'Técnicas de Ki'!BG62+TS!$T167,0)*$T167/$T167,0))</f>
        <v>0</v>
      </c>
      <c r="BY167" s="571" t="str">
        <f>IF('Técnicas de Ki'!AR68&lt;&gt;0,'Técnicas de Ki'!AQ68&amp;" "&amp;'Técnicas de Ki'!AR68,"")</f>
        <v/>
      </c>
      <c r="BZ167" s="302" t="b">
        <f t="shared" ref="BZ167:BZ230" si="29">OR(BZ166,BY166&lt;&gt;"")</f>
        <v>0</v>
      </c>
      <c r="CA167" s="302" t="str">
        <f t="shared" si="6"/>
        <v/>
      </c>
      <c r="CG167" s="537">
        <f>IF('Técnicas de Ki'!BM62=0,0,IF('Técnicas de Ki'!BT62=TS!CG$119,'Técnicas de Ki'!BN62-(IF($O167&lt;&gt;0,'Técnicas de Ki'!BW62,0)+IF($P167&lt;&gt;0,'Técnicas de Ki'!BX62,0)+IF($Q167&lt;&gt;0,'Técnicas de Ki'!BY62,0)+IF($R167&lt;&gt;0,'Técnicas de Ki'!BZ62,0)+IF($S167&lt;&gt;0,'Técnicas de Ki'!CA62,0)+IF($T167&lt;&gt;0,'Técnicas de Ki'!CB62,0)),0))</f>
        <v>0</v>
      </c>
      <c r="CH167" s="538">
        <f>IF('Técnicas de Ki'!BM62=0,0,IF('Técnicas de Ki'!BT62=TS!CH$119,'Técnicas de Ki'!BN62-(IF($O167&lt;&gt;0,'Técnicas de Ki'!BW62,0)+IF($P167&lt;&gt;0,'Técnicas de Ki'!BX62,0)+IF($Q167&lt;&gt;0,'Técnicas de Ki'!BY62,0)+IF($R167&lt;&gt;0,'Técnicas de Ki'!BZ62,0)+IF($S167&lt;&gt;0,'Técnicas de Ki'!CA62,0)+IF($T167&lt;&gt;0,'Técnicas de Ki'!CB62,0)),0))</f>
        <v>0</v>
      </c>
      <c r="CI167" s="538">
        <f>IF('Técnicas de Ki'!BM62=0,0,IF('Técnicas de Ki'!BT62=TS!CI$119,'Técnicas de Ki'!BN62-(IF($O167&lt;&gt;0,'Técnicas de Ki'!BW62,0)+IF($P167&lt;&gt;0,'Técnicas de Ki'!BX62,0)+IF($Q167&lt;&gt;0,'Técnicas de Ki'!BY62,0)+IF($R167&lt;&gt;0,'Técnicas de Ki'!BZ62,0)+IF($S167&lt;&gt;0,'Técnicas de Ki'!CA62,0)+IF($T167&lt;&gt;0,'Técnicas de Ki'!CB62,0)),0))</f>
        <v>0</v>
      </c>
      <c r="CJ167" s="538">
        <f>IF('Técnicas de Ki'!BM62=0,0,IF('Técnicas de Ki'!BT62=TS!CJ$119,'Técnicas de Ki'!BN62-(IF($O167&lt;&gt;0,'Técnicas de Ki'!BW62,0)+IF($P167&lt;&gt;0,'Técnicas de Ki'!BX62,0)+IF($Q167&lt;&gt;0,'Técnicas de Ki'!BY62,0)+IF($R167&lt;&gt;0,'Técnicas de Ki'!BZ62,0)+IF($S167&lt;&gt;0,'Técnicas de Ki'!CA62,0)+IF($T167&lt;&gt;0,'Técnicas de Ki'!CB62,0)),0))</f>
        <v>0</v>
      </c>
      <c r="CK167" s="538">
        <f>IF('Técnicas de Ki'!BM62=0,0,IF('Técnicas de Ki'!BT62=TS!CK$119,'Técnicas de Ki'!BN62-(IF($O167&lt;&gt;0,'Técnicas de Ki'!BW62,0)+IF($P167&lt;&gt;0,'Técnicas de Ki'!BX62,0)+IF($Q167&lt;&gt;0,'Técnicas de Ki'!BY62,0)+IF($R167&lt;&gt;0,'Técnicas de Ki'!BZ62,0)+IF($S167&lt;&gt;0,'Técnicas de Ki'!CA62,0)+IF($T167&lt;&gt;0,'Técnicas de Ki'!CB62,0)),0))</f>
        <v>0</v>
      </c>
      <c r="CL167" s="539">
        <f>IF('Técnicas de Ki'!BM62=0,0,IF('Técnicas de Ki'!BT62=TS!CL$119,'Técnicas de Ki'!BN62-(IF($O167&lt;&gt;0,'Técnicas de Ki'!BW62,0)+IF($P167&lt;&gt;0,'Técnicas de Ki'!BX62,0)+IF($Q167&lt;&gt;0,'Técnicas de Ki'!BY62,0)+IF($R167&lt;&gt;0,'Técnicas de Ki'!BZ62,0)+IF($S167&lt;&gt;0,'Técnicas de Ki'!CA62,0)+IF($T167&lt;&gt;0,'Técnicas de Ki'!CB62,0)),0))</f>
        <v>0</v>
      </c>
      <c r="CM167" s="538">
        <f>IF('Técnicas de Ki'!BM62=0,0,IFERROR(IF('Técnicas de Ki'!BW62&lt;&gt;0,'Técnicas de Ki'!BW62+TS!$O167,0)*$O167/$O167,0))</f>
        <v>0</v>
      </c>
      <c r="CN167" s="538">
        <f>IF('Técnicas de Ki'!BM62=0,0,IFERROR(IF('Técnicas de Ki'!BX62&lt;&gt;0,'Técnicas de Ki'!BX62+TS!$P167,0)*$P167/$P167,0))</f>
        <v>0</v>
      </c>
      <c r="CO167" s="538">
        <f>IF('Técnicas de Ki'!BM62=0,0,IFERROR(IF('Técnicas de Ki'!BY62&lt;&gt;0,'Técnicas de Ki'!BY62+TS!$Q167,0)*$Q167/$Q167,0))</f>
        <v>0</v>
      </c>
      <c r="CP167" s="538">
        <f>IF('Técnicas de Ki'!BM62=0,0,IFERROR(IF('Técnicas de Ki'!BZ62&lt;&gt;0,'Técnicas de Ki'!BZ62+TS!$R167,0)*$R167/$R167,0))</f>
        <v>0</v>
      </c>
      <c r="CQ167" s="538">
        <f>IF('Técnicas de Ki'!BM62=0,0,IFERROR(IF('Técnicas de Ki'!CA62&lt;&gt;0,'Técnicas de Ki'!CA62+TS!$S167,0)*$S167/$S167,0))</f>
        <v>0</v>
      </c>
      <c r="CR167" s="539">
        <f>IF('Técnicas de Ki'!BM62=0,0,IFERROR(IF('Técnicas de Ki'!CB62&lt;&gt;0,'Técnicas de Ki'!CB62+TS!$T167,0)*$T167/$T167,0))</f>
        <v>0</v>
      </c>
      <c r="CT167" s="571" t="str">
        <f>IF('Técnicas de Ki'!BM68&lt;&gt;0,'Técnicas de Ki'!BL68&amp;" "&amp;'Técnicas de Ki'!BM68,"")</f>
        <v/>
      </c>
      <c r="CU167" s="302" t="b">
        <f t="shared" ref="CU167:CU230" si="30">OR(CU166,CT166&lt;&gt;"")</f>
        <v>0</v>
      </c>
      <c r="CV167" s="302" t="str">
        <f t="shared" si="7"/>
        <v/>
      </c>
    </row>
    <row r="168" spans="1:102" x14ac:dyDescent="0.2">
      <c r="A168" s="302" t="s">
        <v>6854</v>
      </c>
      <c r="B168" s="302">
        <v>100</v>
      </c>
      <c r="C168" s="302" t="str">
        <f t="shared" si="15"/>
        <v>Sustitución de daño real100</v>
      </c>
      <c r="D168" s="302">
        <v>5</v>
      </c>
      <c r="E168" s="302">
        <v>8</v>
      </c>
      <c r="F168" s="302">
        <v>15</v>
      </c>
      <c r="G168" s="302">
        <v>5</v>
      </c>
      <c r="H168" s="302">
        <v>10</v>
      </c>
      <c r="I168" s="302">
        <v>18</v>
      </c>
      <c r="J168" s="302">
        <v>1</v>
      </c>
      <c r="N168" t="s">
        <v>6899</v>
      </c>
      <c r="P168" s="302">
        <v>2</v>
      </c>
      <c r="Q168" s="302">
        <v>2</v>
      </c>
      <c r="R168" s="302">
        <v>3</v>
      </c>
      <c r="S168" s="302">
        <v>1</v>
      </c>
      <c r="V168" s="537">
        <f>IF('Técnicas de Ki'!B63=0,0,IF('Técnicas de Ki'!I63=TS!V$119,'Técnicas de Ki'!C63-(IF($O168&lt;&gt;0,'Técnicas de Ki'!L63,0)+IF($P168&lt;&gt;0,'Técnicas de Ki'!M63,0)+IF($Q168&lt;&gt;0,'Técnicas de Ki'!N63,0)+IF($R168&lt;&gt;0,'Técnicas de Ki'!O63,0)+IF($S168&lt;&gt;0,'Técnicas de Ki'!P63,0)+IF($T168&lt;&gt;0,'Técnicas de Ki'!Q63,0)),0))</f>
        <v>0</v>
      </c>
      <c r="W168" s="538">
        <f>IF('Técnicas de Ki'!B63=0,0,IF('Técnicas de Ki'!I63=TS!W$119,'Técnicas de Ki'!C63-(IF($O168&lt;&gt;0,'Técnicas de Ki'!L63,0)+IF($P168&lt;&gt;0,'Técnicas de Ki'!M63,0)+IF($Q168&lt;&gt;0,'Técnicas de Ki'!N63,0)+IF($R168&lt;&gt;0,'Técnicas de Ki'!O63,0)+IF($S168&lt;&gt;0,'Técnicas de Ki'!P63,0)+IF($T168&lt;&gt;0,'Técnicas de Ki'!Q63,0)),0))</f>
        <v>0</v>
      </c>
      <c r="X168" s="538">
        <f>IF('Técnicas de Ki'!B63=0,0,IF('Técnicas de Ki'!I63=TS!X$119,'Técnicas de Ki'!C63-(IF($O168&lt;&gt;0,'Técnicas de Ki'!L63,0)+IF($P168&lt;&gt;0,'Técnicas de Ki'!M63,0)+IF($Q168&lt;&gt;0,'Técnicas de Ki'!N63,0)+IF($R168&lt;&gt;0,'Técnicas de Ki'!O63,0)+IF($S168&lt;&gt;0,'Técnicas de Ki'!P63,0)+IF($T168&lt;&gt;0,'Técnicas de Ki'!Q63,0)),0))</f>
        <v>0</v>
      </c>
      <c r="Y168" s="538">
        <f>IF('Técnicas de Ki'!B63=0,0,IF('Técnicas de Ki'!I63=TS!Y$119,'Técnicas de Ki'!C63-(IF($O168&lt;&gt;0,'Técnicas de Ki'!L63,0)+IF($P168&lt;&gt;0,'Técnicas de Ki'!M63,0)+IF($Q168&lt;&gt;0,'Técnicas de Ki'!N63,0)+IF($R168&lt;&gt;0,'Técnicas de Ki'!O63,0)+IF($S168&lt;&gt;0,'Técnicas de Ki'!P63,0)+IF($T168&lt;&gt;0,'Técnicas de Ki'!Q63,0)),0))</f>
        <v>0</v>
      </c>
      <c r="Z168" s="538">
        <f>IF('Técnicas de Ki'!B63=0,0,IF('Técnicas de Ki'!I63=TS!Z$119,'Técnicas de Ki'!C63-(IF($O168&lt;&gt;0,'Técnicas de Ki'!L63,0)+IF($P168&lt;&gt;0,'Técnicas de Ki'!M63,0)+IF($Q168&lt;&gt;0,'Técnicas de Ki'!N63,0)+IF($R168&lt;&gt;0,'Técnicas de Ki'!O63,0)+IF($S168&lt;&gt;0,'Técnicas de Ki'!P63,0)+IF($T168&lt;&gt;0,'Técnicas de Ki'!Q63,0)),0))</f>
        <v>0</v>
      </c>
      <c r="AA168" s="539">
        <f>IF('Técnicas de Ki'!B63=0,0,IF('Técnicas de Ki'!I63=TS!AA$119,'Técnicas de Ki'!C63-(IF($O168&lt;&gt;0,'Técnicas de Ki'!L63,0)+IF($P168&lt;&gt;0,'Técnicas de Ki'!M63,0)+IF($Q168&lt;&gt;0,'Técnicas de Ki'!N63,0)+IF($R168&lt;&gt;0,'Técnicas de Ki'!O63,0)+IF($S168&lt;&gt;0,'Técnicas de Ki'!P63,0)+IF($T168&lt;&gt;0,'Técnicas de Ki'!Q63,0)),0))</f>
        <v>0</v>
      </c>
      <c r="AB168" s="538">
        <f>IF('Técnicas de Ki'!B63=0,0,IFERROR(IF('Técnicas de Ki'!L63&lt;&gt;0,'Técnicas de Ki'!L63+TS!$O168,0)*$O168/$O168,0))</f>
        <v>0</v>
      </c>
      <c r="AC168" s="538">
        <f>IF('Técnicas de Ki'!B63=0,0,IFERROR(IF('Técnicas de Ki'!M63&lt;&gt;0,'Técnicas de Ki'!M63+TS!$P168,0)*$P168/$P168,0))</f>
        <v>0</v>
      </c>
      <c r="AD168" s="538">
        <f>IF('Técnicas de Ki'!B63=0,0,IFERROR(IF('Técnicas de Ki'!N63&lt;&gt;0,'Técnicas de Ki'!N63+TS!$Q168,0)*$Q168/$Q168,0))</f>
        <v>0</v>
      </c>
      <c r="AE168" s="538">
        <f>IF('Técnicas de Ki'!B63=0,0,IFERROR(IF('Técnicas de Ki'!O63&lt;&gt;0,'Técnicas de Ki'!O63+TS!$R168,0)*$R168/$R168,0))</f>
        <v>0</v>
      </c>
      <c r="AF168" s="538">
        <f>IF('Técnicas de Ki'!B63=0,0,IFERROR(IF('Técnicas de Ki'!P63&lt;&gt;0,'Técnicas de Ki'!P63+TS!$S168,0)*$S168/$S168,0))</f>
        <v>0</v>
      </c>
      <c r="AG168" s="539">
        <f>IF('Técnicas de Ki'!B63=0,0,IFERROR(IF('Técnicas de Ki'!Q63&lt;&gt;0,'Técnicas de Ki'!Q63+TS!$T168,0)*$T168/$T168,0))</f>
        <v>0</v>
      </c>
      <c r="AI168" s="571" t="str">
        <f>IF('Técnicas de Ki'!B69&lt;&gt;0,'Técnicas de Ki'!A69&amp;" "&amp;'Técnicas de Ki'!B69,"")</f>
        <v/>
      </c>
      <c r="AJ168" s="302" t="b">
        <f t="shared" si="8"/>
        <v>0</v>
      </c>
      <c r="AK168" s="302" t="str">
        <f t="shared" si="4"/>
        <v/>
      </c>
      <c r="AQ168" s="537">
        <f>IF('Técnicas de Ki'!W63=0,0,IF('Técnicas de Ki'!AD63=TS!AQ$119,'Técnicas de Ki'!X63-(IF($O168&lt;&gt;0,'Técnicas de Ki'!AG63,0)+IF($P168&lt;&gt;0,'Técnicas de Ki'!AH63,0)+IF($Q168&lt;&gt;0,'Técnicas de Ki'!AI63,0)+IF($R168&lt;&gt;0,'Técnicas de Ki'!AJ63,0)+IF($S168&lt;&gt;0,'Técnicas de Ki'!AK63,0)+IF($T168&lt;&gt;0,'Técnicas de Ki'!AL63,0)),0))</f>
        <v>0</v>
      </c>
      <c r="AR168" s="538">
        <f>IF('Técnicas de Ki'!W63=0,0,IF('Técnicas de Ki'!AD63=TS!AR$119,'Técnicas de Ki'!X63-(IF($O168&lt;&gt;0,'Técnicas de Ki'!AG63,0)+IF($P168&lt;&gt;0,'Técnicas de Ki'!AH63,0)+IF($Q168&lt;&gt;0,'Técnicas de Ki'!AI63,0)+IF($R168&lt;&gt;0,'Técnicas de Ki'!AJ63,0)+IF($S168&lt;&gt;0,'Técnicas de Ki'!AK63,0)+IF($T168&lt;&gt;0,'Técnicas de Ki'!AL63,0)),0))</f>
        <v>0</v>
      </c>
      <c r="AS168" s="538">
        <f>IF('Técnicas de Ki'!W63=0,0,IF('Técnicas de Ki'!AD63=TS!AS$119,'Técnicas de Ki'!X63-(IF($O168&lt;&gt;0,'Técnicas de Ki'!AG63,0)+IF($P168&lt;&gt;0,'Técnicas de Ki'!AH63,0)+IF($Q168&lt;&gt;0,'Técnicas de Ki'!AI63,0)+IF($R168&lt;&gt;0,'Técnicas de Ki'!AJ63,0)+IF($S168&lt;&gt;0,'Técnicas de Ki'!AK63,0)+IF($T168&lt;&gt;0,'Técnicas de Ki'!AL63,0)),0))</f>
        <v>0</v>
      </c>
      <c r="AT168" s="538">
        <f>IF('Técnicas de Ki'!W63=0,0,IF('Técnicas de Ki'!AD63=TS!AT$119,'Técnicas de Ki'!X63-(IF($O168&lt;&gt;0,'Técnicas de Ki'!AG63,0)+IF($P168&lt;&gt;0,'Técnicas de Ki'!AH63,0)+IF($Q168&lt;&gt;0,'Técnicas de Ki'!AI63,0)+IF($R168&lt;&gt;0,'Técnicas de Ki'!AJ63,0)+IF($S168&lt;&gt;0,'Técnicas de Ki'!AK63,0)+IF($T168&lt;&gt;0,'Técnicas de Ki'!AL63,0)),0))</f>
        <v>0</v>
      </c>
      <c r="AU168" s="538">
        <f>IF('Técnicas de Ki'!W63=0,0,IF('Técnicas de Ki'!AD63=TS!AU$119,'Técnicas de Ki'!X63-(IF($O168&lt;&gt;0,'Técnicas de Ki'!AG63,0)+IF($P168&lt;&gt;0,'Técnicas de Ki'!AH63,0)+IF($Q168&lt;&gt;0,'Técnicas de Ki'!AI63,0)+IF($R168&lt;&gt;0,'Técnicas de Ki'!AJ63,0)+IF($S168&lt;&gt;0,'Técnicas de Ki'!AK63,0)+IF($T168&lt;&gt;0,'Técnicas de Ki'!AL63,0)),0))</f>
        <v>0</v>
      </c>
      <c r="AV168" s="539">
        <f>IF('Técnicas de Ki'!W63=0,0,IF('Técnicas de Ki'!AD63=TS!AV$119,'Técnicas de Ki'!X63-(IF($O168&lt;&gt;0,'Técnicas de Ki'!AG63,0)+IF($P168&lt;&gt;0,'Técnicas de Ki'!AH63,0)+IF($Q168&lt;&gt;0,'Técnicas de Ki'!AI63,0)+IF($R168&lt;&gt;0,'Técnicas de Ki'!AJ63,0)+IF($S168&lt;&gt;0,'Técnicas de Ki'!AK63,0)+IF($T168&lt;&gt;0,'Técnicas de Ki'!AL63,0)),0))</f>
        <v>0</v>
      </c>
      <c r="AW168" s="538">
        <f>IF('Técnicas de Ki'!W63=0,0,IFERROR(IF('Técnicas de Ki'!AG63&lt;&gt;0,'Técnicas de Ki'!AG63+TS!$O168,0)*$O168/$O168,0))</f>
        <v>0</v>
      </c>
      <c r="AX168" s="538">
        <f>IF('Técnicas de Ki'!W63=0,0,IFERROR(IF('Técnicas de Ki'!AH63&lt;&gt;0,'Técnicas de Ki'!AH63+TS!$P168,0)*$P168/$P168,0))</f>
        <v>0</v>
      </c>
      <c r="AY168" s="538">
        <f>IF('Técnicas de Ki'!W63=0,0,IFERROR(IF('Técnicas de Ki'!AI63&lt;&gt;0,'Técnicas de Ki'!AI63+TS!$Q168,0)*$Q168/$Q168,0))</f>
        <v>0</v>
      </c>
      <c r="AZ168" s="538">
        <f>IF('Técnicas de Ki'!W63=0,0,IFERROR(IF('Técnicas de Ki'!AJ63&lt;&gt;0,'Técnicas de Ki'!AJ63+TS!$R168,0)*$R168/$R168,0))</f>
        <v>0</v>
      </c>
      <c r="BA168" s="538">
        <f>IF('Técnicas de Ki'!W63=0,0,IFERROR(IF('Técnicas de Ki'!AK63&lt;&gt;0,'Técnicas de Ki'!AK63+TS!$S168,0)*$S168/$S168,0))</f>
        <v>0</v>
      </c>
      <c r="BB168" s="539">
        <f>IF('Técnicas de Ki'!W63=0,0,IFERROR(IF('Técnicas de Ki'!AL63&lt;&gt;0,'Técnicas de Ki'!AL63+TS!$T168,0)*$T168/$T168,0))</f>
        <v>0</v>
      </c>
      <c r="BD168" s="571" t="str">
        <f>IF('Técnicas de Ki'!W69&lt;&gt;0,'Técnicas de Ki'!V69&amp;" "&amp;'Técnicas de Ki'!W69,"")</f>
        <v/>
      </c>
      <c r="BE168" s="302" t="b">
        <f t="shared" si="28"/>
        <v>0</v>
      </c>
      <c r="BF168" s="302" t="str">
        <f t="shared" si="5"/>
        <v/>
      </c>
      <c r="BL168" s="537">
        <f>IF('Técnicas de Ki'!AR63=0,0,IF('Técnicas de Ki'!AY63=TS!BL$119,'Técnicas de Ki'!AS63-(IF($O168&lt;&gt;0,'Técnicas de Ki'!BB63,0)+IF($P168&lt;&gt;0,'Técnicas de Ki'!BC63,0)+IF($Q168&lt;&gt;0,'Técnicas de Ki'!BD63,0)+IF($R168&lt;&gt;0,'Técnicas de Ki'!BE63,0)+IF($S168&lt;&gt;0,'Técnicas de Ki'!BF63,0)+IF($T168&lt;&gt;0,'Técnicas de Ki'!BG63,0)),0))</f>
        <v>0</v>
      </c>
      <c r="BM168" s="538">
        <f>IF('Técnicas de Ki'!AR63=0,0,IF('Técnicas de Ki'!AY63=TS!BM$119,'Técnicas de Ki'!AS63-(IF($O168&lt;&gt;0,'Técnicas de Ki'!BB63,0)+IF($P168&lt;&gt;0,'Técnicas de Ki'!BC63,0)+IF($Q168&lt;&gt;0,'Técnicas de Ki'!BD63,0)+IF($R168&lt;&gt;0,'Técnicas de Ki'!BE63,0)+IF($S168&lt;&gt;0,'Técnicas de Ki'!BF63,0)+IF($T168&lt;&gt;0,'Técnicas de Ki'!BG63,0)),0))</f>
        <v>0</v>
      </c>
      <c r="BN168" s="538">
        <f>IF('Técnicas de Ki'!AR63=0,0,IF('Técnicas de Ki'!AY63=TS!BN$119,'Técnicas de Ki'!AS63-(IF($O168&lt;&gt;0,'Técnicas de Ki'!BB63,0)+IF($P168&lt;&gt;0,'Técnicas de Ki'!BC63,0)+IF($Q168&lt;&gt;0,'Técnicas de Ki'!BD63,0)+IF($R168&lt;&gt;0,'Técnicas de Ki'!BE63,0)+IF($S168&lt;&gt;0,'Técnicas de Ki'!BF63,0)+IF($T168&lt;&gt;0,'Técnicas de Ki'!BG63,0)),0))</f>
        <v>0</v>
      </c>
      <c r="BO168" s="538">
        <f>IF('Técnicas de Ki'!AR63=0,0,IF('Técnicas de Ki'!AY63=TS!BO$119,'Técnicas de Ki'!AS63-(IF($O168&lt;&gt;0,'Técnicas de Ki'!BB63,0)+IF($P168&lt;&gt;0,'Técnicas de Ki'!BC63,0)+IF($Q168&lt;&gt;0,'Técnicas de Ki'!BD63,0)+IF($R168&lt;&gt;0,'Técnicas de Ki'!BE63,0)+IF($S168&lt;&gt;0,'Técnicas de Ki'!BF63,0)+IF($T168&lt;&gt;0,'Técnicas de Ki'!BG63,0)),0))</f>
        <v>0</v>
      </c>
      <c r="BP168" s="538">
        <f>IF('Técnicas de Ki'!AR63=0,0,IF('Técnicas de Ki'!AY63=TS!BP$119,'Técnicas de Ki'!AS63-(IF($O168&lt;&gt;0,'Técnicas de Ki'!BB63,0)+IF($P168&lt;&gt;0,'Técnicas de Ki'!BC63,0)+IF($Q168&lt;&gt;0,'Técnicas de Ki'!BD63,0)+IF($R168&lt;&gt;0,'Técnicas de Ki'!BE63,0)+IF($S168&lt;&gt;0,'Técnicas de Ki'!BF63,0)+IF($T168&lt;&gt;0,'Técnicas de Ki'!BG63,0)),0))</f>
        <v>0</v>
      </c>
      <c r="BQ168" s="539">
        <f>IF('Técnicas de Ki'!AR63=0,0,IF('Técnicas de Ki'!AY63=TS!BQ$119,'Técnicas de Ki'!AS63-(IF($O168&lt;&gt;0,'Técnicas de Ki'!BB63,0)+IF($P168&lt;&gt;0,'Técnicas de Ki'!BC63,0)+IF($Q168&lt;&gt;0,'Técnicas de Ki'!BD63,0)+IF($R168&lt;&gt;0,'Técnicas de Ki'!BE63,0)+IF($S168&lt;&gt;0,'Técnicas de Ki'!BF63,0)+IF($T168&lt;&gt;0,'Técnicas de Ki'!BG63,0)),0))</f>
        <v>0</v>
      </c>
      <c r="BR168" s="538">
        <f>IF('Técnicas de Ki'!AR63=0,0,IFERROR(IF('Técnicas de Ki'!BB63&lt;&gt;0,'Técnicas de Ki'!BB63+TS!$O168,0)*$O168/$O168,0))</f>
        <v>0</v>
      </c>
      <c r="BS168" s="538">
        <f>IF('Técnicas de Ki'!AR63=0,0,IFERROR(IF('Técnicas de Ki'!BC63&lt;&gt;0,'Técnicas de Ki'!BC63+TS!$P168,0)*$P168/$P168,0))</f>
        <v>0</v>
      </c>
      <c r="BT168" s="538">
        <f>IF('Técnicas de Ki'!AR63=0,0,IFERROR(IF('Técnicas de Ki'!BD63&lt;&gt;0,'Técnicas de Ki'!BD63+TS!$Q168,0)*$Q168/$Q168,0))</f>
        <v>0</v>
      </c>
      <c r="BU168" s="538">
        <f>IF('Técnicas de Ki'!AR63=0,0,IFERROR(IF('Técnicas de Ki'!BE63&lt;&gt;0,'Técnicas de Ki'!BE63+TS!$R168,0)*$R168/$R168,0))</f>
        <v>0</v>
      </c>
      <c r="BV168" s="538">
        <f>IF('Técnicas de Ki'!AR63=0,0,IFERROR(IF('Técnicas de Ki'!BF63&lt;&gt;0,'Técnicas de Ki'!BF63+TS!$S168,0)*$S168/$S168,0))</f>
        <v>0</v>
      </c>
      <c r="BW168" s="539">
        <f>IF('Técnicas de Ki'!AR63=0,0,IFERROR(IF('Técnicas de Ki'!BG63&lt;&gt;0,'Técnicas de Ki'!BG63+TS!$T168,0)*$T168/$T168,0))</f>
        <v>0</v>
      </c>
      <c r="BY168" s="571" t="str">
        <f>IF('Técnicas de Ki'!AR69&lt;&gt;0,'Técnicas de Ki'!AQ69&amp;" "&amp;'Técnicas de Ki'!AR69,"")</f>
        <v/>
      </c>
      <c r="BZ168" s="302" t="b">
        <f t="shared" si="29"/>
        <v>0</v>
      </c>
      <c r="CA168" s="302" t="str">
        <f t="shared" si="6"/>
        <v/>
      </c>
      <c r="CG168" s="537">
        <f>IF('Técnicas de Ki'!BM63=0,0,IF('Técnicas de Ki'!BT63=TS!CG$119,'Técnicas de Ki'!BN63-(IF($O168&lt;&gt;0,'Técnicas de Ki'!BW63,0)+IF($P168&lt;&gt;0,'Técnicas de Ki'!BX63,0)+IF($Q168&lt;&gt;0,'Técnicas de Ki'!BY63,0)+IF($R168&lt;&gt;0,'Técnicas de Ki'!BZ63,0)+IF($S168&lt;&gt;0,'Técnicas de Ki'!CA63,0)+IF($T168&lt;&gt;0,'Técnicas de Ki'!CB63,0)),0))</f>
        <v>0</v>
      </c>
      <c r="CH168" s="538">
        <f>IF('Técnicas de Ki'!BM63=0,0,IF('Técnicas de Ki'!BT63=TS!CH$119,'Técnicas de Ki'!BN63-(IF($O168&lt;&gt;0,'Técnicas de Ki'!BW63,0)+IF($P168&lt;&gt;0,'Técnicas de Ki'!BX63,0)+IF($Q168&lt;&gt;0,'Técnicas de Ki'!BY63,0)+IF($R168&lt;&gt;0,'Técnicas de Ki'!BZ63,0)+IF($S168&lt;&gt;0,'Técnicas de Ki'!CA63,0)+IF($T168&lt;&gt;0,'Técnicas de Ki'!CB63,0)),0))</f>
        <v>0</v>
      </c>
      <c r="CI168" s="538">
        <f>IF('Técnicas de Ki'!BM63=0,0,IF('Técnicas de Ki'!BT63=TS!CI$119,'Técnicas de Ki'!BN63-(IF($O168&lt;&gt;0,'Técnicas de Ki'!BW63,0)+IF($P168&lt;&gt;0,'Técnicas de Ki'!BX63,0)+IF($Q168&lt;&gt;0,'Técnicas de Ki'!BY63,0)+IF($R168&lt;&gt;0,'Técnicas de Ki'!BZ63,0)+IF($S168&lt;&gt;0,'Técnicas de Ki'!CA63,0)+IF($T168&lt;&gt;0,'Técnicas de Ki'!CB63,0)),0))</f>
        <v>0</v>
      </c>
      <c r="CJ168" s="538">
        <f>IF('Técnicas de Ki'!BM63=0,0,IF('Técnicas de Ki'!BT63=TS!CJ$119,'Técnicas de Ki'!BN63-(IF($O168&lt;&gt;0,'Técnicas de Ki'!BW63,0)+IF($P168&lt;&gt;0,'Técnicas de Ki'!BX63,0)+IF($Q168&lt;&gt;0,'Técnicas de Ki'!BY63,0)+IF($R168&lt;&gt;0,'Técnicas de Ki'!BZ63,0)+IF($S168&lt;&gt;0,'Técnicas de Ki'!CA63,0)+IF($T168&lt;&gt;0,'Técnicas de Ki'!CB63,0)),0))</f>
        <v>0</v>
      </c>
      <c r="CK168" s="538">
        <f>IF('Técnicas de Ki'!BM63=0,0,IF('Técnicas de Ki'!BT63=TS!CK$119,'Técnicas de Ki'!BN63-(IF($O168&lt;&gt;0,'Técnicas de Ki'!BW63,0)+IF($P168&lt;&gt;0,'Técnicas de Ki'!BX63,0)+IF($Q168&lt;&gt;0,'Técnicas de Ki'!BY63,0)+IF($R168&lt;&gt;0,'Técnicas de Ki'!BZ63,0)+IF($S168&lt;&gt;0,'Técnicas de Ki'!CA63,0)+IF($T168&lt;&gt;0,'Técnicas de Ki'!CB63,0)),0))</f>
        <v>0</v>
      </c>
      <c r="CL168" s="539">
        <f>IF('Técnicas de Ki'!BM63=0,0,IF('Técnicas de Ki'!BT63=TS!CL$119,'Técnicas de Ki'!BN63-(IF($O168&lt;&gt;0,'Técnicas de Ki'!BW63,0)+IF($P168&lt;&gt;0,'Técnicas de Ki'!BX63,0)+IF($Q168&lt;&gt;0,'Técnicas de Ki'!BY63,0)+IF($R168&lt;&gt;0,'Técnicas de Ki'!BZ63,0)+IF($S168&lt;&gt;0,'Técnicas de Ki'!CA63,0)+IF($T168&lt;&gt;0,'Técnicas de Ki'!CB63,0)),0))</f>
        <v>0</v>
      </c>
      <c r="CM168" s="538">
        <f>IF('Técnicas de Ki'!BM63=0,0,IFERROR(IF('Técnicas de Ki'!BW63&lt;&gt;0,'Técnicas de Ki'!BW63+TS!$O168,0)*$O168/$O168,0))</f>
        <v>0</v>
      </c>
      <c r="CN168" s="538">
        <f>IF('Técnicas de Ki'!BM63=0,0,IFERROR(IF('Técnicas de Ki'!BX63&lt;&gt;0,'Técnicas de Ki'!BX63+TS!$P168,0)*$P168/$P168,0))</f>
        <v>0</v>
      </c>
      <c r="CO168" s="538">
        <f>IF('Técnicas de Ki'!BM63=0,0,IFERROR(IF('Técnicas de Ki'!BY63&lt;&gt;0,'Técnicas de Ki'!BY63+TS!$Q168,0)*$Q168/$Q168,0))</f>
        <v>0</v>
      </c>
      <c r="CP168" s="538">
        <f>IF('Técnicas de Ki'!BM63=0,0,IFERROR(IF('Técnicas de Ki'!BZ63&lt;&gt;0,'Técnicas de Ki'!BZ63+TS!$R168,0)*$R168/$R168,0))</f>
        <v>0</v>
      </c>
      <c r="CQ168" s="538">
        <f>IF('Técnicas de Ki'!BM63=0,0,IFERROR(IF('Técnicas de Ki'!CA63&lt;&gt;0,'Técnicas de Ki'!CA63+TS!$S168,0)*$S168/$S168,0))</f>
        <v>0</v>
      </c>
      <c r="CR168" s="539">
        <f>IF('Técnicas de Ki'!BM63=0,0,IFERROR(IF('Técnicas de Ki'!CB63&lt;&gt;0,'Técnicas de Ki'!CB63+TS!$T168,0)*$T168/$T168,0))</f>
        <v>0</v>
      </c>
      <c r="CT168" s="571" t="str">
        <f>IF('Técnicas de Ki'!BM69&lt;&gt;0,'Técnicas de Ki'!BL69&amp;" "&amp;'Técnicas de Ki'!BM69,"")</f>
        <v/>
      </c>
      <c r="CU168" s="302" t="b">
        <f t="shared" si="30"/>
        <v>0</v>
      </c>
      <c r="CV168" s="302" t="str">
        <f t="shared" si="7"/>
        <v/>
      </c>
    </row>
    <row r="169" spans="1:102" x14ac:dyDescent="0.2">
      <c r="A169" s="302" t="s">
        <v>6854</v>
      </c>
      <c r="B169" s="302">
        <v>120</v>
      </c>
      <c r="C169" s="302" t="str">
        <f t="shared" si="15"/>
        <v>Sustitución de daño real120</v>
      </c>
      <c r="D169" s="302">
        <v>8</v>
      </c>
      <c r="E169" s="302">
        <v>11</v>
      </c>
      <c r="F169" s="302">
        <v>20</v>
      </c>
      <c r="G169" s="302">
        <v>6</v>
      </c>
      <c r="H169" s="302">
        <v>12</v>
      </c>
      <c r="I169" s="302">
        <v>21</v>
      </c>
      <c r="J169" s="302">
        <v>1</v>
      </c>
      <c r="N169" t="s">
        <v>6901</v>
      </c>
      <c r="O169" s="302">
        <v>2</v>
      </c>
      <c r="Q169" s="302">
        <v>2</v>
      </c>
      <c r="R169" s="302">
        <v>2</v>
      </c>
      <c r="T169" s="302">
        <v>3</v>
      </c>
      <c r="V169" s="537">
        <f>IF('Técnicas de Ki'!B64=0,0,IF('Técnicas de Ki'!I64=TS!V$119,'Técnicas de Ki'!C64-(IF($O169&lt;&gt;0,'Técnicas de Ki'!L64,0)+IF($P169&lt;&gt;0,'Técnicas de Ki'!M64,0)+IF($Q169&lt;&gt;0,'Técnicas de Ki'!N64,0)+IF($R169&lt;&gt;0,'Técnicas de Ki'!O64,0)+IF($S169&lt;&gt;0,'Técnicas de Ki'!P64,0)+IF($T169&lt;&gt;0,'Técnicas de Ki'!Q64,0)),0))</f>
        <v>0</v>
      </c>
      <c r="W169" s="538">
        <f>IF('Técnicas de Ki'!B64=0,0,IF('Técnicas de Ki'!I64=TS!W$119,'Técnicas de Ki'!C64-(IF($O169&lt;&gt;0,'Técnicas de Ki'!L64,0)+IF($P169&lt;&gt;0,'Técnicas de Ki'!M64,0)+IF($Q169&lt;&gt;0,'Técnicas de Ki'!N64,0)+IF($R169&lt;&gt;0,'Técnicas de Ki'!O64,0)+IF($S169&lt;&gt;0,'Técnicas de Ki'!P64,0)+IF($T169&lt;&gt;0,'Técnicas de Ki'!Q64,0)),0))</f>
        <v>0</v>
      </c>
      <c r="X169" s="538">
        <f>IF('Técnicas de Ki'!B64=0,0,IF('Técnicas de Ki'!I64=TS!X$119,'Técnicas de Ki'!C64-(IF($O169&lt;&gt;0,'Técnicas de Ki'!L64,0)+IF($P169&lt;&gt;0,'Técnicas de Ki'!M64,0)+IF($Q169&lt;&gt;0,'Técnicas de Ki'!N64,0)+IF($R169&lt;&gt;0,'Técnicas de Ki'!O64,0)+IF($S169&lt;&gt;0,'Técnicas de Ki'!P64,0)+IF($T169&lt;&gt;0,'Técnicas de Ki'!Q64,0)),0))</f>
        <v>0</v>
      </c>
      <c r="Y169" s="538">
        <f>IF('Técnicas de Ki'!B64=0,0,IF('Técnicas de Ki'!I64=TS!Y$119,'Técnicas de Ki'!C64-(IF($O169&lt;&gt;0,'Técnicas de Ki'!L64,0)+IF($P169&lt;&gt;0,'Técnicas de Ki'!M64,0)+IF($Q169&lt;&gt;0,'Técnicas de Ki'!N64,0)+IF($R169&lt;&gt;0,'Técnicas de Ki'!O64,0)+IF($S169&lt;&gt;0,'Técnicas de Ki'!P64,0)+IF($T169&lt;&gt;0,'Técnicas de Ki'!Q64,0)),0))</f>
        <v>0</v>
      </c>
      <c r="Z169" s="538">
        <f>IF('Técnicas de Ki'!B64=0,0,IF('Técnicas de Ki'!I64=TS!Z$119,'Técnicas de Ki'!C64-(IF($O169&lt;&gt;0,'Técnicas de Ki'!L64,0)+IF($P169&lt;&gt;0,'Técnicas de Ki'!M64,0)+IF($Q169&lt;&gt;0,'Técnicas de Ki'!N64,0)+IF($R169&lt;&gt;0,'Técnicas de Ki'!O64,0)+IF($S169&lt;&gt;0,'Técnicas de Ki'!P64,0)+IF($T169&lt;&gt;0,'Técnicas de Ki'!Q64,0)),0))</f>
        <v>0</v>
      </c>
      <c r="AA169" s="539">
        <f>IF('Técnicas de Ki'!B64=0,0,IF('Técnicas de Ki'!I64=TS!AA$119,'Técnicas de Ki'!C64-(IF($O169&lt;&gt;0,'Técnicas de Ki'!L64,0)+IF($P169&lt;&gt;0,'Técnicas de Ki'!M64,0)+IF($Q169&lt;&gt;0,'Técnicas de Ki'!N64,0)+IF($R169&lt;&gt;0,'Técnicas de Ki'!O64,0)+IF($S169&lt;&gt;0,'Técnicas de Ki'!P64,0)+IF($T169&lt;&gt;0,'Técnicas de Ki'!Q64,0)),0))</f>
        <v>0</v>
      </c>
      <c r="AB169" s="538">
        <f>IF('Técnicas de Ki'!B64=0,0,IFERROR(IF('Técnicas de Ki'!L64&lt;&gt;0,'Técnicas de Ki'!L64+TS!$O169,0)*$O169/$O169,0))</f>
        <v>0</v>
      </c>
      <c r="AC169" s="538">
        <f>IF('Técnicas de Ki'!B64=0,0,IFERROR(IF('Técnicas de Ki'!M64&lt;&gt;0,'Técnicas de Ki'!M64+TS!$P169,0)*$P169/$P169,0))</f>
        <v>0</v>
      </c>
      <c r="AD169" s="538">
        <f>IF('Técnicas de Ki'!B64=0,0,IFERROR(IF('Técnicas de Ki'!N64&lt;&gt;0,'Técnicas de Ki'!N64+TS!$Q169,0)*$Q169/$Q169,0))</f>
        <v>0</v>
      </c>
      <c r="AE169" s="538">
        <f>IF('Técnicas de Ki'!B64=0,0,IFERROR(IF('Técnicas de Ki'!O64&lt;&gt;0,'Técnicas de Ki'!O64+TS!$R169,0)*$R169/$R169,0))</f>
        <v>0</v>
      </c>
      <c r="AF169" s="538">
        <f>IF('Técnicas de Ki'!B64=0,0,IFERROR(IF('Técnicas de Ki'!P64&lt;&gt;0,'Técnicas de Ki'!P64+TS!$S169,0)*$S169/$S169,0))</f>
        <v>0</v>
      </c>
      <c r="AG169" s="539">
        <f>IF('Técnicas de Ki'!B64=0,0,IFERROR(IF('Técnicas de Ki'!Q64&lt;&gt;0,'Técnicas de Ki'!Q64+TS!$T169,0)*$T169/$T169,0))</f>
        <v>0</v>
      </c>
      <c r="AI169" s="571" t="str">
        <f>IF('Técnicas de Ki'!B70&lt;&gt;0,'Técnicas de Ki'!A70&amp;" "&amp;'Técnicas de Ki'!B70,"")</f>
        <v/>
      </c>
      <c r="AJ169" s="302" t="b">
        <f t="shared" si="8"/>
        <v>0</v>
      </c>
      <c r="AK169" s="302" t="str">
        <f t="shared" si="4"/>
        <v/>
      </c>
      <c r="AQ169" s="537">
        <f>IF('Técnicas de Ki'!W64=0,0,IF('Técnicas de Ki'!AD64=TS!AQ$119,'Técnicas de Ki'!X64-(IF($O169&lt;&gt;0,'Técnicas de Ki'!AG64,0)+IF($P169&lt;&gt;0,'Técnicas de Ki'!AH64,0)+IF($Q169&lt;&gt;0,'Técnicas de Ki'!AI64,0)+IF($R169&lt;&gt;0,'Técnicas de Ki'!AJ64,0)+IF($S169&lt;&gt;0,'Técnicas de Ki'!AK64,0)+IF($T169&lt;&gt;0,'Técnicas de Ki'!AL64,0)),0))</f>
        <v>0</v>
      </c>
      <c r="AR169" s="538">
        <f>IF('Técnicas de Ki'!W64=0,0,IF('Técnicas de Ki'!AD64=TS!AR$119,'Técnicas de Ki'!X64-(IF($O169&lt;&gt;0,'Técnicas de Ki'!AG64,0)+IF($P169&lt;&gt;0,'Técnicas de Ki'!AH64,0)+IF($Q169&lt;&gt;0,'Técnicas de Ki'!AI64,0)+IF($R169&lt;&gt;0,'Técnicas de Ki'!AJ64,0)+IF($S169&lt;&gt;0,'Técnicas de Ki'!AK64,0)+IF($T169&lt;&gt;0,'Técnicas de Ki'!AL64,0)),0))</f>
        <v>0</v>
      </c>
      <c r="AS169" s="538">
        <f>IF('Técnicas de Ki'!W64=0,0,IF('Técnicas de Ki'!AD64=TS!AS$119,'Técnicas de Ki'!X64-(IF($O169&lt;&gt;0,'Técnicas de Ki'!AG64,0)+IF($P169&lt;&gt;0,'Técnicas de Ki'!AH64,0)+IF($Q169&lt;&gt;0,'Técnicas de Ki'!AI64,0)+IF($R169&lt;&gt;0,'Técnicas de Ki'!AJ64,0)+IF($S169&lt;&gt;0,'Técnicas de Ki'!AK64,0)+IF($T169&lt;&gt;0,'Técnicas de Ki'!AL64,0)),0))</f>
        <v>0</v>
      </c>
      <c r="AT169" s="538">
        <f>IF('Técnicas de Ki'!W64=0,0,IF('Técnicas de Ki'!AD64=TS!AT$119,'Técnicas de Ki'!X64-(IF($O169&lt;&gt;0,'Técnicas de Ki'!AG64,0)+IF($P169&lt;&gt;0,'Técnicas de Ki'!AH64,0)+IF($Q169&lt;&gt;0,'Técnicas de Ki'!AI64,0)+IF($R169&lt;&gt;0,'Técnicas de Ki'!AJ64,0)+IF($S169&lt;&gt;0,'Técnicas de Ki'!AK64,0)+IF($T169&lt;&gt;0,'Técnicas de Ki'!AL64,0)),0))</f>
        <v>0</v>
      </c>
      <c r="AU169" s="538">
        <f>IF('Técnicas de Ki'!W64=0,0,IF('Técnicas de Ki'!AD64=TS!AU$119,'Técnicas de Ki'!X64-(IF($O169&lt;&gt;0,'Técnicas de Ki'!AG64,0)+IF($P169&lt;&gt;0,'Técnicas de Ki'!AH64,0)+IF($Q169&lt;&gt;0,'Técnicas de Ki'!AI64,0)+IF($R169&lt;&gt;0,'Técnicas de Ki'!AJ64,0)+IF($S169&lt;&gt;0,'Técnicas de Ki'!AK64,0)+IF($T169&lt;&gt;0,'Técnicas de Ki'!AL64,0)),0))</f>
        <v>0</v>
      </c>
      <c r="AV169" s="539">
        <f>IF('Técnicas de Ki'!W64=0,0,IF('Técnicas de Ki'!AD64=TS!AV$119,'Técnicas de Ki'!X64-(IF($O169&lt;&gt;0,'Técnicas de Ki'!AG64,0)+IF($P169&lt;&gt;0,'Técnicas de Ki'!AH64,0)+IF($Q169&lt;&gt;0,'Técnicas de Ki'!AI64,0)+IF($R169&lt;&gt;0,'Técnicas de Ki'!AJ64,0)+IF($S169&lt;&gt;0,'Técnicas de Ki'!AK64,0)+IF($T169&lt;&gt;0,'Técnicas de Ki'!AL64,0)),0))</f>
        <v>0</v>
      </c>
      <c r="AW169" s="538">
        <f>IF('Técnicas de Ki'!W64=0,0,IFERROR(IF('Técnicas de Ki'!AG64&lt;&gt;0,'Técnicas de Ki'!AG64+TS!$O169,0)*$O169/$O169,0))</f>
        <v>0</v>
      </c>
      <c r="AX169" s="538">
        <f>IF('Técnicas de Ki'!W64=0,0,IFERROR(IF('Técnicas de Ki'!AH64&lt;&gt;0,'Técnicas de Ki'!AH64+TS!$P169,0)*$P169/$P169,0))</f>
        <v>0</v>
      </c>
      <c r="AY169" s="538">
        <f>IF('Técnicas de Ki'!W64=0,0,IFERROR(IF('Técnicas de Ki'!AI64&lt;&gt;0,'Técnicas de Ki'!AI64+TS!$Q169,0)*$Q169/$Q169,0))</f>
        <v>0</v>
      </c>
      <c r="AZ169" s="538">
        <f>IF('Técnicas de Ki'!W64=0,0,IFERROR(IF('Técnicas de Ki'!AJ64&lt;&gt;0,'Técnicas de Ki'!AJ64+TS!$R169,0)*$R169/$R169,0))</f>
        <v>0</v>
      </c>
      <c r="BA169" s="538">
        <f>IF('Técnicas de Ki'!W64=0,0,IFERROR(IF('Técnicas de Ki'!AK64&lt;&gt;0,'Técnicas de Ki'!AK64+TS!$S169,0)*$S169/$S169,0))</f>
        <v>0</v>
      </c>
      <c r="BB169" s="539">
        <f>IF('Técnicas de Ki'!W64=0,0,IFERROR(IF('Técnicas de Ki'!AL64&lt;&gt;0,'Técnicas de Ki'!AL64+TS!$T169,0)*$T169/$T169,0))</f>
        <v>0</v>
      </c>
      <c r="BD169" s="571" t="str">
        <f>IF('Técnicas de Ki'!W70&lt;&gt;0,'Técnicas de Ki'!V70&amp;" "&amp;'Técnicas de Ki'!W70,"")</f>
        <v/>
      </c>
      <c r="BE169" s="302" t="b">
        <f t="shared" si="28"/>
        <v>0</v>
      </c>
      <c r="BF169" s="302" t="str">
        <f t="shared" si="5"/>
        <v/>
      </c>
      <c r="BL169" s="537">
        <f>IF('Técnicas de Ki'!AR64=0,0,IF('Técnicas de Ki'!AY64=TS!BL$119,'Técnicas de Ki'!AS64-(IF($O169&lt;&gt;0,'Técnicas de Ki'!BB64,0)+IF($P169&lt;&gt;0,'Técnicas de Ki'!BC64,0)+IF($Q169&lt;&gt;0,'Técnicas de Ki'!BD64,0)+IF($R169&lt;&gt;0,'Técnicas de Ki'!BE64,0)+IF($S169&lt;&gt;0,'Técnicas de Ki'!BF64,0)+IF($T169&lt;&gt;0,'Técnicas de Ki'!BG64,0)),0))</f>
        <v>0</v>
      </c>
      <c r="BM169" s="538">
        <f>IF('Técnicas de Ki'!AR64=0,0,IF('Técnicas de Ki'!AY64=TS!BM$119,'Técnicas de Ki'!AS64-(IF($O169&lt;&gt;0,'Técnicas de Ki'!BB64,0)+IF($P169&lt;&gt;0,'Técnicas de Ki'!BC64,0)+IF($Q169&lt;&gt;0,'Técnicas de Ki'!BD64,0)+IF($R169&lt;&gt;0,'Técnicas de Ki'!BE64,0)+IF($S169&lt;&gt;0,'Técnicas de Ki'!BF64,0)+IF($T169&lt;&gt;0,'Técnicas de Ki'!BG64,0)),0))</f>
        <v>0</v>
      </c>
      <c r="BN169" s="538">
        <f>IF('Técnicas de Ki'!AR64=0,0,IF('Técnicas de Ki'!AY64=TS!BN$119,'Técnicas de Ki'!AS64-(IF($O169&lt;&gt;0,'Técnicas de Ki'!BB64,0)+IF($P169&lt;&gt;0,'Técnicas de Ki'!BC64,0)+IF($Q169&lt;&gt;0,'Técnicas de Ki'!BD64,0)+IF($R169&lt;&gt;0,'Técnicas de Ki'!BE64,0)+IF($S169&lt;&gt;0,'Técnicas de Ki'!BF64,0)+IF($T169&lt;&gt;0,'Técnicas de Ki'!BG64,0)),0))</f>
        <v>0</v>
      </c>
      <c r="BO169" s="538">
        <f>IF('Técnicas de Ki'!AR64=0,0,IF('Técnicas de Ki'!AY64=TS!BO$119,'Técnicas de Ki'!AS64-(IF($O169&lt;&gt;0,'Técnicas de Ki'!BB64,0)+IF($P169&lt;&gt;0,'Técnicas de Ki'!BC64,0)+IF($Q169&lt;&gt;0,'Técnicas de Ki'!BD64,0)+IF($R169&lt;&gt;0,'Técnicas de Ki'!BE64,0)+IF($S169&lt;&gt;0,'Técnicas de Ki'!BF64,0)+IF($T169&lt;&gt;0,'Técnicas de Ki'!BG64,0)),0))</f>
        <v>0</v>
      </c>
      <c r="BP169" s="538">
        <f>IF('Técnicas de Ki'!AR64=0,0,IF('Técnicas de Ki'!AY64=TS!BP$119,'Técnicas de Ki'!AS64-(IF($O169&lt;&gt;0,'Técnicas de Ki'!BB64,0)+IF($P169&lt;&gt;0,'Técnicas de Ki'!BC64,0)+IF($Q169&lt;&gt;0,'Técnicas de Ki'!BD64,0)+IF($R169&lt;&gt;0,'Técnicas de Ki'!BE64,0)+IF($S169&lt;&gt;0,'Técnicas de Ki'!BF64,0)+IF($T169&lt;&gt;0,'Técnicas de Ki'!BG64,0)),0))</f>
        <v>0</v>
      </c>
      <c r="BQ169" s="539">
        <f>IF('Técnicas de Ki'!AR64=0,0,IF('Técnicas de Ki'!AY64=TS!BQ$119,'Técnicas de Ki'!AS64-(IF($O169&lt;&gt;0,'Técnicas de Ki'!BB64,0)+IF($P169&lt;&gt;0,'Técnicas de Ki'!BC64,0)+IF($Q169&lt;&gt;0,'Técnicas de Ki'!BD64,0)+IF($R169&lt;&gt;0,'Técnicas de Ki'!BE64,0)+IF($S169&lt;&gt;0,'Técnicas de Ki'!BF64,0)+IF($T169&lt;&gt;0,'Técnicas de Ki'!BG64,0)),0))</f>
        <v>0</v>
      </c>
      <c r="BR169" s="538">
        <f>IF('Técnicas de Ki'!AR64=0,0,IFERROR(IF('Técnicas de Ki'!BB64&lt;&gt;0,'Técnicas de Ki'!BB64+TS!$O169,0)*$O169/$O169,0))</f>
        <v>0</v>
      </c>
      <c r="BS169" s="538">
        <f>IF('Técnicas de Ki'!AR64=0,0,IFERROR(IF('Técnicas de Ki'!BC64&lt;&gt;0,'Técnicas de Ki'!BC64+TS!$P169,0)*$P169/$P169,0))</f>
        <v>0</v>
      </c>
      <c r="BT169" s="538">
        <f>IF('Técnicas de Ki'!AR64=0,0,IFERROR(IF('Técnicas de Ki'!BD64&lt;&gt;0,'Técnicas de Ki'!BD64+TS!$Q169,0)*$Q169/$Q169,0))</f>
        <v>0</v>
      </c>
      <c r="BU169" s="538">
        <f>IF('Técnicas de Ki'!AR64=0,0,IFERROR(IF('Técnicas de Ki'!BE64&lt;&gt;0,'Técnicas de Ki'!BE64+TS!$R169,0)*$R169/$R169,0))</f>
        <v>0</v>
      </c>
      <c r="BV169" s="538">
        <f>IF('Técnicas de Ki'!AR64=0,0,IFERROR(IF('Técnicas de Ki'!BF64&lt;&gt;0,'Técnicas de Ki'!BF64+TS!$S169,0)*$S169/$S169,0))</f>
        <v>0</v>
      </c>
      <c r="BW169" s="539">
        <f>IF('Técnicas de Ki'!AR64=0,0,IFERROR(IF('Técnicas de Ki'!BG64&lt;&gt;0,'Técnicas de Ki'!BG64+TS!$T169,0)*$T169/$T169,0))</f>
        <v>0</v>
      </c>
      <c r="BY169" s="571" t="str">
        <f>IF('Técnicas de Ki'!AR70&lt;&gt;0,'Técnicas de Ki'!AQ70&amp;" "&amp;'Técnicas de Ki'!AR70,"")</f>
        <v/>
      </c>
      <c r="BZ169" s="302" t="b">
        <f t="shared" si="29"/>
        <v>0</v>
      </c>
      <c r="CA169" s="302" t="str">
        <f t="shared" si="6"/>
        <v/>
      </c>
      <c r="CG169" s="537">
        <f>IF('Técnicas de Ki'!BM64=0,0,IF('Técnicas de Ki'!BT64=TS!CG$119,'Técnicas de Ki'!BN64-(IF($O169&lt;&gt;0,'Técnicas de Ki'!BW64,0)+IF($P169&lt;&gt;0,'Técnicas de Ki'!BX64,0)+IF($Q169&lt;&gt;0,'Técnicas de Ki'!BY64,0)+IF($R169&lt;&gt;0,'Técnicas de Ki'!BZ64,0)+IF($S169&lt;&gt;0,'Técnicas de Ki'!CA64,0)+IF($T169&lt;&gt;0,'Técnicas de Ki'!CB64,0)),0))</f>
        <v>0</v>
      </c>
      <c r="CH169" s="538">
        <f>IF('Técnicas de Ki'!BM64=0,0,IF('Técnicas de Ki'!BT64=TS!CH$119,'Técnicas de Ki'!BN64-(IF($O169&lt;&gt;0,'Técnicas de Ki'!BW64,0)+IF($P169&lt;&gt;0,'Técnicas de Ki'!BX64,0)+IF($Q169&lt;&gt;0,'Técnicas de Ki'!BY64,0)+IF($R169&lt;&gt;0,'Técnicas de Ki'!BZ64,0)+IF($S169&lt;&gt;0,'Técnicas de Ki'!CA64,0)+IF($T169&lt;&gt;0,'Técnicas de Ki'!CB64,0)),0))</f>
        <v>0</v>
      </c>
      <c r="CI169" s="538">
        <f>IF('Técnicas de Ki'!BM64=0,0,IF('Técnicas de Ki'!BT64=TS!CI$119,'Técnicas de Ki'!BN64-(IF($O169&lt;&gt;0,'Técnicas de Ki'!BW64,0)+IF($P169&lt;&gt;0,'Técnicas de Ki'!BX64,0)+IF($Q169&lt;&gt;0,'Técnicas de Ki'!BY64,0)+IF($R169&lt;&gt;0,'Técnicas de Ki'!BZ64,0)+IF($S169&lt;&gt;0,'Técnicas de Ki'!CA64,0)+IF($T169&lt;&gt;0,'Técnicas de Ki'!CB64,0)),0))</f>
        <v>0</v>
      </c>
      <c r="CJ169" s="538">
        <f>IF('Técnicas de Ki'!BM64=0,0,IF('Técnicas de Ki'!BT64=TS!CJ$119,'Técnicas de Ki'!BN64-(IF($O169&lt;&gt;0,'Técnicas de Ki'!BW64,0)+IF($P169&lt;&gt;0,'Técnicas de Ki'!BX64,0)+IF($Q169&lt;&gt;0,'Técnicas de Ki'!BY64,0)+IF($R169&lt;&gt;0,'Técnicas de Ki'!BZ64,0)+IF($S169&lt;&gt;0,'Técnicas de Ki'!CA64,0)+IF($T169&lt;&gt;0,'Técnicas de Ki'!CB64,0)),0))</f>
        <v>0</v>
      </c>
      <c r="CK169" s="538">
        <f>IF('Técnicas de Ki'!BM64=0,0,IF('Técnicas de Ki'!BT64=TS!CK$119,'Técnicas de Ki'!BN64-(IF($O169&lt;&gt;0,'Técnicas de Ki'!BW64,0)+IF($P169&lt;&gt;0,'Técnicas de Ki'!BX64,0)+IF($Q169&lt;&gt;0,'Técnicas de Ki'!BY64,0)+IF($R169&lt;&gt;0,'Técnicas de Ki'!BZ64,0)+IF($S169&lt;&gt;0,'Técnicas de Ki'!CA64,0)+IF($T169&lt;&gt;0,'Técnicas de Ki'!CB64,0)),0))</f>
        <v>0</v>
      </c>
      <c r="CL169" s="539">
        <f>IF('Técnicas de Ki'!BM64=0,0,IF('Técnicas de Ki'!BT64=TS!CL$119,'Técnicas de Ki'!BN64-(IF($O169&lt;&gt;0,'Técnicas de Ki'!BW64,0)+IF($P169&lt;&gt;0,'Técnicas de Ki'!BX64,0)+IF($Q169&lt;&gt;0,'Técnicas de Ki'!BY64,0)+IF($R169&lt;&gt;0,'Técnicas de Ki'!BZ64,0)+IF($S169&lt;&gt;0,'Técnicas de Ki'!CA64,0)+IF($T169&lt;&gt;0,'Técnicas de Ki'!CB64,0)),0))</f>
        <v>0</v>
      </c>
      <c r="CM169" s="538">
        <f>IF('Técnicas de Ki'!BM64=0,0,IFERROR(IF('Técnicas de Ki'!BW64&lt;&gt;0,'Técnicas de Ki'!BW64+TS!$O169,0)*$O169/$O169,0))</f>
        <v>0</v>
      </c>
      <c r="CN169" s="538">
        <f>IF('Técnicas de Ki'!BM64=0,0,IFERROR(IF('Técnicas de Ki'!BX64&lt;&gt;0,'Técnicas de Ki'!BX64+TS!$P169,0)*$P169/$P169,0))</f>
        <v>0</v>
      </c>
      <c r="CO169" s="538">
        <f>IF('Técnicas de Ki'!BM64=0,0,IFERROR(IF('Técnicas de Ki'!BY64&lt;&gt;0,'Técnicas de Ki'!BY64+TS!$Q169,0)*$Q169/$Q169,0))</f>
        <v>0</v>
      </c>
      <c r="CP169" s="538">
        <f>IF('Técnicas de Ki'!BM64=0,0,IFERROR(IF('Técnicas de Ki'!BZ64&lt;&gt;0,'Técnicas de Ki'!BZ64+TS!$R169,0)*$R169/$R169,0))</f>
        <v>0</v>
      </c>
      <c r="CQ169" s="538">
        <f>IF('Técnicas de Ki'!BM64=0,0,IFERROR(IF('Técnicas de Ki'!CA64&lt;&gt;0,'Técnicas de Ki'!CA64+TS!$S169,0)*$S169/$S169,0))</f>
        <v>0</v>
      </c>
      <c r="CR169" s="539">
        <f>IF('Técnicas de Ki'!BM64=0,0,IFERROR(IF('Técnicas de Ki'!CB64&lt;&gt;0,'Técnicas de Ki'!CB64+TS!$T169,0)*$T169/$T169,0))</f>
        <v>0</v>
      </c>
      <c r="CT169" s="571" t="str">
        <f>IF('Técnicas de Ki'!BM70&lt;&gt;0,'Técnicas de Ki'!BL70&amp;" "&amp;'Técnicas de Ki'!BM70,"")</f>
        <v/>
      </c>
      <c r="CU169" s="302" t="b">
        <f t="shared" si="30"/>
        <v>0</v>
      </c>
      <c r="CV169" s="302" t="str">
        <f t="shared" si="7"/>
        <v/>
      </c>
    </row>
    <row r="170" spans="1:102" x14ac:dyDescent="0.2">
      <c r="A170" s="302" t="s">
        <v>6854</v>
      </c>
      <c r="B170" s="302">
        <v>150</v>
      </c>
      <c r="C170" s="302" t="str">
        <f t="shared" si="15"/>
        <v>Sustitución de daño real150</v>
      </c>
      <c r="D170" s="302">
        <v>12</v>
      </c>
      <c r="E170" s="302">
        <v>15</v>
      </c>
      <c r="F170" s="302">
        <v>30</v>
      </c>
      <c r="G170" s="302">
        <v>8</v>
      </c>
      <c r="H170" s="302">
        <v>16</v>
      </c>
      <c r="I170" s="302">
        <v>28</v>
      </c>
      <c r="J170" s="302">
        <v>2</v>
      </c>
      <c r="N170" t="s">
        <v>6902</v>
      </c>
      <c r="O170" s="302">
        <v>2</v>
      </c>
      <c r="Q170" s="302">
        <v>2</v>
      </c>
      <c r="R170" s="302">
        <v>2</v>
      </c>
      <c r="T170" s="302">
        <v>3</v>
      </c>
      <c r="V170" s="537">
        <f>IF('Técnicas de Ki'!B65=0,0,IF('Técnicas de Ki'!I65=TS!V$119,'Técnicas de Ki'!C65-(IF($O170&lt;&gt;0,'Técnicas de Ki'!L65,0)+IF($P170&lt;&gt;0,'Técnicas de Ki'!M65,0)+IF($Q170&lt;&gt;0,'Técnicas de Ki'!N65,0)+IF($R170&lt;&gt;0,'Técnicas de Ki'!O65,0)+IF($S170&lt;&gt;0,'Técnicas de Ki'!P65,0)+IF($T170&lt;&gt;0,'Técnicas de Ki'!Q65,0)),0))</f>
        <v>0</v>
      </c>
      <c r="W170" s="538">
        <f>IF('Técnicas de Ki'!B65=0,0,IF('Técnicas de Ki'!I65=TS!W$119,'Técnicas de Ki'!C65-(IF($O170&lt;&gt;0,'Técnicas de Ki'!L65,0)+IF($P170&lt;&gt;0,'Técnicas de Ki'!M65,0)+IF($Q170&lt;&gt;0,'Técnicas de Ki'!N65,0)+IF($R170&lt;&gt;0,'Técnicas de Ki'!O65,0)+IF($S170&lt;&gt;0,'Técnicas de Ki'!P65,0)+IF($T170&lt;&gt;0,'Técnicas de Ki'!Q65,0)),0))</f>
        <v>0</v>
      </c>
      <c r="X170" s="538">
        <f>IF('Técnicas de Ki'!B65=0,0,IF('Técnicas de Ki'!I65=TS!X$119,'Técnicas de Ki'!C65-(IF($O170&lt;&gt;0,'Técnicas de Ki'!L65,0)+IF($P170&lt;&gt;0,'Técnicas de Ki'!M65,0)+IF($Q170&lt;&gt;0,'Técnicas de Ki'!N65,0)+IF($R170&lt;&gt;0,'Técnicas de Ki'!O65,0)+IF($S170&lt;&gt;0,'Técnicas de Ki'!P65,0)+IF($T170&lt;&gt;0,'Técnicas de Ki'!Q65,0)),0))</f>
        <v>0</v>
      </c>
      <c r="Y170" s="538">
        <f>IF('Técnicas de Ki'!B65=0,0,IF('Técnicas de Ki'!I65=TS!Y$119,'Técnicas de Ki'!C65-(IF($O170&lt;&gt;0,'Técnicas de Ki'!L65,0)+IF($P170&lt;&gt;0,'Técnicas de Ki'!M65,0)+IF($Q170&lt;&gt;0,'Técnicas de Ki'!N65,0)+IF($R170&lt;&gt;0,'Técnicas de Ki'!O65,0)+IF($S170&lt;&gt;0,'Técnicas de Ki'!P65,0)+IF($T170&lt;&gt;0,'Técnicas de Ki'!Q65,0)),0))</f>
        <v>0</v>
      </c>
      <c r="Z170" s="538">
        <f>IF('Técnicas de Ki'!B65=0,0,IF('Técnicas de Ki'!I65=TS!Z$119,'Técnicas de Ki'!C65-(IF($O170&lt;&gt;0,'Técnicas de Ki'!L65,0)+IF($P170&lt;&gt;0,'Técnicas de Ki'!M65,0)+IF($Q170&lt;&gt;0,'Técnicas de Ki'!N65,0)+IF($R170&lt;&gt;0,'Técnicas de Ki'!O65,0)+IF($S170&lt;&gt;0,'Técnicas de Ki'!P65,0)+IF($T170&lt;&gt;0,'Técnicas de Ki'!Q65,0)),0))</f>
        <v>0</v>
      </c>
      <c r="AA170" s="539">
        <f>IF('Técnicas de Ki'!B65=0,0,IF('Técnicas de Ki'!I65=TS!AA$119,'Técnicas de Ki'!C65-(IF($O170&lt;&gt;0,'Técnicas de Ki'!L65,0)+IF($P170&lt;&gt;0,'Técnicas de Ki'!M65,0)+IF($Q170&lt;&gt;0,'Técnicas de Ki'!N65,0)+IF($R170&lt;&gt;0,'Técnicas de Ki'!O65,0)+IF($S170&lt;&gt;0,'Técnicas de Ki'!P65,0)+IF($T170&lt;&gt;0,'Técnicas de Ki'!Q65,0)),0))</f>
        <v>0</v>
      </c>
      <c r="AB170" s="538">
        <f>IF('Técnicas de Ki'!B65=0,0,IFERROR(IF('Técnicas de Ki'!L65&lt;&gt;0,'Técnicas de Ki'!L65+TS!$O170,0)*$O170/$O170,0))</f>
        <v>0</v>
      </c>
      <c r="AC170" s="538">
        <f>IF('Técnicas de Ki'!B65=0,0,IFERROR(IF('Técnicas de Ki'!M65&lt;&gt;0,'Técnicas de Ki'!M65+TS!$P170,0)*$P170/$P170,0))</f>
        <v>0</v>
      </c>
      <c r="AD170" s="538">
        <f>IF('Técnicas de Ki'!B65=0,0,IFERROR(IF('Técnicas de Ki'!N65&lt;&gt;0,'Técnicas de Ki'!N65+TS!$Q170,0)*$Q170/$Q170,0))</f>
        <v>0</v>
      </c>
      <c r="AE170" s="538">
        <f>IF('Técnicas de Ki'!B65=0,0,IFERROR(IF('Técnicas de Ki'!O65&lt;&gt;0,'Técnicas de Ki'!O65+TS!$R170,0)*$R170/$R170,0))</f>
        <v>0</v>
      </c>
      <c r="AF170" s="538">
        <f>IF('Técnicas de Ki'!B65=0,0,IFERROR(IF('Técnicas de Ki'!P65&lt;&gt;0,'Técnicas de Ki'!P65+TS!$S170,0)*$S170/$S170,0))</f>
        <v>0</v>
      </c>
      <c r="AG170" s="539">
        <f>IF('Técnicas de Ki'!B65=0,0,IFERROR(IF('Técnicas de Ki'!Q65&lt;&gt;0,'Técnicas de Ki'!Q65+TS!$T170,0)*$T170/$T170,0))</f>
        <v>0</v>
      </c>
      <c r="AI170" s="571" t="str">
        <f>IF('Técnicas de Ki'!B71&lt;&gt;0,'Técnicas de Ki'!A71&amp;" "&amp;'Técnicas de Ki'!B71,"")</f>
        <v/>
      </c>
      <c r="AJ170" s="302" t="b">
        <f t="shared" si="8"/>
        <v>0</v>
      </c>
      <c r="AK170" s="302" t="str">
        <f t="shared" si="4"/>
        <v/>
      </c>
      <c r="AQ170" s="537">
        <f>IF('Técnicas de Ki'!W65=0,0,IF('Técnicas de Ki'!AD65=TS!AQ$119,'Técnicas de Ki'!X65-(IF($O170&lt;&gt;0,'Técnicas de Ki'!AG65,0)+IF($P170&lt;&gt;0,'Técnicas de Ki'!AH65,0)+IF($Q170&lt;&gt;0,'Técnicas de Ki'!AI65,0)+IF($R170&lt;&gt;0,'Técnicas de Ki'!AJ65,0)+IF($S170&lt;&gt;0,'Técnicas de Ki'!AK65,0)+IF($T170&lt;&gt;0,'Técnicas de Ki'!AL65,0)),0))</f>
        <v>0</v>
      </c>
      <c r="AR170" s="538">
        <f>IF('Técnicas de Ki'!W65=0,0,IF('Técnicas de Ki'!AD65=TS!AR$119,'Técnicas de Ki'!X65-(IF($O170&lt;&gt;0,'Técnicas de Ki'!AG65,0)+IF($P170&lt;&gt;0,'Técnicas de Ki'!AH65,0)+IF($Q170&lt;&gt;0,'Técnicas de Ki'!AI65,0)+IF($R170&lt;&gt;0,'Técnicas de Ki'!AJ65,0)+IF($S170&lt;&gt;0,'Técnicas de Ki'!AK65,0)+IF($T170&lt;&gt;0,'Técnicas de Ki'!AL65,0)),0))</f>
        <v>0</v>
      </c>
      <c r="AS170" s="538">
        <f>IF('Técnicas de Ki'!W65=0,0,IF('Técnicas de Ki'!AD65=TS!AS$119,'Técnicas de Ki'!X65-(IF($O170&lt;&gt;0,'Técnicas de Ki'!AG65,0)+IF($P170&lt;&gt;0,'Técnicas de Ki'!AH65,0)+IF($Q170&lt;&gt;0,'Técnicas de Ki'!AI65,0)+IF($R170&lt;&gt;0,'Técnicas de Ki'!AJ65,0)+IF($S170&lt;&gt;0,'Técnicas de Ki'!AK65,0)+IF($T170&lt;&gt;0,'Técnicas de Ki'!AL65,0)),0))</f>
        <v>0</v>
      </c>
      <c r="AT170" s="538">
        <f>IF('Técnicas de Ki'!W65=0,0,IF('Técnicas de Ki'!AD65=TS!AT$119,'Técnicas de Ki'!X65-(IF($O170&lt;&gt;0,'Técnicas de Ki'!AG65,0)+IF($P170&lt;&gt;0,'Técnicas de Ki'!AH65,0)+IF($Q170&lt;&gt;0,'Técnicas de Ki'!AI65,0)+IF($R170&lt;&gt;0,'Técnicas de Ki'!AJ65,0)+IF($S170&lt;&gt;0,'Técnicas de Ki'!AK65,0)+IF($T170&lt;&gt;0,'Técnicas de Ki'!AL65,0)),0))</f>
        <v>0</v>
      </c>
      <c r="AU170" s="538">
        <f>IF('Técnicas de Ki'!W65=0,0,IF('Técnicas de Ki'!AD65=TS!AU$119,'Técnicas de Ki'!X65-(IF($O170&lt;&gt;0,'Técnicas de Ki'!AG65,0)+IF($P170&lt;&gt;0,'Técnicas de Ki'!AH65,0)+IF($Q170&lt;&gt;0,'Técnicas de Ki'!AI65,0)+IF($R170&lt;&gt;0,'Técnicas de Ki'!AJ65,0)+IF($S170&lt;&gt;0,'Técnicas de Ki'!AK65,0)+IF($T170&lt;&gt;0,'Técnicas de Ki'!AL65,0)),0))</f>
        <v>0</v>
      </c>
      <c r="AV170" s="539">
        <f>IF('Técnicas de Ki'!W65=0,0,IF('Técnicas de Ki'!AD65=TS!AV$119,'Técnicas de Ki'!X65-(IF($O170&lt;&gt;0,'Técnicas de Ki'!AG65,0)+IF($P170&lt;&gt;0,'Técnicas de Ki'!AH65,0)+IF($Q170&lt;&gt;0,'Técnicas de Ki'!AI65,0)+IF($R170&lt;&gt;0,'Técnicas de Ki'!AJ65,0)+IF($S170&lt;&gt;0,'Técnicas de Ki'!AK65,0)+IF($T170&lt;&gt;0,'Técnicas de Ki'!AL65,0)),0))</f>
        <v>0</v>
      </c>
      <c r="AW170" s="538">
        <f>IF('Técnicas de Ki'!W65=0,0,IFERROR(IF('Técnicas de Ki'!AG65&lt;&gt;0,'Técnicas de Ki'!AG65+TS!$O170,0)*$O170/$O170,0))</f>
        <v>0</v>
      </c>
      <c r="AX170" s="538">
        <f>IF('Técnicas de Ki'!W65=0,0,IFERROR(IF('Técnicas de Ki'!AH65&lt;&gt;0,'Técnicas de Ki'!AH65+TS!$P170,0)*$P170/$P170,0))</f>
        <v>0</v>
      </c>
      <c r="AY170" s="538">
        <f>IF('Técnicas de Ki'!W65=0,0,IFERROR(IF('Técnicas de Ki'!AI65&lt;&gt;0,'Técnicas de Ki'!AI65+TS!$Q170,0)*$Q170/$Q170,0))</f>
        <v>0</v>
      </c>
      <c r="AZ170" s="538">
        <f>IF('Técnicas de Ki'!W65=0,0,IFERROR(IF('Técnicas de Ki'!AJ65&lt;&gt;0,'Técnicas de Ki'!AJ65+TS!$R170,0)*$R170/$R170,0))</f>
        <v>0</v>
      </c>
      <c r="BA170" s="538">
        <f>IF('Técnicas de Ki'!W65=0,0,IFERROR(IF('Técnicas de Ki'!AK65&lt;&gt;0,'Técnicas de Ki'!AK65+TS!$S170,0)*$S170/$S170,0))</f>
        <v>0</v>
      </c>
      <c r="BB170" s="539">
        <f>IF('Técnicas de Ki'!W65=0,0,IFERROR(IF('Técnicas de Ki'!AL65&lt;&gt;0,'Técnicas de Ki'!AL65+TS!$T170,0)*$T170/$T170,0))</f>
        <v>0</v>
      </c>
      <c r="BD170" s="571" t="str">
        <f>IF('Técnicas de Ki'!W71&lt;&gt;0,'Técnicas de Ki'!V71&amp;" "&amp;'Técnicas de Ki'!W71,"")</f>
        <v/>
      </c>
      <c r="BE170" s="302" t="b">
        <f t="shared" si="28"/>
        <v>0</v>
      </c>
      <c r="BF170" s="302" t="str">
        <f t="shared" si="5"/>
        <v/>
      </c>
      <c r="BL170" s="537">
        <f>IF('Técnicas de Ki'!AR65=0,0,IF('Técnicas de Ki'!AY65=TS!BL$119,'Técnicas de Ki'!AS65-(IF($O170&lt;&gt;0,'Técnicas de Ki'!BB65,0)+IF($P170&lt;&gt;0,'Técnicas de Ki'!BC65,0)+IF($Q170&lt;&gt;0,'Técnicas de Ki'!BD65,0)+IF($R170&lt;&gt;0,'Técnicas de Ki'!BE65,0)+IF($S170&lt;&gt;0,'Técnicas de Ki'!BF65,0)+IF($T170&lt;&gt;0,'Técnicas de Ki'!BG65,0)),0))</f>
        <v>0</v>
      </c>
      <c r="BM170" s="538">
        <f>IF('Técnicas de Ki'!AR65=0,0,IF('Técnicas de Ki'!AY65=TS!BM$119,'Técnicas de Ki'!AS65-(IF($O170&lt;&gt;0,'Técnicas de Ki'!BB65,0)+IF($P170&lt;&gt;0,'Técnicas de Ki'!BC65,0)+IF($Q170&lt;&gt;0,'Técnicas de Ki'!BD65,0)+IF($R170&lt;&gt;0,'Técnicas de Ki'!BE65,0)+IF($S170&lt;&gt;0,'Técnicas de Ki'!BF65,0)+IF($T170&lt;&gt;0,'Técnicas de Ki'!BG65,0)),0))</f>
        <v>0</v>
      </c>
      <c r="BN170" s="538">
        <f>IF('Técnicas de Ki'!AR65=0,0,IF('Técnicas de Ki'!AY65=TS!BN$119,'Técnicas de Ki'!AS65-(IF($O170&lt;&gt;0,'Técnicas de Ki'!BB65,0)+IF($P170&lt;&gt;0,'Técnicas de Ki'!BC65,0)+IF($Q170&lt;&gt;0,'Técnicas de Ki'!BD65,0)+IF($R170&lt;&gt;0,'Técnicas de Ki'!BE65,0)+IF($S170&lt;&gt;0,'Técnicas de Ki'!BF65,0)+IF($T170&lt;&gt;0,'Técnicas de Ki'!BG65,0)),0))</f>
        <v>0</v>
      </c>
      <c r="BO170" s="538">
        <f>IF('Técnicas de Ki'!AR65=0,0,IF('Técnicas de Ki'!AY65=TS!BO$119,'Técnicas de Ki'!AS65-(IF($O170&lt;&gt;0,'Técnicas de Ki'!BB65,0)+IF($P170&lt;&gt;0,'Técnicas de Ki'!BC65,0)+IF($Q170&lt;&gt;0,'Técnicas de Ki'!BD65,0)+IF($R170&lt;&gt;0,'Técnicas de Ki'!BE65,0)+IF($S170&lt;&gt;0,'Técnicas de Ki'!BF65,0)+IF($T170&lt;&gt;0,'Técnicas de Ki'!BG65,0)),0))</f>
        <v>0</v>
      </c>
      <c r="BP170" s="538">
        <f>IF('Técnicas de Ki'!AR65=0,0,IF('Técnicas de Ki'!AY65=TS!BP$119,'Técnicas de Ki'!AS65-(IF($O170&lt;&gt;0,'Técnicas de Ki'!BB65,0)+IF($P170&lt;&gt;0,'Técnicas de Ki'!BC65,0)+IF($Q170&lt;&gt;0,'Técnicas de Ki'!BD65,0)+IF($R170&lt;&gt;0,'Técnicas de Ki'!BE65,0)+IF($S170&lt;&gt;0,'Técnicas de Ki'!BF65,0)+IF($T170&lt;&gt;0,'Técnicas de Ki'!BG65,0)),0))</f>
        <v>0</v>
      </c>
      <c r="BQ170" s="539">
        <f>IF('Técnicas de Ki'!AR65=0,0,IF('Técnicas de Ki'!AY65=TS!BQ$119,'Técnicas de Ki'!AS65-(IF($O170&lt;&gt;0,'Técnicas de Ki'!BB65,0)+IF($P170&lt;&gt;0,'Técnicas de Ki'!BC65,0)+IF($Q170&lt;&gt;0,'Técnicas de Ki'!BD65,0)+IF($R170&lt;&gt;0,'Técnicas de Ki'!BE65,0)+IF($S170&lt;&gt;0,'Técnicas de Ki'!BF65,0)+IF($T170&lt;&gt;0,'Técnicas de Ki'!BG65,0)),0))</f>
        <v>0</v>
      </c>
      <c r="BR170" s="538">
        <f>IF('Técnicas de Ki'!AR65=0,0,IFERROR(IF('Técnicas de Ki'!BB65&lt;&gt;0,'Técnicas de Ki'!BB65+TS!$O170,0)*$O170/$O170,0))</f>
        <v>0</v>
      </c>
      <c r="BS170" s="538">
        <f>IF('Técnicas de Ki'!AR65=0,0,IFERROR(IF('Técnicas de Ki'!BC65&lt;&gt;0,'Técnicas de Ki'!BC65+TS!$P170,0)*$P170/$P170,0))</f>
        <v>0</v>
      </c>
      <c r="BT170" s="538">
        <f>IF('Técnicas de Ki'!AR65=0,0,IFERROR(IF('Técnicas de Ki'!BD65&lt;&gt;0,'Técnicas de Ki'!BD65+TS!$Q170,0)*$Q170/$Q170,0))</f>
        <v>0</v>
      </c>
      <c r="BU170" s="538">
        <f>IF('Técnicas de Ki'!AR65=0,0,IFERROR(IF('Técnicas de Ki'!BE65&lt;&gt;0,'Técnicas de Ki'!BE65+TS!$R170,0)*$R170/$R170,0))</f>
        <v>0</v>
      </c>
      <c r="BV170" s="538">
        <f>IF('Técnicas de Ki'!AR65=0,0,IFERROR(IF('Técnicas de Ki'!BF65&lt;&gt;0,'Técnicas de Ki'!BF65+TS!$S170,0)*$S170/$S170,0))</f>
        <v>0</v>
      </c>
      <c r="BW170" s="539">
        <f>IF('Técnicas de Ki'!AR65=0,0,IFERROR(IF('Técnicas de Ki'!BG65&lt;&gt;0,'Técnicas de Ki'!BG65+TS!$T170,0)*$T170/$T170,0))</f>
        <v>0</v>
      </c>
      <c r="BY170" s="571" t="str">
        <f>IF('Técnicas de Ki'!AR71&lt;&gt;0,'Técnicas de Ki'!AQ71&amp;" "&amp;'Técnicas de Ki'!AR71,"")</f>
        <v/>
      </c>
      <c r="BZ170" s="302" t="b">
        <f t="shared" si="29"/>
        <v>0</v>
      </c>
      <c r="CA170" s="302" t="str">
        <f t="shared" si="6"/>
        <v/>
      </c>
      <c r="CG170" s="537">
        <f>IF('Técnicas de Ki'!BM65=0,0,IF('Técnicas de Ki'!BT65=TS!CG$119,'Técnicas de Ki'!BN65-(IF($O170&lt;&gt;0,'Técnicas de Ki'!BW65,0)+IF($P170&lt;&gt;0,'Técnicas de Ki'!BX65,0)+IF($Q170&lt;&gt;0,'Técnicas de Ki'!BY65,0)+IF($R170&lt;&gt;0,'Técnicas de Ki'!BZ65,0)+IF($S170&lt;&gt;0,'Técnicas de Ki'!CA65,0)+IF($T170&lt;&gt;0,'Técnicas de Ki'!CB65,0)),0))</f>
        <v>0</v>
      </c>
      <c r="CH170" s="538">
        <f>IF('Técnicas de Ki'!BM65=0,0,IF('Técnicas de Ki'!BT65=TS!CH$119,'Técnicas de Ki'!BN65-(IF($O170&lt;&gt;0,'Técnicas de Ki'!BW65,0)+IF($P170&lt;&gt;0,'Técnicas de Ki'!BX65,0)+IF($Q170&lt;&gt;0,'Técnicas de Ki'!BY65,0)+IF($R170&lt;&gt;0,'Técnicas de Ki'!BZ65,0)+IF($S170&lt;&gt;0,'Técnicas de Ki'!CA65,0)+IF($T170&lt;&gt;0,'Técnicas de Ki'!CB65,0)),0))</f>
        <v>0</v>
      </c>
      <c r="CI170" s="538">
        <f>IF('Técnicas de Ki'!BM65=0,0,IF('Técnicas de Ki'!BT65=TS!CI$119,'Técnicas de Ki'!BN65-(IF($O170&lt;&gt;0,'Técnicas de Ki'!BW65,0)+IF($P170&lt;&gt;0,'Técnicas de Ki'!BX65,0)+IF($Q170&lt;&gt;0,'Técnicas de Ki'!BY65,0)+IF($R170&lt;&gt;0,'Técnicas de Ki'!BZ65,0)+IF($S170&lt;&gt;0,'Técnicas de Ki'!CA65,0)+IF($T170&lt;&gt;0,'Técnicas de Ki'!CB65,0)),0))</f>
        <v>0</v>
      </c>
      <c r="CJ170" s="538">
        <f>IF('Técnicas de Ki'!BM65=0,0,IF('Técnicas de Ki'!BT65=TS!CJ$119,'Técnicas de Ki'!BN65-(IF($O170&lt;&gt;0,'Técnicas de Ki'!BW65,0)+IF($P170&lt;&gt;0,'Técnicas de Ki'!BX65,0)+IF($Q170&lt;&gt;0,'Técnicas de Ki'!BY65,0)+IF($R170&lt;&gt;0,'Técnicas de Ki'!BZ65,0)+IF($S170&lt;&gt;0,'Técnicas de Ki'!CA65,0)+IF($T170&lt;&gt;0,'Técnicas de Ki'!CB65,0)),0))</f>
        <v>0</v>
      </c>
      <c r="CK170" s="538">
        <f>IF('Técnicas de Ki'!BM65=0,0,IF('Técnicas de Ki'!BT65=TS!CK$119,'Técnicas de Ki'!BN65-(IF($O170&lt;&gt;0,'Técnicas de Ki'!BW65,0)+IF($P170&lt;&gt;0,'Técnicas de Ki'!BX65,0)+IF($Q170&lt;&gt;0,'Técnicas de Ki'!BY65,0)+IF($R170&lt;&gt;0,'Técnicas de Ki'!BZ65,0)+IF($S170&lt;&gt;0,'Técnicas de Ki'!CA65,0)+IF($T170&lt;&gt;0,'Técnicas de Ki'!CB65,0)),0))</f>
        <v>0</v>
      </c>
      <c r="CL170" s="539">
        <f>IF('Técnicas de Ki'!BM65=0,0,IF('Técnicas de Ki'!BT65=TS!CL$119,'Técnicas de Ki'!BN65-(IF($O170&lt;&gt;0,'Técnicas de Ki'!BW65,0)+IF($P170&lt;&gt;0,'Técnicas de Ki'!BX65,0)+IF($Q170&lt;&gt;0,'Técnicas de Ki'!BY65,0)+IF($R170&lt;&gt;0,'Técnicas de Ki'!BZ65,0)+IF($S170&lt;&gt;0,'Técnicas de Ki'!CA65,0)+IF($T170&lt;&gt;0,'Técnicas de Ki'!CB65,0)),0))</f>
        <v>0</v>
      </c>
      <c r="CM170" s="538">
        <f>IF('Técnicas de Ki'!BM65=0,0,IFERROR(IF('Técnicas de Ki'!BW65&lt;&gt;0,'Técnicas de Ki'!BW65+TS!$O170,0)*$O170/$O170,0))</f>
        <v>0</v>
      </c>
      <c r="CN170" s="538">
        <f>IF('Técnicas de Ki'!BM65=0,0,IFERROR(IF('Técnicas de Ki'!BX65&lt;&gt;0,'Técnicas de Ki'!BX65+TS!$P170,0)*$P170/$P170,0))</f>
        <v>0</v>
      </c>
      <c r="CO170" s="538">
        <f>IF('Técnicas de Ki'!BM65=0,0,IFERROR(IF('Técnicas de Ki'!BY65&lt;&gt;0,'Técnicas de Ki'!BY65+TS!$Q170,0)*$Q170/$Q170,0))</f>
        <v>0</v>
      </c>
      <c r="CP170" s="538">
        <f>IF('Técnicas de Ki'!BM65=0,0,IFERROR(IF('Técnicas de Ki'!BZ65&lt;&gt;0,'Técnicas de Ki'!BZ65+TS!$R170,0)*$R170/$R170,0))</f>
        <v>0</v>
      </c>
      <c r="CQ170" s="538">
        <f>IF('Técnicas de Ki'!BM65=0,0,IFERROR(IF('Técnicas de Ki'!CA65&lt;&gt;0,'Técnicas de Ki'!CA65+TS!$S170,0)*$S170/$S170,0))</f>
        <v>0</v>
      </c>
      <c r="CR170" s="539">
        <f>IF('Técnicas de Ki'!BM65=0,0,IFERROR(IF('Técnicas de Ki'!CB65&lt;&gt;0,'Técnicas de Ki'!CB65+TS!$T170,0)*$T170/$T170,0))</f>
        <v>0</v>
      </c>
      <c r="CT170" s="571" t="str">
        <f>IF('Técnicas de Ki'!BM71&lt;&gt;0,'Técnicas de Ki'!BL71&amp;" "&amp;'Técnicas de Ki'!BM71,"")</f>
        <v/>
      </c>
      <c r="CU170" s="302" t="b">
        <f t="shared" si="30"/>
        <v>0</v>
      </c>
      <c r="CV170" s="302" t="str">
        <f t="shared" si="7"/>
        <v/>
      </c>
    </row>
    <row r="171" spans="1:102" x14ac:dyDescent="0.2">
      <c r="A171" s="302" t="s">
        <v>6854</v>
      </c>
      <c r="B171" s="302">
        <v>180</v>
      </c>
      <c r="C171" s="302" t="str">
        <f t="shared" si="15"/>
        <v>Sustitución de daño real180</v>
      </c>
      <c r="D171" s="302">
        <v>15</v>
      </c>
      <c r="E171" s="302">
        <v>19</v>
      </c>
      <c r="F171" s="302">
        <v>40</v>
      </c>
      <c r="G171" s="302">
        <v>10</v>
      </c>
      <c r="H171" s="302">
        <v>20</v>
      </c>
      <c r="I171" s="302">
        <v>35</v>
      </c>
      <c r="J171" s="302">
        <v>2</v>
      </c>
      <c r="N171" s="297" t="s">
        <v>6923</v>
      </c>
      <c r="O171" s="298"/>
      <c r="P171" s="298"/>
      <c r="Q171" s="298"/>
      <c r="R171" s="298"/>
      <c r="S171" s="298"/>
      <c r="T171" s="298"/>
      <c r="V171" s="622"/>
      <c r="W171" s="546"/>
      <c r="X171" s="546"/>
      <c r="Y171" s="546"/>
      <c r="Z171" s="546"/>
      <c r="AA171" s="623"/>
      <c r="AB171" s="615"/>
      <c r="AC171" s="545"/>
      <c r="AD171" s="545"/>
      <c r="AE171" s="545"/>
      <c r="AF171" s="545"/>
      <c r="AG171" s="614"/>
      <c r="AI171" s="571" t="str">
        <f>IF('Técnicas de Ki'!B72&lt;&gt;0,'Técnicas de Ki'!A72&amp;" "&amp;'Técnicas de Ki'!B72,"")</f>
        <v/>
      </c>
      <c r="AJ171" s="302" t="b">
        <f t="shared" si="8"/>
        <v>0</v>
      </c>
      <c r="AK171" s="302" t="str">
        <f t="shared" si="4"/>
        <v/>
      </c>
      <c r="AQ171" s="622"/>
      <c r="AR171" s="546"/>
      <c r="AS171" s="546"/>
      <c r="AT171" s="546"/>
      <c r="AU171" s="546"/>
      <c r="AV171" s="623"/>
      <c r="AW171" s="615"/>
      <c r="AX171" s="545"/>
      <c r="AY171" s="545"/>
      <c r="AZ171" s="545"/>
      <c r="BA171" s="545"/>
      <c r="BB171" s="614"/>
      <c r="BD171" s="571" t="str">
        <f>IF('Técnicas de Ki'!W72&lt;&gt;0,'Técnicas de Ki'!V72&amp;" "&amp;'Técnicas de Ki'!W72,"")</f>
        <v/>
      </c>
      <c r="BE171" s="302" t="b">
        <f t="shared" si="28"/>
        <v>0</v>
      </c>
      <c r="BF171" s="302" t="str">
        <f t="shared" si="5"/>
        <v/>
      </c>
      <c r="BL171" s="622"/>
      <c r="BM171" s="546"/>
      <c r="BN171" s="546"/>
      <c r="BO171" s="546"/>
      <c r="BP171" s="546"/>
      <c r="BQ171" s="623"/>
      <c r="BR171" s="615"/>
      <c r="BS171" s="545"/>
      <c r="BT171" s="545"/>
      <c r="BU171" s="545"/>
      <c r="BV171" s="545"/>
      <c r="BW171" s="614"/>
      <c r="BY171" s="571" t="str">
        <f>IF('Técnicas de Ki'!AR72&lt;&gt;0,'Técnicas de Ki'!AQ72&amp;" "&amp;'Técnicas de Ki'!AR72,"")</f>
        <v/>
      </c>
      <c r="BZ171" s="302" t="b">
        <f t="shared" si="29"/>
        <v>0</v>
      </c>
      <c r="CA171" s="302" t="str">
        <f t="shared" si="6"/>
        <v/>
      </c>
      <c r="CG171" s="622"/>
      <c r="CH171" s="546"/>
      <c r="CI171" s="546"/>
      <c r="CJ171" s="546"/>
      <c r="CK171" s="546"/>
      <c r="CL171" s="623"/>
      <c r="CM171" s="615"/>
      <c r="CN171" s="545"/>
      <c r="CO171" s="545"/>
      <c r="CP171" s="545"/>
      <c r="CQ171" s="545"/>
      <c r="CR171" s="614"/>
      <c r="CT171" s="571" t="str">
        <f>IF('Técnicas de Ki'!BM72&lt;&gt;0,'Técnicas de Ki'!BL72&amp;" "&amp;'Técnicas de Ki'!BM72,"")</f>
        <v/>
      </c>
      <c r="CU171" s="302" t="b">
        <f t="shared" si="30"/>
        <v>0</v>
      </c>
      <c r="CV171" s="302" t="str">
        <f t="shared" si="7"/>
        <v/>
      </c>
    </row>
    <row r="172" spans="1:102" ht="13.5" thickBot="1" x14ac:dyDescent="0.25">
      <c r="A172" s="302" t="s">
        <v>6854</v>
      </c>
      <c r="B172" s="302">
        <v>200</v>
      </c>
      <c r="C172" s="302" t="str">
        <f t="shared" si="15"/>
        <v>Sustitución de daño real200</v>
      </c>
      <c r="D172" s="302">
        <v>18</v>
      </c>
      <c r="E172" s="302">
        <v>22</v>
      </c>
      <c r="F172" s="302">
        <v>50</v>
      </c>
      <c r="G172" s="302">
        <v>12</v>
      </c>
      <c r="H172" s="302">
        <v>24</v>
      </c>
      <c r="I172" s="302">
        <v>42</v>
      </c>
      <c r="J172" s="302">
        <v>3</v>
      </c>
      <c r="N172" t="s">
        <v>6924</v>
      </c>
      <c r="Q172" s="528">
        <v>4</v>
      </c>
      <c r="R172" s="528">
        <v>2</v>
      </c>
      <c r="S172" s="302">
        <v>1</v>
      </c>
      <c r="T172" s="302">
        <v>2</v>
      </c>
      <c r="V172" s="537">
        <f>IF('Técnicas de Ki'!B67=0,0,IF('Técnicas de Ki'!I67=TS!V$119,'Técnicas de Ki'!C67-(IF($O172&lt;&gt;0,'Técnicas de Ki'!L67,0)+IF($P172&lt;&gt;0,'Técnicas de Ki'!M67,0)+IF($Q172&lt;&gt;0,'Técnicas de Ki'!N67,0)+IF($R172&lt;&gt;0,'Técnicas de Ki'!O67,0)+IF($S172&lt;&gt;0,'Técnicas de Ki'!P67,0)+IF($T172&lt;&gt;0,'Técnicas de Ki'!Q67,0)),0))</f>
        <v>0</v>
      </c>
      <c r="W172" s="538">
        <f>IF('Técnicas de Ki'!B67=0,0,IF('Técnicas de Ki'!I67=TS!W$119,'Técnicas de Ki'!C67-(IF($O172&lt;&gt;0,'Técnicas de Ki'!L67,0)+IF($P172&lt;&gt;0,'Técnicas de Ki'!M67,0)+IF($Q172&lt;&gt;0,'Técnicas de Ki'!N67,0)+IF($R172&lt;&gt;0,'Técnicas de Ki'!O67,0)+IF($S172&lt;&gt;0,'Técnicas de Ki'!P67,0)+IF($T172&lt;&gt;0,'Técnicas de Ki'!Q67,0)),0))</f>
        <v>0</v>
      </c>
      <c r="X172" s="538">
        <f>IF('Técnicas de Ki'!B67=0,0,IF('Técnicas de Ki'!I67=TS!X$119,'Técnicas de Ki'!C67-(IF($O172&lt;&gt;0,'Técnicas de Ki'!L67,0)+IF($P172&lt;&gt;0,'Técnicas de Ki'!M67,0)+IF($Q172&lt;&gt;0,'Técnicas de Ki'!N67,0)+IF($R172&lt;&gt;0,'Técnicas de Ki'!O67,0)+IF($S172&lt;&gt;0,'Técnicas de Ki'!P67,0)+IF($T172&lt;&gt;0,'Técnicas de Ki'!Q67,0)),0))</f>
        <v>0</v>
      </c>
      <c r="Y172" s="538">
        <f>IF('Técnicas de Ki'!B67=0,0,IF('Técnicas de Ki'!I67=TS!Y$119,'Técnicas de Ki'!C67-(IF($O172&lt;&gt;0,'Técnicas de Ki'!L67,0)+IF($P172&lt;&gt;0,'Técnicas de Ki'!M67,0)+IF($Q172&lt;&gt;0,'Técnicas de Ki'!N67,0)+IF($R172&lt;&gt;0,'Técnicas de Ki'!O67,0)+IF($S172&lt;&gt;0,'Técnicas de Ki'!P67,0)+IF($T172&lt;&gt;0,'Técnicas de Ki'!Q67,0)),0))</f>
        <v>0</v>
      </c>
      <c r="Z172" s="538">
        <f>IF('Técnicas de Ki'!B67=0,0,IF('Técnicas de Ki'!I67=TS!Z$119,'Técnicas de Ki'!C67-(IF($O172&lt;&gt;0,'Técnicas de Ki'!L67,0)+IF($P172&lt;&gt;0,'Técnicas de Ki'!M67,0)+IF($Q172&lt;&gt;0,'Técnicas de Ki'!N67,0)+IF($R172&lt;&gt;0,'Técnicas de Ki'!O67,0)+IF($S172&lt;&gt;0,'Técnicas de Ki'!P67,0)+IF($T172&lt;&gt;0,'Técnicas de Ki'!Q67,0)),0))</f>
        <v>0</v>
      </c>
      <c r="AA172" s="539">
        <f>IF('Técnicas de Ki'!B67=0,0,IF('Técnicas de Ki'!I67=TS!AA$119,'Técnicas de Ki'!C67-(IF($O172&lt;&gt;0,'Técnicas de Ki'!L67,0)+IF($P172&lt;&gt;0,'Técnicas de Ki'!M67,0)+IF($Q172&lt;&gt;0,'Técnicas de Ki'!N67,0)+IF($R172&lt;&gt;0,'Técnicas de Ki'!O67,0)+IF($S172&lt;&gt;0,'Técnicas de Ki'!P67,0)+IF($T172&lt;&gt;0,'Técnicas de Ki'!Q67,0)),0))</f>
        <v>0</v>
      </c>
      <c r="AB172" s="538">
        <f>IF('Técnicas de Ki'!B67=0,0,IFERROR(IF('Técnicas de Ki'!L67&lt;&gt;0,'Técnicas de Ki'!L67+TS!$O172,0)*$O172/$O172,0))</f>
        <v>0</v>
      </c>
      <c r="AC172" s="538">
        <f>IF('Técnicas de Ki'!B67=0,0,IFERROR(IF('Técnicas de Ki'!M67&lt;&gt;0,'Técnicas de Ki'!M67+TS!$P172,0)*$P172/$P172,0))</f>
        <v>0</v>
      </c>
      <c r="AD172" s="538">
        <f>IF('Técnicas de Ki'!B67=0,0,IFERROR(IF('Técnicas de Ki'!N67&lt;&gt;0,'Técnicas de Ki'!N67+TS!$Q172,0)*$Q172/$Q172,0))</f>
        <v>0</v>
      </c>
      <c r="AE172" s="538">
        <f>IF('Técnicas de Ki'!B67=0,0,IFERROR(IF('Técnicas de Ki'!O67&lt;&gt;0,'Técnicas de Ki'!O67+TS!$R172,0)*$R172/$R172,0))</f>
        <v>0</v>
      </c>
      <c r="AF172" s="538">
        <f>IF('Técnicas de Ki'!B67=0,0,IFERROR(IF('Técnicas de Ki'!P67&lt;&gt;0,'Técnicas de Ki'!P67+TS!$S172,0)*$S172/$S172,0))</f>
        <v>0</v>
      </c>
      <c r="AG172" s="539">
        <f>IF('Técnicas de Ki'!B67=0,0,IFERROR(IF('Técnicas de Ki'!Q67&lt;&gt;0,'Técnicas de Ki'!Q67+TS!$T172,0)*$T172/$T172,0))</f>
        <v>0</v>
      </c>
      <c r="AI172" s="572" t="str">
        <f>IF('Técnicas de Ki'!B73&lt;&gt;0,'Técnicas de Ki'!A73&amp;" "&amp;'Técnicas de Ki'!B73,"")</f>
        <v/>
      </c>
      <c r="AJ172" s="302" t="b">
        <f t="shared" si="8"/>
        <v>0</v>
      </c>
      <c r="AK172" s="302" t="str">
        <f t="shared" si="4"/>
        <v/>
      </c>
      <c r="AQ172" s="537">
        <f>IF('Técnicas de Ki'!W67=0,0,IF('Técnicas de Ki'!AD67=TS!AQ$119,'Técnicas de Ki'!X67-(IF($O172&lt;&gt;0,'Técnicas de Ki'!AG67,0)+IF($P172&lt;&gt;0,'Técnicas de Ki'!AH67,0)+IF($Q172&lt;&gt;0,'Técnicas de Ki'!AI67,0)+IF($R172&lt;&gt;0,'Técnicas de Ki'!AJ67,0)+IF($S172&lt;&gt;0,'Técnicas de Ki'!AK67,0)+IF($T172&lt;&gt;0,'Técnicas de Ki'!AL67,0)),0))</f>
        <v>0</v>
      </c>
      <c r="AR172" s="538">
        <f>IF('Técnicas de Ki'!W67=0,0,IF('Técnicas de Ki'!AD67=TS!AR$119,'Técnicas de Ki'!X67-(IF($O172&lt;&gt;0,'Técnicas de Ki'!AG67,0)+IF($P172&lt;&gt;0,'Técnicas de Ki'!AH67,0)+IF($Q172&lt;&gt;0,'Técnicas de Ki'!AI67,0)+IF($R172&lt;&gt;0,'Técnicas de Ki'!AJ67,0)+IF($S172&lt;&gt;0,'Técnicas de Ki'!AK67,0)+IF($T172&lt;&gt;0,'Técnicas de Ki'!AL67,0)),0))</f>
        <v>0</v>
      </c>
      <c r="AS172" s="538">
        <f>IF('Técnicas de Ki'!W67=0,0,IF('Técnicas de Ki'!AD67=TS!AS$119,'Técnicas de Ki'!X67-(IF($O172&lt;&gt;0,'Técnicas de Ki'!AG67,0)+IF($P172&lt;&gt;0,'Técnicas de Ki'!AH67,0)+IF($Q172&lt;&gt;0,'Técnicas de Ki'!AI67,0)+IF($R172&lt;&gt;0,'Técnicas de Ki'!AJ67,0)+IF($S172&lt;&gt;0,'Técnicas de Ki'!AK67,0)+IF($T172&lt;&gt;0,'Técnicas de Ki'!AL67,0)),0))</f>
        <v>0</v>
      </c>
      <c r="AT172" s="538">
        <f>IF('Técnicas de Ki'!W67=0,0,IF('Técnicas de Ki'!AD67=TS!AT$119,'Técnicas de Ki'!X67-(IF($O172&lt;&gt;0,'Técnicas de Ki'!AG67,0)+IF($P172&lt;&gt;0,'Técnicas de Ki'!AH67,0)+IF($Q172&lt;&gt;0,'Técnicas de Ki'!AI67,0)+IF($R172&lt;&gt;0,'Técnicas de Ki'!AJ67,0)+IF($S172&lt;&gt;0,'Técnicas de Ki'!AK67,0)+IF($T172&lt;&gt;0,'Técnicas de Ki'!AL67,0)),0))</f>
        <v>0</v>
      </c>
      <c r="AU172" s="538">
        <f>IF('Técnicas de Ki'!W67=0,0,IF('Técnicas de Ki'!AD67=TS!AU$119,'Técnicas de Ki'!X67-(IF($O172&lt;&gt;0,'Técnicas de Ki'!AG67,0)+IF($P172&lt;&gt;0,'Técnicas de Ki'!AH67,0)+IF($Q172&lt;&gt;0,'Técnicas de Ki'!AI67,0)+IF($R172&lt;&gt;0,'Técnicas de Ki'!AJ67,0)+IF($S172&lt;&gt;0,'Técnicas de Ki'!AK67,0)+IF($T172&lt;&gt;0,'Técnicas de Ki'!AL67,0)),0))</f>
        <v>0</v>
      </c>
      <c r="AV172" s="539">
        <f>IF('Técnicas de Ki'!W67=0,0,IF('Técnicas de Ki'!AD67=TS!AV$119,'Técnicas de Ki'!X67-(IF($O172&lt;&gt;0,'Técnicas de Ki'!AG67,0)+IF($P172&lt;&gt;0,'Técnicas de Ki'!AH67,0)+IF($Q172&lt;&gt;0,'Técnicas de Ki'!AI67,0)+IF($R172&lt;&gt;0,'Técnicas de Ki'!AJ67,0)+IF($S172&lt;&gt;0,'Técnicas de Ki'!AK67,0)+IF($T172&lt;&gt;0,'Técnicas de Ki'!AL67,0)),0))</f>
        <v>0</v>
      </c>
      <c r="AW172" s="538">
        <f>IF('Técnicas de Ki'!W67=0,0,IFERROR(IF('Técnicas de Ki'!AG67&lt;&gt;0,'Técnicas de Ki'!AG67+TS!$O172,0)*$O172/$O172,0))</f>
        <v>0</v>
      </c>
      <c r="AX172" s="538">
        <f>IF('Técnicas de Ki'!W67=0,0,IFERROR(IF('Técnicas de Ki'!AH67&lt;&gt;0,'Técnicas de Ki'!AH67+TS!$P172,0)*$P172/$P172,0))</f>
        <v>0</v>
      </c>
      <c r="AY172" s="538">
        <f>IF('Técnicas de Ki'!W67=0,0,IFERROR(IF('Técnicas de Ki'!AI67&lt;&gt;0,'Técnicas de Ki'!AI67+TS!$Q172,0)*$Q172/$Q172,0))</f>
        <v>0</v>
      </c>
      <c r="AZ172" s="538">
        <f>IF('Técnicas de Ki'!W67=0,0,IFERROR(IF('Técnicas de Ki'!AJ67&lt;&gt;0,'Técnicas de Ki'!AJ67+TS!$R172,0)*$R172/$R172,0))</f>
        <v>0</v>
      </c>
      <c r="BA172" s="538">
        <f>IF('Técnicas de Ki'!W67=0,0,IFERROR(IF('Técnicas de Ki'!AK67&lt;&gt;0,'Técnicas de Ki'!AK67+TS!$S172,0)*$S172/$S172,0))</f>
        <v>0</v>
      </c>
      <c r="BB172" s="539">
        <f>IF('Técnicas de Ki'!W67=0,0,IFERROR(IF('Técnicas de Ki'!AL67&lt;&gt;0,'Técnicas de Ki'!AL67+TS!$T172,0)*$T172/$T172,0))</f>
        <v>0</v>
      </c>
      <c r="BD172" s="572" t="str">
        <f>IF('Técnicas de Ki'!W73&lt;&gt;0,'Técnicas de Ki'!V73&amp;" "&amp;'Técnicas de Ki'!W73,"")</f>
        <v/>
      </c>
      <c r="BE172" s="302" t="b">
        <f t="shared" si="28"/>
        <v>0</v>
      </c>
      <c r="BF172" s="302" t="str">
        <f t="shared" si="5"/>
        <v/>
      </c>
      <c r="BL172" s="537">
        <f>IF('Técnicas de Ki'!AR67=0,0,IF('Técnicas de Ki'!AY67=TS!BL$119,'Técnicas de Ki'!AS67-(IF($O172&lt;&gt;0,'Técnicas de Ki'!BB67,0)+IF($P172&lt;&gt;0,'Técnicas de Ki'!BC67,0)+IF($Q172&lt;&gt;0,'Técnicas de Ki'!BD67,0)+IF($R172&lt;&gt;0,'Técnicas de Ki'!BE67,0)+IF($S172&lt;&gt;0,'Técnicas de Ki'!BF67,0)+IF($T172&lt;&gt;0,'Técnicas de Ki'!BG67,0)),0))</f>
        <v>0</v>
      </c>
      <c r="BM172" s="538">
        <f>IF('Técnicas de Ki'!AR67=0,0,IF('Técnicas de Ki'!AY67=TS!BM$119,'Técnicas de Ki'!AS67-(IF($O172&lt;&gt;0,'Técnicas de Ki'!BB67,0)+IF($P172&lt;&gt;0,'Técnicas de Ki'!BC67,0)+IF($Q172&lt;&gt;0,'Técnicas de Ki'!BD67,0)+IF($R172&lt;&gt;0,'Técnicas de Ki'!BE67,0)+IF($S172&lt;&gt;0,'Técnicas de Ki'!BF67,0)+IF($T172&lt;&gt;0,'Técnicas de Ki'!BG67,0)),0))</f>
        <v>0</v>
      </c>
      <c r="BN172" s="538">
        <f>IF('Técnicas de Ki'!AR67=0,0,IF('Técnicas de Ki'!AY67=TS!BN$119,'Técnicas de Ki'!AS67-(IF($O172&lt;&gt;0,'Técnicas de Ki'!BB67,0)+IF($P172&lt;&gt;0,'Técnicas de Ki'!BC67,0)+IF($Q172&lt;&gt;0,'Técnicas de Ki'!BD67,0)+IF($R172&lt;&gt;0,'Técnicas de Ki'!BE67,0)+IF($S172&lt;&gt;0,'Técnicas de Ki'!BF67,0)+IF($T172&lt;&gt;0,'Técnicas de Ki'!BG67,0)),0))</f>
        <v>0</v>
      </c>
      <c r="BO172" s="538">
        <f>IF('Técnicas de Ki'!AR67=0,0,IF('Técnicas de Ki'!AY67=TS!BO$119,'Técnicas de Ki'!AS67-(IF($O172&lt;&gt;0,'Técnicas de Ki'!BB67,0)+IF($P172&lt;&gt;0,'Técnicas de Ki'!BC67,0)+IF($Q172&lt;&gt;0,'Técnicas de Ki'!BD67,0)+IF($R172&lt;&gt;0,'Técnicas de Ki'!BE67,0)+IF($S172&lt;&gt;0,'Técnicas de Ki'!BF67,0)+IF($T172&lt;&gt;0,'Técnicas de Ki'!BG67,0)),0))</f>
        <v>0</v>
      </c>
      <c r="BP172" s="538">
        <f>IF('Técnicas de Ki'!AR67=0,0,IF('Técnicas de Ki'!AY67=TS!BP$119,'Técnicas de Ki'!AS67-(IF($O172&lt;&gt;0,'Técnicas de Ki'!BB67,0)+IF($P172&lt;&gt;0,'Técnicas de Ki'!BC67,0)+IF($Q172&lt;&gt;0,'Técnicas de Ki'!BD67,0)+IF($R172&lt;&gt;0,'Técnicas de Ki'!BE67,0)+IF($S172&lt;&gt;0,'Técnicas de Ki'!BF67,0)+IF($T172&lt;&gt;0,'Técnicas de Ki'!BG67,0)),0))</f>
        <v>0</v>
      </c>
      <c r="BQ172" s="539">
        <f>IF('Técnicas de Ki'!AR67=0,0,IF('Técnicas de Ki'!AY67=TS!BQ$119,'Técnicas de Ki'!AS67-(IF($O172&lt;&gt;0,'Técnicas de Ki'!BB67,0)+IF($P172&lt;&gt;0,'Técnicas de Ki'!BC67,0)+IF($Q172&lt;&gt;0,'Técnicas de Ki'!BD67,0)+IF($R172&lt;&gt;0,'Técnicas de Ki'!BE67,0)+IF($S172&lt;&gt;0,'Técnicas de Ki'!BF67,0)+IF($T172&lt;&gt;0,'Técnicas de Ki'!BG67,0)),0))</f>
        <v>0</v>
      </c>
      <c r="BR172" s="538">
        <f>IF('Técnicas de Ki'!AR67=0,0,IFERROR(IF('Técnicas de Ki'!BB67&lt;&gt;0,'Técnicas de Ki'!BB67+TS!$O172,0)*$O172/$O172,0))</f>
        <v>0</v>
      </c>
      <c r="BS172" s="538">
        <f>IF('Técnicas de Ki'!AR67=0,0,IFERROR(IF('Técnicas de Ki'!BC67&lt;&gt;0,'Técnicas de Ki'!BC67+TS!$P172,0)*$P172/$P172,0))</f>
        <v>0</v>
      </c>
      <c r="BT172" s="538">
        <f>IF('Técnicas de Ki'!AR67=0,0,IFERROR(IF('Técnicas de Ki'!BD67&lt;&gt;0,'Técnicas de Ki'!BD67+TS!$Q172,0)*$Q172/$Q172,0))</f>
        <v>0</v>
      </c>
      <c r="BU172" s="538">
        <f>IF('Técnicas de Ki'!AR67=0,0,IFERROR(IF('Técnicas de Ki'!BE67&lt;&gt;0,'Técnicas de Ki'!BE67+TS!$R172,0)*$R172/$R172,0))</f>
        <v>0</v>
      </c>
      <c r="BV172" s="538">
        <f>IF('Técnicas de Ki'!AR67=0,0,IFERROR(IF('Técnicas de Ki'!BF67&lt;&gt;0,'Técnicas de Ki'!BF67+TS!$S172,0)*$S172/$S172,0))</f>
        <v>0</v>
      </c>
      <c r="BW172" s="539">
        <f>IF('Técnicas de Ki'!AR67=0,0,IFERROR(IF('Técnicas de Ki'!BG67&lt;&gt;0,'Técnicas de Ki'!BG67+TS!$T172,0)*$T172/$T172,0))</f>
        <v>0</v>
      </c>
      <c r="BY172" s="572" t="str">
        <f>IF('Técnicas de Ki'!AR73&lt;&gt;0,'Técnicas de Ki'!AQ73&amp;" "&amp;'Técnicas de Ki'!AR73,"")</f>
        <v/>
      </c>
      <c r="BZ172" s="302" t="b">
        <f t="shared" si="29"/>
        <v>0</v>
      </c>
      <c r="CA172" s="302" t="str">
        <f t="shared" si="6"/>
        <v/>
      </c>
      <c r="CG172" s="537">
        <f>IF('Técnicas de Ki'!BM67=0,0,IF('Técnicas de Ki'!BT67=TS!CG$119,'Técnicas de Ki'!BN67-(IF($O172&lt;&gt;0,'Técnicas de Ki'!BW67,0)+IF($P172&lt;&gt;0,'Técnicas de Ki'!BX67,0)+IF($Q172&lt;&gt;0,'Técnicas de Ki'!BY67,0)+IF($R172&lt;&gt;0,'Técnicas de Ki'!BZ67,0)+IF($S172&lt;&gt;0,'Técnicas de Ki'!CA67,0)+IF($T172&lt;&gt;0,'Técnicas de Ki'!CB67,0)),0))</f>
        <v>0</v>
      </c>
      <c r="CH172" s="538">
        <f>IF('Técnicas de Ki'!BM67=0,0,IF('Técnicas de Ki'!BT67=TS!CH$119,'Técnicas de Ki'!BN67-(IF($O172&lt;&gt;0,'Técnicas de Ki'!BW67,0)+IF($P172&lt;&gt;0,'Técnicas de Ki'!BX67,0)+IF($Q172&lt;&gt;0,'Técnicas de Ki'!BY67,0)+IF($R172&lt;&gt;0,'Técnicas de Ki'!BZ67,0)+IF($S172&lt;&gt;0,'Técnicas de Ki'!CA67,0)+IF($T172&lt;&gt;0,'Técnicas de Ki'!CB67,0)),0))</f>
        <v>0</v>
      </c>
      <c r="CI172" s="538">
        <f>IF('Técnicas de Ki'!BM67=0,0,IF('Técnicas de Ki'!BT67=TS!CI$119,'Técnicas de Ki'!BN67-(IF($O172&lt;&gt;0,'Técnicas de Ki'!BW67,0)+IF($P172&lt;&gt;0,'Técnicas de Ki'!BX67,0)+IF($Q172&lt;&gt;0,'Técnicas de Ki'!BY67,0)+IF($R172&lt;&gt;0,'Técnicas de Ki'!BZ67,0)+IF($S172&lt;&gt;0,'Técnicas de Ki'!CA67,0)+IF($T172&lt;&gt;0,'Técnicas de Ki'!CB67,0)),0))</f>
        <v>0</v>
      </c>
      <c r="CJ172" s="538">
        <f>IF('Técnicas de Ki'!BM67=0,0,IF('Técnicas de Ki'!BT67=TS!CJ$119,'Técnicas de Ki'!BN67-(IF($O172&lt;&gt;0,'Técnicas de Ki'!BW67,0)+IF($P172&lt;&gt;0,'Técnicas de Ki'!BX67,0)+IF($Q172&lt;&gt;0,'Técnicas de Ki'!BY67,0)+IF($R172&lt;&gt;0,'Técnicas de Ki'!BZ67,0)+IF($S172&lt;&gt;0,'Técnicas de Ki'!CA67,0)+IF($T172&lt;&gt;0,'Técnicas de Ki'!CB67,0)),0))</f>
        <v>0</v>
      </c>
      <c r="CK172" s="538">
        <f>IF('Técnicas de Ki'!BM67=0,0,IF('Técnicas de Ki'!BT67=TS!CK$119,'Técnicas de Ki'!BN67-(IF($O172&lt;&gt;0,'Técnicas de Ki'!BW67,0)+IF($P172&lt;&gt;0,'Técnicas de Ki'!BX67,0)+IF($Q172&lt;&gt;0,'Técnicas de Ki'!BY67,0)+IF($R172&lt;&gt;0,'Técnicas de Ki'!BZ67,0)+IF($S172&lt;&gt;0,'Técnicas de Ki'!CA67,0)+IF($T172&lt;&gt;0,'Técnicas de Ki'!CB67,0)),0))</f>
        <v>0</v>
      </c>
      <c r="CL172" s="539">
        <f>IF('Técnicas de Ki'!BM67=0,0,IF('Técnicas de Ki'!BT67=TS!CL$119,'Técnicas de Ki'!BN67-(IF($O172&lt;&gt;0,'Técnicas de Ki'!BW67,0)+IF($P172&lt;&gt;0,'Técnicas de Ki'!BX67,0)+IF($Q172&lt;&gt;0,'Técnicas de Ki'!BY67,0)+IF($R172&lt;&gt;0,'Técnicas de Ki'!BZ67,0)+IF($S172&lt;&gt;0,'Técnicas de Ki'!CA67,0)+IF($T172&lt;&gt;0,'Técnicas de Ki'!CB67,0)),0))</f>
        <v>0</v>
      </c>
      <c r="CM172" s="538">
        <f>IF('Técnicas de Ki'!BM67=0,0,IFERROR(IF('Técnicas de Ki'!BW67&lt;&gt;0,'Técnicas de Ki'!BW67+TS!$O172,0)*$O172/$O172,0))</f>
        <v>0</v>
      </c>
      <c r="CN172" s="538">
        <f>IF('Técnicas de Ki'!BM67=0,0,IFERROR(IF('Técnicas de Ki'!BX67&lt;&gt;0,'Técnicas de Ki'!BX67+TS!$P172,0)*$P172/$P172,0))</f>
        <v>0</v>
      </c>
      <c r="CO172" s="538">
        <f>IF('Técnicas de Ki'!BM67=0,0,IFERROR(IF('Técnicas de Ki'!BY67&lt;&gt;0,'Técnicas de Ki'!BY67+TS!$Q172,0)*$Q172/$Q172,0))</f>
        <v>0</v>
      </c>
      <c r="CP172" s="538">
        <f>IF('Técnicas de Ki'!BM67=0,0,IFERROR(IF('Técnicas de Ki'!BZ67&lt;&gt;0,'Técnicas de Ki'!BZ67+TS!$R172,0)*$R172/$R172,0))</f>
        <v>0</v>
      </c>
      <c r="CQ172" s="538">
        <f>IF('Técnicas de Ki'!BM67=0,0,IFERROR(IF('Técnicas de Ki'!CA67&lt;&gt;0,'Técnicas de Ki'!CA67+TS!$S172,0)*$S172/$S172,0))</f>
        <v>0</v>
      </c>
      <c r="CR172" s="539">
        <f>IF('Técnicas de Ki'!BM67=0,0,IFERROR(IF('Técnicas de Ki'!CB67&lt;&gt;0,'Técnicas de Ki'!CB67+TS!$T172,0)*$T172/$T172,0))</f>
        <v>0</v>
      </c>
      <c r="CT172" s="572" t="str">
        <f>IF('Técnicas de Ki'!BM73&lt;&gt;0,'Técnicas de Ki'!BL73&amp;" "&amp;'Técnicas de Ki'!BM73,"")</f>
        <v/>
      </c>
      <c r="CU172" s="302" t="b">
        <f t="shared" si="30"/>
        <v>0</v>
      </c>
      <c r="CV172" s="302" t="str">
        <f t="shared" si="7"/>
        <v/>
      </c>
    </row>
    <row r="173" spans="1:102" ht="13.5" thickBot="1" x14ac:dyDescent="0.25">
      <c r="A173" s="302" t="s">
        <v>6862</v>
      </c>
      <c r="B173" s="301" t="s">
        <v>6803</v>
      </c>
      <c r="C173" s="301" t="str">
        <f t="shared" si="15"/>
        <v>Ataque adicional+1</v>
      </c>
      <c r="D173" s="302">
        <v>6</v>
      </c>
      <c r="E173" s="302">
        <v>9</v>
      </c>
      <c r="F173" s="302">
        <v>20</v>
      </c>
      <c r="G173" s="302">
        <v>3</v>
      </c>
      <c r="H173" s="302">
        <v>6</v>
      </c>
      <c r="I173" s="302">
        <v>11</v>
      </c>
      <c r="J173" s="302">
        <v>1</v>
      </c>
      <c r="N173" t="s">
        <v>6925</v>
      </c>
      <c r="O173" s="302">
        <v>2</v>
      </c>
      <c r="Q173" s="528">
        <v>4</v>
      </c>
      <c r="S173" s="302">
        <v>1</v>
      </c>
      <c r="T173" s="528">
        <v>2</v>
      </c>
      <c r="V173" s="537">
        <f>IF('Técnicas de Ki'!B68=0,0,IF('Técnicas de Ki'!I68=TS!V$119,'Técnicas de Ki'!C68-(IF($O173&lt;&gt;0,'Técnicas de Ki'!L68,0)+IF($P173&lt;&gt;0,'Técnicas de Ki'!M68,0)+IF($Q173&lt;&gt;0,'Técnicas de Ki'!N68,0)+IF($R173&lt;&gt;0,'Técnicas de Ki'!O68,0)+IF($S173&lt;&gt;0,'Técnicas de Ki'!P68,0)+IF($T173&lt;&gt;0,'Técnicas de Ki'!Q68,0)),0))</f>
        <v>0</v>
      </c>
      <c r="W173" s="538">
        <f>IF('Técnicas de Ki'!B68=0,0,IF('Técnicas de Ki'!I68=TS!W$119,'Técnicas de Ki'!C68-(IF($O173&lt;&gt;0,'Técnicas de Ki'!L68,0)+IF($P173&lt;&gt;0,'Técnicas de Ki'!M68,0)+IF($Q173&lt;&gt;0,'Técnicas de Ki'!N68,0)+IF($R173&lt;&gt;0,'Técnicas de Ki'!O68,0)+IF($S173&lt;&gt;0,'Técnicas de Ki'!P68,0)+IF($T173&lt;&gt;0,'Técnicas de Ki'!Q68,0)),0))</f>
        <v>0</v>
      </c>
      <c r="X173" s="538">
        <f>IF('Técnicas de Ki'!B68=0,0,IF('Técnicas de Ki'!I68=TS!X$119,'Técnicas de Ki'!C68-(IF($O173&lt;&gt;0,'Técnicas de Ki'!L68,0)+IF($P173&lt;&gt;0,'Técnicas de Ki'!M68,0)+IF($Q173&lt;&gt;0,'Técnicas de Ki'!N68,0)+IF($R173&lt;&gt;0,'Técnicas de Ki'!O68,0)+IF($S173&lt;&gt;0,'Técnicas de Ki'!P68,0)+IF($T173&lt;&gt;0,'Técnicas de Ki'!Q68,0)),0))</f>
        <v>0</v>
      </c>
      <c r="Y173" s="538">
        <f>IF('Técnicas de Ki'!B68=0,0,IF('Técnicas de Ki'!I68=TS!Y$119,'Técnicas de Ki'!C68-(IF($O173&lt;&gt;0,'Técnicas de Ki'!L68,0)+IF($P173&lt;&gt;0,'Técnicas de Ki'!M68,0)+IF($Q173&lt;&gt;0,'Técnicas de Ki'!N68,0)+IF($R173&lt;&gt;0,'Técnicas de Ki'!O68,0)+IF($S173&lt;&gt;0,'Técnicas de Ki'!P68,0)+IF($T173&lt;&gt;0,'Técnicas de Ki'!Q68,0)),0))</f>
        <v>0</v>
      </c>
      <c r="Z173" s="538">
        <f>IF('Técnicas de Ki'!B68=0,0,IF('Técnicas de Ki'!I68=TS!Z$119,'Técnicas de Ki'!C68-(IF($O173&lt;&gt;0,'Técnicas de Ki'!L68,0)+IF($P173&lt;&gt;0,'Técnicas de Ki'!M68,0)+IF($Q173&lt;&gt;0,'Técnicas de Ki'!N68,0)+IF($R173&lt;&gt;0,'Técnicas de Ki'!O68,0)+IF($S173&lt;&gt;0,'Técnicas de Ki'!P68,0)+IF($T173&lt;&gt;0,'Técnicas de Ki'!Q68,0)),0))</f>
        <v>0</v>
      </c>
      <c r="AA173" s="539">
        <f>IF('Técnicas de Ki'!B68=0,0,IF('Técnicas de Ki'!I68=TS!AA$119,'Técnicas de Ki'!C68-(IF($O173&lt;&gt;0,'Técnicas de Ki'!L68,0)+IF($P173&lt;&gt;0,'Técnicas de Ki'!M68,0)+IF($Q173&lt;&gt;0,'Técnicas de Ki'!N68,0)+IF($R173&lt;&gt;0,'Técnicas de Ki'!O68,0)+IF($S173&lt;&gt;0,'Técnicas de Ki'!P68,0)+IF($T173&lt;&gt;0,'Técnicas de Ki'!Q68,0)),0))</f>
        <v>0</v>
      </c>
      <c r="AB173" s="538">
        <f>IF('Técnicas de Ki'!B68=0,0,IFERROR(IF('Técnicas de Ki'!L68&lt;&gt;0,'Técnicas de Ki'!L68+TS!$O173,0)*$O173/$O173,0))</f>
        <v>0</v>
      </c>
      <c r="AC173" s="538">
        <f>IF('Técnicas de Ki'!B68=0,0,IFERROR(IF('Técnicas de Ki'!M68&lt;&gt;0,'Técnicas de Ki'!M68+TS!$P173,0)*$P173/$P173,0))</f>
        <v>0</v>
      </c>
      <c r="AD173" s="538">
        <f>IF('Técnicas de Ki'!B68=0,0,IFERROR(IF('Técnicas de Ki'!N68&lt;&gt;0,'Técnicas de Ki'!N68+TS!$Q173,0)*$Q173/$Q173,0))</f>
        <v>0</v>
      </c>
      <c r="AE173" s="538">
        <f>IF('Técnicas de Ki'!B68=0,0,IFERROR(IF('Técnicas de Ki'!O68&lt;&gt;0,'Técnicas de Ki'!O68+TS!$R173,0)*$R173/$R173,0))</f>
        <v>0</v>
      </c>
      <c r="AF173" s="538">
        <f>IF('Técnicas de Ki'!B68=0,0,IFERROR(IF('Técnicas de Ki'!P68&lt;&gt;0,'Técnicas de Ki'!P68+TS!$S173,0)*$S173/$S173,0))</f>
        <v>0</v>
      </c>
      <c r="AG173" s="539">
        <f>IF('Técnicas de Ki'!B68=0,0,IFERROR(IF('Técnicas de Ki'!Q68&lt;&gt;0,'Técnicas de Ki'!Q68+TS!$T173,0)*$T173/$T173,0))</f>
        <v>0</v>
      </c>
      <c r="AI173" s="570" t="str">
        <f>IF('Técnicas de Ki'!B75&lt;&gt;0,'Técnicas de Ki'!A75&amp;" "&amp;'Técnicas de Ki'!B75,"")</f>
        <v/>
      </c>
      <c r="AJ173" s="302" t="b">
        <v>0</v>
      </c>
      <c r="AK173" s="302" t="str">
        <f t="shared" si="4"/>
        <v/>
      </c>
      <c r="AL173" s="573" t="str">
        <f>IF(AM173,N179&amp;": "&amp;CONCATENATE(AK173,AK174,AK175,AK176,AK177,AK178,AK179,AK180,AK181),"")&amp;IF(AM173,"  ","")</f>
        <v/>
      </c>
      <c r="AM173" s="302" t="b">
        <f>OR(AJ173:AJ181,AI181&lt;&gt;"")</f>
        <v>0</v>
      </c>
      <c r="AQ173" s="537">
        <f>IF('Técnicas de Ki'!W68=0,0,IF('Técnicas de Ki'!AD68=TS!AQ$119,'Técnicas de Ki'!X68-(IF($O173&lt;&gt;0,'Técnicas de Ki'!AG68,0)+IF($P173&lt;&gt;0,'Técnicas de Ki'!AH68,0)+IF($Q173&lt;&gt;0,'Técnicas de Ki'!AI68,0)+IF($R173&lt;&gt;0,'Técnicas de Ki'!AJ68,0)+IF($S173&lt;&gt;0,'Técnicas de Ki'!AK68,0)+IF($T173&lt;&gt;0,'Técnicas de Ki'!AL68,0)),0))</f>
        <v>0</v>
      </c>
      <c r="AR173" s="538">
        <f>IF('Técnicas de Ki'!W68=0,0,IF('Técnicas de Ki'!AD68=TS!AR$119,'Técnicas de Ki'!X68-(IF($O173&lt;&gt;0,'Técnicas de Ki'!AG68,0)+IF($P173&lt;&gt;0,'Técnicas de Ki'!AH68,0)+IF($Q173&lt;&gt;0,'Técnicas de Ki'!AI68,0)+IF($R173&lt;&gt;0,'Técnicas de Ki'!AJ68,0)+IF($S173&lt;&gt;0,'Técnicas de Ki'!AK68,0)+IF($T173&lt;&gt;0,'Técnicas de Ki'!AL68,0)),0))</f>
        <v>0</v>
      </c>
      <c r="AS173" s="538">
        <f>IF('Técnicas de Ki'!W68=0,0,IF('Técnicas de Ki'!AD68=TS!AS$119,'Técnicas de Ki'!X68-(IF($O173&lt;&gt;0,'Técnicas de Ki'!AG68,0)+IF($P173&lt;&gt;0,'Técnicas de Ki'!AH68,0)+IF($Q173&lt;&gt;0,'Técnicas de Ki'!AI68,0)+IF($R173&lt;&gt;0,'Técnicas de Ki'!AJ68,0)+IF($S173&lt;&gt;0,'Técnicas de Ki'!AK68,0)+IF($T173&lt;&gt;0,'Técnicas de Ki'!AL68,0)),0))</f>
        <v>0</v>
      </c>
      <c r="AT173" s="538">
        <f>IF('Técnicas de Ki'!W68=0,0,IF('Técnicas de Ki'!AD68=TS!AT$119,'Técnicas de Ki'!X68-(IF($O173&lt;&gt;0,'Técnicas de Ki'!AG68,0)+IF($P173&lt;&gt;0,'Técnicas de Ki'!AH68,0)+IF($Q173&lt;&gt;0,'Técnicas de Ki'!AI68,0)+IF($R173&lt;&gt;0,'Técnicas de Ki'!AJ68,0)+IF($S173&lt;&gt;0,'Técnicas de Ki'!AK68,0)+IF($T173&lt;&gt;0,'Técnicas de Ki'!AL68,0)),0))</f>
        <v>0</v>
      </c>
      <c r="AU173" s="538">
        <f>IF('Técnicas de Ki'!W68=0,0,IF('Técnicas de Ki'!AD68=TS!AU$119,'Técnicas de Ki'!X68-(IF($O173&lt;&gt;0,'Técnicas de Ki'!AG68,0)+IF($P173&lt;&gt;0,'Técnicas de Ki'!AH68,0)+IF($Q173&lt;&gt;0,'Técnicas de Ki'!AI68,0)+IF($R173&lt;&gt;0,'Técnicas de Ki'!AJ68,0)+IF($S173&lt;&gt;0,'Técnicas de Ki'!AK68,0)+IF($T173&lt;&gt;0,'Técnicas de Ki'!AL68,0)),0))</f>
        <v>0</v>
      </c>
      <c r="AV173" s="539">
        <f>IF('Técnicas de Ki'!W68=0,0,IF('Técnicas de Ki'!AD68=TS!AV$119,'Técnicas de Ki'!X68-(IF($O173&lt;&gt;0,'Técnicas de Ki'!AG68,0)+IF($P173&lt;&gt;0,'Técnicas de Ki'!AH68,0)+IF($Q173&lt;&gt;0,'Técnicas de Ki'!AI68,0)+IF($R173&lt;&gt;0,'Técnicas de Ki'!AJ68,0)+IF($S173&lt;&gt;0,'Técnicas de Ki'!AK68,0)+IF($T173&lt;&gt;0,'Técnicas de Ki'!AL68,0)),0))</f>
        <v>0</v>
      </c>
      <c r="AW173" s="538">
        <f>IF('Técnicas de Ki'!W68=0,0,IFERROR(IF('Técnicas de Ki'!AG68&lt;&gt;0,'Técnicas de Ki'!AG68+TS!$O173,0)*$O173/$O173,0))</f>
        <v>0</v>
      </c>
      <c r="AX173" s="538">
        <f>IF('Técnicas de Ki'!W68=0,0,IFERROR(IF('Técnicas de Ki'!AH68&lt;&gt;0,'Técnicas de Ki'!AH68+TS!$P173,0)*$P173/$P173,0))</f>
        <v>0</v>
      </c>
      <c r="AY173" s="538">
        <f>IF('Técnicas de Ki'!W68=0,0,IFERROR(IF('Técnicas de Ki'!AI68&lt;&gt;0,'Técnicas de Ki'!AI68+TS!$Q173,0)*$Q173/$Q173,0))</f>
        <v>0</v>
      </c>
      <c r="AZ173" s="538">
        <f>IF('Técnicas de Ki'!W68=0,0,IFERROR(IF('Técnicas de Ki'!AJ68&lt;&gt;0,'Técnicas de Ki'!AJ68+TS!$R173,0)*$R173/$R173,0))</f>
        <v>0</v>
      </c>
      <c r="BA173" s="538">
        <f>IF('Técnicas de Ki'!W68=0,0,IFERROR(IF('Técnicas de Ki'!AK68&lt;&gt;0,'Técnicas de Ki'!AK68+TS!$S173,0)*$S173/$S173,0))</f>
        <v>0</v>
      </c>
      <c r="BB173" s="539">
        <f>IF('Técnicas de Ki'!W68=0,0,IFERROR(IF('Técnicas de Ki'!AL68&lt;&gt;0,'Técnicas de Ki'!AL68+TS!$T173,0)*$T173/$T173,0))</f>
        <v>0</v>
      </c>
      <c r="BD173" s="570" t="str">
        <f>IF('Técnicas de Ki'!W75&lt;&gt;0,'Técnicas de Ki'!V75&amp;" "&amp;'Técnicas de Ki'!W75,"")</f>
        <v/>
      </c>
      <c r="BE173" s="302" t="b">
        <v>0</v>
      </c>
      <c r="BF173" s="302" t="str">
        <f t="shared" si="5"/>
        <v/>
      </c>
      <c r="BG173" s="573" t="str">
        <f>IF(BH173,AI179&amp;": "&amp;CONCATENATE(BF173,BF174,BF175,BF176,BF177,BF178,BF179,BF180,BF181),"")&amp;IF(BH173,"  ","")</f>
        <v/>
      </c>
      <c r="BH173" s="302" t="b">
        <f>OR(BE173:BE181,BD181&lt;&gt;"")</f>
        <v>0</v>
      </c>
      <c r="BL173" s="537">
        <f>IF('Técnicas de Ki'!AR68=0,0,IF('Técnicas de Ki'!AY68=TS!BL$119,'Técnicas de Ki'!AS68-(IF($O173&lt;&gt;0,'Técnicas de Ki'!BB68,0)+IF($P173&lt;&gt;0,'Técnicas de Ki'!BC68,0)+IF($Q173&lt;&gt;0,'Técnicas de Ki'!BD68,0)+IF($R173&lt;&gt;0,'Técnicas de Ki'!BE68,0)+IF($S173&lt;&gt;0,'Técnicas de Ki'!BF68,0)+IF($T173&lt;&gt;0,'Técnicas de Ki'!BG68,0)),0))</f>
        <v>0</v>
      </c>
      <c r="BM173" s="538">
        <f>IF('Técnicas de Ki'!AR68=0,0,IF('Técnicas de Ki'!AY68=TS!BM$119,'Técnicas de Ki'!AS68-(IF($O173&lt;&gt;0,'Técnicas de Ki'!BB68,0)+IF($P173&lt;&gt;0,'Técnicas de Ki'!BC68,0)+IF($Q173&lt;&gt;0,'Técnicas de Ki'!BD68,0)+IF($R173&lt;&gt;0,'Técnicas de Ki'!BE68,0)+IF($S173&lt;&gt;0,'Técnicas de Ki'!BF68,0)+IF($T173&lt;&gt;0,'Técnicas de Ki'!BG68,0)),0))</f>
        <v>0</v>
      </c>
      <c r="BN173" s="538">
        <f>IF('Técnicas de Ki'!AR68=0,0,IF('Técnicas de Ki'!AY68=TS!BN$119,'Técnicas de Ki'!AS68-(IF($O173&lt;&gt;0,'Técnicas de Ki'!BB68,0)+IF($P173&lt;&gt;0,'Técnicas de Ki'!BC68,0)+IF($Q173&lt;&gt;0,'Técnicas de Ki'!BD68,0)+IF($R173&lt;&gt;0,'Técnicas de Ki'!BE68,0)+IF($S173&lt;&gt;0,'Técnicas de Ki'!BF68,0)+IF($T173&lt;&gt;0,'Técnicas de Ki'!BG68,0)),0))</f>
        <v>0</v>
      </c>
      <c r="BO173" s="538">
        <f>IF('Técnicas de Ki'!AR68=0,0,IF('Técnicas de Ki'!AY68=TS!BO$119,'Técnicas de Ki'!AS68-(IF($O173&lt;&gt;0,'Técnicas de Ki'!BB68,0)+IF($P173&lt;&gt;0,'Técnicas de Ki'!BC68,0)+IF($Q173&lt;&gt;0,'Técnicas de Ki'!BD68,0)+IF($R173&lt;&gt;0,'Técnicas de Ki'!BE68,0)+IF($S173&lt;&gt;0,'Técnicas de Ki'!BF68,0)+IF($T173&lt;&gt;0,'Técnicas de Ki'!BG68,0)),0))</f>
        <v>0</v>
      </c>
      <c r="BP173" s="538">
        <f>IF('Técnicas de Ki'!AR68=0,0,IF('Técnicas de Ki'!AY68=TS!BP$119,'Técnicas de Ki'!AS68-(IF($O173&lt;&gt;0,'Técnicas de Ki'!BB68,0)+IF($P173&lt;&gt;0,'Técnicas de Ki'!BC68,0)+IF($Q173&lt;&gt;0,'Técnicas de Ki'!BD68,0)+IF($R173&lt;&gt;0,'Técnicas de Ki'!BE68,0)+IF($S173&lt;&gt;0,'Técnicas de Ki'!BF68,0)+IF($T173&lt;&gt;0,'Técnicas de Ki'!BG68,0)),0))</f>
        <v>0</v>
      </c>
      <c r="BQ173" s="539">
        <f>IF('Técnicas de Ki'!AR68=0,0,IF('Técnicas de Ki'!AY68=TS!BQ$119,'Técnicas de Ki'!AS68-(IF($O173&lt;&gt;0,'Técnicas de Ki'!BB68,0)+IF($P173&lt;&gt;0,'Técnicas de Ki'!BC68,0)+IF($Q173&lt;&gt;0,'Técnicas de Ki'!BD68,0)+IF($R173&lt;&gt;0,'Técnicas de Ki'!BE68,0)+IF($S173&lt;&gt;0,'Técnicas de Ki'!BF68,0)+IF($T173&lt;&gt;0,'Técnicas de Ki'!BG68,0)),0))</f>
        <v>0</v>
      </c>
      <c r="BR173" s="538">
        <f>IF('Técnicas de Ki'!AR68=0,0,IFERROR(IF('Técnicas de Ki'!BB68&lt;&gt;0,'Técnicas de Ki'!BB68+TS!$O173,0)*$O173/$O173,0))</f>
        <v>0</v>
      </c>
      <c r="BS173" s="538">
        <f>IF('Técnicas de Ki'!AR68=0,0,IFERROR(IF('Técnicas de Ki'!BC68&lt;&gt;0,'Técnicas de Ki'!BC68+TS!$P173,0)*$P173/$P173,0))</f>
        <v>0</v>
      </c>
      <c r="BT173" s="538">
        <f>IF('Técnicas de Ki'!AR68=0,0,IFERROR(IF('Técnicas de Ki'!BD68&lt;&gt;0,'Técnicas de Ki'!BD68+TS!$Q173,0)*$Q173/$Q173,0))</f>
        <v>0</v>
      </c>
      <c r="BU173" s="538">
        <f>IF('Técnicas de Ki'!AR68=0,0,IFERROR(IF('Técnicas de Ki'!BE68&lt;&gt;0,'Técnicas de Ki'!BE68+TS!$R173,0)*$R173/$R173,0))</f>
        <v>0</v>
      </c>
      <c r="BV173" s="538">
        <f>IF('Técnicas de Ki'!AR68=0,0,IFERROR(IF('Técnicas de Ki'!BF68&lt;&gt;0,'Técnicas de Ki'!BF68+TS!$S173,0)*$S173/$S173,0))</f>
        <v>0</v>
      </c>
      <c r="BW173" s="539">
        <f>IF('Técnicas de Ki'!AR68=0,0,IFERROR(IF('Técnicas de Ki'!BG68&lt;&gt;0,'Técnicas de Ki'!BG68+TS!$T173,0)*$T173/$T173,0))</f>
        <v>0</v>
      </c>
      <c r="BY173" s="570" t="str">
        <f>IF('Técnicas de Ki'!AR75&lt;&gt;0,'Técnicas de Ki'!AQ75&amp;" "&amp;'Técnicas de Ki'!AR75,"")</f>
        <v/>
      </c>
      <c r="BZ173" s="302" t="b">
        <v>0</v>
      </c>
      <c r="CA173" s="302" t="str">
        <f t="shared" si="6"/>
        <v/>
      </c>
      <c r="CB173" s="573" t="str">
        <f>IF(CC173,BD179&amp;": "&amp;CONCATENATE(CA173,CA174,CA175,CA176,CA177,CA178,CA179,CA180,CA181),"")&amp;IF(CC173,"  ","")</f>
        <v/>
      </c>
      <c r="CC173" s="302" t="b">
        <f>OR(BZ173:BZ181,BY181&lt;&gt;"")</f>
        <v>0</v>
      </c>
      <c r="CG173" s="537">
        <f>IF('Técnicas de Ki'!BM68=0,0,IF('Técnicas de Ki'!BT68=TS!CG$119,'Técnicas de Ki'!BN68-(IF($O173&lt;&gt;0,'Técnicas de Ki'!BW68,0)+IF($P173&lt;&gt;0,'Técnicas de Ki'!BX68,0)+IF($Q173&lt;&gt;0,'Técnicas de Ki'!BY68,0)+IF($R173&lt;&gt;0,'Técnicas de Ki'!BZ68,0)+IF($S173&lt;&gt;0,'Técnicas de Ki'!CA68,0)+IF($T173&lt;&gt;0,'Técnicas de Ki'!CB68,0)),0))</f>
        <v>0</v>
      </c>
      <c r="CH173" s="538">
        <f>IF('Técnicas de Ki'!BM68=0,0,IF('Técnicas de Ki'!BT68=TS!CH$119,'Técnicas de Ki'!BN68-(IF($O173&lt;&gt;0,'Técnicas de Ki'!BW68,0)+IF($P173&lt;&gt;0,'Técnicas de Ki'!BX68,0)+IF($Q173&lt;&gt;0,'Técnicas de Ki'!BY68,0)+IF($R173&lt;&gt;0,'Técnicas de Ki'!BZ68,0)+IF($S173&lt;&gt;0,'Técnicas de Ki'!CA68,0)+IF($T173&lt;&gt;0,'Técnicas de Ki'!CB68,0)),0))</f>
        <v>0</v>
      </c>
      <c r="CI173" s="538">
        <f>IF('Técnicas de Ki'!BM68=0,0,IF('Técnicas de Ki'!BT68=TS!CI$119,'Técnicas de Ki'!BN68-(IF($O173&lt;&gt;0,'Técnicas de Ki'!BW68,0)+IF($P173&lt;&gt;0,'Técnicas de Ki'!BX68,0)+IF($Q173&lt;&gt;0,'Técnicas de Ki'!BY68,0)+IF($R173&lt;&gt;0,'Técnicas de Ki'!BZ68,0)+IF($S173&lt;&gt;0,'Técnicas de Ki'!CA68,0)+IF($T173&lt;&gt;0,'Técnicas de Ki'!CB68,0)),0))</f>
        <v>0</v>
      </c>
      <c r="CJ173" s="538">
        <f>IF('Técnicas de Ki'!BM68=0,0,IF('Técnicas de Ki'!BT68=TS!CJ$119,'Técnicas de Ki'!BN68-(IF($O173&lt;&gt;0,'Técnicas de Ki'!BW68,0)+IF($P173&lt;&gt;0,'Técnicas de Ki'!BX68,0)+IF($Q173&lt;&gt;0,'Técnicas de Ki'!BY68,0)+IF($R173&lt;&gt;0,'Técnicas de Ki'!BZ68,0)+IF($S173&lt;&gt;0,'Técnicas de Ki'!CA68,0)+IF($T173&lt;&gt;0,'Técnicas de Ki'!CB68,0)),0))</f>
        <v>0</v>
      </c>
      <c r="CK173" s="538">
        <f>IF('Técnicas de Ki'!BM68=0,0,IF('Técnicas de Ki'!BT68=TS!CK$119,'Técnicas de Ki'!BN68-(IF($O173&lt;&gt;0,'Técnicas de Ki'!BW68,0)+IF($P173&lt;&gt;0,'Técnicas de Ki'!BX68,0)+IF($Q173&lt;&gt;0,'Técnicas de Ki'!BY68,0)+IF($R173&lt;&gt;0,'Técnicas de Ki'!BZ68,0)+IF($S173&lt;&gt;0,'Técnicas de Ki'!CA68,0)+IF($T173&lt;&gt;0,'Técnicas de Ki'!CB68,0)),0))</f>
        <v>0</v>
      </c>
      <c r="CL173" s="539">
        <f>IF('Técnicas de Ki'!BM68=0,0,IF('Técnicas de Ki'!BT68=TS!CL$119,'Técnicas de Ki'!BN68-(IF($O173&lt;&gt;0,'Técnicas de Ki'!BW68,0)+IF($P173&lt;&gt;0,'Técnicas de Ki'!BX68,0)+IF($Q173&lt;&gt;0,'Técnicas de Ki'!BY68,0)+IF($R173&lt;&gt;0,'Técnicas de Ki'!BZ68,0)+IF($S173&lt;&gt;0,'Técnicas de Ki'!CA68,0)+IF($T173&lt;&gt;0,'Técnicas de Ki'!CB68,0)),0))</f>
        <v>0</v>
      </c>
      <c r="CM173" s="538">
        <f>IF('Técnicas de Ki'!BM68=0,0,IFERROR(IF('Técnicas de Ki'!BW68&lt;&gt;0,'Técnicas de Ki'!BW68+TS!$O173,0)*$O173/$O173,0))</f>
        <v>0</v>
      </c>
      <c r="CN173" s="538">
        <f>IF('Técnicas de Ki'!BM68=0,0,IFERROR(IF('Técnicas de Ki'!BX68&lt;&gt;0,'Técnicas de Ki'!BX68+TS!$P173,0)*$P173/$P173,0))</f>
        <v>0</v>
      </c>
      <c r="CO173" s="538">
        <f>IF('Técnicas de Ki'!BM68=0,0,IFERROR(IF('Técnicas de Ki'!BY68&lt;&gt;0,'Técnicas de Ki'!BY68+TS!$Q173,0)*$Q173/$Q173,0))</f>
        <v>0</v>
      </c>
      <c r="CP173" s="538">
        <f>IF('Técnicas de Ki'!BM68=0,0,IFERROR(IF('Técnicas de Ki'!BZ68&lt;&gt;0,'Técnicas de Ki'!BZ68+TS!$R173,0)*$R173/$R173,0))</f>
        <v>0</v>
      </c>
      <c r="CQ173" s="538">
        <f>IF('Técnicas de Ki'!BM68=0,0,IFERROR(IF('Técnicas de Ki'!CA68&lt;&gt;0,'Técnicas de Ki'!CA68+TS!$S173,0)*$S173/$S173,0))</f>
        <v>0</v>
      </c>
      <c r="CR173" s="539">
        <f>IF('Técnicas de Ki'!BM68=0,0,IFERROR(IF('Técnicas de Ki'!CB68&lt;&gt;0,'Técnicas de Ki'!CB68+TS!$T173,0)*$T173/$T173,0))</f>
        <v>0</v>
      </c>
      <c r="CT173" s="570" t="str">
        <f>IF('Técnicas de Ki'!BM75&lt;&gt;0,'Técnicas de Ki'!BL75&amp;" "&amp;'Técnicas de Ki'!BM75,"")</f>
        <v/>
      </c>
      <c r="CU173" s="302" t="b">
        <v>0</v>
      </c>
      <c r="CV173" s="302" t="str">
        <f t="shared" si="7"/>
        <v/>
      </c>
      <c r="CW173" s="573" t="str">
        <f>IF(CX173,BY179&amp;": "&amp;CONCATENATE(CV173,CV174,CV175,CV176,CV177,CV178,CV179,CV180,CV181),"")&amp;IF(CX173,"  ","")</f>
        <v/>
      </c>
      <c r="CX173" s="302" t="b">
        <f>OR(CU173:CU181,CT181&lt;&gt;"")</f>
        <v>0</v>
      </c>
    </row>
    <row r="174" spans="1:102" x14ac:dyDescent="0.2">
      <c r="A174" s="302" t="s">
        <v>6862</v>
      </c>
      <c r="B174" s="301" t="s">
        <v>6778</v>
      </c>
      <c r="C174" s="301" t="str">
        <f t="shared" si="15"/>
        <v>Ataque adicional+2</v>
      </c>
      <c r="D174" s="302">
        <v>12</v>
      </c>
      <c r="E174" s="302">
        <v>15</v>
      </c>
      <c r="F174" s="302">
        <v>30</v>
      </c>
      <c r="G174" s="302">
        <v>6</v>
      </c>
      <c r="H174" s="302">
        <v>12</v>
      </c>
      <c r="I174" s="302">
        <v>21</v>
      </c>
      <c r="J174" s="302">
        <v>1</v>
      </c>
      <c r="N174" t="s">
        <v>6926</v>
      </c>
      <c r="Q174" s="528">
        <v>2</v>
      </c>
      <c r="R174" s="528">
        <v>2</v>
      </c>
      <c r="S174" s="302">
        <v>2</v>
      </c>
      <c r="T174" s="528">
        <v>1</v>
      </c>
      <c r="V174" s="537">
        <f>IF('Técnicas de Ki'!B69=0,0,IF('Técnicas de Ki'!I69=TS!V$119,'Técnicas de Ki'!C69-(IF($O174&lt;&gt;0,'Técnicas de Ki'!L69,0)+IF($P174&lt;&gt;0,'Técnicas de Ki'!M69,0)+IF($Q174&lt;&gt;0,'Técnicas de Ki'!N69,0)+IF($R174&lt;&gt;0,'Técnicas de Ki'!O69,0)+IF($S174&lt;&gt;0,'Técnicas de Ki'!P69,0)+IF($T174&lt;&gt;0,'Técnicas de Ki'!Q69,0)),0))</f>
        <v>0</v>
      </c>
      <c r="W174" s="538">
        <f>IF('Técnicas de Ki'!B69=0,0,IF('Técnicas de Ki'!I69=TS!W$119,'Técnicas de Ki'!C69-(IF($O174&lt;&gt;0,'Técnicas de Ki'!L69,0)+IF($P174&lt;&gt;0,'Técnicas de Ki'!M69,0)+IF($Q174&lt;&gt;0,'Técnicas de Ki'!N69,0)+IF($R174&lt;&gt;0,'Técnicas de Ki'!O69,0)+IF($S174&lt;&gt;0,'Técnicas de Ki'!P69,0)+IF($T174&lt;&gt;0,'Técnicas de Ki'!Q69,0)),0))</f>
        <v>0</v>
      </c>
      <c r="X174" s="538">
        <f>IF('Técnicas de Ki'!B69=0,0,IF('Técnicas de Ki'!I69=TS!X$119,'Técnicas de Ki'!C69-(IF($O174&lt;&gt;0,'Técnicas de Ki'!L69,0)+IF($P174&lt;&gt;0,'Técnicas de Ki'!M69,0)+IF($Q174&lt;&gt;0,'Técnicas de Ki'!N69,0)+IF($R174&lt;&gt;0,'Técnicas de Ki'!O69,0)+IF($S174&lt;&gt;0,'Técnicas de Ki'!P69,0)+IF($T174&lt;&gt;0,'Técnicas de Ki'!Q69,0)),0))</f>
        <v>0</v>
      </c>
      <c r="Y174" s="538">
        <f>IF('Técnicas de Ki'!B69=0,0,IF('Técnicas de Ki'!I69=TS!Y$119,'Técnicas de Ki'!C69-(IF($O174&lt;&gt;0,'Técnicas de Ki'!L69,0)+IF($P174&lt;&gt;0,'Técnicas de Ki'!M69,0)+IF($Q174&lt;&gt;0,'Técnicas de Ki'!N69,0)+IF($R174&lt;&gt;0,'Técnicas de Ki'!O69,0)+IF($S174&lt;&gt;0,'Técnicas de Ki'!P69,0)+IF($T174&lt;&gt;0,'Técnicas de Ki'!Q69,0)),0))</f>
        <v>0</v>
      </c>
      <c r="Z174" s="538">
        <f>IF('Técnicas de Ki'!B69=0,0,IF('Técnicas de Ki'!I69=TS!Z$119,'Técnicas de Ki'!C69-(IF($O174&lt;&gt;0,'Técnicas de Ki'!L69,0)+IF($P174&lt;&gt;0,'Técnicas de Ki'!M69,0)+IF($Q174&lt;&gt;0,'Técnicas de Ki'!N69,0)+IF($R174&lt;&gt;0,'Técnicas de Ki'!O69,0)+IF($S174&lt;&gt;0,'Técnicas de Ki'!P69,0)+IF($T174&lt;&gt;0,'Técnicas de Ki'!Q69,0)),0))</f>
        <v>0</v>
      </c>
      <c r="AA174" s="539">
        <f>IF('Técnicas de Ki'!B69=0,0,IF('Técnicas de Ki'!I69=TS!AA$119,'Técnicas de Ki'!C69-(IF($O174&lt;&gt;0,'Técnicas de Ki'!L69,0)+IF($P174&lt;&gt;0,'Técnicas de Ki'!M69,0)+IF($Q174&lt;&gt;0,'Técnicas de Ki'!N69,0)+IF($R174&lt;&gt;0,'Técnicas de Ki'!O69,0)+IF($S174&lt;&gt;0,'Técnicas de Ki'!P69,0)+IF($T174&lt;&gt;0,'Técnicas de Ki'!Q69,0)),0))</f>
        <v>0</v>
      </c>
      <c r="AB174" s="538">
        <f>IF('Técnicas de Ki'!B69=0,0,IFERROR(IF('Técnicas de Ki'!L69&lt;&gt;0,'Técnicas de Ki'!L69+TS!$O174,0)*$O174/$O174,0))</f>
        <v>0</v>
      </c>
      <c r="AC174" s="538">
        <f>IF('Técnicas de Ki'!B69=0,0,IFERROR(IF('Técnicas de Ki'!M69&lt;&gt;0,'Técnicas de Ki'!M69+TS!$P174,0)*$P174/$P174,0))</f>
        <v>0</v>
      </c>
      <c r="AD174" s="538">
        <f>IF('Técnicas de Ki'!B69=0,0,IFERROR(IF('Técnicas de Ki'!N69&lt;&gt;0,'Técnicas de Ki'!N69+TS!$Q174,0)*$Q174/$Q174,0))</f>
        <v>0</v>
      </c>
      <c r="AE174" s="538">
        <f>IF('Técnicas de Ki'!B69=0,0,IFERROR(IF('Técnicas de Ki'!O69&lt;&gt;0,'Técnicas de Ki'!O69+TS!$R174,0)*$R174/$R174,0))</f>
        <v>0</v>
      </c>
      <c r="AF174" s="538">
        <f>IF('Técnicas de Ki'!B69=0,0,IFERROR(IF('Técnicas de Ki'!P69&lt;&gt;0,'Técnicas de Ki'!P69+TS!$S174,0)*$S174/$S174,0))</f>
        <v>0</v>
      </c>
      <c r="AG174" s="539">
        <f>IF('Técnicas de Ki'!B69=0,0,IFERROR(IF('Técnicas de Ki'!Q69&lt;&gt;0,'Técnicas de Ki'!Q69+TS!$T174,0)*$T174/$T174,0))</f>
        <v>0</v>
      </c>
      <c r="AI174" s="571" t="str">
        <f>IF('Técnicas de Ki'!B76&lt;&gt;0,'Técnicas de Ki'!A76&amp;" "&amp;'Técnicas de Ki'!B76,"")</f>
        <v/>
      </c>
      <c r="AJ174" s="302" t="b">
        <f t="shared" si="8"/>
        <v>0</v>
      </c>
      <c r="AK174" s="302" t="str">
        <f t="shared" si="4"/>
        <v/>
      </c>
      <c r="AQ174" s="537">
        <f>IF('Técnicas de Ki'!W69=0,0,IF('Técnicas de Ki'!AD69=TS!AQ$119,'Técnicas de Ki'!X69-(IF($O174&lt;&gt;0,'Técnicas de Ki'!AG69,0)+IF($P174&lt;&gt;0,'Técnicas de Ki'!AH69,0)+IF($Q174&lt;&gt;0,'Técnicas de Ki'!AI69,0)+IF($R174&lt;&gt;0,'Técnicas de Ki'!AJ69,0)+IF($S174&lt;&gt;0,'Técnicas de Ki'!AK69,0)+IF($T174&lt;&gt;0,'Técnicas de Ki'!AL69,0)),0))</f>
        <v>0</v>
      </c>
      <c r="AR174" s="538">
        <f>IF('Técnicas de Ki'!W69=0,0,IF('Técnicas de Ki'!AD69=TS!AR$119,'Técnicas de Ki'!X69-(IF($O174&lt;&gt;0,'Técnicas de Ki'!AG69,0)+IF($P174&lt;&gt;0,'Técnicas de Ki'!AH69,0)+IF($Q174&lt;&gt;0,'Técnicas de Ki'!AI69,0)+IF($R174&lt;&gt;0,'Técnicas de Ki'!AJ69,0)+IF($S174&lt;&gt;0,'Técnicas de Ki'!AK69,0)+IF($T174&lt;&gt;0,'Técnicas de Ki'!AL69,0)),0))</f>
        <v>0</v>
      </c>
      <c r="AS174" s="538">
        <f>IF('Técnicas de Ki'!W69=0,0,IF('Técnicas de Ki'!AD69=TS!AS$119,'Técnicas de Ki'!X69-(IF($O174&lt;&gt;0,'Técnicas de Ki'!AG69,0)+IF($P174&lt;&gt;0,'Técnicas de Ki'!AH69,0)+IF($Q174&lt;&gt;0,'Técnicas de Ki'!AI69,0)+IF($R174&lt;&gt;0,'Técnicas de Ki'!AJ69,0)+IF($S174&lt;&gt;0,'Técnicas de Ki'!AK69,0)+IF($T174&lt;&gt;0,'Técnicas de Ki'!AL69,0)),0))</f>
        <v>0</v>
      </c>
      <c r="AT174" s="538">
        <f>IF('Técnicas de Ki'!W69=0,0,IF('Técnicas de Ki'!AD69=TS!AT$119,'Técnicas de Ki'!X69-(IF($O174&lt;&gt;0,'Técnicas de Ki'!AG69,0)+IF($P174&lt;&gt;0,'Técnicas de Ki'!AH69,0)+IF($Q174&lt;&gt;0,'Técnicas de Ki'!AI69,0)+IF($R174&lt;&gt;0,'Técnicas de Ki'!AJ69,0)+IF($S174&lt;&gt;0,'Técnicas de Ki'!AK69,0)+IF($T174&lt;&gt;0,'Técnicas de Ki'!AL69,0)),0))</f>
        <v>0</v>
      </c>
      <c r="AU174" s="538">
        <f>IF('Técnicas de Ki'!W69=0,0,IF('Técnicas de Ki'!AD69=TS!AU$119,'Técnicas de Ki'!X69-(IF($O174&lt;&gt;0,'Técnicas de Ki'!AG69,0)+IF($P174&lt;&gt;0,'Técnicas de Ki'!AH69,0)+IF($Q174&lt;&gt;0,'Técnicas de Ki'!AI69,0)+IF($R174&lt;&gt;0,'Técnicas de Ki'!AJ69,0)+IF($S174&lt;&gt;0,'Técnicas de Ki'!AK69,0)+IF($T174&lt;&gt;0,'Técnicas de Ki'!AL69,0)),0))</f>
        <v>0</v>
      </c>
      <c r="AV174" s="539">
        <f>IF('Técnicas de Ki'!W69=0,0,IF('Técnicas de Ki'!AD69=TS!AV$119,'Técnicas de Ki'!X69-(IF($O174&lt;&gt;0,'Técnicas de Ki'!AG69,0)+IF($P174&lt;&gt;0,'Técnicas de Ki'!AH69,0)+IF($Q174&lt;&gt;0,'Técnicas de Ki'!AI69,0)+IF($R174&lt;&gt;0,'Técnicas de Ki'!AJ69,0)+IF($S174&lt;&gt;0,'Técnicas de Ki'!AK69,0)+IF($T174&lt;&gt;0,'Técnicas de Ki'!AL69,0)),0))</f>
        <v>0</v>
      </c>
      <c r="AW174" s="538">
        <f>IF('Técnicas de Ki'!W69=0,0,IFERROR(IF('Técnicas de Ki'!AG69&lt;&gt;0,'Técnicas de Ki'!AG69+TS!$O174,0)*$O174/$O174,0))</f>
        <v>0</v>
      </c>
      <c r="AX174" s="538">
        <f>IF('Técnicas de Ki'!W69=0,0,IFERROR(IF('Técnicas de Ki'!AH69&lt;&gt;0,'Técnicas de Ki'!AH69+TS!$P174,0)*$P174/$P174,0))</f>
        <v>0</v>
      </c>
      <c r="AY174" s="538">
        <f>IF('Técnicas de Ki'!W69=0,0,IFERROR(IF('Técnicas de Ki'!AI69&lt;&gt;0,'Técnicas de Ki'!AI69+TS!$Q174,0)*$Q174/$Q174,0))</f>
        <v>0</v>
      </c>
      <c r="AZ174" s="538">
        <f>IF('Técnicas de Ki'!W69=0,0,IFERROR(IF('Técnicas de Ki'!AJ69&lt;&gt;0,'Técnicas de Ki'!AJ69+TS!$R174,0)*$R174/$R174,0))</f>
        <v>0</v>
      </c>
      <c r="BA174" s="538">
        <f>IF('Técnicas de Ki'!W69=0,0,IFERROR(IF('Técnicas de Ki'!AK69&lt;&gt;0,'Técnicas de Ki'!AK69+TS!$S174,0)*$S174/$S174,0))</f>
        <v>0</v>
      </c>
      <c r="BB174" s="539">
        <f>IF('Técnicas de Ki'!W69=0,0,IFERROR(IF('Técnicas de Ki'!AL69&lt;&gt;0,'Técnicas de Ki'!AL69+TS!$T174,0)*$T174/$T174,0))</f>
        <v>0</v>
      </c>
      <c r="BD174" s="571" t="str">
        <f>IF('Técnicas de Ki'!W76&lt;&gt;0,'Técnicas de Ki'!V76&amp;" "&amp;'Técnicas de Ki'!W76,"")</f>
        <v/>
      </c>
      <c r="BE174" s="302" t="b">
        <f t="shared" ref="BE174:BE237" si="31">OR(BE173,BD173&lt;&gt;"")</f>
        <v>0</v>
      </c>
      <c r="BF174" s="302" t="str">
        <f t="shared" si="5"/>
        <v/>
      </c>
      <c r="BL174" s="537">
        <f>IF('Técnicas de Ki'!AR69=0,0,IF('Técnicas de Ki'!AY69=TS!BL$119,'Técnicas de Ki'!AS69-(IF($O174&lt;&gt;0,'Técnicas de Ki'!BB69,0)+IF($P174&lt;&gt;0,'Técnicas de Ki'!BC69,0)+IF($Q174&lt;&gt;0,'Técnicas de Ki'!BD69,0)+IF($R174&lt;&gt;0,'Técnicas de Ki'!BE69,0)+IF($S174&lt;&gt;0,'Técnicas de Ki'!BF69,0)+IF($T174&lt;&gt;0,'Técnicas de Ki'!BG69,0)),0))</f>
        <v>0</v>
      </c>
      <c r="BM174" s="538">
        <f>IF('Técnicas de Ki'!AR69=0,0,IF('Técnicas de Ki'!AY69=TS!BM$119,'Técnicas de Ki'!AS69-(IF($O174&lt;&gt;0,'Técnicas de Ki'!BB69,0)+IF($P174&lt;&gt;0,'Técnicas de Ki'!BC69,0)+IF($Q174&lt;&gt;0,'Técnicas de Ki'!BD69,0)+IF($R174&lt;&gt;0,'Técnicas de Ki'!BE69,0)+IF($S174&lt;&gt;0,'Técnicas de Ki'!BF69,0)+IF($T174&lt;&gt;0,'Técnicas de Ki'!BG69,0)),0))</f>
        <v>0</v>
      </c>
      <c r="BN174" s="538">
        <f>IF('Técnicas de Ki'!AR69=0,0,IF('Técnicas de Ki'!AY69=TS!BN$119,'Técnicas de Ki'!AS69-(IF($O174&lt;&gt;0,'Técnicas de Ki'!BB69,0)+IF($P174&lt;&gt;0,'Técnicas de Ki'!BC69,0)+IF($Q174&lt;&gt;0,'Técnicas de Ki'!BD69,0)+IF($R174&lt;&gt;0,'Técnicas de Ki'!BE69,0)+IF($S174&lt;&gt;0,'Técnicas de Ki'!BF69,0)+IF($T174&lt;&gt;0,'Técnicas de Ki'!BG69,0)),0))</f>
        <v>0</v>
      </c>
      <c r="BO174" s="538">
        <f>IF('Técnicas de Ki'!AR69=0,0,IF('Técnicas de Ki'!AY69=TS!BO$119,'Técnicas de Ki'!AS69-(IF($O174&lt;&gt;0,'Técnicas de Ki'!BB69,0)+IF($P174&lt;&gt;0,'Técnicas de Ki'!BC69,0)+IF($Q174&lt;&gt;0,'Técnicas de Ki'!BD69,0)+IF($R174&lt;&gt;0,'Técnicas de Ki'!BE69,0)+IF($S174&lt;&gt;0,'Técnicas de Ki'!BF69,0)+IF($T174&lt;&gt;0,'Técnicas de Ki'!BG69,0)),0))</f>
        <v>0</v>
      </c>
      <c r="BP174" s="538">
        <f>IF('Técnicas de Ki'!AR69=0,0,IF('Técnicas de Ki'!AY69=TS!BP$119,'Técnicas de Ki'!AS69-(IF($O174&lt;&gt;0,'Técnicas de Ki'!BB69,0)+IF($P174&lt;&gt;0,'Técnicas de Ki'!BC69,0)+IF($Q174&lt;&gt;0,'Técnicas de Ki'!BD69,0)+IF($R174&lt;&gt;0,'Técnicas de Ki'!BE69,0)+IF($S174&lt;&gt;0,'Técnicas de Ki'!BF69,0)+IF($T174&lt;&gt;0,'Técnicas de Ki'!BG69,0)),0))</f>
        <v>0</v>
      </c>
      <c r="BQ174" s="539">
        <f>IF('Técnicas de Ki'!AR69=0,0,IF('Técnicas de Ki'!AY69=TS!BQ$119,'Técnicas de Ki'!AS69-(IF($O174&lt;&gt;0,'Técnicas de Ki'!BB69,0)+IF($P174&lt;&gt;0,'Técnicas de Ki'!BC69,0)+IF($Q174&lt;&gt;0,'Técnicas de Ki'!BD69,0)+IF($R174&lt;&gt;0,'Técnicas de Ki'!BE69,0)+IF($S174&lt;&gt;0,'Técnicas de Ki'!BF69,0)+IF($T174&lt;&gt;0,'Técnicas de Ki'!BG69,0)),0))</f>
        <v>0</v>
      </c>
      <c r="BR174" s="538">
        <f>IF('Técnicas de Ki'!AR69=0,0,IFERROR(IF('Técnicas de Ki'!BB69&lt;&gt;0,'Técnicas de Ki'!BB69+TS!$O174,0)*$O174/$O174,0))</f>
        <v>0</v>
      </c>
      <c r="BS174" s="538">
        <f>IF('Técnicas de Ki'!AR69=0,0,IFERROR(IF('Técnicas de Ki'!BC69&lt;&gt;0,'Técnicas de Ki'!BC69+TS!$P174,0)*$P174/$P174,0))</f>
        <v>0</v>
      </c>
      <c r="BT174" s="538">
        <f>IF('Técnicas de Ki'!AR69=0,0,IFERROR(IF('Técnicas de Ki'!BD69&lt;&gt;0,'Técnicas de Ki'!BD69+TS!$Q174,0)*$Q174/$Q174,0))</f>
        <v>0</v>
      </c>
      <c r="BU174" s="538">
        <f>IF('Técnicas de Ki'!AR69=0,0,IFERROR(IF('Técnicas de Ki'!BE69&lt;&gt;0,'Técnicas de Ki'!BE69+TS!$R174,0)*$R174/$R174,0))</f>
        <v>0</v>
      </c>
      <c r="BV174" s="538">
        <f>IF('Técnicas de Ki'!AR69=0,0,IFERROR(IF('Técnicas de Ki'!BF69&lt;&gt;0,'Técnicas de Ki'!BF69+TS!$S174,0)*$S174/$S174,0))</f>
        <v>0</v>
      </c>
      <c r="BW174" s="539">
        <f>IF('Técnicas de Ki'!AR69=0,0,IFERROR(IF('Técnicas de Ki'!BG69&lt;&gt;0,'Técnicas de Ki'!BG69+TS!$T174,0)*$T174/$T174,0))</f>
        <v>0</v>
      </c>
      <c r="BY174" s="571" t="str">
        <f>IF('Técnicas de Ki'!AR76&lt;&gt;0,'Técnicas de Ki'!AQ76&amp;" "&amp;'Técnicas de Ki'!AR76,"")</f>
        <v/>
      </c>
      <c r="BZ174" s="302" t="b">
        <f t="shared" ref="BZ174:BZ237" si="32">OR(BZ173,BY173&lt;&gt;"")</f>
        <v>0</v>
      </c>
      <c r="CA174" s="302" t="str">
        <f t="shared" si="6"/>
        <v/>
      </c>
      <c r="CG174" s="537">
        <f>IF('Técnicas de Ki'!BM69=0,0,IF('Técnicas de Ki'!BT69=TS!CG$119,'Técnicas de Ki'!BN69-(IF($O174&lt;&gt;0,'Técnicas de Ki'!BW69,0)+IF($P174&lt;&gt;0,'Técnicas de Ki'!BX69,0)+IF($Q174&lt;&gt;0,'Técnicas de Ki'!BY69,0)+IF($R174&lt;&gt;0,'Técnicas de Ki'!BZ69,0)+IF($S174&lt;&gt;0,'Técnicas de Ki'!CA69,0)+IF($T174&lt;&gt;0,'Técnicas de Ki'!CB69,0)),0))</f>
        <v>0</v>
      </c>
      <c r="CH174" s="538">
        <f>IF('Técnicas de Ki'!BM69=0,0,IF('Técnicas de Ki'!BT69=TS!CH$119,'Técnicas de Ki'!BN69-(IF($O174&lt;&gt;0,'Técnicas de Ki'!BW69,0)+IF($P174&lt;&gt;0,'Técnicas de Ki'!BX69,0)+IF($Q174&lt;&gt;0,'Técnicas de Ki'!BY69,0)+IF($R174&lt;&gt;0,'Técnicas de Ki'!BZ69,0)+IF($S174&lt;&gt;0,'Técnicas de Ki'!CA69,0)+IF($T174&lt;&gt;0,'Técnicas de Ki'!CB69,0)),0))</f>
        <v>0</v>
      </c>
      <c r="CI174" s="538">
        <f>IF('Técnicas de Ki'!BM69=0,0,IF('Técnicas de Ki'!BT69=TS!CI$119,'Técnicas de Ki'!BN69-(IF($O174&lt;&gt;0,'Técnicas de Ki'!BW69,0)+IF($P174&lt;&gt;0,'Técnicas de Ki'!BX69,0)+IF($Q174&lt;&gt;0,'Técnicas de Ki'!BY69,0)+IF($R174&lt;&gt;0,'Técnicas de Ki'!BZ69,0)+IF($S174&lt;&gt;0,'Técnicas de Ki'!CA69,0)+IF($T174&lt;&gt;0,'Técnicas de Ki'!CB69,0)),0))</f>
        <v>0</v>
      </c>
      <c r="CJ174" s="538">
        <f>IF('Técnicas de Ki'!BM69=0,0,IF('Técnicas de Ki'!BT69=TS!CJ$119,'Técnicas de Ki'!BN69-(IF($O174&lt;&gt;0,'Técnicas de Ki'!BW69,0)+IF($P174&lt;&gt;0,'Técnicas de Ki'!BX69,0)+IF($Q174&lt;&gt;0,'Técnicas de Ki'!BY69,0)+IF($R174&lt;&gt;0,'Técnicas de Ki'!BZ69,0)+IF($S174&lt;&gt;0,'Técnicas de Ki'!CA69,0)+IF($T174&lt;&gt;0,'Técnicas de Ki'!CB69,0)),0))</f>
        <v>0</v>
      </c>
      <c r="CK174" s="538">
        <f>IF('Técnicas de Ki'!BM69=0,0,IF('Técnicas de Ki'!BT69=TS!CK$119,'Técnicas de Ki'!BN69-(IF($O174&lt;&gt;0,'Técnicas de Ki'!BW69,0)+IF($P174&lt;&gt;0,'Técnicas de Ki'!BX69,0)+IF($Q174&lt;&gt;0,'Técnicas de Ki'!BY69,0)+IF($R174&lt;&gt;0,'Técnicas de Ki'!BZ69,0)+IF($S174&lt;&gt;0,'Técnicas de Ki'!CA69,0)+IF($T174&lt;&gt;0,'Técnicas de Ki'!CB69,0)),0))</f>
        <v>0</v>
      </c>
      <c r="CL174" s="539">
        <f>IF('Técnicas de Ki'!BM69=0,0,IF('Técnicas de Ki'!BT69=TS!CL$119,'Técnicas de Ki'!BN69-(IF($O174&lt;&gt;0,'Técnicas de Ki'!BW69,0)+IF($P174&lt;&gt;0,'Técnicas de Ki'!BX69,0)+IF($Q174&lt;&gt;0,'Técnicas de Ki'!BY69,0)+IF($R174&lt;&gt;0,'Técnicas de Ki'!BZ69,0)+IF($S174&lt;&gt;0,'Técnicas de Ki'!CA69,0)+IF($T174&lt;&gt;0,'Técnicas de Ki'!CB69,0)),0))</f>
        <v>0</v>
      </c>
      <c r="CM174" s="538">
        <f>IF('Técnicas de Ki'!BM69=0,0,IFERROR(IF('Técnicas de Ki'!BW69&lt;&gt;0,'Técnicas de Ki'!BW69+TS!$O174,0)*$O174/$O174,0))</f>
        <v>0</v>
      </c>
      <c r="CN174" s="538">
        <f>IF('Técnicas de Ki'!BM69=0,0,IFERROR(IF('Técnicas de Ki'!BX69&lt;&gt;0,'Técnicas de Ki'!BX69+TS!$P174,0)*$P174/$P174,0))</f>
        <v>0</v>
      </c>
      <c r="CO174" s="538">
        <f>IF('Técnicas de Ki'!BM69=0,0,IFERROR(IF('Técnicas de Ki'!BY69&lt;&gt;0,'Técnicas de Ki'!BY69+TS!$Q174,0)*$Q174/$Q174,0))</f>
        <v>0</v>
      </c>
      <c r="CP174" s="538">
        <f>IF('Técnicas de Ki'!BM69=0,0,IFERROR(IF('Técnicas de Ki'!BZ69&lt;&gt;0,'Técnicas de Ki'!BZ69+TS!$R174,0)*$R174/$R174,0))</f>
        <v>0</v>
      </c>
      <c r="CQ174" s="538">
        <f>IF('Técnicas de Ki'!BM69=0,0,IFERROR(IF('Técnicas de Ki'!CA69&lt;&gt;0,'Técnicas de Ki'!CA69+TS!$S174,0)*$S174/$S174,0))</f>
        <v>0</v>
      </c>
      <c r="CR174" s="539">
        <f>IF('Técnicas de Ki'!BM69=0,0,IFERROR(IF('Técnicas de Ki'!CB69&lt;&gt;0,'Técnicas de Ki'!CB69+TS!$T174,0)*$T174/$T174,0))</f>
        <v>0</v>
      </c>
      <c r="CT174" s="571" t="str">
        <f>IF('Técnicas de Ki'!BM76&lt;&gt;0,'Técnicas de Ki'!BL76&amp;" "&amp;'Técnicas de Ki'!BM76,"")</f>
        <v/>
      </c>
      <c r="CU174" s="302" t="b">
        <f t="shared" ref="CU174:CU237" si="33">OR(CU173,CT173&lt;&gt;"")</f>
        <v>0</v>
      </c>
      <c r="CV174" s="302" t="str">
        <f t="shared" si="7"/>
        <v/>
      </c>
    </row>
    <row r="175" spans="1:102" x14ac:dyDescent="0.2">
      <c r="A175" s="302" t="s">
        <v>6862</v>
      </c>
      <c r="B175" s="301" t="s">
        <v>6802</v>
      </c>
      <c r="C175" s="301" t="str">
        <f t="shared" si="15"/>
        <v>Ataque adicional+3</v>
      </c>
      <c r="D175" s="302">
        <v>18</v>
      </c>
      <c r="E175" s="302">
        <v>22</v>
      </c>
      <c r="F175" s="302">
        <v>40</v>
      </c>
      <c r="G175" s="302">
        <v>9</v>
      </c>
      <c r="H175" s="302">
        <v>18</v>
      </c>
      <c r="I175" s="302">
        <v>32</v>
      </c>
      <c r="J175" s="302">
        <v>1</v>
      </c>
      <c r="N175" t="s">
        <v>33</v>
      </c>
      <c r="O175" s="302">
        <v>2</v>
      </c>
      <c r="P175" s="302">
        <v>3</v>
      </c>
      <c r="S175" s="528">
        <v>2</v>
      </c>
      <c r="T175" s="528">
        <v>1</v>
      </c>
      <c r="V175" s="537">
        <f>IF('Técnicas de Ki'!B70=0,0,IF('Técnicas de Ki'!I70=TS!V$119,'Técnicas de Ki'!C70-(IF($O175&lt;&gt;0,'Técnicas de Ki'!L70,0)+IF($P175&lt;&gt;0,'Técnicas de Ki'!M70,0)+IF($Q175&lt;&gt;0,'Técnicas de Ki'!N70,0)+IF($R175&lt;&gt;0,'Técnicas de Ki'!O70,0)+IF($S175&lt;&gt;0,'Técnicas de Ki'!P70,0)+IF($T175&lt;&gt;0,'Técnicas de Ki'!Q70,0)),0))</f>
        <v>0</v>
      </c>
      <c r="W175" s="538">
        <f>IF('Técnicas de Ki'!B70=0,0,IF('Técnicas de Ki'!I70=TS!W$119,'Técnicas de Ki'!C70-(IF($O175&lt;&gt;0,'Técnicas de Ki'!L70,0)+IF($P175&lt;&gt;0,'Técnicas de Ki'!M70,0)+IF($Q175&lt;&gt;0,'Técnicas de Ki'!N70,0)+IF($R175&lt;&gt;0,'Técnicas de Ki'!O70,0)+IF($S175&lt;&gt;0,'Técnicas de Ki'!P70,0)+IF($T175&lt;&gt;0,'Técnicas de Ki'!Q70,0)),0))</f>
        <v>0</v>
      </c>
      <c r="X175" s="538">
        <f>IF('Técnicas de Ki'!B70=0,0,IF('Técnicas de Ki'!I70=TS!X$119,'Técnicas de Ki'!C70-(IF($O175&lt;&gt;0,'Técnicas de Ki'!L70,0)+IF($P175&lt;&gt;0,'Técnicas de Ki'!M70,0)+IF($Q175&lt;&gt;0,'Técnicas de Ki'!N70,0)+IF($R175&lt;&gt;0,'Técnicas de Ki'!O70,0)+IF($S175&lt;&gt;0,'Técnicas de Ki'!P70,0)+IF($T175&lt;&gt;0,'Técnicas de Ki'!Q70,0)),0))</f>
        <v>0</v>
      </c>
      <c r="Y175" s="538">
        <f>IF('Técnicas de Ki'!B70=0,0,IF('Técnicas de Ki'!I70=TS!Y$119,'Técnicas de Ki'!C70-(IF($O175&lt;&gt;0,'Técnicas de Ki'!L70,0)+IF($P175&lt;&gt;0,'Técnicas de Ki'!M70,0)+IF($Q175&lt;&gt;0,'Técnicas de Ki'!N70,0)+IF($R175&lt;&gt;0,'Técnicas de Ki'!O70,0)+IF($S175&lt;&gt;0,'Técnicas de Ki'!P70,0)+IF($T175&lt;&gt;0,'Técnicas de Ki'!Q70,0)),0))</f>
        <v>0</v>
      </c>
      <c r="Z175" s="538">
        <f>IF('Técnicas de Ki'!B70=0,0,IF('Técnicas de Ki'!I70=TS!Z$119,'Técnicas de Ki'!C70-(IF($O175&lt;&gt;0,'Técnicas de Ki'!L70,0)+IF($P175&lt;&gt;0,'Técnicas de Ki'!M70,0)+IF($Q175&lt;&gt;0,'Técnicas de Ki'!N70,0)+IF($R175&lt;&gt;0,'Técnicas de Ki'!O70,0)+IF($S175&lt;&gt;0,'Técnicas de Ki'!P70,0)+IF($T175&lt;&gt;0,'Técnicas de Ki'!Q70,0)),0))</f>
        <v>0</v>
      </c>
      <c r="AA175" s="539">
        <f>IF('Técnicas de Ki'!B70=0,0,IF('Técnicas de Ki'!I70=TS!AA$119,'Técnicas de Ki'!C70-(IF($O175&lt;&gt;0,'Técnicas de Ki'!L70,0)+IF($P175&lt;&gt;0,'Técnicas de Ki'!M70,0)+IF($Q175&lt;&gt;0,'Técnicas de Ki'!N70,0)+IF($R175&lt;&gt;0,'Técnicas de Ki'!O70,0)+IF($S175&lt;&gt;0,'Técnicas de Ki'!P70,0)+IF($T175&lt;&gt;0,'Técnicas de Ki'!Q70,0)),0))</f>
        <v>0</v>
      </c>
      <c r="AB175" s="538">
        <f>IF('Técnicas de Ki'!B70=0,0,IFERROR(IF('Técnicas de Ki'!L70&lt;&gt;0,'Técnicas de Ki'!L70+TS!$O175,0)*$O175/$O175,0))</f>
        <v>0</v>
      </c>
      <c r="AC175" s="538">
        <f>IF('Técnicas de Ki'!B70=0,0,IFERROR(IF('Técnicas de Ki'!M70&lt;&gt;0,'Técnicas de Ki'!M70+TS!$P175,0)*$P175/$P175,0))</f>
        <v>0</v>
      </c>
      <c r="AD175" s="538">
        <f>IF('Técnicas de Ki'!B70=0,0,IFERROR(IF('Técnicas de Ki'!N70&lt;&gt;0,'Técnicas de Ki'!N70+TS!$Q175,0)*$Q175/$Q175,0))</f>
        <v>0</v>
      </c>
      <c r="AE175" s="538">
        <f>IF('Técnicas de Ki'!B70=0,0,IFERROR(IF('Técnicas de Ki'!O70&lt;&gt;0,'Técnicas de Ki'!O70+TS!$R175,0)*$R175/$R175,0))</f>
        <v>0</v>
      </c>
      <c r="AF175" s="538">
        <f>IF('Técnicas de Ki'!B70=0,0,IFERROR(IF('Técnicas de Ki'!P70&lt;&gt;0,'Técnicas de Ki'!P70+TS!$S175,0)*$S175/$S175,0))</f>
        <v>0</v>
      </c>
      <c r="AG175" s="539">
        <f>IF('Técnicas de Ki'!B70=0,0,IFERROR(IF('Técnicas de Ki'!Q70&lt;&gt;0,'Técnicas de Ki'!Q70+TS!$T175,0)*$T175/$T175,0))</f>
        <v>0</v>
      </c>
      <c r="AI175" s="571" t="str">
        <f>IF('Técnicas de Ki'!B77&lt;&gt;0,'Técnicas de Ki'!A77&amp;" "&amp;'Técnicas de Ki'!B77,"")</f>
        <v/>
      </c>
      <c r="AJ175" s="302" t="b">
        <f t="shared" si="8"/>
        <v>0</v>
      </c>
      <c r="AK175" s="302" t="str">
        <f t="shared" si="4"/>
        <v/>
      </c>
      <c r="AQ175" s="537">
        <f>IF('Técnicas de Ki'!W70=0,0,IF('Técnicas de Ki'!AD70=TS!AQ$119,'Técnicas de Ki'!X70-(IF($O175&lt;&gt;0,'Técnicas de Ki'!AG70,0)+IF($P175&lt;&gt;0,'Técnicas de Ki'!AH70,0)+IF($Q175&lt;&gt;0,'Técnicas de Ki'!AI70,0)+IF($R175&lt;&gt;0,'Técnicas de Ki'!AJ70,0)+IF($S175&lt;&gt;0,'Técnicas de Ki'!AK70,0)+IF($T175&lt;&gt;0,'Técnicas de Ki'!AL70,0)),0))</f>
        <v>0</v>
      </c>
      <c r="AR175" s="538">
        <f>IF('Técnicas de Ki'!W70=0,0,IF('Técnicas de Ki'!AD70=TS!AR$119,'Técnicas de Ki'!X70-(IF($O175&lt;&gt;0,'Técnicas de Ki'!AG70,0)+IF($P175&lt;&gt;0,'Técnicas de Ki'!AH70,0)+IF($Q175&lt;&gt;0,'Técnicas de Ki'!AI70,0)+IF($R175&lt;&gt;0,'Técnicas de Ki'!AJ70,0)+IF($S175&lt;&gt;0,'Técnicas de Ki'!AK70,0)+IF($T175&lt;&gt;0,'Técnicas de Ki'!AL70,0)),0))</f>
        <v>0</v>
      </c>
      <c r="AS175" s="538">
        <f>IF('Técnicas de Ki'!W70=0,0,IF('Técnicas de Ki'!AD70=TS!AS$119,'Técnicas de Ki'!X70-(IF($O175&lt;&gt;0,'Técnicas de Ki'!AG70,0)+IF($P175&lt;&gt;0,'Técnicas de Ki'!AH70,0)+IF($Q175&lt;&gt;0,'Técnicas de Ki'!AI70,0)+IF($R175&lt;&gt;0,'Técnicas de Ki'!AJ70,0)+IF($S175&lt;&gt;0,'Técnicas de Ki'!AK70,0)+IF($T175&lt;&gt;0,'Técnicas de Ki'!AL70,0)),0))</f>
        <v>0</v>
      </c>
      <c r="AT175" s="538">
        <f>IF('Técnicas de Ki'!W70=0,0,IF('Técnicas de Ki'!AD70=TS!AT$119,'Técnicas de Ki'!X70-(IF($O175&lt;&gt;0,'Técnicas de Ki'!AG70,0)+IF($P175&lt;&gt;0,'Técnicas de Ki'!AH70,0)+IF($Q175&lt;&gt;0,'Técnicas de Ki'!AI70,0)+IF($R175&lt;&gt;0,'Técnicas de Ki'!AJ70,0)+IF($S175&lt;&gt;0,'Técnicas de Ki'!AK70,0)+IF($T175&lt;&gt;0,'Técnicas de Ki'!AL70,0)),0))</f>
        <v>0</v>
      </c>
      <c r="AU175" s="538">
        <f>IF('Técnicas de Ki'!W70=0,0,IF('Técnicas de Ki'!AD70=TS!AU$119,'Técnicas de Ki'!X70-(IF($O175&lt;&gt;0,'Técnicas de Ki'!AG70,0)+IF($P175&lt;&gt;0,'Técnicas de Ki'!AH70,0)+IF($Q175&lt;&gt;0,'Técnicas de Ki'!AI70,0)+IF($R175&lt;&gt;0,'Técnicas de Ki'!AJ70,0)+IF($S175&lt;&gt;0,'Técnicas de Ki'!AK70,0)+IF($T175&lt;&gt;0,'Técnicas de Ki'!AL70,0)),0))</f>
        <v>0</v>
      </c>
      <c r="AV175" s="539">
        <f>IF('Técnicas de Ki'!W70=0,0,IF('Técnicas de Ki'!AD70=TS!AV$119,'Técnicas de Ki'!X70-(IF($O175&lt;&gt;0,'Técnicas de Ki'!AG70,0)+IF($P175&lt;&gt;0,'Técnicas de Ki'!AH70,0)+IF($Q175&lt;&gt;0,'Técnicas de Ki'!AI70,0)+IF($R175&lt;&gt;0,'Técnicas de Ki'!AJ70,0)+IF($S175&lt;&gt;0,'Técnicas de Ki'!AK70,0)+IF($T175&lt;&gt;0,'Técnicas de Ki'!AL70,0)),0))</f>
        <v>0</v>
      </c>
      <c r="AW175" s="538">
        <f>IF('Técnicas de Ki'!W70=0,0,IFERROR(IF('Técnicas de Ki'!AG70&lt;&gt;0,'Técnicas de Ki'!AG70+TS!$O175,0)*$O175/$O175,0))</f>
        <v>0</v>
      </c>
      <c r="AX175" s="538">
        <f>IF('Técnicas de Ki'!W70=0,0,IFERROR(IF('Técnicas de Ki'!AH70&lt;&gt;0,'Técnicas de Ki'!AH70+TS!$P175,0)*$P175/$P175,0))</f>
        <v>0</v>
      </c>
      <c r="AY175" s="538">
        <f>IF('Técnicas de Ki'!W70=0,0,IFERROR(IF('Técnicas de Ki'!AI70&lt;&gt;0,'Técnicas de Ki'!AI70+TS!$Q175,0)*$Q175/$Q175,0))</f>
        <v>0</v>
      </c>
      <c r="AZ175" s="538">
        <f>IF('Técnicas de Ki'!W70=0,0,IFERROR(IF('Técnicas de Ki'!AJ70&lt;&gt;0,'Técnicas de Ki'!AJ70+TS!$R175,0)*$R175/$R175,0))</f>
        <v>0</v>
      </c>
      <c r="BA175" s="538">
        <f>IF('Técnicas de Ki'!W70=0,0,IFERROR(IF('Técnicas de Ki'!AK70&lt;&gt;0,'Técnicas de Ki'!AK70+TS!$S175,0)*$S175/$S175,0))</f>
        <v>0</v>
      </c>
      <c r="BB175" s="539">
        <f>IF('Técnicas de Ki'!W70=0,0,IFERROR(IF('Técnicas de Ki'!AL70&lt;&gt;0,'Técnicas de Ki'!AL70+TS!$T175,0)*$T175/$T175,0))</f>
        <v>0</v>
      </c>
      <c r="BD175" s="571" t="str">
        <f>IF('Técnicas de Ki'!W77&lt;&gt;0,'Técnicas de Ki'!V77&amp;" "&amp;'Técnicas de Ki'!W77,"")</f>
        <v/>
      </c>
      <c r="BE175" s="302" t="b">
        <f t="shared" si="31"/>
        <v>0</v>
      </c>
      <c r="BF175" s="302" t="str">
        <f t="shared" si="5"/>
        <v/>
      </c>
      <c r="BL175" s="537">
        <f>IF('Técnicas de Ki'!AR70=0,0,IF('Técnicas de Ki'!AY70=TS!BL$119,'Técnicas de Ki'!AS70-(IF($O175&lt;&gt;0,'Técnicas de Ki'!BB70,0)+IF($P175&lt;&gt;0,'Técnicas de Ki'!BC70,0)+IF($Q175&lt;&gt;0,'Técnicas de Ki'!BD70,0)+IF($R175&lt;&gt;0,'Técnicas de Ki'!BE70,0)+IF($S175&lt;&gt;0,'Técnicas de Ki'!BF70,0)+IF($T175&lt;&gt;0,'Técnicas de Ki'!BG70,0)),0))</f>
        <v>0</v>
      </c>
      <c r="BM175" s="538">
        <f>IF('Técnicas de Ki'!AR70=0,0,IF('Técnicas de Ki'!AY70=TS!BM$119,'Técnicas de Ki'!AS70-(IF($O175&lt;&gt;0,'Técnicas de Ki'!BB70,0)+IF($P175&lt;&gt;0,'Técnicas de Ki'!BC70,0)+IF($Q175&lt;&gt;0,'Técnicas de Ki'!BD70,0)+IF($R175&lt;&gt;0,'Técnicas de Ki'!BE70,0)+IF($S175&lt;&gt;0,'Técnicas de Ki'!BF70,0)+IF($T175&lt;&gt;0,'Técnicas de Ki'!BG70,0)),0))</f>
        <v>0</v>
      </c>
      <c r="BN175" s="538">
        <f>IF('Técnicas de Ki'!AR70=0,0,IF('Técnicas de Ki'!AY70=TS!BN$119,'Técnicas de Ki'!AS70-(IF($O175&lt;&gt;0,'Técnicas de Ki'!BB70,0)+IF($P175&lt;&gt;0,'Técnicas de Ki'!BC70,0)+IF($Q175&lt;&gt;0,'Técnicas de Ki'!BD70,0)+IF($R175&lt;&gt;0,'Técnicas de Ki'!BE70,0)+IF($S175&lt;&gt;0,'Técnicas de Ki'!BF70,0)+IF($T175&lt;&gt;0,'Técnicas de Ki'!BG70,0)),0))</f>
        <v>0</v>
      </c>
      <c r="BO175" s="538">
        <f>IF('Técnicas de Ki'!AR70=0,0,IF('Técnicas de Ki'!AY70=TS!BO$119,'Técnicas de Ki'!AS70-(IF($O175&lt;&gt;0,'Técnicas de Ki'!BB70,0)+IF($P175&lt;&gt;0,'Técnicas de Ki'!BC70,0)+IF($Q175&lt;&gt;0,'Técnicas de Ki'!BD70,0)+IF($R175&lt;&gt;0,'Técnicas de Ki'!BE70,0)+IF($S175&lt;&gt;0,'Técnicas de Ki'!BF70,0)+IF($T175&lt;&gt;0,'Técnicas de Ki'!BG70,0)),0))</f>
        <v>0</v>
      </c>
      <c r="BP175" s="538">
        <f>IF('Técnicas de Ki'!AR70=0,0,IF('Técnicas de Ki'!AY70=TS!BP$119,'Técnicas de Ki'!AS70-(IF($O175&lt;&gt;0,'Técnicas de Ki'!BB70,0)+IF($P175&lt;&gt;0,'Técnicas de Ki'!BC70,0)+IF($Q175&lt;&gt;0,'Técnicas de Ki'!BD70,0)+IF($R175&lt;&gt;0,'Técnicas de Ki'!BE70,0)+IF($S175&lt;&gt;0,'Técnicas de Ki'!BF70,0)+IF($T175&lt;&gt;0,'Técnicas de Ki'!BG70,0)),0))</f>
        <v>0</v>
      </c>
      <c r="BQ175" s="539">
        <f>IF('Técnicas de Ki'!AR70=0,0,IF('Técnicas de Ki'!AY70=TS!BQ$119,'Técnicas de Ki'!AS70-(IF($O175&lt;&gt;0,'Técnicas de Ki'!BB70,0)+IF($P175&lt;&gt;0,'Técnicas de Ki'!BC70,0)+IF($Q175&lt;&gt;0,'Técnicas de Ki'!BD70,0)+IF($R175&lt;&gt;0,'Técnicas de Ki'!BE70,0)+IF($S175&lt;&gt;0,'Técnicas de Ki'!BF70,0)+IF($T175&lt;&gt;0,'Técnicas de Ki'!BG70,0)),0))</f>
        <v>0</v>
      </c>
      <c r="BR175" s="538">
        <f>IF('Técnicas de Ki'!AR70=0,0,IFERROR(IF('Técnicas de Ki'!BB70&lt;&gt;0,'Técnicas de Ki'!BB70+TS!$O175,0)*$O175/$O175,0))</f>
        <v>0</v>
      </c>
      <c r="BS175" s="538">
        <f>IF('Técnicas de Ki'!AR70=0,0,IFERROR(IF('Técnicas de Ki'!BC70&lt;&gt;0,'Técnicas de Ki'!BC70+TS!$P175,0)*$P175/$P175,0))</f>
        <v>0</v>
      </c>
      <c r="BT175" s="538">
        <f>IF('Técnicas de Ki'!AR70=0,0,IFERROR(IF('Técnicas de Ki'!BD70&lt;&gt;0,'Técnicas de Ki'!BD70+TS!$Q175,0)*$Q175/$Q175,0))</f>
        <v>0</v>
      </c>
      <c r="BU175" s="538">
        <f>IF('Técnicas de Ki'!AR70=0,0,IFERROR(IF('Técnicas de Ki'!BE70&lt;&gt;0,'Técnicas de Ki'!BE70+TS!$R175,0)*$R175/$R175,0))</f>
        <v>0</v>
      </c>
      <c r="BV175" s="538">
        <f>IF('Técnicas de Ki'!AR70=0,0,IFERROR(IF('Técnicas de Ki'!BF70&lt;&gt;0,'Técnicas de Ki'!BF70+TS!$S175,0)*$S175/$S175,0))</f>
        <v>0</v>
      </c>
      <c r="BW175" s="539">
        <f>IF('Técnicas de Ki'!AR70=0,0,IFERROR(IF('Técnicas de Ki'!BG70&lt;&gt;0,'Técnicas de Ki'!BG70+TS!$T175,0)*$T175/$T175,0))</f>
        <v>0</v>
      </c>
      <c r="BY175" s="571" t="str">
        <f>IF('Técnicas de Ki'!AR77&lt;&gt;0,'Técnicas de Ki'!AQ77&amp;" "&amp;'Técnicas de Ki'!AR77,"")</f>
        <v/>
      </c>
      <c r="BZ175" s="302" t="b">
        <f t="shared" si="32"/>
        <v>0</v>
      </c>
      <c r="CA175" s="302" t="str">
        <f t="shared" si="6"/>
        <v/>
      </c>
      <c r="CG175" s="537">
        <f>IF('Técnicas de Ki'!BM70=0,0,IF('Técnicas de Ki'!BT70=TS!CG$119,'Técnicas de Ki'!BN70-(IF($O175&lt;&gt;0,'Técnicas de Ki'!BW70,0)+IF($P175&lt;&gt;0,'Técnicas de Ki'!BX70,0)+IF($Q175&lt;&gt;0,'Técnicas de Ki'!BY70,0)+IF($R175&lt;&gt;0,'Técnicas de Ki'!BZ70,0)+IF($S175&lt;&gt;0,'Técnicas de Ki'!CA70,0)+IF($T175&lt;&gt;0,'Técnicas de Ki'!CB70,0)),0))</f>
        <v>0</v>
      </c>
      <c r="CH175" s="538">
        <f>IF('Técnicas de Ki'!BM70=0,0,IF('Técnicas de Ki'!BT70=TS!CH$119,'Técnicas de Ki'!BN70-(IF($O175&lt;&gt;0,'Técnicas de Ki'!BW70,0)+IF($P175&lt;&gt;0,'Técnicas de Ki'!BX70,0)+IF($Q175&lt;&gt;0,'Técnicas de Ki'!BY70,0)+IF($R175&lt;&gt;0,'Técnicas de Ki'!BZ70,0)+IF($S175&lt;&gt;0,'Técnicas de Ki'!CA70,0)+IF($T175&lt;&gt;0,'Técnicas de Ki'!CB70,0)),0))</f>
        <v>0</v>
      </c>
      <c r="CI175" s="538">
        <f>IF('Técnicas de Ki'!BM70=0,0,IF('Técnicas de Ki'!BT70=TS!CI$119,'Técnicas de Ki'!BN70-(IF($O175&lt;&gt;0,'Técnicas de Ki'!BW70,0)+IF($P175&lt;&gt;0,'Técnicas de Ki'!BX70,0)+IF($Q175&lt;&gt;0,'Técnicas de Ki'!BY70,0)+IF($R175&lt;&gt;0,'Técnicas de Ki'!BZ70,0)+IF($S175&lt;&gt;0,'Técnicas de Ki'!CA70,0)+IF($T175&lt;&gt;0,'Técnicas de Ki'!CB70,0)),0))</f>
        <v>0</v>
      </c>
      <c r="CJ175" s="538">
        <f>IF('Técnicas de Ki'!BM70=0,0,IF('Técnicas de Ki'!BT70=TS!CJ$119,'Técnicas de Ki'!BN70-(IF($O175&lt;&gt;0,'Técnicas de Ki'!BW70,0)+IF($P175&lt;&gt;0,'Técnicas de Ki'!BX70,0)+IF($Q175&lt;&gt;0,'Técnicas de Ki'!BY70,0)+IF($R175&lt;&gt;0,'Técnicas de Ki'!BZ70,0)+IF($S175&lt;&gt;0,'Técnicas de Ki'!CA70,0)+IF($T175&lt;&gt;0,'Técnicas de Ki'!CB70,0)),0))</f>
        <v>0</v>
      </c>
      <c r="CK175" s="538">
        <f>IF('Técnicas de Ki'!BM70=0,0,IF('Técnicas de Ki'!BT70=TS!CK$119,'Técnicas de Ki'!BN70-(IF($O175&lt;&gt;0,'Técnicas de Ki'!BW70,0)+IF($P175&lt;&gt;0,'Técnicas de Ki'!BX70,0)+IF($Q175&lt;&gt;0,'Técnicas de Ki'!BY70,0)+IF($R175&lt;&gt;0,'Técnicas de Ki'!BZ70,0)+IF($S175&lt;&gt;0,'Técnicas de Ki'!CA70,0)+IF($T175&lt;&gt;0,'Técnicas de Ki'!CB70,0)),0))</f>
        <v>0</v>
      </c>
      <c r="CL175" s="539">
        <f>IF('Técnicas de Ki'!BM70=0,0,IF('Técnicas de Ki'!BT70=TS!CL$119,'Técnicas de Ki'!BN70-(IF($O175&lt;&gt;0,'Técnicas de Ki'!BW70,0)+IF($P175&lt;&gt;0,'Técnicas de Ki'!BX70,0)+IF($Q175&lt;&gt;0,'Técnicas de Ki'!BY70,0)+IF($R175&lt;&gt;0,'Técnicas de Ki'!BZ70,0)+IF($S175&lt;&gt;0,'Técnicas de Ki'!CA70,0)+IF($T175&lt;&gt;0,'Técnicas de Ki'!CB70,0)),0))</f>
        <v>0</v>
      </c>
      <c r="CM175" s="538">
        <f>IF('Técnicas de Ki'!BM70=0,0,IFERROR(IF('Técnicas de Ki'!BW70&lt;&gt;0,'Técnicas de Ki'!BW70+TS!$O175,0)*$O175/$O175,0))</f>
        <v>0</v>
      </c>
      <c r="CN175" s="538">
        <f>IF('Técnicas de Ki'!BM70=0,0,IFERROR(IF('Técnicas de Ki'!BX70&lt;&gt;0,'Técnicas de Ki'!BX70+TS!$P175,0)*$P175/$P175,0))</f>
        <v>0</v>
      </c>
      <c r="CO175" s="538">
        <f>IF('Técnicas de Ki'!BM70=0,0,IFERROR(IF('Técnicas de Ki'!BY70&lt;&gt;0,'Técnicas de Ki'!BY70+TS!$Q175,0)*$Q175/$Q175,0))</f>
        <v>0</v>
      </c>
      <c r="CP175" s="538">
        <f>IF('Técnicas de Ki'!BM70=0,0,IFERROR(IF('Técnicas de Ki'!BZ70&lt;&gt;0,'Técnicas de Ki'!BZ70+TS!$R175,0)*$R175/$R175,0))</f>
        <v>0</v>
      </c>
      <c r="CQ175" s="538">
        <f>IF('Técnicas de Ki'!BM70=0,0,IFERROR(IF('Técnicas de Ki'!CA70&lt;&gt;0,'Técnicas de Ki'!CA70+TS!$S175,0)*$S175/$S175,0))</f>
        <v>0</v>
      </c>
      <c r="CR175" s="539">
        <f>IF('Técnicas de Ki'!BM70=0,0,IFERROR(IF('Técnicas de Ki'!CB70&lt;&gt;0,'Técnicas de Ki'!CB70+TS!$T175,0)*$T175/$T175,0))</f>
        <v>0</v>
      </c>
      <c r="CT175" s="571" t="str">
        <f>IF('Técnicas de Ki'!BM77&lt;&gt;0,'Técnicas de Ki'!BL77&amp;" "&amp;'Técnicas de Ki'!BM77,"")</f>
        <v/>
      </c>
      <c r="CU175" s="302" t="b">
        <f t="shared" si="33"/>
        <v>0</v>
      </c>
      <c r="CV175" s="302" t="str">
        <f t="shared" si="7"/>
        <v/>
      </c>
    </row>
    <row r="176" spans="1:102" x14ac:dyDescent="0.2">
      <c r="A176" s="302" t="s">
        <v>6862</v>
      </c>
      <c r="B176" s="301" t="s">
        <v>6871</v>
      </c>
      <c r="C176" s="301" t="str">
        <f t="shared" si="15"/>
        <v>Ataque adicional+4</v>
      </c>
      <c r="D176" s="302">
        <v>24</v>
      </c>
      <c r="E176" s="302">
        <v>29</v>
      </c>
      <c r="F176" s="302">
        <v>50</v>
      </c>
      <c r="G176" s="302">
        <v>12</v>
      </c>
      <c r="H176" s="302">
        <v>24</v>
      </c>
      <c r="I176" s="302">
        <v>42</v>
      </c>
      <c r="J176" s="302">
        <v>2</v>
      </c>
      <c r="N176" t="s">
        <v>6927</v>
      </c>
      <c r="O176" s="302">
        <v>2</v>
      </c>
      <c r="P176" s="302">
        <v>3</v>
      </c>
      <c r="S176" s="528">
        <v>2</v>
      </c>
      <c r="T176" s="528">
        <v>1</v>
      </c>
      <c r="V176" s="537">
        <f>IF('Técnicas de Ki'!B71=0,0,IF('Técnicas de Ki'!I71=TS!V$119,'Técnicas de Ki'!C71-(IF($O176&lt;&gt;0,'Técnicas de Ki'!L71,0)+IF($P176&lt;&gt;0,'Técnicas de Ki'!M71,0)+IF($Q176&lt;&gt;0,'Técnicas de Ki'!N71,0)+IF($R176&lt;&gt;0,'Técnicas de Ki'!O71,0)+IF($S176&lt;&gt;0,'Técnicas de Ki'!P71,0)+IF($T176&lt;&gt;0,'Técnicas de Ki'!Q71,0)),0))</f>
        <v>0</v>
      </c>
      <c r="W176" s="538">
        <f>IF('Técnicas de Ki'!B71=0,0,IF('Técnicas de Ki'!I71=TS!W$119,'Técnicas de Ki'!C71-(IF($O176&lt;&gt;0,'Técnicas de Ki'!L71,0)+IF($P176&lt;&gt;0,'Técnicas de Ki'!M71,0)+IF($Q176&lt;&gt;0,'Técnicas de Ki'!N71,0)+IF($R176&lt;&gt;0,'Técnicas de Ki'!O71,0)+IF($S176&lt;&gt;0,'Técnicas de Ki'!P71,0)+IF($T176&lt;&gt;0,'Técnicas de Ki'!Q71,0)),0))</f>
        <v>0</v>
      </c>
      <c r="X176" s="538">
        <f>IF('Técnicas de Ki'!B71=0,0,IF('Técnicas de Ki'!I71=TS!X$119,'Técnicas de Ki'!C71-(IF($O176&lt;&gt;0,'Técnicas de Ki'!L71,0)+IF($P176&lt;&gt;0,'Técnicas de Ki'!M71,0)+IF($Q176&lt;&gt;0,'Técnicas de Ki'!N71,0)+IF($R176&lt;&gt;0,'Técnicas de Ki'!O71,0)+IF($S176&lt;&gt;0,'Técnicas de Ki'!P71,0)+IF($T176&lt;&gt;0,'Técnicas de Ki'!Q71,0)),0))</f>
        <v>0</v>
      </c>
      <c r="Y176" s="538">
        <f>IF('Técnicas de Ki'!B71=0,0,IF('Técnicas de Ki'!I71=TS!Y$119,'Técnicas de Ki'!C71-(IF($O176&lt;&gt;0,'Técnicas de Ki'!L71,0)+IF($P176&lt;&gt;0,'Técnicas de Ki'!M71,0)+IF($Q176&lt;&gt;0,'Técnicas de Ki'!N71,0)+IF($R176&lt;&gt;0,'Técnicas de Ki'!O71,0)+IF($S176&lt;&gt;0,'Técnicas de Ki'!P71,0)+IF($T176&lt;&gt;0,'Técnicas de Ki'!Q71,0)),0))</f>
        <v>0</v>
      </c>
      <c r="Z176" s="538">
        <f>IF('Técnicas de Ki'!B71=0,0,IF('Técnicas de Ki'!I71=TS!Z$119,'Técnicas de Ki'!C71-(IF($O176&lt;&gt;0,'Técnicas de Ki'!L71,0)+IF($P176&lt;&gt;0,'Técnicas de Ki'!M71,0)+IF($Q176&lt;&gt;0,'Técnicas de Ki'!N71,0)+IF($R176&lt;&gt;0,'Técnicas de Ki'!O71,0)+IF($S176&lt;&gt;0,'Técnicas de Ki'!P71,0)+IF($T176&lt;&gt;0,'Técnicas de Ki'!Q71,0)),0))</f>
        <v>0</v>
      </c>
      <c r="AA176" s="539">
        <f>IF('Técnicas de Ki'!B71=0,0,IF('Técnicas de Ki'!I71=TS!AA$119,'Técnicas de Ki'!C71-(IF($O176&lt;&gt;0,'Técnicas de Ki'!L71,0)+IF($P176&lt;&gt;0,'Técnicas de Ki'!M71,0)+IF($Q176&lt;&gt;0,'Técnicas de Ki'!N71,0)+IF($R176&lt;&gt;0,'Técnicas de Ki'!O71,0)+IF($S176&lt;&gt;0,'Técnicas de Ki'!P71,0)+IF($T176&lt;&gt;0,'Técnicas de Ki'!Q71,0)),0))</f>
        <v>0</v>
      </c>
      <c r="AB176" s="538">
        <f>IF('Técnicas de Ki'!B71=0,0,IFERROR(IF('Técnicas de Ki'!L71&lt;&gt;0,'Técnicas de Ki'!L71+TS!$O176,0)*$O176/$O176,0))</f>
        <v>0</v>
      </c>
      <c r="AC176" s="538">
        <f>IF('Técnicas de Ki'!B71=0,0,IFERROR(IF('Técnicas de Ki'!M71&lt;&gt;0,'Técnicas de Ki'!M71+TS!$P176,0)*$P176/$P176,0))</f>
        <v>0</v>
      </c>
      <c r="AD176" s="538">
        <f>IF('Técnicas de Ki'!B71=0,0,IFERROR(IF('Técnicas de Ki'!N71&lt;&gt;0,'Técnicas de Ki'!N71+TS!$Q176,0)*$Q176/$Q176,0))</f>
        <v>0</v>
      </c>
      <c r="AE176" s="538">
        <f>IF('Técnicas de Ki'!B71=0,0,IFERROR(IF('Técnicas de Ki'!O71&lt;&gt;0,'Técnicas de Ki'!O71+TS!$R176,0)*$R176/$R176,0))</f>
        <v>0</v>
      </c>
      <c r="AF176" s="538">
        <f>IF('Técnicas de Ki'!B71=0,0,IFERROR(IF('Técnicas de Ki'!P71&lt;&gt;0,'Técnicas de Ki'!P71+TS!$S176,0)*$S176/$S176,0))</f>
        <v>0</v>
      </c>
      <c r="AG176" s="539">
        <f>IF('Técnicas de Ki'!B71=0,0,IFERROR(IF('Técnicas de Ki'!Q71&lt;&gt;0,'Técnicas de Ki'!Q71+TS!$T176,0)*$T176/$T176,0))</f>
        <v>0</v>
      </c>
      <c r="AI176" s="571" t="str">
        <f>IF('Técnicas de Ki'!B78&lt;&gt;0,'Técnicas de Ki'!A78&amp;" "&amp;'Técnicas de Ki'!B78,"")</f>
        <v/>
      </c>
      <c r="AJ176" s="302" t="b">
        <f t="shared" si="8"/>
        <v>0</v>
      </c>
      <c r="AK176" s="302" t="str">
        <f t="shared" si="4"/>
        <v/>
      </c>
      <c r="AQ176" s="537">
        <f>IF('Técnicas de Ki'!W71=0,0,IF('Técnicas de Ki'!AD71=TS!AQ$119,'Técnicas de Ki'!X71-(IF($O176&lt;&gt;0,'Técnicas de Ki'!AG71,0)+IF($P176&lt;&gt;0,'Técnicas de Ki'!AH71,0)+IF($Q176&lt;&gt;0,'Técnicas de Ki'!AI71,0)+IF($R176&lt;&gt;0,'Técnicas de Ki'!AJ71,0)+IF($S176&lt;&gt;0,'Técnicas de Ki'!AK71,0)+IF($T176&lt;&gt;0,'Técnicas de Ki'!AL71,0)),0))</f>
        <v>0</v>
      </c>
      <c r="AR176" s="538">
        <f>IF('Técnicas de Ki'!W71=0,0,IF('Técnicas de Ki'!AD71=TS!AR$119,'Técnicas de Ki'!X71-(IF($O176&lt;&gt;0,'Técnicas de Ki'!AG71,0)+IF($P176&lt;&gt;0,'Técnicas de Ki'!AH71,0)+IF($Q176&lt;&gt;0,'Técnicas de Ki'!AI71,0)+IF($R176&lt;&gt;0,'Técnicas de Ki'!AJ71,0)+IF($S176&lt;&gt;0,'Técnicas de Ki'!AK71,0)+IF($T176&lt;&gt;0,'Técnicas de Ki'!AL71,0)),0))</f>
        <v>0</v>
      </c>
      <c r="AS176" s="538">
        <f>IF('Técnicas de Ki'!W71=0,0,IF('Técnicas de Ki'!AD71=TS!AS$119,'Técnicas de Ki'!X71-(IF($O176&lt;&gt;0,'Técnicas de Ki'!AG71,0)+IF($P176&lt;&gt;0,'Técnicas de Ki'!AH71,0)+IF($Q176&lt;&gt;0,'Técnicas de Ki'!AI71,0)+IF($R176&lt;&gt;0,'Técnicas de Ki'!AJ71,0)+IF($S176&lt;&gt;0,'Técnicas de Ki'!AK71,0)+IF($T176&lt;&gt;0,'Técnicas de Ki'!AL71,0)),0))</f>
        <v>0</v>
      </c>
      <c r="AT176" s="538">
        <f>IF('Técnicas de Ki'!W71=0,0,IF('Técnicas de Ki'!AD71=TS!AT$119,'Técnicas de Ki'!X71-(IF($O176&lt;&gt;0,'Técnicas de Ki'!AG71,0)+IF($P176&lt;&gt;0,'Técnicas de Ki'!AH71,0)+IF($Q176&lt;&gt;0,'Técnicas de Ki'!AI71,0)+IF($R176&lt;&gt;0,'Técnicas de Ki'!AJ71,0)+IF($S176&lt;&gt;0,'Técnicas de Ki'!AK71,0)+IF($T176&lt;&gt;0,'Técnicas de Ki'!AL71,0)),0))</f>
        <v>0</v>
      </c>
      <c r="AU176" s="538">
        <f>IF('Técnicas de Ki'!W71=0,0,IF('Técnicas de Ki'!AD71=TS!AU$119,'Técnicas de Ki'!X71-(IF($O176&lt;&gt;0,'Técnicas de Ki'!AG71,0)+IF($P176&lt;&gt;0,'Técnicas de Ki'!AH71,0)+IF($Q176&lt;&gt;0,'Técnicas de Ki'!AI71,0)+IF($R176&lt;&gt;0,'Técnicas de Ki'!AJ71,0)+IF($S176&lt;&gt;0,'Técnicas de Ki'!AK71,0)+IF($T176&lt;&gt;0,'Técnicas de Ki'!AL71,0)),0))</f>
        <v>0</v>
      </c>
      <c r="AV176" s="539">
        <f>IF('Técnicas de Ki'!W71=0,0,IF('Técnicas de Ki'!AD71=TS!AV$119,'Técnicas de Ki'!X71-(IF($O176&lt;&gt;0,'Técnicas de Ki'!AG71,0)+IF($P176&lt;&gt;0,'Técnicas de Ki'!AH71,0)+IF($Q176&lt;&gt;0,'Técnicas de Ki'!AI71,0)+IF($R176&lt;&gt;0,'Técnicas de Ki'!AJ71,0)+IF($S176&lt;&gt;0,'Técnicas de Ki'!AK71,0)+IF($T176&lt;&gt;0,'Técnicas de Ki'!AL71,0)),0))</f>
        <v>0</v>
      </c>
      <c r="AW176" s="538">
        <f>IF('Técnicas de Ki'!W71=0,0,IFERROR(IF('Técnicas de Ki'!AG71&lt;&gt;0,'Técnicas de Ki'!AG71+TS!$O176,0)*$O176/$O176,0))</f>
        <v>0</v>
      </c>
      <c r="AX176" s="538">
        <f>IF('Técnicas de Ki'!W71=0,0,IFERROR(IF('Técnicas de Ki'!AH71&lt;&gt;0,'Técnicas de Ki'!AH71+TS!$P176,0)*$P176/$P176,0))</f>
        <v>0</v>
      </c>
      <c r="AY176" s="538">
        <f>IF('Técnicas de Ki'!W71=0,0,IFERROR(IF('Técnicas de Ki'!AI71&lt;&gt;0,'Técnicas de Ki'!AI71+TS!$Q176,0)*$Q176/$Q176,0))</f>
        <v>0</v>
      </c>
      <c r="AZ176" s="538">
        <f>IF('Técnicas de Ki'!W71=0,0,IFERROR(IF('Técnicas de Ki'!AJ71&lt;&gt;0,'Técnicas de Ki'!AJ71+TS!$R176,0)*$R176/$R176,0))</f>
        <v>0</v>
      </c>
      <c r="BA176" s="538">
        <f>IF('Técnicas de Ki'!W71=0,0,IFERROR(IF('Técnicas de Ki'!AK71&lt;&gt;0,'Técnicas de Ki'!AK71+TS!$S176,0)*$S176/$S176,0))</f>
        <v>0</v>
      </c>
      <c r="BB176" s="539">
        <f>IF('Técnicas de Ki'!W71=0,0,IFERROR(IF('Técnicas de Ki'!AL71&lt;&gt;0,'Técnicas de Ki'!AL71+TS!$T176,0)*$T176/$T176,0))</f>
        <v>0</v>
      </c>
      <c r="BD176" s="571" t="str">
        <f>IF('Técnicas de Ki'!W78&lt;&gt;0,'Técnicas de Ki'!V78&amp;" "&amp;'Técnicas de Ki'!W78,"")</f>
        <v/>
      </c>
      <c r="BE176" s="302" t="b">
        <f t="shared" si="31"/>
        <v>0</v>
      </c>
      <c r="BF176" s="302" t="str">
        <f t="shared" si="5"/>
        <v/>
      </c>
      <c r="BL176" s="537">
        <f>IF('Técnicas de Ki'!AR71=0,0,IF('Técnicas de Ki'!AY71=TS!BL$119,'Técnicas de Ki'!AS71-(IF($O176&lt;&gt;0,'Técnicas de Ki'!BB71,0)+IF($P176&lt;&gt;0,'Técnicas de Ki'!BC71,0)+IF($Q176&lt;&gt;0,'Técnicas de Ki'!BD71,0)+IF($R176&lt;&gt;0,'Técnicas de Ki'!BE71,0)+IF($S176&lt;&gt;0,'Técnicas de Ki'!BF71,0)+IF($T176&lt;&gt;0,'Técnicas de Ki'!BG71,0)),0))</f>
        <v>0</v>
      </c>
      <c r="BM176" s="538">
        <f>IF('Técnicas de Ki'!AR71=0,0,IF('Técnicas de Ki'!AY71=TS!BM$119,'Técnicas de Ki'!AS71-(IF($O176&lt;&gt;0,'Técnicas de Ki'!BB71,0)+IF($P176&lt;&gt;0,'Técnicas de Ki'!BC71,0)+IF($Q176&lt;&gt;0,'Técnicas de Ki'!BD71,0)+IF($R176&lt;&gt;0,'Técnicas de Ki'!BE71,0)+IF($S176&lt;&gt;0,'Técnicas de Ki'!BF71,0)+IF($T176&lt;&gt;0,'Técnicas de Ki'!BG71,0)),0))</f>
        <v>0</v>
      </c>
      <c r="BN176" s="538">
        <f>IF('Técnicas de Ki'!AR71=0,0,IF('Técnicas de Ki'!AY71=TS!BN$119,'Técnicas de Ki'!AS71-(IF($O176&lt;&gt;0,'Técnicas de Ki'!BB71,0)+IF($P176&lt;&gt;0,'Técnicas de Ki'!BC71,0)+IF($Q176&lt;&gt;0,'Técnicas de Ki'!BD71,0)+IF($R176&lt;&gt;0,'Técnicas de Ki'!BE71,0)+IF($S176&lt;&gt;0,'Técnicas de Ki'!BF71,0)+IF($T176&lt;&gt;0,'Técnicas de Ki'!BG71,0)),0))</f>
        <v>0</v>
      </c>
      <c r="BO176" s="538">
        <f>IF('Técnicas de Ki'!AR71=0,0,IF('Técnicas de Ki'!AY71=TS!BO$119,'Técnicas de Ki'!AS71-(IF($O176&lt;&gt;0,'Técnicas de Ki'!BB71,0)+IF($P176&lt;&gt;0,'Técnicas de Ki'!BC71,0)+IF($Q176&lt;&gt;0,'Técnicas de Ki'!BD71,0)+IF($R176&lt;&gt;0,'Técnicas de Ki'!BE71,0)+IF($S176&lt;&gt;0,'Técnicas de Ki'!BF71,0)+IF($T176&lt;&gt;0,'Técnicas de Ki'!BG71,0)),0))</f>
        <v>0</v>
      </c>
      <c r="BP176" s="538">
        <f>IF('Técnicas de Ki'!AR71=0,0,IF('Técnicas de Ki'!AY71=TS!BP$119,'Técnicas de Ki'!AS71-(IF($O176&lt;&gt;0,'Técnicas de Ki'!BB71,0)+IF($P176&lt;&gt;0,'Técnicas de Ki'!BC71,0)+IF($Q176&lt;&gt;0,'Técnicas de Ki'!BD71,0)+IF($R176&lt;&gt;0,'Técnicas de Ki'!BE71,0)+IF($S176&lt;&gt;0,'Técnicas de Ki'!BF71,0)+IF($T176&lt;&gt;0,'Técnicas de Ki'!BG71,0)),0))</f>
        <v>0</v>
      </c>
      <c r="BQ176" s="539">
        <f>IF('Técnicas de Ki'!AR71=0,0,IF('Técnicas de Ki'!AY71=TS!BQ$119,'Técnicas de Ki'!AS71-(IF($O176&lt;&gt;0,'Técnicas de Ki'!BB71,0)+IF($P176&lt;&gt;0,'Técnicas de Ki'!BC71,0)+IF($Q176&lt;&gt;0,'Técnicas de Ki'!BD71,0)+IF($R176&lt;&gt;0,'Técnicas de Ki'!BE71,0)+IF($S176&lt;&gt;0,'Técnicas de Ki'!BF71,0)+IF($T176&lt;&gt;0,'Técnicas de Ki'!BG71,0)),0))</f>
        <v>0</v>
      </c>
      <c r="BR176" s="538">
        <f>IF('Técnicas de Ki'!AR71=0,0,IFERROR(IF('Técnicas de Ki'!BB71&lt;&gt;0,'Técnicas de Ki'!BB71+TS!$O176,0)*$O176/$O176,0))</f>
        <v>0</v>
      </c>
      <c r="BS176" s="538">
        <f>IF('Técnicas de Ki'!AR71=0,0,IFERROR(IF('Técnicas de Ki'!BC71&lt;&gt;0,'Técnicas de Ki'!BC71+TS!$P176,0)*$P176/$P176,0))</f>
        <v>0</v>
      </c>
      <c r="BT176" s="538">
        <f>IF('Técnicas de Ki'!AR71=0,0,IFERROR(IF('Técnicas de Ki'!BD71&lt;&gt;0,'Técnicas de Ki'!BD71+TS!$Q176,0)*$Q176/$Q176,0))</f>
        <v>0</v>
      </c>
      <c r="BU176" s="538">
        <f>IF('Técnicas de Ki'!AR71=0,0,IFERROR(IF('Técnicas de Ki'!BE71&lt;&gt;0,'Técnicas de Ki'!BE71+TS!$R176,0)*$R176/$R176,0))</f>
        <v>0</v>
      </c>
      <c r="BV176" s="538">
        <f>IF('Técnicas de Ki'!AR71=0,0,IFERROR(IF('Técnicas de Ki'!BF71&lt;&gt;0,'Técnicas de Ki'!BF71+TS!$S176,0)*$S176/$S176,0))</f>
        <v>0</v>
      </c>
      <c r="BW176" s="539">
        <f>IF('Técnicas de Ki'!AR71=0,0,IFERROR(IF('Técnicas de Ki'!BG71&lt;&gt;0,'Técnicas de Ki'!BG71+TS!$T176,0)*$T176/$T176,0))</f>
        <v>0</v>
      </c>
      <c r="BY176" s="571" t="str">
        <f>IF('Técnicas de Ki'!AR78&lt;&gt;0,'Técnicas de Ki'!AQ78&amp;" "&amp;'Técnicas de Ki'!AR78,"")</f>
        <v/>
      </c>
      <c r="BZ176" s="302" t="b">
        <f t="shared" si="32"/>
        <v>0</v>
      </c>
      <c r="CA176" s="302" t="str">
        <f t="shared" si="6"/>
        <v/>
      </c>
      <c r="CG176" s="537">
        <f>IF('Técnicas de Ki'!BM71=0,0,IF('Técnicas de Ki'!BT71=TS!CG$119,'Técnicas de Ki'!BN71-(IF($O176&lt;&gt;0,'Técnicas de Ki'!BW71,0)+IF($P176&lt;&gt;0,'Técnicas de Ki'!BX71,0)+IF($Q176&lt;&gt;0,'Técnicas de Ki'!BY71,0)+IF($R176&lt;&gt;0,'Técnicas de Ki'!BZ71,0)+IF($S176&lt;&gt;0,'Técnicas de Ki'!CA71,0)+IF($T176&lt;&gt;0,'Técnicas de Ki'!CB71,0)),0))</f>
        <v>0</v>
      </c>
      <c r="CH176" s="538">
        <f>IF('Técnicas de Ki'!BM71=0,0,IF('Técnicas de Ki'!BT71=TS!CH$119,'Técnicas de Ki'!BN71-(IF($O176&lt;&gt;0,'Técnicas de Ki'!BW71,0)+IF($P176&lt;&gt;0,'Técnicas de Ki'!BX71,0)+IF($Q176&lt;&gt;0,'Técnicas de Ki'!BY71,0)+IF($R176&lt;&gt;0,'Técnicas de Ki'!BZ71,0)+IF($S176&lt;&gt;0,'Técnicas de Ki'!CA71,0)+IF($T176&lt;&gt;0,'Técnicas de Ki'!CB71,0)),0))</f>
        <v>0</v>
      </c>
      <c r="CI176" s="538">
        <f>IF('Técnicas de Ki'!BM71=0,0,IF('Técnicas de Ki'!BT71=TS!CI$119,'Técnicas de Ki'!BN71-(IF($O176&lt;&gt;0,'Técnicas de Ki'!BW71,0)+IF($P176&lt;&gt;0,'Técnicas de Ki'!BX71,0)+IF($Q176&lt;&gt;0,'Técnicas de Ki'!BY71,0)+IF($R176&lt;&gt;0,'Técnicas de Ki'!BZ71,0)+IF($S176&lt;&gt;0,'Técnicas de Ki'!CA71,0)+IF($T176&lt;&gt;0,'Técnicas de Ki'!CB71,0)),0))</f>
        <v>0</v>
      </c>
      <c r="CJ176" s="538">
        <f>IF('Técnicas de Ki'!BM71=0,0,IF('Técnicas de Ki'!BT71=TS!CJ$119,'Técnicas de Ki'!BN71-(IF($O176&lt;&gt;0,'Técnicas de Ki'!BW71,0)+IF($P176&lt;&gt;0,'Técnicas de Ki'!BX71,0)+IF($Q176&lt;&gt;0,'Técnicas de Ki'!BY71,0)+IF($R176&lt;&gt;0,'Técnicas de Ki'!BZ71,0)+IF($S176&lt;&gt;0,'Técnicas de Ki'!CA71,0)+IF($T176&lt;&gt;0,'Técnicas de Ki'!CB71,0)),0))</f>
        <v>0</v>
      </c>
      <c r="CK176" s="538">
        <f>IF('Técnicas de Ki'!BM71=0,0,IF('Técnicas de Ki'!BT71=TS!CK$119,'Técnicas de Ki'!BN71-(IF($O176&lt;&gt;0,'Técnicas de Ki'!BW71,0)+IF($P176&lt;&gt;0,'Técnicas de Ki'!BX71,0)+IF($Q176&lt;&gt;0,'Técnicas de Ki'!BY71,0)+IF($R176&lt;&gt;0,'Técnicas de Ki'!BZ71,0)+IF($S176&lt;&gt;0,'Técnicas de Ki'!CA71,0)+IF($T176&lt;&gt;0,'Técnicas de Ki'!CB71,0)),0))</f>
        <v>0</v>
      </c>
      <c r="CL176" s="539">
        <f>IF('Técnicas de Ki'!BM71=0,0,IF('Técnicas de Ki'!BT71=TS!CL$119,'Técnicas de Ki'!BN71-(IF($O176&lt;&gt;0,'Técnicas de Ki'!BW71,0)+IF($P176&lt;&gt;0,'Técnicas de Ki'!BX71,0)+IF($Q176&lt;&gt;0,'Técnicas de Ki'!BY71,0)+IF($R176&lt;&gt;0,'Técnicas de Ki'!BZ71,0)+IF($S176&lt;&gt;0,'Técnicas de Ki'!CA71,0)+IF($T176&lt;&gt;0,'Técnicas de Ki'!CB71,0)),0))</f>
        <v>0</v>
      </c>
      <c r="CM176" s="538">
        <f>IF('Técnicas de Ki'!BM71=0,0,IFERROR(IF('Técnicas de Ki'!BW71&lt;&gt;0,'Técnicas de Ki'!BW71+TS!$O176,0)*$O176/$O176,0))</f>
        <v>0</v>
      </c>
      <c r="CN176" s="538">
        <f>IF('Técnicas de Ki'!BM71=0,0,IFERROR(IF('Técnicas de Ki'!BX71&lt;&gt;0,'Técnicas de Ki'!BX71+TS!$P176,0)*$P176/$P176,0))</f>
        <v>0</v>
      </c>
      <c r="CO176" s="538">
        <f>IF('Técnicas de Ki'!BM71=0,0,IFERROR(IF('Técnicas de Ki'!BY71&lt;&gt;0,'Técnicas de Ki'!BY71+TS!$Q176,0)*$Q176/$Q176,0))</f>
        <v>0</v>
      </c>
      <c r="CP176" s="538">
        <f>IF('Técnicas de Ki'!BM71=0,0,IFERROR(IF('Técnicas de Ki'!BZ71&lt;&gt;0,'Técnicas de Ki'!BZ71+TS!$R176,0)*$R176/$R176,0))</f>
        <v>0</v>
      </c>
      <c r="CQ176" s="538">
        <f>IF('Técnicas de Ki'!BM71=0,0,IFERROR(IF('Técnicas de Ki'!CA71&lt;&gt;0,'Técnicas de Ki'!CA71+TS!$S176,0)*$S176/$S176,0))</f>
        <v>0</v>
      </c>
      <c r="CR176" s="539">
        <f>IF('Técnicas de Ki'!BM71=0,0,IFERROR(IF('Técnicas de Ki'!CB71&lt;&gt;0,'Técnicas de Ki'!CB71+TS!$T176,0)*$T176/$T176,0))</f>
        <v>0</v>
      </c>
      <c r="CT176" s="571" t="str">
        <f>IF('Técnicas de Ki'!BM78&lt;&gt;0,'Técnicas de Ki'!BL78&amp;" "&amp;'Técnicas de Ki'!BM78,"")</f>
        <v/>
      </c>
      <c r="CU176" s="302" t="b">
        <f t="shared" si="33"/>
        <v>0</v>
      </c>
      <c r="CV176" s="302" t="str">
        <f t="shared" si="7"/>
        <v/>
      </c>
    </row>
    <row r="177" spans="1:102" x14ac:dyDescent="0.2">
      <c r="A177" s="302" t="s">
        <v>6862</v>
      </c>
      <c r="B177" s="301" t="s">
        <v>6777</v>
      </c>
      <c r="C177" s="301" t="str">
        <f t="shared" si="15"/>
        <v>Ataque adicional+5</v>
      </c>
      <c r="D177" s="302">
        <v>30</v>
      </c>
      <c r="E177" s="302">
        <v>36</v>
      </c>
      <c r="F177" s="302">
        <v>60</v>
      </c>
      <c r="G177" s="302">
        <v>15</v>
      </c>
      <c r="H177" s="302">
        <v>30</v>
      </c>
      <c r="I177" s="302">
        <v>53</v>
      </c>
      <c r="J177" s="302">
        <v>3</v>
      </c>
      <c r="N177" t="s">
        <v>6928</v>
      </c>
      <c r="O177" s="302">
        <v>2</v>
      </c>
      <c r="P177" s="302">
        <v>3</v>
      </c>
      <c r="S177" s="528">
        <v>2</v>
      </c>
      <c r="T177" s="528">
        <v>1</v>
      </c>
      <c r="V177" s="537">
        <f>IF('Técnicas de Ki'!B72=0,0,IF('Técnicas de Ki'!I72=TS!V$119,'Técnicas de Ki'!C72-(IF($O177&lt;&gt;0,'Técnicas de Ki'!L72,0)+IF($P177&lt;&gt;0,'Técnicas de Ki'!M72,0)+IF($Q177&lt;&gt;0,'Técnicas de Ki'!N72,0)+IF($R177&lt;&gt;0,'Técnicas de Ki'!O72,0)+IF($S177&lt;&gt;0,'Técnicas de Ki'!P72,0)+IF($T177&lt;&gt;0,'Técnicas de Ki'!Q72,0)),0))</f>
        <v>0</v>
      </c>
      <c r="W177" s="538">
        <f>IF('Técnicas de Ki'!B72=0,0,IF('Técnicas de Ki'!I72=TS!W$119,'Técnicas de Ki'!C72-(IF($O177&lt;&gt;0,'Técnicas de Ki'!L72,0)+IF($P177&lt;&gt;0,'Técnicas de Ki'!M72,0)+IF($Q177&lt;&gt;0,'Técnicas de Ki'!N72,0)+IF($R177&lt;&gt;0,'Técnicas de Ki'!O72,0)+IF($S177&lt;&gt;0,'Técnicas de Ki'!P72,0)+IF($T177&lt;&gt;0,'Técnicas de Ki'!Q72,0)),0))</f>
        <v>0</v>
      </c>
      <c r="X177" s="538">
        <f>IF('Técnicas de Ki'!B72=0,0,IF('Técnicas de Ki'!I72=TS!X$119,'Técnicas de Ki'!C72-(IF($O177&lt;&gt;0,'Técnicas de Ki'!L72,0)+IF($P177&lt;&gt;0,'Técnicas de Ki'!M72,0)+IF($Q177&lt;&gt;0,'Técnicas de Ki'!N72,0)+IF($R177&lt;&gt;0,'Técnicas de Ki'!O72,0)+IF($S177&lt;&gt;0,'Técnicas de Ki'!P72,0)+IF($T177&lt;&gt;0,'Técnicas de Ki'!Q72,0)),0))</f>
        <v>0</v>
      </c>
      <c r="Y177" s="538">
        <f>IF('Técnicas de Ki'!B72=0,0,IF('Técnicas de Ki'!I72=TS!Y$119,'Técnicas de Ki'!C72-(IF($O177&lt;&gt;0,'Técnicas de Ki'!L72,0)+IF($P177&lt;&gt;0,'Técnicas de Ki'!M72,0)+IF($Q177&lt;&gt;0,'Técnicas de Ki'!N72,0)+IF($R177&lt;&gt;0,'Técnicas de Ki'!O72,0)+IF($S177&lt;&gt;0,'Técnicas de Ki'!P72,0)+IF($T177&lt;&gt;0,'Técnicas de Ki'!Q72,0)),0))</f>
        <v>0</v>
      </c>
      <c r="Z177" s="538">
        <f>IF('Técnicas de Ki'!B72=0,0,IF('Técnicas de Ki'!I72=TS!Z$119,'Técnicas de Ki'!C72-(IF($O177&lt;&gt;0,'Técnicas de Ki'!L72,0)+IF($P177&lt;&gt;0,'Técnicas de Ki'!M72,0)+IF($Q177&lt;&gt;0,'Técnicas de Ki'!N72,0)+IF($R177&lt;&gt;0,'Técnicas de Ki'!O72,0)+IF($S177&lt;&gt;0,'Técnicas de Ki'!P72,0)+IF($T177&lt;&gt;0,'Técnicas de Ki'!Q72,0)),0))</f>
        <v>0</v>
      </c>
      <c r="AA177" s="539">
        <f>IF('Técnicas de Ki'!B72=0,0,IF('Técnicas de Ki'!I72=TS!AA$119,'Técnicas de Ki'!C72-(IF($O177&lt;&gt;0,'Técnicas de Ki'!L72,0)+IF($P177&lt;&gt;0,'Técnicas de Ki'!M72,0)+IF($Q177&lt;&gt;0,'Técnicas de Ki'!N72,0)+IF($R177&lt;&gt;0,'Técnicas de Ki'!O72,0)+IF($S177&lt;&gt;0,'Técnicas de Ki'!P72,0)+IF($T177&lt;&gt;0,'Técnicas de Ki'!Q72,0)),0))</f>
        <v>0</v>
      </c>
      <c r="AB177" s="538">
        <f>IF('Técnicas de Ki'!B72=0,0,IFERROR(IF('Técnicas de Ki'!L72&lt;&gt;0,'Técnicas de Ki'!L72+TS!$O177,0)*$O177/$O177,0))</f>
        <v>0</v>
      </c>
      <c r="AC177" s="538">
        <f>IF('Técnicas de Ki'!B72=0,0,IFERROR(IF('Técnicas de Ki'!M72&lt;&gt;0,'Técnicas de Ki'!M72+TS!$P177,0)*$P177/$P177,0))</f>
        <v>0</v>
      </c>
      <c r="AD177" s="538">
        <f>IF('Técnicas de Ki'!B72=0,0,IFERROR(IF('Técnicas de Ki'!N72&lt;&gt;0,'Técnicas de Ki'!N72+TS!$Q177,0)*$Q177/$Q177,0))</f>
        <v>0</v>
      </c>
      <c r="AE177" s="538">
        <f>IF('Técnicas de Ki'!B72=0,0,IFERROR(IF('Técnicas de Ki'!O72&lt;&gt;0,'Técnicas de Ki'!O72+TS!$R177,0)*$R177/$R177,0))</f>
        <v>0</v>
      </c>
      <c r="AF177" s="538">
        <f>IF('Técnicas de Ki'!B72=0,0,IFERROR(IF('Técnicas de Ki'!P72&lt;&gt;0,'Técnicas de Ki'!P72+TS!$S177,0)*$S177/$S177,0))</f>
        <v>0</v>
      </c>
      <c r="AG177" s="539">
        <f>IF('Técnicas de Ki'!B72=0,0,IFERROR(IF('Técnicas de Ki'!Q72&lt;&gt;0,'Técnicas de Ki'!Q72+TS!$T177,0)*$T177/$T177,0))</f>
        <v>0</v>
      </c>
      <c r="AI177" s="571" t="str">
        <f>IF('Técnicas de Ki'!B79&lt;&gt;0,'Técnicas de Ki'!A79&amp;" "&amp;'Técnicas de Ki'!B79,"")</f>
        <v/>
      </c>
      <c r="AJ177" s="302" t="b">
        <f t="shared" si="8"/>
        <v>0</v>
      </c>
      <c r="AK177" s="302" t="str">
        <f t="shared" si="4"/>
        <v/>
      </c>
      <c r="AQ177" s="537">
        <f>IF('Técnicas de Ki'!W72=0,0,IF('Técnicas de Ki'!AD72=TS!AQ$119,'Técnicas de Ki'!X72-(IF($O177&lt;&gt;0,'Técnicas de Ki'!AG72,0)+IF($P177&lt;&gt;0,'Técnicas de Ki'!AH72,0)+IF($Q177&lt;&gt;0,'Técnicas de Ki'!AI72,0)+IF($R177&lt;&gt;0,'Técnicas de Ki'!AJ72,0)+IF($S177&lt;&gt;0,'Técnicas de Ki'!AK72,0)+IF($T177&lt;&gt;0,'Técnicas de Ki'!AL72,0)),0))</f>
        <v>0</v>
      </c>
      <c r="AR177" s="538">
        <f>IF('Técnicas de Ki'!W72=0,0,IF('Técnicas de Ki'!AD72=TS!AR$119,'Técnicas de Ki'!X72-(IF($O177&lt;&gt;0,'Técnicas de Ki'!AG72,0)+IF($P177&lt;&gt;0,'Técnicas de Ki'!AH72,0)+IF($Q177&lt;&gt;0,'Técnicas de Ki'!AI72,0)+IF($R177&lt;&gt;0,'Técnicas de Ki'!AJ72,0)+IF($S177&lt;&gt;0,'Técnicas de Ki'!AK72,0)+IF($T177&lt;&gt;0,'Técnicas de Ki'!AL72,0)),0))</f>
        <v>0</v>
      </c>
      <c r="AS177" s="538">
        <f>IF('Técnicas de Ki'!W72=0,0,IF('Técnicas de Ki'!AD72=TS!AS$119,'Técnicas de Ki'!X72-(IF($O177&lt;&gt;0,'Técnicas de Ki'!AG72,0)+IF($P177&lt;&gt;0,'Técnicas de Ki'!AH72,0)+IF($Q177&lt;&gt;0,'Técnicas de Ki'!AI72,0)+IF($R177&lt;&gt;0,'Técnicas de Ki'!AJ72,0)+IF($S177&lt;&gt;0,'Técnicas de Ki'!AK72,0)+IF($T177&lt;&gt;0,'Técnicas de Ki'!AL72,0)),0))</f>
        <v>0</v>
      </c>
      <c r="AT177" s="538">
        <f>IF('Técnicas de Ki'!W72=0,0,IF('Técnicas de Ki'!AD72=TS!AT$119,'Técnicas de Ki'!X72-(IF($O177&lt;&gt;0,'Técnicas de Ki'!AG72,0)+IF($P177&lt;&gt;0,'Técnicas de Ki'!AH72,0)+IF($Q177&lt;&gt;0,'Técnicas de Ki'!AI72,0)+IF($R177&lt;&gt;0,'Técnicas de Ki'!AJ72,0)+IF($S177&lt;&gt;0,'Técnicas de Ki'!AK72,0)+IF($T177&lt;&gt;0,'Técnicas de Ki'!AL72,0)),0))</f>
        <v>0</v>
      </c>
      <c r="AU177" s="538">
        <f>IF('Técnicas de Ki'!W72=0,0,IF('Técnicas de Ki'!AD72=TS!AU$119,'Técnicas de Ki'!X72-(IF($O177&lt;&gt;0,'Técnicas de Ki'!AG72,0)+IF($P177&lt;&gt;0,'Técnicas de Ki'!AH72,0)+IF($Q177&lt;&gt;0,'Técnicas de Ki'!AI72,0)+IF($R177&lt;&gt;0,'Técnicas de Ki'!AJ72,0)+IF($S177&lt;&gt;0,'Técnicas de Ki'!AK72,0)+IF($T177&lt;&gt;0,'Técnicas de Ki'!AL72,0)),0))</f>
        <v>0</v>
      </c>
      <c r="AV177" s="539">
        <f>IF('Técnicas de Ki'!W72=0,0,IF('Técnicas de Ki'!AD72=TS!AV$119,'Técnicas de Ki'!X72-(IF($O177&lt;&gt;0,'Técnicas de Ki'!AG72,0)+IF($P177&lt;&gt;0,'Técnicas de Ki'!AH72,0)+IF($Q177&lt;&gt;0,'Técnicas de Ki'!AI72,0)+IF($R177&lt;&gt;0,'Técnicas de Ki'!AJ72,0)+IF($S177&lt;&gt;0,'Técnicas de Ki'!AK72,0)+IF($T177&lt;&gt;0,'Técnicas de Ki'!AL72,0)),0))</f>
        <v>0</v>
      </c>
      <c r="AW177" s="538">
        <f>IF('Técnicas de Ki'!W72=0,0,IFERROR(IF('Técnicas de Ki'!AG72&lt;&gt;0,'Técnicas de Ki'!AG72+TS!$O177,0)*$O177/$O177,0))</f>
        <v>0</v>
      </c>
      <c r="AX177" s="538">
        <f>IF('Técnicas de Ki'!W72=0,0,IFERROR(IF('Técnicas de Ki'!AH72&lt;&gt;0,'Técnicas de Ki'!AH72+TS!$P177,0)*$P177/$P177,0))</f>
        <v>0</v>
      </c>
      <c r="AY177" s="538">
        <f>IF('Técnicas de Ki'!W72=0,0,IFERROR(IF('Técnicas de Ki'!AI72&lt;&gt;0,'Técnicas de Ki'!AI72+TS!$Q177,0)*$Q177/$Q177,0))</f>
        <v>0</v>
      </c>
      <c r="AZ177" s="538">
        <f>IF('Técnicas de Ki'!W72=0,0,IFERROR(IF('Técnicas de Ki'!AJ72&lt;&gt;0,'Técnicas de Ki'!AJ72+TS!$R177,0)*$R177/$R177,0))</f>
        <v>0</v>
      </c>
      <c r="BA177" s="538">
        <f>IF('Técnicas de Ki'!W72=0,0,IFERROR(IF('Técnicas de Ki'!AK72&lt;&gt;0,'Técnicas de Ki'!AK72+TS!$S177,0)*$S177/$S177,0))</f>
        <v>0</v>
      </c>
      <c r="BB177" s="539">
        <f>IF('Técnicas de Ki'!W72=0,0,IFERROR(IF('Técnicas de Ki'!AL72&lt;&gt;0,'Técnicas de Ki'!AL72+TS!$T177,0)*$T177/$T177,0))</f>
        <v>0</v>
      </c>
      <c r="BD177" s="571" t="str">
        <f>IF('Técnicas de Ki'!W79&lt;&gt;0,'Técnicas de Ki'!V79&amp;" "&amp;'Técnicas de Ki'!W79,"")</f>
        <v/>
      </c>
      <c r="BE177" s="302" t="b">
        <f t="shared" si="31"/>
        <v>0</v>
      </c>
      <c r="BF177" s="302" t="str">
        <f t="shared" si="5"/>
        <v/>
      </c>
      <c r="BL177" s="537">
        <f>IF('Técnicas de Ki'!AR72=0,0,IF('Técnicas de Ki'!AY72=TS!BL$119,'Técnicas de Ki'!AS72-(IF($O177&lt;&gt;0,'Técnicas de Ki'!BB72,0)+IF($P177&lt;&gt;0,'Técnicas de Ki'!BC72,0)+IF($Q177&lt;&gt;0,'Técnicas de Ki'!BD72,0)+IF($R177&lt;&gt;0,'Técnicas de Ki'!BE72,0)+IF($S177&lt;&gt;0,'Técnicas de Ki'!BF72,0)+IF($T177&lt;&gt;0,'Técnicas de Ki'!BG72,0)),0))</f>
        <v>0</v>
      </c>
      <c r="BM177" s="538">
        <f>IF('Técnicas de Ki'!AR72=0,0,IF('Técnicas de Ki'!AY72=TS!BM$119,'Técnicas de Ki'!AS72-(IF($O177&lt;&gt;0,'Técnicas de Ki'!BB72,0)+IF($P177&lt;&gt;0,'Técnicas de Ki'!BC72,0)+IF($Q177&lt;&gt;0,'Técnicas de Ki'!BD72,0)+IF($R177&lt;&gt;0,'Técnicas de Ki'!BE72,0)+IF($S177&lt;&gt;0,'Técnicas de Ki'!BF72,0)+IF($T177&lt;&gt;0,'Técnicas de Ki'!BG72,0)),0))</f>
        <v>0</v>
      </c>
      <c r="BN177" s="538">
        <f>IF('Técnicas de Ki'!AR72=0,0,IF('Técnicas de Ki'!AY72=TS!BN$119,'Técnicas de Ki'!AS72-(IF($O177&lt;&gt;0,'Técnicas de Ki'!BB72,0)+IF($P177&lt;&gt;0,'Técnicas de Ki'!BC72,0)+IF($Q177&lt;&gt;0,'Técnicas de Ki'!BD72,0)+IF($R177&lt;&gt;0,'Técnicas de Ki'!BE72,0)+IF($S177&lt;&gt;0,'Técnicas de Ki'!BF72,0)+IF($T177&lt;&gt;0,'Técnicas de Ki'!BG72,0)),0))</f>
        <v>0</v>
      </c>
      <c r="BO177" s="538">
        <f>IF('Técnicas de Ki'!AR72=0,0,IF('Técnicas de Ki'!AY72=TS!BO$119,'Técnicas de Ki'!AS72-(IF($O177&lt;&gt;0,'Técnicas de Ki'!BB72,0)+IF($P177&lt;&gt;0,'Técnicas de Ki'!BC72,0)+IF($Q177&lt;&gt;0,'Técnicas de Ki'!BD72,0)+IF($R177&lt;&gt;0,'Técnicas de Ki'!BE72,0)+IF($S177&lt;&gt;0,'Técnicas de Ki'!BF72,0)+IF($T177&lt;&gt;0,'Técnicas de Ki'!BG72,0)),0))</f>
        <v>0</v>
      </c>
      <c r="BP177" s="538">
        <f>IF('Técnicas de Ki'!AR72=0,0,IF('Técnicas de Ki'!AY72=TS!BP$119,'Técnicas de Ki'!AS72-(IF($O177&lt;&gt;0,'Técnicas de Ki'!BB72,0)+IF($P177&lt;&gt;0,'Técnicas de Ki'!BC72,0)+IF($Q177&lt;&gt;0,'Técnicas de Ki'!BD72,0)+IF($R177&lt;&gt;0,'Técnicas de Ki'!BE72,0)+IF($S177&lt;&gt;0,'Técnicas de Ki'!BF72,0)+IF($T177&lt;&gt;0,'Técnicas de Ki'!BG72,0)),0))</f>
        <v>0</v>
      </c>
      <c r="BQ177" s="539">
        <f>IF('Técnicas de Ki'!AR72=0,0,IF('Técnicas de Ki'!AY72=TS!BQ$119,'Técnicas de Ki'!AS72-(IF($O177&lt;&gt;0,'Técnicas de Ki'!BB72,0)+IF($P177&lt;&gt;0,'Técnicas de Ki'!BC72,0)+IF($Q177&lt;&gt;0,'Técnicas de Ki'!BD72,0)+IF($R177&lt;&gt;0,'Técnicas de Ki'!BE72,0)+IF($S177&lt;&gt;0,'Técnicas de Ki'!BF72,0)+IF($T177&lt;&gt;0,'Técnicas de Ki'!BG72,0)),0))</f>
        <v>0</v>
      </c>
      <c r="BR177" s="538">
        <f>IF('Técnicas de Ki'!AR72=0,0,IFERROR(IF('Técnicas de Ki'!BB72&lt;&gt;0,'Técnicas de Ki'!BB72+TS!$O177,0)*$O177/$O177,0))</f>
        <v>0</v>
      </c>
      <c r="BS177" s="538">
        <f>IF('Técnicas de Ki'!AR72=0,0,IFERROR(IF('Técnicas de Ki'!BC72&lt;&gt;0,'Técnicas de Ki'!BC72+TS!$P177,0)*$P177/$P177,0))</f>
        <v>0</v>
      </c>
      <c r="BT177" s="538">
        <f>IF('Técnicas de Ki'!AR72=0,0,IFERROR(IF('Técnicas de Ki'!BD72&lt;&gt;0,'Técnicas de Ki'!BD72+TS!$Q177,0)*$Q177/$Q177,0))</f>
        <v>0</v>
      </c>
      <c r="BU177" s="538">
        <f>IF('Técnicas de Ki'!AR72=0,0,IFERROR(IF('Técnicas de Ki'!BE72&lt;&gt;0,'Técnicas de Ki'!BE72+TS!$R177,0)*$R177/$R177,0))</f>
        <v>0</v>
      </c>
      <c r="BV177" s="538">
        <f>IF('Técnicas de Ki'!AR72=0,0,IFERROR(IF('Técnicas de Ki'!BF72&lt;&gt;0,'Técnicas de Ki'!BF72+TS!$S177,0)*$S177/$S177,0))</f>
        <v>0</v>
      </c>
      <c r="BW177" s="539">
        <f>IF('Técnicas de Ki'!AR72=0,0,IFERROR(IF('Técnicas de Ki'!BG72&lt;&gt;0,'Técnicas de Ki'!BG72+TS!$T177,0)*$T177/$T177,0))</f>
        <v>0</v>
      </c>
      <c r="BY177" s="571" t="str">
        <f>IF('Técnicas de Ki'!AR79&lt;&gt;0,'Técnicas de Ki'!AQ79&amp;" "&amp;'Técnicas de Ki'!AR79,"")</f>
        <v/>
      </c>
      <c r="BZ177" s="302" t="b">
        <f t="shared" si="32"/>
        <v>0</v>
      </c>
      <c r="CA177" s="302" t="str">
        <f t="shared" si="6"/>
        <v/>
      </c>
      <c r="CG177" s="537">
        <f>IF('Técnicas de Ki'!BM72=0,0,IF('Técnicas de Ki'!BT72=TS!CG$119,'Técnicas de Ki'!BN72-(IF($O177&lt;&gt;0,'Técnicas de Ki'!BW72,0)+IF($P177&lt;&gt;0,'Técnicas de Ki'!BX72,0)+IF($Q177&lt;&gt;0,'Técnicas de Ki'!BY72,0)+IF($R177&lt;&gt;0,'Técnicas de Ki'!BZ72,0)+IF($S177&lt;&gt;0,'Técnicas de Ki'!CA72,0)+IF($T177&lt;&gt;0,'Técnicas de Ki'!CB72,0)),0))</f>
        <v>0</v>
      </c>
      <c r="CH177" s="538">
        <f>IF('Técnicas de Ki'!BM72=0,0,IF('Técnicas de Ki'!BT72=TS!CH$119,'Técnicas de Ki'!BN72-(IF($O177&lt;&gt;0,'Técnicas de Ki'!BW72,0)+IF($P177&lt;&gt;0,'Técnicas de Ki'!BX72,0)+IF($Q177&lt;&gt;0,'Técnicas de Ki'!BY72,0)+IF($R177&lt;&gt;0,'Técnicas de Ki'!BZ72,0)+IF($S177&lt;&gt;0,'Técnicas de Ki'!CA72,0)+IF($T177&lt;&gt;0,'Técnicas de Ki'!CB72,0)),0))</f>
        <v>0</v>
      </c>
      <c r="CI177" s="538">
        <f>IF('Técnicas de Ki'!BM72=0,0,IF('Técnicas de Ki'!BT72=TS!CI$119,'Técnicas de Ki'!BN72-(IF($O177&lt;&gt;0,'Técnicas de Ki'!BW72,0)+IF($P177&lt;&gt;0,'Técnicas de Ki'!BX72,0)+IF($Q177&lt;&gt;0,'Técnicas de Ki'!BY72,0)+IF($R177&lt;&gt;0,'Técnicas de Ki'!BZ72,0)+IF($S177&lt;&gt;0,'Técnicas de Ki'!CA72,0)+IF($T177&lt;&gt;0,'Técnicas de Ki'!CB72,0)),0))</f>
        <v>0</v>
      </c>
      <c r="CJ177" s="538">
        <f>IF('Técnicas de Ki'!BM72=0,0,IF('Técnicas de Ki'!BT72=TS!CJ$119,'Técnicas de Ki'!BN72-(IF($O177&lt;&gt;0,'Técnicas de Ki'!BW72,0)+IF($P177&lt;&gt;0,'Técnicas de Ki'!BX72,0)+IF($Q177&lt;&gt;0,'Técnicas de Ki'!BY72,0)+IF($R177&lt;&gt;0,'Técnicas de Ki'!BZ72,0)+IF($S177&lt;&gt;0,'Técnicas de Ki'!CA72,0)+IF($T177&lt;&gt;0,'Técnicas de Ki'!CB72,0)),0))</f>
        <v>0</v>
      </c>
      <c r="CK177" s="538">
        <f>IF('Técnicas de Ki'!BM72=0,0,IF('Técnicas de Ki'!BT72=TS!CK$119,'Técnicas de Ki'!BN72-(IF($O177&lt;&gt;0,'Técnicas de Ki'!BW72,0)+IF($P177&lt;&gt;0,'Técnicas de Ki'!BX72,0)+IF($Q177&lt;&gt;0,'Técnicas de Ki'!BY72,0)+IF($R177&lt;&gt;0,'Técnicas de Ki'!BZ72,0)+IF($S177&lt;&gt;0,'Técnicas de Ki'!CA72,0)+IF($T177&lt;&gt;0,'Técnicas de Ki'!CB72,0)),0))</f>
        <v>0</v>
      </c>
      <c r="CL177" s="539">
        <f>IF('Técnicas de Ki'!BM72=0,0,IF('Técnicas de Ki'!BT72=TS!CL$119,'Técnicas de Ki'!BN72-(IF($O177&lt;&gt;0,'Técnicas de Ki'!BW72,0)+IF($P177&lt;&gt;0,'Técnicas de Ki'!BX72,0)+IF($Q177&lt;&gt;0,'Técnicas de Ki'!BY72,0)+IF($R177&lt;&gt;0,'Técnicas de Ki'!BZ72,0)+IF($S177&lt;&gt;0,'Técnicas de Ki'!CA72,0)+IF($T177&lt;&gt;0,'Técnicas de Ki'!CB72,0)),0))</f>
        <v>0</v>
      </c>
      <c r="CM177" s="538">
        <f>IF('Técnicas de Ki'!BM72=0,0,IFERROR(IF('Técnicas de Ki'!BW72&lt;&gt;0,'Técnicas de Ki'!BW72+TS!$O177,0)*$O177/$O177,0))</f>
        <v>0</v>
      </c>
      <c r="CN177" s="538">
        <f>IF('Técnicas de Ki'!BM72=0,0,IFERROR(IF('Técnicas de Ki'!BX72&lt;&gt;0,'Técnicas de Ki'!BX72+TS!$P177,0)*$P177/$P177,0))</f>
        <v>0</v>
      </c>
      <c r="CO177" s="538">
        <f>IF('Técnicas de Ki'!BM72=0,0,IFERROR(IF('Técnicas de Ki'!BY72&lt;&gt;0,'Técnicas de Ki'!BY72+TS!$Q177,0)*$Q177/$Q177,0))</f>
        <v>0</v>
      </c>
      <c r="CP177" s="538">
        <f>IF('Técnicas de Ki'!BM72=0,0,IFERROR(IF('Técnicas de Ki'!BZ72&lt;&gt;0,'Técnicas de Ki'!BZ72+TS!$R177,0)*$R177/$R177,0))</f>
        <v>0</v>
      </c>
      <c r="CQ177" s="538">
        <f>IF('Técnicas de Ki'!BM72=0,0,IFERROR(IF('Técnicas de Ki'!CA72&lt;&gt;0,'Técnicas de Ki'!CA72+TS!$S177,0)*$S177/$S177,0))</f>
        <v>0</v>
      </c>
      <c r="CR177" s="539">
        <f>IF('Técnicas de Ki'!BM72=0,0,IFERROR(IF('Técnicas de Ki'!CB72&lt;&gt;0,'Técnicas de Ki'!CB72+TS!$T177,0)*$T177/$T177,0))</f>
        <v>0</v>
      </c>
      <c r="CT177" s="571" t="str">
        <f>IF('Técnicas de Ki'!BM79&lt;&gt;0,'Técnicas de Ki'!BL79&amp;" "&amp;'Técnicas de Ki'!BM79,"")</f>
        <v/>
      </c>
      <c r="CU177" s="302" t="b">
        <f t="shared" si="33"/>
        <v>0</v>
      </c>
      <c r="CV177" s="302" t="str">
        <f t="shared" si="7"/>
        <v/>
      </c>
    </row>
    <row r="178" spans="1:102" x14ac:dyDescent="0.2">
      <c r="A178" s="302" t="s">
        <v>6864</v>
      </c>
      <c r="B178" s="302" t="s">
        <v>6863</v>
      </c>
      <c r="C178" s="302" t="str">
        <f>A173&amp;A178&amp;B178</f>
        <v>Ataque adicionalVentaja opcional: Ataque continuoAtaque continuo</v>
      </c>
      <c r="D178" s="302">
        <v>10</v>
      </c>
      <c r="E178" s="302">
        <v>10</v>
      </c>
      <c r="F178" s="302">
        <v>30</v>
      </c>
      <c r="G178" s="302">
        <v>5</v>
      </c>
      <c r="H178" s="302">
        <v>10</v>
      </c>
      <c r="I178" s="302">
        <v>18</v>
      </c>
      <c r="J178" s="302">
        <v>1</v>
      </c>
      <c r="N178" t="s">
        <v>6929</v>
      </c>
      <c r="O178" s="302">
        <v>2</v>
      </c>
      <c r="P178" s="302">
        <v>3</v>
      </c>
      <c r="S178" s="528">
        <v>2</v>
      </c>
      <c r="T178" s="528">
        <v>1</v>
      </c>
      <c r="V178" s="537">
        <f>IF('Técnicas de Ki'!B73=0,0,IF('Técnicas de Ki'!I73=TS!V$119,'Técnicas de Ki'!C73-(IF($O178&lt;&gt;0,'Técnicas de Ki'!L73,0)+IF($P178&lt;&gt;0,'Técnicas de Ki'!M73,0)+IF($Q178&lt;&gt;0,'Técnicas de Ki'!N73,0)+IF($R178&lt;&gt;0,'Técnicas de Ki'!O73,0)+IF($S178&lt;&gt;0,'Técnicas de Ki'!P73,0)+IF($T178&lt;&gt;0,'Técnicas de Ki'!Q73,0)),0))</f>
        <v>0</v>
      </c>
      <c r="W178" s="538">
        <f>IF('Técnicas de Ki'!B73=0,0,IF('Técnicas de Ki'!I73=TS!W$119,'Técnicas de Ki'!C73-(IF($O178&lt;&gt;0,'Técnicas de Ki'!L73,0)+IF($P178&lt;&gt;0,'Técnicas de Ki'!M73,0)+IF($Q178&lt;&gt;0,'Técnicas de Ki'!N73,0)+IF($R178&lt;&gt;0,'Técnicas de Ki'!O73,0)+IF($S178&lt;&gt;0,'Técnicas de Ki'!P73,0)+IF($T178&lt;&gt;0,'Técnicas de Ki'!Q73,0)),0))</f>
        <v>0</v>
      </c>
      <c r="X178" s="538">
        <f>IF('Técnicas de Ki'!B73=0,0,IF('Técnicas de Ki'!I73=TS!X$119,'Técnicas de Ki'!C73-(IF($O178&lt;&gt;0,'Técnicas de Ki'!L73,0)+IF($P178&lt;&gt;0,'Técnicas de Ki'!M73,0)+IF($Q178&lt;&gt;0,'Técnicas de Ki'!N73,0)+IF($R178&lt;&gt;0,'Técnicas de Ki'!O73,0)+IF($S178&lt;&gt;0,'Técnicas de Ki'!P73,0)+IF($T178&lt;&gt;0,'Técnicas de Ki'!Q73,0)),0))</f>
        <v>0</v>
      </c>
      <c r="Y178" s="538">
        <f>IF('Técnicas de Ki'!B73=0,0,IF('Técnicas de Ki'!I73=TS!Y$119,'Técnicas de Ki'!C73-(IF($O178&lt;&gt;0,'Técnicas de Ki'!L73,0)+IF($P178&lt;&gt;0,'Técnicas de Ki'!M73,0)+IF($Q178&lt;&gt;0,'Técnicas de Ki'!N73,0)+IF($R178&lt;&gt;0,'Técnicas de Ki'!O73,0)+IF($S178&lt;&gt;0,'Técnicas de Ki'!P73,0)+IF($T178&lt;&gt;0,'Técnicas de Ki'!Q73,0)),0))</f>
        <v>0</v>
      </c>
      <c r="Z178" s="538">
        <f>IF('Técnicas de Ki'!B73=0,0,IF('Técnicas de Ki'!I73=TS!Z$119,'Técnicas de Ki'!C73-(IF($O178&lt;&gt;0,'Técnicas de Ki'!L73,0)+IF($P178&lt;&gt;0,'Técnicas de Ki'!M73,0)+IF($Q178&lt;&gt;0,'Técnicas de Ki'!N73,0)+IF($R178&lt;&gt;0,'Técnicas de Ki'!O73,0)+IF($S178&lt;&gt;0,'Técnicas de Ki'!P73,0)+IF($T178&lt;&gt;0,'Técnicas de Ki'!Q73,0)),0))</f>
        <v>0</v>
      </c>
      <c r="AA178" s="539">
        <f>IF('Técnicas de Ki'!B73=0,0,IF('Técnicas de Ki'!I73=TS!AA$119,'Técnicas de Ki'!C73-(IF($O178&lt;&gt;0,'Técnicas de Ki'!L73,0)+IF($P178&lt;&gt;0,'Técnicas de Ki'!M73,0)+IF($Q178&lt;&gt;0,'Técnicas de Ki'!N73,0)+IF($R178&lt;&gt;0,'Técnicas de Ki'!O73,0)+IF($S178&lt;&gt;0,'Técnicas de Ki'!P73,0)+IF($T178&lt;&gt;0,'Técnicas de Ki'!Q73,0)),0))</f>
        <v>0</v>
      </c>
      <c r="AB178" s="538">
        <f>IF('Técnicas de Ki'!B73=0,0,IFERROR(IF('Técnicas de Ki'!L73&lt;&gt;0,'Técnicas de Ki'!L73+TS!$O178,0)*$O178/$O178,0))</f>
        <v>0</v>
      </c>
      <c r="AC178" s="538">
        <f>IF('Técnicas de Ki'!B73=0,0,IFERROR(IF('Técnicas de Ki'!M73&lt;&gt;0,'Técnicas de Ki'!M73+TS!$P178,0)*$P178/$P178,0))</f>
        <v>0</v>
      </c>
      <c r="AD178" s="538">
        <f>IF('Técnicas de Ki'!B73=0,0,IFERROR(IF('Técnicas de Ki'!N73&lt;&gt;0,'Técnicas de Ki'!N73+TS!$Q178,0)*$Q178/$Q178,0))</f>
        <v>0</v>
      </c>
      <c r="AE178" s="538">
        <f>IF('Técnicas de Ki'!B73=0,0,IFERROR(IF('Técnicas de Ki'!O73&lt;&gt;0,'Técnicas de Ki'!O73+TS!$R178,0)*$R178/$R178,0))</f>
        <v>0</v>
      </c>
      <c r="AF178" s="538">
        <f>IF('Técnicas de Ki'!B73=0,0,IFERROR(IF('Técnicas de Ki'!P73&lt;&gt;0,'Técnicas de Ki'!P73+TS!$S178,0)*$S178/$S178,0))</f>
        <v>0</v>
      </c>
      <c r="AG178" s="539">
        <f>IF('Técnicas de Ki'!B73=0,0,IFERROR(IF('Técnicas de Ki'!Q73&lt;&gt;0,'Técnicas de Ki'!Q73+TS!$T178,0)*$T178/$T178,0))</f>
        <v>0</v>
      </c>
      <c r="AI178" s="571" t="str">
        <f>IF('Técnicas de Ki'!B80&lt;&gt;0,'Técnicas de Ki'!A80&amp;" "&amp;'Técnicas de Ki'!B80,"")</f>
        <v/>
      </c>
      <c r="AJ178" s="302" t="b">
        <f t="shared" si="8"/>
        <v>0</v>
      </c>
      <c r="AK178" s="302" t="str">
        <f t="shared" si="4"/>
        <v/>
      </c>
      <c r="AQ178" s="537">
        <f>IF('Técnicas de Ki'!W73=0,0,IF('Técnicas de Ki'!AD73=TS!AQ$119,'Técnicas de Ki'!X73-(IF($O178&lt;&gt;0,'Técnicas de Ki'!AG73,0)+IF($P178&lt;&gt;0,'Técnicas de Ki'!AH73,0)+IF($Q178&lt;&gt;0,'Técnicas de Ki'!AI73,0)+IF($R178&lt;&gt;0,'Técnicas de Ki'!AJ73,0)+IF($S178&lt;&gt;0,'Técnicas de Ki'!AK73,0)+IF($T178&lt;&gt;0,'Técnicas de Ki'!AL73,0)),0))</f>
        <v>0</v>
      </c>
      <c r="AR178" s="538">
        <f>IF('Técnicas de Ki'!W73=0,0,IF('Técnicas de Ki'!AD73=TS!AR$119,'Técnicas de Ki'!X73-(IF($O178&lt;&gt;0,'Técnicas de Ki'!AG73,0)+IF($P178&lt;&gt;0,'Técnicas de Ki'!AH73,0)+IF($Q178&lt;&gt;0,'Técnicas de Ki'!AI73,0)+IF($R178&lt;&gt;0,'Técnicas de Ki'!AJ73,0)+IF($S178&lt;&gt;0,'Técnicas de Ki'!AK73,0)+IF($T178&lt;&gt;0,'Técnicas de Ki'!AL73,0)),0))</f>
        <v>0</v>
      </c>
      <c r="AS178" s="538">
        <f>IF('Técnicas de Ki'!W73=0,0,IF('Técnicas de Ki'!AD73=TS!AS$119,'Técnicas de Ki'!X73-(IF($O178&lt;&gt;0,'Técnicas de Ki'!AG73,0)+IF($P178&lt;&gt;0,'Técnicas de Ki'!AH73,0)+IF($Q178&lt;&gt;0,'Técnicas de Ki'!AI73,0)+IF($R178&lt;&gt;0,'Técnicas de Ki'!AJ73,0)+IF($S178&lt;&gt;0,'Técnicas de Ki'!AK73,0)+IF($T178&lt;&gt;0,'Técnicas de Ki'!AL73,0)),0))</f>
        <v>0</v>
      </c>
      <c r="AT178" s="538">
        <f>IF('Técnicas de Ki'!W73=0,0,IF('Técnicas de Ki'!AD73=TS!AT$119,'Técnicas de Ki'!X73-(IF($O178&lt;&gt;0,'Técnicas de Ki'!AG73,0)+IF($P178&lt;&gt;0,'Técnicas de Ki'!AH73,0)+IF($Q178&lt;&gt;0,'Técnicas de Ki'!AI73,0)+IF($R178&lt;&gt;0,'Técnicas de Ki'!AJ73,0)+IF($S178&lt;&gt;0,'Técnicas de Ki'!AK73,0)+IF($T178&lt;&gt;0,'Técnicas de Ki'!AL73,0)),0))</f>
        <v>0</v>
      </c>
      <c r="AU178" s="538">
        <f>IF('Técnicas de Ki'!W73=0,0,IF('Técnicas de Ki'!AD73=TS!AU$119,'Técnicas de Ki'!X73-(IF($O178&lt;&gt;0,'Técnicas de Ki'!AG73,0)+IF($P178&lt;&gt;0,'Técnicas de Ki'!AH73,0)+IF($Q178&lt;&gt;0,'Técnicas de Ki'!AI73,0)+IF($R178&lt;&gt;0,'Técnicas de Ki'!AJ73,0)+IF($S178&lt;&gt;0,'Técnicas de Ki'!AK73,0)+IF($T178&lt;&gt;0,'Técnicas de Ki'!AL73,0)),0))</f>
        <v>0</v>
      </c>
      <c r="AV178" s="539">
        <f>IF('Técnicas de Ki'!W73=0,0,IF('Técnicas de Ki'!AD73=TS!AV$119,'Técnicas de Ki'!X73-(IF($O178&lt;&gt;0,'Técnicas de Ki'!AG73,0)+IF($P178&lt;&gt;0,'Técnicas de Ki'!AH73,0)+IF($Q178&lt;&gt;0,'Técnicas de Ki'!AI73,0)+IF($R178&lt;&gt;0,'Técnicas de Ki'!AJ73,0)+IF($S178&lt;&gt;0,'Técnicas de Ki'!AK73,0)+IF($T178&lt;&gt;0,'Técnicas de Ki'!AL73,0)),0))</f>
        <v>0</v>
      </c>
      <c r="AW178" s="538">
        <f>IF('Técnicas de Ki'!W73=0,0,IFERROR(IF('Técnicas de Ki'!AG73&lt;&gt;0,'Técnicas de Ki'!AG73+TS!$O178,0)*$O178/$O178,0))</f>
        <v>0</v>
      </c>
      <c r="AX178" s="538">
        <f>IF('Técnicas de Ki'!W73=0,0,IFERROR(IF('Técnicas de Ki'!AH73&lt;&gt;0,'Técnicas de Ki'!AH73+TS!$P178,0)*$P178/$P178,0))</f>
        <v>0</v>
      </c>
      <c r="AY178" s="538">
        <f>IF('Técnicas de Ki'!W73=0,0,IFERROR(IF('Técnicas de Ki'!AI73&lt;&gt;0,'Técnicas de Ki'!AI73+TS!$Q178,0)*$Q178/$Q178,0))</f>
        <v>0</v>
      </c>
      <c r="AZ178" s="538">
        <f>IF('Técnicas de Ki'!W73=0,0,IFERROR(IF('Técnicas de Ki'!AJ73&lt;&gt;0,'Técnicas de Ki'!AJ73+TS!$R178,0)*$R178/$R178,0))</f>
        <v>0</v>
      </c>
      <c r="BA178" s="538">
        <f>IF('Técnicas de Ki'!W73=0,0,IFERROR(IF('Técnicas de Ki'!AK73&lt;&gt;0,'Técnicas de Ki'!AK73+TS!$S178,0)*$S178/$S178,0))</f>
        <v>0</v>
      </c>
      <c r="BB178" s="539">
        <f>IF('Técnicas de Ki'!W73=0,0,IFERROR(IF('Técnicas de Ki'!AL73&lt;&gt;0,'Técnicas de Ki'!AL73+TS!$T178,0)*$T178/$T178,0))</f>
        <v>0</v>
      </c>
      <c r="BD178" s="571" t="str">
        <f>IF('Técnicas de Ki'!W80&lt;&gt;0,'Técnicas de Ki'!V80&amp;" "&amp;'Técnicas de Ki'!W80,"")</f>
        <v/>
      </c>
      <c r="BE178" s="302" t="b">
        <f t="shared" si="31"/>
        <v>0</v>
      </c>
      <c r="BF178" s="302" t="str">
        <f t="shared" si="5"/>
        <v/>
      </c>
      <c r="BL178" s="537">
        <f>IF('Técnicas de Ki'!AR73=0,0,IF('Técnicas de Ki'!AY73=TS!BL$119,'Técnicas de Ki'!AS73-(IF($O178&lt;&gt;0,'Técnicas de Ki'!BB73,0)+IF($P178&lt;&gt;0,'Técnicas de Ki'!BC73,0)+IF($Q178&lt;&gt;0,'Técnicas de Ki'!BD73,0)+IF($R178&lt;&gt;0,'Técnicas de Ki'!BE73,0)+IF($S178&lt;&gt;0,'Técnicas de Ki'!BF73,0)+IF($T178&lt;&gt;0,'Técnicas de Ki'!BG73,0)),0))</f>
        <v>0</v>
      </c>
      <c r="BM178" s="538">
        <f>IF('Técnicas de Ki'!AR73=0,0,IF('Técnicas de Ki'!AY73=TS!BM$119,'Técnicas de Ki'!AS73-(IF($O178&lt;&gt;0,'Técnicas de Ki'!BB73,0)+IF($P178&lt;&gt;0,'Técnicas de Ki'!BC73,0)+IF($Q178&lt;&gt;0,'Técnicas de Ki'!BD73,0)+IF($R178&lt;&gt;0,'Técnicas de Ki'!BE73,0)+IF($S178&lt;&gt;0,'Técnicas de Ki'!BF73,0)+IF($T178&lt;&gt;0,'Técnicas de Ki'!BG73,0)),0))</f>
        <v>0</v>
      </c>
      <c r="BN178" s="538">
        <f>IF('Técnicas de Ki'!AR73=0,0,IF('Técnicas de Ki'!AY73=TS!BN$119,'Técnicas de Ki'!AS73-(IF($O178&lt;&gt;0,'Técnicas de Ki'!BB73,0)+IF($P178&lt;&gt;0,'Técnicas de Ki'!BC73,0)+IF($Q178&lt;&gt;0,'Técnicas de Ki'!BD73,0)+IF($R178&lt;&gt;0,'Técnicas de Ki'!BE73,0)+IF($S178&lt;&gt;0,'Técnicas de Ki'!BF73,0)+IF($T178&lt;&gt;0,'Técnicas de Ki'!BG73,0)),0))</f>
        <v>0</v>
      </c>
      <c r="BO178" s="538">
        <f>IF('Técnicas de Ki'!AR73=0,0,IF('Técnicas de Ki'!AY73=TS!BO$119,'Técnicas de Ki'!AS73-(IF($O178&lt;&gt;0,'Técnicas de Ki'!BB73,0)+IF($P178&lt;&gt;0,'Técnicas de Ki'!BC73,0)+IF($Q178&lt;&gt;0,'Técnicas de Ki'!BD73,0)+IF($R178&lt;&gt;0,'Técnicas de Ki'!BE73,0)+IF($S178&lt;&gt;0,'Técnicas de Ki'!BF73,0)+IF($T178&lt;&gt;0,'Técnicas de Ki'!BG73,0)),0))</f>
        <v>0</v>
      </c>
      <c r="BP178" s="538">
        <f>IF('Técnicas de Ki'!AR73=0,0,IF('Técnicas de Ki'!AY73=TS!BP$119,'Técnicas de Ki'!AS73-(IF($O178&lt;&gt;0,'Técnicas de Ki'!BB73,0)+IF($P178&lt;&gt;0,'Técnicas de Ki'!BC73,0)+IF($Q178&lt;&gt;0,'Técnicas de Ki'!BD73,0)+IF($R178&lt;&gt;0,'Técnicas de Ki'!BE73,0)+IF($S178&lt;&gt;0,'Técnicas de Ki'!BF73,0)+IF($T178&lt;&gt;0,'Técnicas de Ki'!BG73,0)),0))</f>
        <v>0</v>
      </c>
      <c r="BQ178" s="539">
        <f>IF('Técnicas de Ki'!AR73=0,0,IF('Técnicas de Ki'!AY73=TS!BQ$119,'Técnicas de Ki'!AS73-(IF($O178&lt;&gt;0,'Técnicas de Ki'!BB73,0)+IF($P178&lt;&gt;0,'Técnicas de Ki'!BC73,0)+IF($Q178&lt;&gt;0,'Técnicas de Ki'!BD73,0)+IF($R178&lt;&gt;0,'Técnicas de Ki'!BE73,0)+IF($S178&lt;&gt;0,'Técnicas de Ki'!BF73,0)+IF($T178&lt;&gt;0,'Técnicas de Ki'!BG73,0)),0))</f>
        <v>0</v>
      </c>
      <c r="BR178" s="538">
        <f>IF('Técnicas de Ki'!AR73=0,0,IFERROR(IF('Técnicas de Ki'!BB73&lt;&gt;0,'Técnicas de Ki'!BB73+TS!$O178,0)*$O178/$O178,0))</f>
        <v>0</v>
      </c>
      <c r="BS178" s="538">
        <f>IF('Técnicas de Ki'!AR73=0,0,IFERROR(IF('Técnicas de Ki'!BC73&lt;&gt;0,'Técnicas de Ki'!BC73+TS!$P178,0)*$P178/$P178,0))</f>
        <v>0</v>
      </c>
      <c r="BT178" s="538">
        <f>IF('Técnicas de Ki'!AR73=0,0,IFERROR(IF('Técnicas de Ki'!BD73&lt;&gt;0,'Técnicas de Ki'!BD73+TS!$Q178,0)*$Q178/$Q178,0))</f>
        <v>0</v>
      </c>
      <c r="BU178" s="538">
        <f>IF('Técnicas de Ki'!AR73=0,0,IFERROR(IF('Técnicas de Ki'!BE73&lt;&gt;0,'Técnicas de Ki'!BE73+TS!$R178,0)*$R178/$R178,0))</f>
        <v>0</v>
      </c>
      <c r="BV178" s="538">
        <f>IF('Técnicas de Ki'!AR73=0,0,IFERROR(IF('Técnicas de Ki'!BF73&lt;&gt;0,'Técnicas de Ki'!BF73+TS!$S178,0)*$S178/$S178,0))</f>
        <v>0</v>
      </c>
      <c r="BW178" s="539">
        <f>IF('Técnicas de Ki'!AR73=0,0,IFERROR(IF('Técnicas de Ki'!BG73&lt;&gt;0,'Técnicas de Ki'!BG73+TS!$T178,0)*$T178/$T178,0))</f>
        <v>0</v>
      </c>
      <c r="BY178" s="571" t="str">
        <f>IF('Técnicas de Ki'!AR80&lt;&gt;0,'Técnicas de Ki'!AQ80&amp;" "&amp;'Técnicas de Ki'!AR80,"")</f>
        <v/>
      </c>
      <c r="BZ178" s="302" t="b">
        <f t="shared" si="32"/>
        <v>0</v>
      </c>
      <c r="CA178" s="302" t="str">
        <f t="shared" si="6"/>
        <v/>
      </c>
      <c r="CG178" s="537">
        <f>IF('Técnicas de Ki'!BM73=0,0,IF('Técnicas de Ki'!BT73=TS!CG$119,'Técnicas de Ki'!BN73-(IF($O178&lt;&gt;0,'Técnicas de Ki'!BW73,0)+IF($P178&lt;&gt;0,'Técnicas de Ki'!BX73,0)+IF($Q178&lt;&gt;0,'Técnicas de Ki'!BY73,0)+IF($R178&lt;&gt;0,'Técnicas de Ki'!BZ73,0)+IF($S178&lt;&gt;0,'Técnicas de Ki'!CA73,0)+IF($T178&lt;&gt;0,'Técnicas de Ki'!CB73,0)),0))</f>
        <v>0</v>
      </c>
      <c r="CH178" s="538">
        <f>IF('Técnicas de Ki'!BM73=0,0,IF('Técnicas de Ki'!BT73=TS!CH$119,'Técnicas de Ki'!BN73-(IF($O178&lt;&gt;0,'Técnicas de Ki'!BW73,0)+IF($P178&lt;&gt;0,'Técnicas de Ki'!BX73,0)+IF($Q178&lt;&gt;0,'Técnicas de Ki'!BY73,0)+IF($R178&lt;&gt;0,'Técnicas de Ki'!BZ73,0)+IF($S178&lt;&gt;0,'Técnicas de Ki'!CA73,0)+IF($T178&lt;&gt;0,'Técnicas de Ki'!CB73,0)),0))</f>
        <v>0</v>
      </c>
      <c r="CI178" s="538">
        <f>IF('Técnicas de Ki'!BM73=0,0,IF('Técnicas de Ki'!BT73=TS!CI$119,'Técnicas de Ki'!BN73-(IF($O178&lt;&gt;0,'Técnicas de Ki'!BW73,0)+IF($P178&lt;&gt;0,'Técnicas de Ki'!BX73,0)+IF($Q178&lt;&gt;0,'Técnicas de Ki'!BY73,0)+IF($R178&lt;&gt;0,'Técnicas de Ki'!BZ73,0)+IF($S178&lt;&gt;0,'Técnicas de Ki'!CA73,0)+IF($T178&lt;&gt;0,'Técnicas de Ki'!CB73,0)),0))</f>
        <v>0</v>
      </c>
      <c r="CJ178" s="538">
        <f>IF('Técnicas de Ki'!BM73=0,0,IF('Técnicas de Ki'!BT73=TS!CJ$119,'Técnicas de Ki'!BN73-(IF($O178&lt;&gt;0,'Técnicas de Ki'!BW73,0)+IF($P178&lt;&gt;0,'Técnicas de Ki'!BX73,0)+IF($Q178&lt;&gt;0,'Técnicas de Ki'!BY73,0)+IF($R178&lt;&gt;0,'Técnicas de Ki'!BZ73,0)+IF($S178&lt;&gt;0,'Técnicas de Ki'!CA73,0)+IF($T178&lt;&gt;0,'Técnicas de Ki'!CB73,0)),0))</f>
        <v>0</v>
      </c>
      <c r="CK178" s="538">
        <f>IF('Técnicas de Ki'!BM73=0,0,IF('Técnicas de Ki'!BT73=TS!CK$119,'Técnicas de Ki'!BN73-(IF($O178&lt;&gt;0,'Técnicas de Ki'!BW73,0)+IF($P178&lt;&gt;0,'Técnicas de Ki'!BX73,0)+IF($Q178&lt;&gt;0,'Técnicas de Ki'!BY73,0)+IF($R178&lt;&gt;0,'Técnicas de Ki'!BZ73,0)+IF($S178&lt;&gt;0,'Técnicas de Ki'!CA73,0)+IF($T178&lt;&gt;0,'Técnicas de Ki'!CB73,0)),0))</f>
        <v>0</v>
      </c>
      <c r="CL178" s="539">
        <f>IF('Técnicas de Ki'!BM73=0,0,IF('Técnicas de Ki'!BT73=TS!CL$119,'Técnicas de Ki'!BN73-(IF($O178&lt;&gt;0,'Técnicas de Ki'!BW73,0)+IF($P178&lt;&gt;0,'Técnicas de Ki'!BX73,0)+IF($Q178&lt;&gt;0,'Técnicas de Ki'!BY73,0)+IF($R178&lt;&gt;0,'Técnicas de Ki'!BZ73,0)+IF($S178&lt;&gt;0,'Técnicas de Ki'!CA73,0)+IF($T178&lt;&gt;0,'Técnicas de Ki'!CB73,0)),0))</f>
        <v>0</v>
      </c>
      <c r="CM178" s="538">
        <f>IF('Técnicas de Ki'!BM73=0,0,IFERROR(IF('Técnicas de Ki'!BW73&lt;&gt;0,'Técnicas de Ki'!BW73+TS!$O178,0)*$O178/$O178,0))</f>
        <v>0</v>
      </c>
      <c r="CN178" s="538">
        <f>IF('Técnicas de Ki'!BM73=0,0,IFERROR(IF('Técnicas de Ki'!BX73&lt;&gt;0,'Técnicas de Ki'!BX73+TS!$P178,0)*$P178/$P178,0))</f>
        <v>0</v>
      </c>
      <c r="CO178" s="538">
        <f>IF('Técnicas de Ki'!BM73=0,0,IFERROR(IF('Técnicas de Ki'!BY73&lt;&gt;0,'Técnicas de Ki'!BY73+TS!$Q178,0)*$Q178/$Q178,0))</f>
        <v>0</v>
      </c>
      <c r="CP178" s="538">
        <f>IF('Técnicas de Ki'!BM73=0,0,IFERROR(IF('Técnicas de Ki'!BZ73&lt;&gt;0,'Técnicas de Ki'!BZ73+TS!$R178,0)*$R178/$R178,0))</f>
        <v>0</v>
      </c>
      <c r="CQ178" s="538">
        <f>IF('Técnicas de Ki'!BM73=0,0,IFERROR(IF('Técnicas de Ki'!CA73&lt;&gt;0,'Técnicas de Ki'!CA73+TS!$S178,0)*$S178/$S178,0))</f>
        <v>0</v>
      </c>
      <c r="CR178" s="539">
        <f>IF('Técnicas de Ki'!BM73=0,0,IFERROR(IF('Técnicas de Ki'!CB73&lt;&gt;0,'Técnicas de Ki'!CB73+TS!$T178,0)*$T178/$T178,0))</f>
        <v>0</v>
      </c>
      <c r="CT178" s="571" t="str">
        <f>IF('Técnicas de Ki'!BM80&lt;&gt;0,'Técnicas de Ki'!BL80&amp;" "&amp;'Técnicas de Ki'!BM80,"")</f>
        <v/>
      </c>
      <c r="CU178" s="302" t="b">
        <f t="shared" si="33"/>
        <v>0</v>
      </c>
      <c r="CV178" s="302" t="str">
        <f t="shared" si="7"/>
        <v/>
      </c>
    </row>
    <row r="179" spans="1:102" x14ac:dyDescent="0.2">
      <c r="A179" s="302" t="s">
        <v>6865</v>
      </c>
      <c r="B179" s="302" t="s">
        <v>6872</v>
      </c>
      <c r="C179" s="302" t="str">
        <f>A174&amp;A179&amp;B179</f>
        <v>Ataque adicionalVentaja opcional: Bono de cansancio añadidoBono de cansancio añadido</v>
      </c>
      <c r="D179" s="302">
        <v>6</v>
      </c>
      <c r="E179" s="302">
        <v>6</v>
      </c>
      <c r="F179" s="302">
        <v>20</v>
      </c>
      <c r="G179" s="302">
        <v>2</v>
      </c>
      <c r="H179" s="302">
        <v>4</v>
      </c>
      <c r="I179" s="302">
        <v>7</v>
      </c>
      <c r="J179" s="302">
        <v>1</v>
      </c>
      <c r="N179" s="297" t="s">
        <v>6947</v>
      </c>
      <c r="O179" s="298"/>
      <c r="P179" s="298"/>
      <c r="Q179" s="298"/>
      <c r="R179" s="298"/>
      <c r="S179" s="298"/>
      <c r="T179" s="298"/>
      <c r="V179" s="622"/>
      <c r="W179" s="546"/>
      <c r="X179" s="546"/>
      <c r="Y179" s="546"/>
      <c r="Z179" s="546"/>
      <c r="AA179" s="623"/>
      <c r="AB179" s="615"/>
      <c r="AC179" s="545"/>
      <c r="AD179" s="545"/>
      <c r="AE179" s="545"/>
      <c r="AF179" s="545"/>
      <c r="AG179" s="614"/>
      <c r="AI179" s="571" t="str">
        <f>IF('Técnicas de Ki'!B81&lt;&gt;0,'Técnicas de Ki'!A81&amp;" "&amp;'Técnicas de Ki'!B81,"")</f>
        <v/>
      </c>
      <c r="AJ179" s="302" t="b">
        <f t="shared" si="8"/>
        <v>0</v>
      </c>
      <c r="AK179" s="302" t="str">
        <f t="shared" si="4"/>
        <v/>
      </c>
      <c r="AQ179" s="622"/>
      <c r="AR179" s="546"/>
      <c r="AS179" s="546"/>
      <c r="AT179" s="546"/>
      <c r="AU179" s="546"/>
      <c r="AV179" s="623"/>
      <c r="AW179" s="615"/>
      <c r="AX179" s="545"/>
      <c r="AY179" s="545"/>
      <c r="AZ179" s="545"/>
      <c r="BA179" s="545"/>
      <c r="BB179" s="614"/>
      <c r="BD179" s="571" t="str">
        <f>IF('Técnicas de Ki'!W81&lt;&gt;0,'Técnicas de Ki'!V81&amp;" "&amp;'Técnicas de Ki'!W81,"")</f>
        <v/>
      </c>
      <c r="BE179" s="302" t="b">
        <f t="shared" si="31"/>
        <v>0</v>
      </c>
      <c r="BF179" s="302" t="str">
        <f t="shared" si="5"/>
        <v/>
      </c>
      <c r="BL179" s="622"/>
      <c r="BM179" s="546"/>
      <c r="BN179" s="546"/>
      <c r="BO179" s="546"/>
      <c r="BP179" s="546"/>
      <c r="BQ179" s="623"/>
      <c r="BR179" s="615"/>
      <c r="BS179" s="545"/>
      <c r="BT179" s="545"/>
      <c r="BU179" s="545"/>
      <c r="BV179" s="545"/>
      <c r="BW179" s="614"/>
      <c r="BY179" s="571" t="str">
        <f>IF('Técnicas de Ki'!AR81&lt;&gt;0,'Técnicas de Ki'!AQ81&amp;" "&amp;'Técnicas de Ki'!AR81,"")</f>
        <v/>
      </c>
      <c r="BZ179" s="302" t="b">
        <f t="shared" si="32"/>
        <v>0</v>
      </c>
      <c r="CA179" s="302" t="str">
        <f t="shared" si="6"/>
        <v/>
      </c>
      <c r="CG179" s="622"/>
      <c r="CH179" s="546"/>
      <c r="CI179" s="546"/>
      <c r="CJ179" s="546"/>
      <c r="CK179" s="546"/>
      <c r="CL179" s="623"/>
      <c r="CM179" s="615"/>
      <c r="CN179" s="545"/>
      <c r="CO179" s="545"/>
      <c r="CP179" s="545"/>
      <c r="CQ179" s="545"/>
      <c r="CR179" s="614"/>
      <c r="CT179" s="571" t="str">
        <f>IF('Técnicas de Ki'!BM81&lt;&gt;0,'Técnicas de Ki'!BL81&amp;" "&amp;'Técnicas de Ki'!BM81,"")</f>
        <v/>
      </c>
      <c r="CU179" s="302" t="b">
        <f t="shared" si="33"/>
        <v>0</v>
      </c>
      <c r="CV179" s="302" t="str">
        <f t="shared" si="7"/>
        <v/>
      </c>
    </row>
    <row r="180" spans="1:102" x14ac:dyDescent="0.2">
      <c r="A180" s="302" t="s">
        <v>6866</v>
      </c>
      <c r="B180" s="302" t="s">
        <v>6873</v>
      </c>
      <c r="C180" s="302" t="str">
        <f>A175&amp;A180&amp;B180</f>
        <v>Ataque adicionalDesventaja opcional: ComboHasta 2 adicionales</v>
      </c>
      <c r="D180" s="302">
        <v>-3</v>
      </c>
      <c r="E180" s="302">
        <v>-3</v>
      </c>
      <c r="F180" s="302">
        <v>10</v>
      </c>
      <c r="G180" s="302">
        <v>0</v>
      </c>
      <c r="H180" s="302">
        <v>0</v>
      </c>
      <c r="I180" s="302">
        <v>0</v>
      </c>
      <c r="J180" s="302">
        <v>1</v>
      </c>
      <c r="N180" t="s">
        <v>6948</v>
      </c>
      <c r="Q180" s="528">
        <v>2</v>
      </c>
      <c r="R180" s="302">
        <v>1</v>
      </c>
      <c r="S180" s="528">
        <v>3</v>
      </c>
      <c r="T180" s="528">
        <v>3</v>
      </c>
      <c r="V180" s="537">
        <f>IF('Técnicas de Ki'!B75=0,0,IF('Técnicas de Ki'!I75=TS!V$119,'Técnicas de Ki'!C75-(IF($O180&lt;&gt;0,'Técnicas de Ki'!L75,0)+IF($P180&lt;&gt;0,'Técnicas de Ki'!M75,0)+IF($Q180&lt;&gt;0,'Técnicas de Ki'!N75,0)+IF($R180&lt;&gt;0,'Técnicas de Ki'!O75,0)+IF($S180&lt;&gt;0,'Técnicas de Ki'!P75,0)+IF($T180&lt;&gt;0,'Técnicas de Ki'!Q75,0)),0))</f>
        <v>0</v>
      </c>
      <c r="W180" s="538">
        <f>IF('Técnicas de Ki'!B75=0,0,IF('Técnicas de Ki'!I75=TS!W$119,'Técnicas de Ki'!C75-(IF($O180&lt;&gt;0,'Técnicas de Ki'!L75,0)+IF($P180&lt;&gt;0,'Técnicas de Ki'!M75,0)+IF($Q180&lt;&gt;0,'Técnicas de Ki'!N75,0)+IF($R180&lt;&gt;0,'Técnicas de Ki'!O75,0)+IF($S180&lt;&gt;0,'Técnicas de Ki'!P75,0)+IF($T180&lt;&gt;0,'Técnicas de Ki'!Q75,0)),0))</f>
        <v>0</v>
      </c>
      <c r="X180" s="538">
        <f>IF('Técnicas de Ki'!B75=0,0,IF('Técnicas de Ki'!I75=TS!X$119,'Técnicas de Ki'!C75-(IF($O180&lt;&gt;0,'Técnicas de Ki'!L75,0)+IF($P180&lt;&gt;0,'Técnicas de Ki'!M75,0)+IF($Q180&lt;&gt;0,'Técnicas de Ki'!N75,0)+IF($R180&lt;&gt;0,'Técnicas de Ki'!O75,0)+IF($S180&lt;&gt;0,'Técnicas de Ki'!P75,0)+IF($T180&lt;&gt;0,'Técnicas de Ki'!Q75,0)),0))</f>
        <v>0</v>
      </c>
      <c r="Y180" s="538">
        <f>IF('Técnicas de Ki'!B75=0,0,IF('Técnicas de Ki'!I75=TS!Y$119,'Técnicas de Ki'!C75-(IF($O180&lt;&gt;0,'Técnicas de Ki'!L75,0)+IF($P180&lt;&gt;0,'Técnicas de Ki'!M75,0)+IF($Q180&lt;&gt;0,'Técnicas de Ki'!N75,0)+IF($R180&lt;&gt;0,'Técnicas de Ki'!O75,0)+IF($S180&lt;&gt;0,'Técnicas de Ki'!P75,0)+IF($T180&lt;&gt;0,'Técnicas de Ki'!Q75,0)),0))</f>
        <v>0</v>
      </c>
      <c r="Z180" s="538">
        <f>IF('Técnicas de Ki'!B75=0,0,IF('Técnicas de Ki'!I75=TS!Z$119,'Técnicas de Ki'!C75-(IF($O180&lt;&gt;0,'Técnicas de Ki'!L75,0)+IF($P180&lt;&gt;0,'Técnicas de Ki'!M75,0)+IF($Q180&lt;&gt;0,'Técnicas de Ki'!N75,0)+IF($R180&lt;&gt;0,'Técnicas de Ki'!O75,0)+IF($S180&lt;&gt;0,'Técnicas de Ki'!P75,0)+IF($T180&lt;&gt;0,'Técnicas de Ki'!Q75,0)),0))</f>
        <v>0</v>
      </c>
      <c r="AA180" s="539">
        <f>IF('Técnicas de Ki'!B75=0,0,IF('Técnicas de Ki'!I75=TS!AA$119,'Técnicas de Ki'!C75-(IF($O180&lt;&gt;0,'Técnicas de Ki'!L75,0)+IF($P180&lt;&gt;0,'Técnicas de Ki'!M75,0)+IF($Q180&lt;&gt;0,'Técnicas de Ki'!N75,0)+IF($R180&lt;&gt;0,'Técnicas de Ki'!O75,0)+IF($S180&lt;&gt;0,'Técnicas de Ki'!P75,0)+IF($T180&lt;&gt;0,'Técnicas de Ki'!Q75,0)),0))</f>
        <v>0</v>
      </c>
      <c r="AB180" s="538">
        <f>IF('Técnicas de Ki'!B75=0,0,IFERROR(IF('Técnicas de Ki'!L75&lt;&gt;0,'Técnicas de Ki'!L75+TS!$O180,0)*$O180/$O180,0))</f>
        <v>0</v>
      </c>
      <c r="AC180" s="538">
        <f>IF('Técnicas de Ki'!B75=0,0,IFERROR(IF('Técnicas de Ki'!M75&lt;&gt;0,'Técnicas de Ki'!M75+TS!$P180,0)*$P180/$P180,0))</f>
        <v>0</v>
      </c>
      <c r="AD180" s="538">
        <f>IF('Técnicas de Ki'!B75=0,0,IFERROR(IF('Técnicas de Ki'!N75&lt;&gt;0,'Técnicas de Ki'!N75+TS!$Q180,0)*$Q180/$Q180,0))</f>
        <v>0</v>
      </c>
      <c r="AE180" s="538">
        <f>IF('Técnicas de Ki'!B75=0,0,IFERROR(IF('Técnicas de Ki'!O75&lt;&gt;0,'Técnicas de Ki'!O75+TS!$R180,0)*$R180/$R180,0))</f>
        <v>0</v>
      </c>
      <c r="AF180" s="538">
        <f>IF('Técnicas de Ki'!B75=0,0,IFERROR(IF('Técnicas de Ki'!P75&lt;&gt;0,'Técnicas de Ki'!P75+TS!$S180,0)*$S180/$S180,0))</f>
        <v>0</v>
      </c>
      <c r="AG180" s="539">
        <f>IF('Técnicas de Ki'!B75=0,0,IFERROR(IF('Técnicas de Ki'!Q75&lt;&gt;0,'Técnicas de Ki'!Q75+TS!$T180,0)*$T180/$T180,0))</f>
        <v>0</v>
      </c>
      <c r="AI180" s="571" t="str">
        <f>IF('Técnicas de Ki'!B82&lt;&gt;0,'Técnicas de Ki'!A82&amp;" "&amp;'Técnicas de Ki'!B82,"")</f>
        <v/>
      </c>
      <c r="AJ180" s="302" t="b">
        <f t="shared" si="8"/>
        <v>0</v>
      </c>
      <c r="AK180" s="302" t="str">
        <f t="shared" si="4"/>
        <v/>
      </c>
      <c r="AQ180" s="537">
        <f>IF('Técnicas de Ki'!W75=0,0,IF('Técnicas de Ki'!AD75=TS!AQ$119,'Técnicas de Ki'!X75-(IF($O180&lt;&gt;0,'Técnicas de Ki'!AG75,0)+IF($P180&lt;&gt;0,'Técnicas de Ki'!AH75,0)+IF($Q180&lt;&gt;0,'Técnicas de Ki'!AI75,0)+IF($R180&lt;&gt;0,'Técnicas de Ki'!AJ75,0)+IF($S180&lt;&gt;0,'Técnicas de Ki'!AK75,0)+IF($T180&lt;&gt;0,'Técnicas de Ki'!AL75,0)),0))</f>
        <v>0</v>
      </c>
      <c r="AR180" s="538">
        <f>IF('Técnicas de Ki'!W75=0,0,IF('Técnicas de Ki'!AD75=TS!AR$119,'Técnicas de Ki'!X75-(IF($O180&lt;&gt;0,'Técnicas de Ki'!AG75,0)+IF($P180&lt;&gt;0,'Técnicas de Ki'!AH75,0)+IF($Q180&lt;&gt;0,'Técnicas de Ki'!AI75,0)+IF($R180&lt;&gt;0,'Técnicas de Ki'!AJ75,0)+IF($S180&lt;&gt;0,'Técnicas de Ki'!AK75,0)+IF($T180&lt;&gt;0,'Técnicas de Ki'!AL75,0)),0))</f>
        <v>0</v>
      </c>
      <c r="AS180" s="538">
        <f>IF('Técnicas de Ki'!W75=0,0,IF('Técnicas de Ki'!AD75=TS!AS$119,'Técnicas de Ki'!X75-(IF($O180&lt;&gt;0,'Técnicas de Ki'!AG75,0)+IF($P180&lt;&gt;0,'Técnicas de Ki'!AH75,0)+IF($Q180&lt;&gt;0,'Técnicas de Ki'!AI75,0)+IF($R180&lt;&gt;0,'Técnicas de Ki'!AJ75,0)+IF($S180&lt;&gt;0,'Técnicas de Ki'!AK75,0)+IF($T180&lt;&gt;0,'Técnicas de Ki'!AL75,0)),0))</f>
        <v>0</v>
      </c>
      <c r="AT180" s="538">
        <f>IF('Técnicas de Ki'!W75=0,0,IF('Técnicas de Ki'!AD75=TS!AT$119,'Técnicas de Ki'!X75-(IF($O180&lt;&gt;0,'Técnicas de Ki'!AG75,0)+IF($P180&lt;&gt;0,'Técnicas de Ki'!AH75,0)+IF($Q180&lt;&gt;0,'Técnicas de Ki'!AI75,0)+IF($R180&lt;&gt;0,'Técnicas de Ki'!AJ75,0)+IF($S180&lt;&gt;0,'Técnicas de Ki'!AK75,0)+IF($T180&lt;&gt;0,'Técnicas de Ki'!AL75,0)),0))</f>
        <v>0</v>
      </c>
      <c r="AU180" s="538">
        <f>IF('Técnicas de Ki'!W75=0,0,IF('Técnicas de Ki'!AD75=TS!AU$119,'Técnicas de Ki'!X75-(IF($O180&lt;&gt;0,'Técnicas de Ki'!AG75,0)+IF($P180&lt;&gt;0,'Técnicas de Ki'!AH75,0)+IF($Q180&lt;&gt;0,'Técnicas de Ki'!AI75,0)+IF($R180&lt;&gt;0,'Técnicas de Ki'!AJ75,0)+IF($S180&lt;&gt;0,'Técnicas de Ki'!AK75,0)+IF($T180&lt;&gt;0,'Técnicas de Ki'!AL75,0)),0))</f>
        <v>0</v>
      </c>
      <c r="AV180" s="539">
        <f>IF('Técnicas de Ki'!W75=0,0,IF('Técnicas de Ki'!AD75=TS!AV$119,'Técnicas de Ki'!X75-(IF($O180&lt;&gt;0,'Técnicas de Ki'!AG75,0)+IF($P180&lt;&gt;0,'Técnicas de Ki'!AH75,0)+IF($Q180&lt;&gt;0,'Técnicas de Ki'!AI75,0)+IF($R180&lt;&gt;0,'Técnicas de Ki'!AJ75,0)+IF($S180&lt;&gt;0,'Técnicas de Ki'!AK75,0)+IF($T180&lt;&gt;0,'Técnicas de Ki'!AL75,0)),0))</f>
        <v>0</v>
      </c>
      <c r="AW180" s="538">
        <f>IF('Técnicas de Ki'!W75=0,0,IFERROR(IF('Técnicas de Ki'!AG75&lt;&gt;0,'Técnicas de Ki'!AG75+TS!$O180,0)*$O180/$O180,0))</f>
        <v>0</v>
      </c>
      <c r="AX180" s="538">
        <f>IF('Técnicas de Ki'!W75=0,0,IFERROR(IF('Técnicas de Ki'!AH75&lt;&gt;0,'Técnicas de Ki'!AH75+TS!$P180,0)*$P180/$P180,0))</f>
        <v>0</v>
      </c>
      <c r="AY180" s="538">
        <f>IF('Técnicas de Ki'!W75=0,0,IFERROR(IF('Técnicas de Ki'!AI75&lt;&gt;0,'Técnicas de Ki'!AI75+TS!$Q180,0)*$Q180/$Q180,0))</f>
        <v>0</v>
      </c>
      <c r="AZ180" s="538">
        <f>IF('Técnicas de Ki'!W75=0,0,IFERROR(IF('Técnicas de Ki'!AJ75&lt;&gt;0,'Técnicas de Ki'!AJ75+TS!$R180,0)*$R180/$R180,0))</f>
        <v>0</v>
      </c>
      <c r="BA180" s="538">
        <f>IF('Técnicas de Ki'!W75=0,0,IFERROR(IF('Técnicas de Ki'!AK75&lt;&gt;0,'Técnicas de Ki'!AK75+TS!$S180,0)*$S180/$S180,0))</f>
        <v>0</v>
      </c>
      <c r="BB180" s="539">
        <f>IF('Técnicas de Ki'!W75=0,0,IFERROR(IF('Técnicas de Ki'!AL75&lt;&gt;0,'Técnicas de Ki'!AL75+TS!$T180,0)*$T180/$T180,0))</f>
        <v>0</v>
      </c>
      <c r="BD180" s="571" t="str">
        <f>IF('Técnicas de Ki'!W82&lt;&gt;0,'Técnicas de Ki'!V82&amp;" "&amp;'Técnicas de Ki'!W82,"")</f>
        <v/>
      </c>
      <c r="BE180" s="302" t="b">
        <f t="shared" si="31"/>
        <v>0</v>
      </c>
      <c r="BF180" s="302" t="str">
        <f t="shared" si="5"/>
        <v/>
      </c>
      <c r="BL180" s="537">
        <f>IF('Técnicas de Ki'!AR75=0,0,IF('Técnicas de Ki'!AY75=TS!BL$119,'Técnicas de Ki'!AS75-(IF($O180&lt;&gt;0,'Técnicas de Ki'!BB75,0)+IF($P180&lt;&gt;0,'Técnicas de Ki'!BC75,0)+IF($Q180&lt;&gt;0,'Técnicas de Ki'!BD75,0)+IF($R180&lt;&gt;0,'Técnicas de Ki'!BE75,0)+IF($S180&lt;&gt;0,'Técnicas de Ki'!BF75,0)+IF($T180&lt;&gt;0,'Técnicas de Ki'!BG75,0)),0))</f>
        <v>0</v>
      </c>
      <c r="BM180" s="538">
        <f>IF('Técnicas de Ki'!AR75=0,0,IF('Técnicas de Ki'!AY75=TS!BM$119,'Técnicas de Ki'!AS75-(IF($O180&lt;&gt;0,'Técnicas de Ki'!BB75,0)+IF($P180&lt;&gt;0,'Técnicas de Ki'!BC75,0)+IF($Q180&lt;&gt;0,'Técnicas de Ki'!BD75,0)+IF($R180&lt;&gt;0,'Técnicas de Ki'!BE75,0)+IF($S180&lt;&gt;0,'Técnicas de Ki'!BF75,0)+IF($T180&lt;&gt;0,'Técnicas de Ki'!BG75,0)),0))</f>
        <v>0</v>
      </c>
      <c r="BN180" s="538">
        <f>IF('Técnicas de Ki'!AR75=0,0,IF('Técnicas de Ki'!AY75=TS!BN$119,'Técnicas de Ki'!AS75-(IF($O180&lt;&gt;0,'Técnicas de Ki'!BB75,0)+IF($P180&lt;&gt;0,'Técnicas de Ki'!BC75,0)+IF($Q180&lt;&gt;0,'Técnicas de Ki'!BD75,0)+IF($R180&lt;&gt;0,'Técnicas de Ki'!BE75,0)+IF($S180&lt;&gt;0,'Técnicas de Ki'!BF75,0)+IF($T180&lt;&gt;0,'Técnicas de Ki'!BG75,0)),0))</f>
        <v>0</v>
      </c>
      <c r="BO180" s="538">
        <f>IF('Técnicas de Ki'!AR75=0,0,IF('Técnicas de Ki'!AY75=TS!BO$119,'Técnicas de Ki'!AS75-(IF($O180&lt;&gt;0,'Técnicas de Ki'!BB75,0)+IF($P180&lt;&gt;0,'Técnicas de Ki'!BC75,0)+IF($Q180&lt;&gt;0,'Técnicas de Ki'!BD75,0)+IF($R180&lt;&gt;0,'Técnicas de Ki'!BE75,0)+IF($S180&lt;&gt;0,'Técnicas de Ki'!BF75,0)+IF($T180&lt;&gt;0,'Técnicas de Ki'!BG75,0)),0))</f>
        <v>0</v>
      </c>
      <c r="BP180" s="538">
        <f>IF('Técnicas de Ki'!AR75=0,0,IF('Técnicas de Ki'!AY75=TS!BP$119,'Técnicas de Ki'!AS75-(IF($O180&lt;&gt;0,'Técnicas de Ki'!BB75,0)+IF($P180&lt;&gt;0,'Técnicas de Ki'!BC75,0)+IF($Q180&lt;&gt;0,'Técnicas de Ki'!BD75,0)+IF($R180&lt;&gt;0,'Técnicas de Ki'!BE75,0)+IF($S180&lt;&gt;0,'Técnicas de Ki'!BF75,0)+IF($T180&lt;&gt;0,'Técnicas de Ki'!BG75,0)),0))</f>
        <v>0</v>
      </c>
      <c r="BQ180" s="539">
        <f>IF('Técnicas de Ki'!AR75=0,0,IF('Técnicas de Ki'!AY75=TS!BQ$119,'Técnicas de Ki'!AS75-(IF($O180&lt;&gt;0,'Técnicas de Ki'!BB75,0)+IF($P180&lt;&gt;0,'Técnicas de Ki'!BC75,0)+IF($Q180&lt;&gt;0,'Técnicas de Ki'!BD75,0)+IF($R180&lt;&gt;0,'Técnicas de Ki'!BE75,0)+IF($S180&lt;&gt;0,'Técnicas de Ki'!BF75,0)+IF($T180&lt;&gt;0,'Técnicas de Ki'!BG75,0)),0))</f>
        <v>0</v>
      </c>
      <c r="BR180" s="538">
        <f>IF('Técnicas de Ki'!AR75=0,0,IFERROR(IF('Técnicas de Ki'!BB75&lt;&gt;0,'Técnicas de Ki'!BB75+TS!$O180,0)*$O180/$O180,0))</f>
        <v>0</v>
      </c>
      <c r="BS180" s="538">
        <f>IF('Técnicas de Ki'!AR75=0,0,IFERROR(IF('Técnicas de Ki'!BC75&lt;&gt;0,'Técnicas de Ki'!BC75+TS!$P180,0)*$P180/$P180,0))</f>
        <v>0</v>
      </c>
      <c r="BT180" s="538">
        <f>IF('Técnicas de Ki'!AR75=0,0,IFERROR(IF('Técnicas de Ki'!BD75&lt;&gt;0,'Técnicas de Ki'!BD75+TS!$Q180,0)*$Q180/$Q180,0))</f>
        <v>0</v>
      </c>
      <c r="BU180" s="538">
        <f>IF('Técnicas de Ki'!AR75=0,0,IFERROR(IF('Técnicas de Ki'!BE75&lt;&gt;0,'Técnicas de Ki'!BE75+TS!$R180,0)*$R180/$R180,0))</f>
        <v>0</v>
      </c>
      <c r="BV180" s="538">
        <f>IF('Técnicas de Ki'!AR75=0,0,IFERROR(IF('Técnicas de Ki'!BF75&lt;&gt;0,'Técnicas de Ki'!BF75+TS!$S180,0)*$S180/$S180,0))</f>
        <v>0</v>
      </c>
      <c r="BW180" s="539">
        <f>IF('Técnicas de Ki'!AR75=0,0,IFERROR(IF('Técnicas de Ki'!BG75&lt;&gt;0,'Técnicas de Ki'!BG75+TS!$T180,0)*$T180/$T180,0))</f>
        <v>0</v>
      </c>
      <c r="BY180" s="571" t="str">
        <f>IF('Técnicas de Ki'!AR82&lt;&gt;0,'Técnicas de Ki'!AQ82&amp;" "&amp;'Técnicas de Ki'!AR82,"")</f>
        <v/>
      </c>
      <c r="BZ180" s="302" t="b">
        <f t="shared" si="32"/>
        <v>0</v>
      </c>
      <c r="CA180" s="302" t="str">
        <f t="shared" si="6"/>
        <v/>
      </c>
      <c r="CG180" s="537">
        <f>IF('Técnicas de Ki'!BM75=0,0,IF('Técnicas de Ki'!BT75=TS!CG$119,'Técnicas de Ki'!BN75-(IF($O180&lt;&gt;0,'Técnicas de Ki'!BW75,0)+IF($P180&lt;&gt;0,'Técnicas de Ki'!BX75,0)+IF($Q180&lt;&gt;0,'Técnicas de Ki'!BY75,0)+IF($R180&lt;&gt;0,'Técnicas de Ki'!BZ75,0)+IF($S180&lt;&gt;0,'Técnicas de Ki'!CA75,0)+IF($T180&lt;&gt;0,'Técnicas de Ki'!CB75,0)),0))</f>
        <v>0</v>
      </c>
      <c r="CH180" s="538">
        <f>IF('Técnicas de Ki'!BM75=0,0,IF('Técnicas de Ki'!BT75=TS!CH$119,'Técnicas de Ki'!BN75-(IF($O180&lt;&gt;0,'Técnicas de Ki'!BW75,0)+IF($P180&lt;&gt;0,'Técnicas de Ki'!BX75,0)+IF($Q180&lt;&gt;0,'Técnicas de Ki'!BY75,0)+IF($R180&lt;&gt;0,'Técnicas de Ki'!BZ75,0)+IF($S180&lt;&gt;0,'Técnicas de Ki'!CA75,0)+IF($T180&lt;&gt;0,'Técnicas de Ki'!CB75,0)),0))</f>
        <v>0</v>
      </c>
      <c r="CI180" s="538">
        <f>IF('Técnicas de Ki'!BM75=0,0,IF('Técnicas de Ki'!BT75=TS!CI$119,'Técnicas de Ki'!BN75-(IF($O180&lt;&gt;0,'Técnicas de Ki'!BW75,0)+IF($P180&lt;&gt;0,'Técnicas de Ki'!BX75,0)+IF($Q180&lt;&gt;0,'Técnicas de Ki'!BY75,0)+IF($R180&lt;&gt;0,'Técnicas de Ki'!BZ75,0)+IF($S180&lt;&gt;0,'Técnicas de Ki'!CA75,0)+IF($T180&lt;&gt;0,'Técnicas de Ki'!CB75,0)),0))</f>
        <v>0</v>
      </c>
      <c r="CJ180" s="538">
        <f>IF('Técnicas de Ki'!BM75=0,0,IF('Técnicas de Ki'!BT75=TS!CJ$119,'Técnicas de Ki'!BN75-(IF($O180&lt;&gt;0,'Técnicas de Ki'!BW75,0)+IF($P180&lt;&gt;0,'Técnicas de Ki'!BX75,0)+IF($Q180&lt;&gt;0,'Técnicas de Ki'!BY75,0)+IF($R180&lt;&gt;0,'Técnicas de Ki'!BZ75,0)+IF($S180&lt;&gt;0,'Técnicas de Ki'!CA75,0)+IF($T180&lt;&gt;0,'Técnicas de Ki'!CB75,0)),0))</f>
        <v>0</v>
      </c>
      <c r="CK180" s="538">
        <f>IF('Técnicas de Ki'!BM75=0,0,IF('Técnicas de Ki'!BT75=TS!CK$119,'Técnicas de Ki'!BN75-(IF($O180&lt;&gt;0,'Técnicas de Ki'!BW75,0)+IF($P180&lt;&gt;0,'Técnicas de Ki'!BX75,0)+IF($Q180&lt;&gt;0,'Técnicas de Ki'!BY75,0)+IF($R180&lt;&gt;0,'Técnicas de Ki'!BZ75,0)+IF($S180&lt;&gt;0,'Técnicas de Ki'!CA75,0)+IF($T180&lt;&gt;0,'Técnicas de Ki'!CB75,0)),0))</f>
        <v>0</v>
      </c>
      <c r="CL180" s="539">
        <f>IF('Técnicas de Ki'!BM75=0,0,IF('Técnicas de Ki'!BT75=TS!CL$119,'Técnicas de Ki'!BN75-(IF($O180&lt;&gt;0,'Técnicas de Ki'!BW75,0)+IF($P180&lt;&gt;0,'Técnicas de Ki'!BX75,0)+IF($Q180&lt;&gt;0,'Técnicas de Ki'!BY75,0)+IF($R180&lt;&gt;0,'Técnicas de Ki'!BZ75,0)+IF($S180&lt;&gt;0,'Técnicas de Ki'!CA75,0)+IF($T180&lt;&gt;0,'Técnicas de Ki'!CB75,0)),0))</f>
        <v>0</v>
      </c>
      <c r="CM180" s="538">
        <f>IF('Técnicas de Ki'!BM75=0,0,IFERROR(IF('Técnicas de Ki'!BW75&lt;&gt;0,'Técnicas de Ki'!BW75+TS!$O180,0)*$O180/$O180,0))</f>
        <v>0</v>
      </c>
      <c r="CN180" s="538">
        <f>IF('Técnicas de Ki'!BM75=0,0,IFERROR(IF('Técnicas de Ki'!BX75&lt;&gt;0,'Técnicas de Ki'!BX75+TS!$P180,0)*$P180/$P180,0))</f>
        <v>0</v>
      </c>
      <c r="CO180" s="538">
        <f>IF('Técnicas de Ki'!BM75=0,0,IFERROR(IF('Técnicas de Ki'!BY75&lt;&gt;0,'Técnicas de Ki'!BY75+TS!$Q180,0)*$Q180/$Q180,0))</f>
        <v>0</v>
      </c>
      <c r="CP180" s="538">
        <f>IF('Técnicas de Ki'!BM75=0,0,IFERROR(IF('Técnicas de Ki'!BZ75&lt;&gt;0,'Técnicas de Ki'!BZ75+TS!$R180,0)*$R180/$R180,0))</f>
        <v>0</v>
      </c>
      <c r="CQ180" s="538">
        <f>IF('Técnicas de Ki'!BM75=0,0,IFERROR(IF('Técnicas de Ki'!CA75&lt;&gt;0,'Técnicas de Ki'!CA75+TS!$S180,0)*$S180/$S180,0))</f>
        <v>0</v>
      </c>
      <c r="CR180" s="539">
        <f>IF('Técnicas de Ki'!BM75=0,0,IFERROR(IF('Técnicas de Ki'!CB75&lt;&gt;0,'Técnicas de Ki'!CB75+TS!$T180,0)*$T180/$T180,0))</f>
        <v>0</v>
      </c>
      <c r="CT180" s="571" t="str">
        <f>IF('Técnicas de Ki'!BM82&lt;&gt;0,'Técnicas de Ki'!BL82&amp;" "&amp;'Técnicas de Ki'!BM82,"")</f>
        <v/>
      </c>
      <c r="CU180" s="302" t="b">
        <f t="shared" si="33"/>
        <v>0</v>
      </c>
      <c r="CV180" s="302" t="str">
        <f t="shared" si="7"/>
        <v/>
      </c>
    </row>
    <row r="181" spans="1:102" ht="13.5" thickBot="1" x14ac:dyDescent="0.25">
      <c r="A181" s="302" t="s">
        <v>6866</v>
      </c>
      <c r="B181" s="302" t="s">
        <v>6874</v>
      </c>
      <c r="C181" s="302" t="str">
        <f>A176&amp;A181&amp;B181</f>
        <v>Ataque adicionalDesventaja opcional: Combo3 o más ataques adicionales</v>
      </c>
      <c r="D181" s="302">
        <v>-6</v>
      </c>
      <c r="E181" s="302">
        <v>-6</v>
      </c>
      <c r="F181" s="302">
        <v>20</v>
      </c>
      <c r="G181" s="302">
        <v>0</v>
      </c>
      <c r="H181" s="302">
        <v>0</v>
      </c>
      <c r="I181" s="302">
        <v>0</v>
      </c>
      <c r="J181" s="302">
        <v>1</v>
      </c>
      <c r="N181" t="s">
        <v>6949</v>
      </c>
      <c r="P181" s="302">
        <v>2</v>
      </c>
      <c r="Q181" s="302">
        <v>3</v>
      </c>
      <c r="S181" s="302">
        <v>1</v>
      </c>
      <c r="T181" s="302">
        <v>2</v>
      </c>
      <c r="V181" s="537">
        <f>IF('Técnicas de Ki'!B76=0,0,IF('Técnicas de Ki'!I76=TS!V$119,'Técnicas de Ki'!C76-(IF($O181&lt;&gt;0,'Técnicas de Ki'!L76,0)+IF($P181&lt;&gt;0,'Técnicas de Ki'!M76,0)+IF($Q181&lt;&gt;0,'Técnicas de Ki'!N76,0)+IF($R181&lt;&gt;0,'Técnicas de Ki'!O76,0)+IF($S181&lt;&gt;0,'Técnicas de Ki'!P76,0)+IF($T181&lt;&gt;0,'Técnicas de Ki'!Q76,0)),0))</f>
        <v>0</v>
      </c>
      <c r="W181" s="538">
        <f>IF('Técnicas de Ki'!B76=0,0,IF('Técnicas de Ki'!I76=TS!W$119,'Técnicas de Ki'!C76-(IF($O181&lt;&gt;0,'Técnicas de Ki'!L76,0)+IF($P181&lt;&gt;0,'Técnicas de Ki'!M76,0)+IF($Q181&lt;&gt;0,'Técnicas de Ki'!N76,0)+IF($R181&lt;&gt;0,'Técnicas de Ki'!O76,0)+IF($S181&lt;&gt;0,'Técnicas de Ki'!P76,0)+IF($T181&lt;&gt;0,'Técnicas de Ki'!Q76,0)),0))</f>
        <v>0</v>
      </c>
      <c r="X181" s="538">
        <f>IF('Técnicas de Ki'!B76=0,0,IF('Técnicas de Ki'!I76=TS!X$119,'Técnicas de Ki'!C76-(IF($O181&lt;&gt;0,'Técnicas de Ki'!L76,0)+IF($P181&lt;&gt;0,'Técnicas de Ki'!M76,0)+IF($Q181&lt;&gt;0,'Técnicas de Ki'!N76,0)+IF($R181&lt;&gt;0,'Técnicas de Ki'!O76,0)+IF($S181&lt;&gt;0,'Técnicas de Ki'!P76,0)+IF($T181&lt;&gt;0,'Técnicas de Ki'!Q76,0)),0))</f>
        <v>0</v>
      </c>
      <c r="Y181" s="538">
        <f>IF('Técnicas de Ki'!B76=0,0,IF('Técnicas de Ki'!I76=TS!Y$119,'Técnicas de Ki'!C76-(IF($O181&lt;&gt;0,'Técnicas de Ki'!L76,0)+IF($P181&lt;&gt;0,'Técnicas de Ki'!M76,0)+IF($Q181&lt;&gt;0,'Técnicas de Ki'!N76,0)+IF($R181&lt;&gt;0,'Técnicas de Ki'!O76,0)+IF($S181&lt;&gt;0,'Técnicas de Ki'!P76,0)+IF($T181&lt;&gt;0,'Técnicas de Ki'!Q76,0)),0))</f>
        <v>0</v>
      </c>
      <c r="Z181" s="538">
        <f>IF('Técnicas de Ki'!B76=0,0,IF('Técnicas de Ki'!I76=TS!Z$119,'Técnicas de Ki'!C76-(IF($O181&lt;&gt;0,'Técnicas de Ki'!L76,0)+IF($P181&lt;&gt;0,'Técnicas de Ki'!M76,0)+IF($Q181&lt;&gt;0,'Técnicas de Ki'!N76,0)+IF($R181&lt;&gt;0,'Técnicas de Ki'!O76,0)+IF($S181&lt;&gt;0,'Técnicas de Ki'!P76,0)+IF($T181&lt;&gt;0,'Técnicas de Ki'!Q76,0)),0))</f>
        <v>0</v>
      </c>
      <c r="AA181" s="539">
        <f>IF('Técnicas de Ki'!B76=0,0,IF('Técnicas de Ki'!I76=TS!AA$119,'Técnicas de Ki'!C76-(IF($O181&lt;&gt;0,'Técnicas de Ki'!L76,0)+IF($P181&lt;&gt;0,'Técnicas de Ki'!M76,0)+IF($Q181&lt;&gt;0,'Técnicas de Ki'!N76,0)+IF($R181&lt;&gt;0,'Técnicas de Ki'!O76,0)+IF($S181&lt;&gt;0,'Técnicas de Ki'!P76,0)+IF($T181&lt;&gt;0,'Técnicas de Ki'!Q76,0)),0))</f>
        <v>0</v>
      </c>
      <c r="AB181" s="538">
        <f>IF('Técnicas de Ki'!B76=0,0,IFERROR(IF('Técnicas de Ki'!L76&lt;&gt;0,'Técnicas de Ki'!L76+TS!$O181,0)*$O181/$O181,0))</f>
        <v>0</v>
      </c>
      <c r="AC181" s="538">
        <f>IF('Técnicas de Ki'!B76=0,0,IFERROR(IF('Técnicas de Ki'!M76&lt;&gt;0,'Técnicas de Ki'!M76+TS!$P181,0)*$P181/$P181,0))</f>
        <v>0</v>
      </c>
      <c r="AD181" s="538">
        <f>IF('Técnicas de Ki'!B76=0,0,IFERROR(IF('Técnicas de Ki'!N76&lt;&gt;0,'Técnicas de Ki'!N76+TS!$Q181,0)*$Q181/$Q181,0))</f>
        <v>0</v>
      </c>
      <c r="AE181" s="538">
        <f>IF('Técnicas de Ki'!B76=0,0,IFERROR(IF('Técnicas de Ki'!O76&lt;&gt;0,'Técnicas de Ki'!O76+TS!$R181,0)*$R181/$R181,0))</f>
        <v>0</v>
      </c>
      <c r="AF181" s="538">
        <f>IF('Técnicas de Ki'!B76=0,0,IFERROR(IF('Técnicas de Ki'!P76&lt;&gt;0,'Técnicas de Ki'!P76+TS!$S181,0)*$S181/$S181,0))</f>
        <v>0</v>
      </c>
      <c r="AG181" s="539">
        <f>IF('Técnicas de Ki'!B76=0,0,IFERROR(IF('Técnicas de Ki'!Q76&lt;&gt;0,'Técnicas de Ki'!Q76+TS!$T181,0)*$T181/$T181,0))</f>
        <v>0</v>
      </c>
      <c r="AI181" s="572" t="str">
        <f>IF('Técnicas de Ki'!B83&lt;&gt;0,'Técnicas de Ki'!A83&amp;" "&amp;'Técnicas de Ki'!B83,"")</f>
        <v/>
      </c>
      <c r="AJ181" s="302" t="b">
        <f t="shared" si="8"/>
        <v>0</v>
      </c>
      <c r="AK181" s="302" t="str">
        <f t="shared" si="4"/>
        <v/>
      </c>
      <c r="AQ181" s="537">
        <f>IF('Técnicas de Ki'!W76=0,0,IF('Técnicas de Ki'!AD76=TS!AQ$119,'Técnicas de Ki'!X76-(IF($O181&lt;&gt;0,'Técnicas de Ki'!AG76,0)+IF($P181&lt;&gt;0,'Técnicas de Ki'!AH76,0)+IF($Q181&lt;&gt;0,'Técnicas de Ki'!AI76,0)+IF($R181&lt;&gt;0,'Técnicas de Ki'!AJ76,0)+IF($S181&lt;&gt;0,'Técnicas de Ki'!AK76,0)+IF($T181&lt;&gt;0,'Técnicas de Ki'!AL76,0)),0))</f>
        <v>0</v>
      </c>
      <c r="AR181" s="538">
        <f>IF('Técnicas de Ki'!W76=0,0,IF('Técnicas de Ki'!AD76=TS!AR$119,'Técnicas de Ki'!X76-(IF($O181&lt;&gt;0,'Técnicas de Ki'!AG76,0)+IF($P181&lt;&gt;0,'Técnicas de Ki'!AH76,0)+IF($Q181&lt;&gt;0,'Técnicas de Ki'!AI76,0)+IF($R181&lt;&gt;0,'Técnicas de Ki'!AJ76,0)+IF($S181&lt;&gt;0,'Técnicas de Ki'!AK76,0)+IF($T181&lt;&gt;0,'Técnicas de Ki'!AL76,0)),0))</f>
        <v>0</v>
      </c>
      <c r="AS181" s="538">
        <f>IF('Técnicas de Ki'!W76=0,0,IF('Técnicas de Ki'!AD76=TS!AS$119,'Técnicas de Ki'!X76-(IF($O181&lt;&gt;0,'Técnicas de Ki'!AG76,0)+IF($P181&lt;&gt;0,'Técnicas de Ki'!AH76,0)+IF($Q181&lt;&gt;0,'Técnicas de Ki'!AI76,0)+IF($R181&lt;&gt;0,'Técnicas de Ki'!AJ76,0)+IF($S181&lt;&gt;0,'Técnicas de Ki'!AK76,0)+IF($T181&lt;&gt;0,'Técnicas de Ki'!AL76,0)),0))</f>
        <v>0</v>
      </c>
      <c r="AT181" s="538">
        <f>IF('Técnicas de Ki'!W76=0,0,IF('Técnicas de Ki'!AD76=TS!AT$119,'Técnicas de Ki'!X76-(IF($O181&lt;&gt;0,'Técnicas de Ki'!AG76,0)+IF($P181&lt;&gt;0,'Técnicas de Ki'!AH76,0)+IF($Q181&lt;&gt;0,'Técnicas de Ki'!AI76,0)+IF($R181&lt;&gt;0,'Técnicas de Ki'!AJ76,0)+IF($S181&lt;&gt;0,'Técnicas de Ki'!AK76,0)+IF($T181&lt;&gt;0,'Técnicas de Ki'!AL76,0)),0))</f>
        <v>0</v>
      </c>
      <c r="AU181" s="538">
        <f>IF('Técnicas de Ki'!W76=0,0,IF('Técnicas de Ki'!AD76=TS!AU$119,'Técnicas de Ki'!X76-(IF($O181&lt;&gt;0,'Técnicas de Ki'!AG76,0)+IF($P181&lt;&gt;0,'Técnicas de Ki'!AH76,0)+IF($Q181&lt;&gt;0,'Técnicas de Ki'!AI76,0)+IF($R181&lt;&gt;0,'Técnicas de Ki'!AJ76,0)+IF($S181&lt;&gt;0,'Técnicas de Ki'!AK76,0)+IF($T181&lt;&gt;0,'Técnicas de Ki'!AL76,0)),0))</f>
        <v>0</v>
      </c>
      <c r="AV181" s="539">
        <f>IF('Técnicas de Ki'!W76=0,0,IF('Técnicas de Ki'!AD76=TS!AV$119,'Técnicas de Ki'!X76-(IF($O181&lt;&gt;0,'Técnicas de Ki'!AG76,0)+IF($P181&lt;&gt;0,'Técnicas de Ki'!AH76,0)+IF($Q181&lt;&gt;0,'Técnicas de Ki'!AI76,0)+IF($R181&lt;&gt;0,'Técnicas de Ki'!AJ76,0)+IF($S181&lt;&gt;0,'Técnicas de Ki'!AK76,0)+IF($T181&lt;&gt;0,'Técnicas de Ki'!AL76,0)),0))</f>
        <v>0</v>
      </c>
      <c r="AW181" s="538">
        <f>IF('Técnicas de Ki'!W76=0,0,IFERROR(IF('Técnicas de Ki'!AG76&lt;&gt;0,'Técnicas de Ki'!AG76+TS!$O181,0)*$O181/$O181,0))</f>
        <v>0</v>
      </c>
      <c r="AX181" s="538">
        <f>IF('Técnicas de Ki'!W76=0,0,IFERROR(IF('Técnicas de Ki'!AH76&lt;&gt;0,'Técnicas de Ki'!AH76+TS!$P181,0)*$P181/$P181,0))</f>
        <v>0</v>
      </c>
      <c r="AY181" s="538">
        <f>IF('Técnicas de Ki'!W76=0,0,IFERROR(IF('Técnicas de Ki'!AI76&lt;&gt;0,'Técnicas de Ki'!AI76+TS!$Q181,0)*$Q181/$Q181,0))</f>
        <v>0</v>
      </c>
      <c r="AZ181" s="538">
        <f>IF('Técnicas de Ki'!W76=0,0,IFERROR(IF('Técnicas de Ki'!AJ76&lt;&gt;0,'Técnicas de Ki'!AJ76+TS!$R181,0)*$R181/$R181,0))</f>
        <v>0</v>
      </c>
      <c r="BA181" s="538">
        <f>IF('Técnicas de Ki'!W76=0,0,IFERROR(IF('Técnicas de Ki'!AK76&lt;&gt;0,'Técnicas de Ki'!AK76+TS!$S181,0)*$S181/$S181,0))</f>
        <v>0</v>
      </c>
      <c r="BB181" s="539">
        <f>IF('Técnicas de Ki'!W76=0,0,IFERROR(IF('Técnicas de Ki'!AL76&lt;&gt;0,'Técnicas de Ki'!AL76+TS!$T181,0)*$T181/$T181,0))</f>
        <v>0</v>
      </c>
      <c r="BD181" s="572" t="str">
        <f>IF('Técnicas de Ki'!W83&lt;&gt;0,'Técnicas de Ki'!V83&amp;" "&amp;'Técnicas de Ki'!W83,"")</f>
        <v/>
      </c>
      <c r="BE181" s="302" t="b">
        <f t="shared" si="31"/>
        <v>0</v>
      </c>
      <c r="BF181" s="302" t="str">
        <f t="shared" si="5"/>
        <v/>
      </c>
      <c r="BL181" s="537">
        <f>IF('Técnicas de Ki'!AR76=0,0,IF('Técnicas de Ki'!AY76=TS!BL$119,'Técnicas de Ki'!AS76-(IF($O181&lt;&gt;0,'Técnicas de Ki'!BB76,0)+IF($P181&lt;&gt;0,'Técnicas de Ki'!BC76,0)+IF($Q181&lt;&gt;0,'Técnicas de Ki'!BD76,0)+IF($R181&lt;&gt;0,'Técnicas de Ki'!BE76,0)+IF($S181&lt;&gt;0,'Técnicas de Ki'!BF76,0)+IF($T181&lt;&gt;0,'Técnicas de Ki'!BG76,0)),0))</f>
        <v>0</v>
      </c>
      <c r="BM181" s="538">
        <f>IF('Técnicas de Ki'!AR76=0,0,IF('Técnicas de Ki'!AY76=TS!BM$119,'Técnicas de Ki'!AS76-(IF($O181&lt;&gt;0,'Técnicas de Ki'!BB76,0)+IF($P181&lt;&gt;0,'Técnicas de Ki'!BC76,0)+IF($Q181&lt;&gt;0,'Técnicas de Ki'!BD76,0)+IF($R181&lt;&gt;0,'Técnicas de Ki'!BE76,0)+IF($S181&lt;&gt;0,'Técnicas de Ki'!BF76,0)+IF($T181&lt;&gt;0,'Técnicas de Ki'!BG76,0)),0))</f>
        <v>0</v>
      </c>
      <c r="BN181" s="538">
        <f>IF('Técnicas de Ki'!AR76=0,0,IF('Técnicas de Ki'!AY76=TS!BN$119,'Técnicas de Ki'!AS76-(IF($O181&lt;&gt;0,'Técnicas de Ki'!BB76,0)+IF($P181&lt;&gt;0,'Técnicas de Ki'!BC76,0)+IF($Q181&lt;&gt;0,'Técnicas de Ki'!BD76,0)+IF($R181&lt;&gt;0,'Técnicas de Ki'!BE76,0)+IF($S181&lt;&gt;0,'Técnicas de Ki'!BF76,0)+IF($T181&lt;&gt;0,'Técnicas de Ki'!BG76,0)),0))</f>
        <v>0</v>
      </c>
      <c r="BO181" s="538">
        <f>IF('Técnicas de Ki'!AR76=0,0,IF('Técnicas de Ki'!AY76=TS!BO$119,'Técnicas de Ki'!AS76-(IF($O181&lt;&gt;0,'Técnicas de Ki'!BB76,0)+IF($P181&lt;&gt;0,'Técnicas de Ki'!BC76,0)+IF($Q181&lt;&gt;0,'Técnicas de Ki'!BD76,0)+IF($R181&lt;&gt;0,'Técnicas de Ki'!BE76,0)+IF($S181&lt;&gt;0,'Técnicas de Ki'!BF76,0)+IF($T181&lt;&gt;0,'Técnicas de Ki'!BG76,0)),0))</f>
        <v>0</v>
      </c>
      <c r="BP181" s="538">
        <f>IF('Técnicas de Ki'!AR76=0,0,IF('Técnicas de Ki'!AY76=TS!BP$119,'Técnicas de Ki'!AS76-(IF($O181&lt;&gt;0,'Técnicas de Ki'!BB76,0)+IF($P181&lt;&gt;0,'Técnicas de Ki'!BC76,0)+IF($Q181&lt;&gt;0,'Técnicas de Ki'!BD76,0)+IF($R181&lt;&gt;0,'Técnicas de Ki'!BE76,0)+IF($S181&lt;&gt;0,'Técnicas de Ki'!BF76,0)+IF($T181&lt;&gt;0,'Técnicas de Ki'!BG76,0)),0))</f>
        <v>0</v>
      </c>
      <c r="BQ181" s="539">
        <f>IF('Técnicas de Ki'!AR76=0,0,IF('Técnicas de Ki'!AY76=TS!BQ$119,'Técnicas de Ki'!AS76-(IF($O181&lt;&gt;0,'Técnicas de Ki'!BB76,0)+IF($P181&lt;&gt;0,'Técnicas de Ki'!BC76,0)+IF($Q181&lt;&gt;0,'Técnicas de Ki'!BD76,0)+IF($R181&lt;&gt;0,'Técnicas de Ki'!BE76,0)+IF($S181&lt;&gt;0,'Técnicas de Ki'!BF76,0)+IF($T181&lt;&gt;0,'Técnicas de Ki'!BG76,0)),0))</f>
        <v>0</v>
      </c>
      <c r="BR181" s="538">
        <f>IF('Técnicas de Ki'!AR76=0,0,IFERROR(IF('Técnicas de Ki'!BB76&lt;&gt;0,'Técnicas de Ki'!BB76+TS!$O181,0)*$O181/$O181,0))</f>
        <v>0</v>
      </c>
      <c r="BS181" s="538">
        <f>IF('Técnicas de Ki'!AR76=0,0,IFERROR(IF('Técnicas de Ki'!BC76&lt;&gt;0,'Técnicas de Ki'!BC76+TS!$P181,0)*$P181/$P181,0))</f>
        <v>0</v>
      </c>
      <c r="BT181" s="538">
        <f>IF('Técnicas de Ki'!AR76=0,0,IFERROR(IF('Técnicas de Ki'!BD76&lt;&gt;0,'Técnicas de Ki'!BD76+TS!$Q181,0)*$Q181/$Q181,0))</f>
        <v>0</v>
      </c>
      <c r="BU181" s="538">
        <f>IF('Técnicas de Ki'!AR76=0,0,IFERROR(IF('Técnicas de Ki'!BE76&lt;&gt;0,'Técnicas de Ki'!BE76+TS!$R181,0)*$R181/$R181,0))</f>
        <v>0</v>
      </c>
      <c r="BV181" s="538">
        <f>IF('Técnicas de Ki'!AR76=0,0,IFERROR(IF('Técnicas de Ki'!BF76&lt;&gt;0,'Técnicas de Ki'!BF76+TS!$S181,0)*$S181/$S181,0))</f>
        <v>0</v>
      </c>
      <c r="BW181" s="539">
        <f>IF('Técnicas de Ki'!AR76=0,0,IFERROR(IF('Técnicas de Ki'!BG76&lt;&gt;0,'Técnicas de Ki'!BG76+TS!$T181,0)*$T181/$T181,0))</f>
        <v>0</v>
      </c>
      <c r="BY181" s="572" t="str">
        <f>IF('Técnicas de Ki'!AR83&lt;&gt;0,'Técnicas de Ki'!AQ83&amp;" "&amp;'Técnicas de Ki'!AR83,"")</f>
        <v/>
      </c>
      <c r="BZ181" s="302" t="b">
        <f t="shared" si="32"/>
        <v>0</v>
      </c>
      <c r="CA181" s="302" t="str">
        <f t="shared" si="6"/>
        <v/>
      </c>
      <c r="CG181" s="537">
        <f>IF('Técnicas de Ki'!BM76=0,0,IF('Técnicas de Ki'!BT76=TS!CG$119,'Técnicas de Ki'!BN76-(IF($O181&lt;&gt;0,'Técnicas de Ki'!BW76,0)+IF($P181&lt;&gt;0,'Técnicas de Ki'!BX76,0)+IF($Q181&lt;&gt;0,'Técnicas de Ki'!BY76,0)+IF($R181&lt;&gt;0,'Técnicas de Ki'!BZ76,0)+IF($S181&lt;&gt;0,'Técnicas de Ki'!CA76,0)+IF($T181&lt;&gt;0,'Técnicas de Ki'!CB76,0)),0))</f>
        <v>0</v>
      </c>
      <c r="CH181" s="538">
        <f>IF('Técnicas de Ki'!BM76=0,0,IF('Técnicas de Ki'!BT76=TS!CH$119,'Técnicas de Ki'!BN76-(IF($O181&lt;&gt;0,'Técnicas de Ki'!BW76,0)+IF($P181&lt;&gt;0,'Técnicas de Ki'!BX76,0)+IF($Q181&lt;&gt;0,'Técnicas de Ki'!BY76,0)+IF($R181&lt;&gt;0,'Técnicas de Ki'!BZ76,0)+IF($S181&lt;&gt;0,'Técnicas de Ki'!CA76,0)+IF($T181&lt;&gt;0,'Técnicas de Ki'!CB76,0)),0))</f>
        <v>0</v>
      </c>
      <c r="CI181" s="538">
        <f>IF('Técnicas de Ki'!BM76=0,0,IF('Técnicas de Ki'!BT76=TS!CI$119,'Técnicas de Ki'!BN76-(IF($O181&lt;&gt;0,'Técnicas de Ki'!BW76,0)+IF($P181&lt;&gt;0,'Técnicas de Ki'!BX76,0)+IF($Q181&lt;&gt;0,'Técnicas de Ki'!BY76,0)+IF($R181&lt;&gt;0,'Técnicas de Ki'!BZ76,0)+IF($S181&lt;&gt;0,'Técnicas de Ki'!CA76,0)+IF($T181&lt;&gt;0,'Técnicas de Ki'!CB76,0)),0))</f>
        <v>0</v>
      </c>
      <c r="CJ181" s="538">
        <f>IF('Técnicas de Ki'!BM76=0,0,IF('Técnicas de Ki'!BT76=TS!CJ$119,'Técnicas de Ki'!BN76-(IF($O181&lt;&gt;0,'Técnicas de Ki'!BW76,0)+IF($P181&lt;&gt;0,'Técnicas de Ki'!BX76,0)+IF($Q181&lt;&gt;0,'Técnicas de Ki'!BY76,0)+IF($R181&lt;&gt;0,'Técnicas de Ki'!BZ76,0)+IF($S181&lt;&gt;0,'Técnicas de Ki'!CA76,0)+IF($T181&lt;&gt;0,'Técnicas de Ki'!CB76,0)),0))</f>
        <v>0</v>
      </c>
      <c r="CK181" s="538">
        <f>IF('Técnicas de Ki'!BM76=0,0,IF('Técnicas de Ki'!BT76=TS!CK$119,'Técnicas de Ki'!BN76-(IF($O181&lt;&gt;0,'Técnicas de Ki'!BW76,0)+IF($P181&lt;&gt;0,'Técnicas de Ki'!BX76,0)+IF($Q181&lt;&gt;0,'Técnicas de Ki'!BY76,0)+IF($R181&lt;&gt;0,'Técnicas de Ki'!BZ76,0)+IF($S181&lt;&gt;0,'Técnicas de Ki'!CA76,0)+IF($T181&lt;&gt;0,'Técnicas de Ki'!CB76,0)),0))</f>
        <v>0</v>
      </c>
      <c r="CL181" s="539">
        <f>IF('Técnicas de Ki'!BM76=0,0,IF('Técnicas de Ki'!BT76=TS!CL$119,'Técnicas de Ki'!BN76-(IF($O181&lt;&gt;0,'Técnicas de Ki'!BW76,0)+IF($P181&lt;&gt;0,'Técnicas de Ki'!BX76,0)+IF($Q181&lt;&gt;0,'Técnicas de Ki'!BY76,0)+IF($R181&lt;&gt;0,'Técnicas de Ki'!BZ76,0)+IF($S181&lt;&gt;0,'Técnicas de Ki'!CA76,0)+IF($T181&lt;&gt;0,'Técnicas de Ki'!CB76,0)),0))</f>
        <v>0</v>
      </c>
      <c r="CM181" s="538">
        <f>IF('Técnicas de Ki'!BM76=0,0,IFERROR(IF('Técnicas de Ki'!BW76&lt;&gt;0,'Técnicas de Ki'!BW76+TS!$O181,0)*$O181/$O181,0))</f>
        <v>0</v>
      </c>
      <c r="CN181" s="538">
        <f>IF('Técnicas de Ki'!BM76=0,0,IFERROR(IF('Técnicas de Ki'!BX76&lt;&gt;0,'Técnicas de Ki'!BX76+TS!$P181,0)*$P181/$P181,0))</f>
        <v>0</v>
      </c>
      <c r="CO181" s="538">
        <f>IF('Técnicas de Ki'!BM76=0,0,IFERROR(IF('Técnicas de Ki'!BY76&lt;&gt;0,'Técnicas de Ki'!BY76+TS!$Q181,0)*$Q181/$Q181,0))</f>
        <v>0</v>
      </c>
      <c r="CP181" s="538">
        <f>IF('Técnicas de Ki'!BM76=0,0,IFERROR(IF('Técnicas de Ki'!BZ76&lt;&gt;0,'Técnicas de Ki'!BZ76+TS!$R181,0)*$R181/$R181,0))</f>
        <v>0</v>
      </c>
      <c r="CQ181" s="538">
        <f>IF('Técnicas de Ki'!BM76=0,0,IFERROR(IF('Técnicas de Ki'!CA76&lt;&gt;0,'Técnicas de Ki'!CA76+TS!$S181,0)*$S181/$S181,0))</f>
        <v>0</v>
      </c>
      <c r="CR181" s="539">
        <f>IF('Técnicas de Ki'!BM76=0,0,IFERROR(IF('Técnicas de Ki'!CB76&lt;&gt;0,'Técnicas de Ki'!CB76+TS!$T181,0)*$T181/$T181,0))</f>
        <v>0</v>
      </c>
      <c r="CT181" s="572" t="str">
        <f>IF('Técnicas de Ki'!BM83&lt;&gt;0,'Técnicas de Ki'!BL83&amp;" "&amp;'Técnicas de Ki'!BM83,"")</f>
        <v/>
      </c>
      <c r="CU181" s="302" t="b">
        <f t="shared" si="33"/>
        <v>0</v>
      </c>
      <c r="CV181" s="302" t="str">
        <f t="shared" si="7"/>
        <v/>
      </c>
    </row>
    <row r="182" spans="1:102" ht="13.5" thickBot="1" x14ac:dyDescent="0.25">
      <c r="A182" s="302" t="s">
        <v>6867</v>
      </c>
      <c r="B182" s="301" t="s">
        <v>6803</v>
      </c>
      <c r="C182" s="301" t="str">
        <f t="shared" si="15"/>
        <v>Ataque adicional limitado+1</v>
      </c>
      <c r="D182" s="302">
        <v>3</v>
      </c>
      <c r="E182" s="302">
        <v>5</v>
      </c>
      <c r="F182" s="302">
        <v>5</v>
      </c>
      <c r="G182" s="302">
        <v>1</v>
      </c>
      <c r="H182" s="302">
        <v>2</v>
      </c>
      <c r="I182" s="302">
        <v>4</v>
      </c>
      <c r="J182" s="302">
        <v>1</v>
      </c>
      <c r="N182" t="s">
        <v>6950</v>
      </c>
      <c r="R182" s="302">
        <v>1</v>
      </c>
      <c r="S182" s="302">
        <v>1</v>
      </c>
      <c r="T182" s="302">
        <v>1</v>
      </c>
      <c r="V182" s="537">
        <f>IF('Técnicas de Ki'!B77=0,0,IF('Técnicas de Ki'!I77=TS!V$119,'Técnicas de Ki'!C77-(IF($O182&lt;&gt;0,'Técnicas de Ki'!L77,0)+IF($P182&lt;&gt;0,'Técnicas de Ki'!M77,0)+IF($Q182&lt;&gt;0,'Técnicas de Ki'!N77,0)+IF($R182&lt;&gt;0,'Técnicas de Ki'!O77,0)+IF($S182&lt;&gt;0,'Técnicas de Ki'!P77,0)+IF($T182&lt;&gt;0,'Técnicas de Ki'!Q77,0)),0))</f>
        <v>0</v>
      </c>
      <c r="W182" s="538">
        <f>IF('Técnicas de Ki'!B77=0,0,IF('Técnicas de Ki'!I77=TS!W$119,'Técnicas de Ki'!C77-(IF($O182&lt;&gt;0,'Técnicas de Ki'!L77,0)+IF($P182&lt;&gt;0,'Técnicas de Ki'!M77,0)+IF($Q182&lt;&gt;0,'Técnicas de Ki'!N77,0)+IF($R182&lt;&gt;0,'Técnicas de Ki'!O77,0)+IF($S182&lt;&gt;0,'Técnicas de Ki'!P77,0)+IF($T182&lt;&gt;0,'Técnicas de Ki'!Q77,0)),0))</f>
        <v>0</v>
      </c>
      <c r="X182" s="538">
        <f>IF('Técnicas de Ki'!B77=0,0,IF('Técnicas de Ki'!I77=TS!X$119,'Técnicas de Ki'!C77-(IF($O182&lt;&gt;0,'Técnicas de Ki'!L77,0)+IF($P182&lt;&gt;0,'Técnicas de Ki'!M77,0)+IF($Q182&lt;&gt;0,'Técnicas de Ki'!N77,0)+IF($R182&lt;&gt;0,'Técnicas de Ki'!O77,0)+IF($S182&lt;&gt;0,'Técnicas de Ki'!P77,0)+IF($T182&lt;&gt;0,'Técnicas de Ki'!Q77,0)),0))</f>
        <v>0</v>
      </c>
      <c r="Y182" s="538">
        <f>IF('Técnicas de Ki'!B77=0,0,IF('Técnicas de Ki'!I77=TS!Y$119,'Técnicas de Ki'!C77-(IF($O182&lt;&gt;0,'Técnicas de Ki'!L77,0)+IF($P182&lt;&gt;0,'Técnicas de Ki'!M77,0)+IF($Q182&lt;&gt;0,'Técnicas de Ki'!N77,0)+IF($R182&lt;&gt;0,'Técnicas de Ki'!O77,0)+IF($S182&lt;&gt;0,'Técnicas de Ki'!P77,0)+IF($T182&lt;&gt;0,'Técnicas de Ki'!Q77,0)),0))</f>
        <v>0</v>
      </c>
      <c r="Z182" s="538">
        <f>IF('Técnicas de Ki'!B77=0,0,IF('Técnicas de Ki'!I77=TS!Z$119,'Técnicas de Ki'!C77-(IF($O182&lt;&gt;0,'Técnicas de Ki'!L77,0)+IF($P182&lt;&gt;0,'Técnicas de Ki'!M77,0)+IF($Q182&lt;&gt;0,'Técnicas de Ki'!N77,0)+IF($R182&lt;&gt;0,'Técnicas de Ki'!O77,0)+IF($S182&lt;&gt;0,'Técnicas de Ki'!P77,0)+IF($T182&lt;&gt;0,'Técnicas de Ki'!Q77,0)),0))</f>
        <v>0</v>
      </c>
      <c r="AA182" s="539">
        <f>IF('Técnicas de Ki'!B77=0,0,IF('Técnicas de Ki'!I77=TS!AA$119,'Técnicas de Ki'!C77-(IF($O182&lt;&gt;0,'Técnicas de Ki'!L77,0)+IF($P182&lt;&gt;0,'Técnicas de Ki'!M77,0)+IF($Q182&lt;&gt;0,'Técnicas de Ki'!N77,0)+IF($R182&lt;&gt;0,'Técnicas de Ki'!O77,0)+IF($S182&lt;&gt;0,'Técnicas de Ki'!P77,0)+IF($T182&lt;&gt;0,'Técnicas de Ki'!Q77,0)),0))</f>
        <v>0</v>
      </c>
      <c r="AB182" s="538">
        <f>IF('Técnicas de Ki'!B77=0,0,IFERROR(IF('Técnicas de Ki'!L77&lt;&gt;0,'Técnicas de Ki'!L77+TS!$O182,0)*$O182/$O182,0))</f>
        <v>0</v>
      </c>
      <c r="AC182" s="538">
        <f>IF('Técnicas de Ki'!B77=0,0,IFERROR(IF('Técnicas de Ki'!M77&lt;&gt;0,'Técnicas de Ki'!M77+TS!$P182,0)*$P182/$P182,0))</f>
        <v>0</v>
      </c>
      <c r="AD182" s="538">
        <f>IF('Técnicas de Ki'!B77=0,0,IFERROR(IF('Técnicas de Ki'!N77&lt;&gt;0,'Técnicas de Ki'!N77+TS!$Q182,0)*$Q182/$Q182,0))</f>
        <v>0</v>
      </c>
      <c r="AE182" s="538">
        <f>IF('Técnicas de Ki'!B77=0,0,IFERROR(IF('Técnicas de Ki'!O77&lt;&gt;0,'Técnicas de Ki'!O77+TS!$R182,0)*$R182/$R182,0))</f>
        <v>0</v>
      </c>
      <c r="AF182" s="538">
        <f>IF('Técnicas de Ki'!B77=0,0,IFERROR(IF('Técnicas de Ki'!P77&lt;&gt;0,'Técnicas de Ki'!P77+TS!$S182,0)*$S182/$S182,0))</f>
        <v>0</v>
      </c>
      <c r="AG182" s="539">
        <f>IF('Técnicas de Ki'!B77=0,0,IFERROR(IF('Técnicas de Ki'!Q77&lt;&gt;0,'Técnicas de Ki'!Q77+TS!$T182,0)*$T182/$T182,0))</f>
        <v>0</v>
      </c>
      <c r="AI182" s="571" t="str">
        <f>IF('Técnicas de Ki'!B85&lt;&gt;0,'Técnicas de Ki'!A85&amp;" "&amp;'Técnicas de Ki'!B85,"")</f>
        <v/>
      </c>
      <c r="AJ182" s="302" t="b">
        <v>0</v>
      </c>
      <c r="AK182" s="302" t="str">
        <f t="shared" si="4"/>
        <v/>
      </c>
      <c r="AL182" s="573" t="str">
        <f>IF(AM182,N189&amp;": "&amp;CONCATENATE(AK182,AK183,AK184,AK185,AK186,AK187,AK188,AK189,AK190,AK191,AK192,AK193,AK194,AK195,AK196,AK197,AK198,AK199,AK200,AK201,AK202,AK203,AK204,AK205,AK206,AK207,AK208,AK209,AK210,AK211,AK212,AK213,AK214,AK215,AK216,AK217,AK218,AK219),"")&amp;IF(AM182,"  ","")</f>
        <v/>
      </c>
      <c r="AM182" s="302" t="b">
        <f>OR(AJ182:AJ219,AI219&lt;&gt;"")</f>
        <v>0</v>
      </c>
      <c r="AQ182" s="537">
        <f>IF('Técnicas de Ki'!W77=0,0,IF('Técnicas de Ki'!AD77=TS!AQ$119,'Técnicas de Ki'!X77-(IF($O182&lt;&gt;0,'Técnicas de Ki'!AG77,0)+IF($P182&lt;&gt;0,'Técnicas de Ki'!AH77,0)+IF($Q182&lt;&gt;0,'Técnicas de Ki'!AI77,0)+IF($R182&lt;&gt;0,'Técnicas de Ki'!AJ77,0)+IF($S182&lt;&gt;0,'Técnicas de Ki'!AK77,0)+IF($T182&lt;&gt;0,'Técnicas de Ki'!AL77,0)),0))</f>
        <v>0</v>
      </c>
      <c r="AR182" s="538">
        <f>IF('Técnicas de Ki'!W77=0,0,IF('Técnicas de Ki'!AD77=TS!AR$119,'Técnicas de Ki'!X77-(IF($O182&lt;&gt;0,'Técnicas de Ki'!AG77,0)+IF($P182&lt;&gt;0,'Técnicas de Ki'!AH77,0)+IF($Q182&lt;&gt;0,'Técnicas de Ki'!AI77,0)+IF($R182&lt;&gt;0,'Técnicas de Ki'!AJ77,0)+IF($S182&lt;&gt;0,'Técnicas de Ki'!AK77,0)+IF($T182&lt;&gt;0,'Técnicas de Ki'!AL77,0)),0))</f>
        <v>0</v>
      </c>
      <c r="AS182" s="538">
        <f>IF('Técnicas de Ki'!W77=0,0,IF('Técnicas de Ki'!AD77=TS!AS$119,'Técnicas de Ki'!X77-(IF($O182&lt;&gt;0,'Técnicas de Ki'!AG77,0)+IF($P182&lt;&gt;0,'Técnicas de Ki'!AH77,0)+IF($Q182&lt;&gt;0,'Técnicas de Ki'!AI77,0)+IF($R182&lt;&gt;0,'Técnicas de Ki'!AJ77,0)+IF($S182&lt;&gt;0,'Técnicas de Ki'!AK77,0)+IF($T182&lt;&gt;0,'Técnicas de Ki'!AL77,0)),0))</f>
        <v>0</v>
      </c>
      <c r="AT182" s="538">
        <f>IF('Técnicas de Ki'!W77=0,0,IF('Técnicas de Ki'!AD77=TS!AT$119,'Técnicas de Ki'!X77-(IF($O182&lt;&gt;0,'Técnicas de Ki'!AG77,0)+IF($P182&lt;&gt;0,'Técnicas de Ki'!AH77,0)+IF($Q182&lt;&gt;0,'Técnicas de Ki'!AI77,0)+IF($R182&lt;&gt;0,'Técnicas de Ki'!AJ77,0)+IF($S182&lt;&gt;0,'Técnicas de Ki'!AK77,0)+IF($T182&lt;&gt;0,'Técnicas de Ki'!AL77,0)),0))</f>
        <v>0</v>
      </c>
      <c r="AU182" s="538">
        <f>IF('Técnicas de Ki'!W77=0,0,IF('Técnicas de Ki'!AD77=TS!AU$119,'Técnicas de Ki'!X77-(IF($O182&lt;&gt;0,'Técnicas de Ki'!AG77,0)+IF($P182&lt;&gt;0,'Técnicas de Ki'!AH77,0)+IF($Q182&lt;&gt;0,'Técnicas de Ki'!AI77,0)+IF($R182&lt;&gt;0,'Técnicas de Ki'!AJ77,0)+IF($S182&lt;&gt;0,'Técnicas de Ki'!AK77,0)+IF($T182&lt;&gt;0,'Técnicas de Ki'!AL77,0)),0))</f>
        <v>0</v>
      </c>
      <c r="AV182" s="539">
        <f>IF('Técnicas de Ki'!W77=0,0,IF('Técnicas de Ki'!AD77=TS!AV$119,'Técnicas de Ki'!X77-(IF($O182&lt;&gt;0,'Técnicas de Ki'!AG77,0)+IF($P182&lt;&gt;0,'Técnicas de Ki'!AH77,0)+IF($Q182&lt;&gt;0,'Técnicas de Ki'!AI77,0)+IF($R182&lt;&gt;0,'Técnicas de Ki'!AJ77,0)+IF($S182&lt;&gt;0,'Técnicas de Ki'!AK77,0)+IF($T182&lt;&gt;0,'Técnicas de Ki'!AL77,0)),0))</f>
        <v>0</v>
      </c>
      <c r="AW182" s="538">
        <f>IF('Técnicas de Ki'!W77=0,0,IFERROR(IF('Técnicas de Ki'!AG77&lt;&gt;0,'Técnicas de Ki'!AG77+TS!$O182,0)*$O182/$O182,0))</f>
        <v>0</v>
      </c>
      <c r="AX182" s="538">
        <f>IF('Técnicas de Ki'!W77=0,0,IFERROR(IF('Técnicas de Ki'!AH77&lt;&gt;0,'Técnicas de Ki'!AH77+TS!$P182,0)*$P182/$P182,0))</f>
        <v>0</v>
      </c>
      <c r="AY182" s="538">
        <f>IF('Técnicas de Ki'!W77=0,0,IFERROR(IF('Técnicas de Ki'!AI77&lt;&gt;0,'Técnicas de Ki'!AI77+TS!$Q182,0)*$Q182/$Q182,0))</f>
        <v>0</v>
      </c>
      <c r="AZ182" s="538">
        <f>IF('Técnicas de Ki'!W77=0,0,IFERROR(IF('Técnicas de Ki'!AJ77&lt;&gt;0,'Técnicas de Ki'!AJ77+TS!$R182,0)*$R182/$R182,0))</f>
        <v>0</v>
      </c>
      <c r="BA182" s="538">
        <f>IF('Técnicas de Ki'!W77=0,0,IFERROR(IF('Técnicas de Ki'!AK77&lt;&gt;0,'Técnicas de Ki'!AK77+TS!$S182,0)*$S182/$S182,0))</f>
        <v>0</v>
      </c>
      <c r="BB182" s="539">
        <f>IF('Técnicas de Ki'!W77=0,0,IFERROR(IF('Técnicas de Ki'!AL77&lt;&gt;0,'Técnicas de Ki'!AL77+TS!$T182,0)*$T182/$T182,0))</f>
        <v>0</v>
      </c>
      <c r="BD182" s="571" t="str">
        <f>IF('Técnicas de Ki'!W85&lt;&gt;0,'Técnicas de Ki'!V85&amp;" "&amp;'Técnicas de Ki'!W85,"")</f>
        <v/>
      </c>
      <c r="BE182" s="302" t="b">
        <v>0</v>
      </c>
      <c r="BF182" s="302" t="str">
        <f t="shared" si="5"/>
        <v/>
      </c>
      <c r="BG182" s="573" t="str">
        <f>IF(BH182,AI189&amp;": "&amp;CONCATENATE(BF182,BF183,BF184,BF185,BF186,BF187,BF188,BF189,BF190,BF191,BF192,BF193,BF194,BF195,BF196,BF197,BF198,BF199,BF200,BF201,BF202,BF203,BF204,BF205,BF206,BF207,BF208,BF209,BF210,BF211,BF212,BF213,BF214,BF215,BF216,BF217,BF218,BF219),"")&amp;IF(BH182,"  ","")</f>
        <v/>
      </c>
      <c r="BH182" s="302" t="b">
        <f>OR(BE182:BE219,BD219&lt;&gt;"")</f>
        <v>0</v>
      </c>
      <c r="BL182" s="537">
        <f>IF('Técnicas de Ki'!AR77=0,0,IF('Técnicas de Ki'!AY77=TS!BL$119,'Técnicas de Ki'!AS77-(IF($O182&lt;&gt;0,'Técnicas de Ki'!BB77,0)+IF($P182&lt;&gt;0,'Técnicas de Ki'!BC77,0)+IF($Q182&lt;&gt;0,'Técnicas de Ki'!BD77,0)+IF($R182&lt;&gt;0,'Técnicas de Ki'!BE77,0)+IF($S182&lt;&gt;0,'Técnicas de Ki'!BF77,0)+IF($T182&lt;&gt;0,'Técnicas de Ki'!BG77,0)),0))</f>
        <v>0</v>
      </c>
      <c r="BM182" s="538">
        <f>IF('Técnicas de Ki'!AR77=0,0,IF('Técnicas de Ki'!AY77=TS!BM$119,'Técnicas de Ki'!AS77-(IF($O182&lt;&gt;0,'Técnicas de Ki'!BB77,0)+IF($P182&lt;&gt;0,'Técnicas de Ki'!BC77,0)+IF($Q182&lt;&gt;0,'Técnicas de Ki'!BD77,0)+IF($R182&lt;&gt;0,'Técnicas de Ki'!BE77,0)+IF($S182&lt;&gt;0,'Técnicas de Ki'!BF77,0)+IF($T182&lt;&gt;0,'Técnicas de Ki'!BG77,0)),0))</f>
        <v>0</v>
      </c>
      <c r="BN182" s="538">
        <f>IF('Técnicas de Ki'!AR77=0,0,IF('Técnicas de Ki'!AY77=TS!BN$119,'Técnicas de Ki'!AS77-(IF($O182&lt;&gt;0,'Técnicas de Ki'!BB77,0)+IF($P182&lt;&gt;0,'Técnicas de Ki'!BC77,0)+IF($Q182&lt;&gt;0,'Técnicas de Ki'!BD77,0)+IF($R182&lt;&gt;0,'Técnicas de Ki'!BE77,0)+IF($S182&lt;&gt;0,'Técnicas de Ki'!BF77,0)+IF($T182&lt;&gt;0,'Técnicas de Ki'!BG77,0)),0))</f>
        <v>0</v>
      </c>
      <c r="BO182" s="538">
        <f>IF('Técnicas de Ki'!AR77=0,0,IF('Técnicas de Ki'!AY77=TS!BO$119,'Técnicas de Ki'!AS77-(IF($O182&lt;&gt;0,'Técnicas de Ki'!BB77,0)+IF($P182&lt;&gt;0,'Técnicas de Ki'!BC77,0)+IF($Q182&lt;&gt;0,'Técnicas de Ki'!BD77,0)+IF($R182&lt;&gt;0,'Técnicas de Ki'!BE77,0)+IF($S182&lt;&gt;0,'Técnicas de Ki'!BF77,0)+IF($T182&lt;&gt;0,'Técnicas de Ki'!BG77,0)),0))</f>
        <v>0</v>
      </c>
      <c r="BP182" s="538">
        <f>IF('Técnicas de Ki'!AR77=0,0,IF('Técnicas de Ki'!AY77=TS!BP$119,'Técnicas de Ki'!AS77-(IF($O182&lt;&gt;0,'Técnicas de Ki'!BB77,0)+IF($P182&lt;&gt;0,'Técnicas de Ki'!BC77,0)+IF($Q182&lt;&gt;0,'Técnicas de Ki'!BD77,0)+IF($R182&lt;&gt;0,'Técnicas de Ki'!BE77,0)+IF($S182&lt;&gt;0,'Técnicas de Ki'!BF77,0)+IF($T182&lt;&gt;0,'Técnicas de Ki'!BG77,0)),0))</f>
        <v>0</v>
      </c>
      <c r="BQ182" s="539">
        <f>IF('Técnicas de Ki'!AR77=0,0,IF('Técnicas de Ki'!AY77=TS!BQ$119,'Técnicas de Ki'!AS77-(IF($O182&lt;&gt;0,'Técnicas de Ki'!BB77,0)+IF($P182&lt;&gt;0,'Técnicas de Ki'!BC77,0)+IF($Q182&lt;&gt;0,'Técnicas de Ki'!BD77,0)+IF($R182&lt;&gt;0,'Técnicas de Ki'!BE77,0)+IF($S182&lt;&gt;0,'Técnicas de Ki'!BF77,0)+IF($T182&lt;&gt;0,'Técnicas de Ki'!BG77,0)),0))</f>
        <v>0</v>
      </c>
      <c r="BR182" s="538">
        <f>IF('Técnicas de Ki'!AR77=0,0,IFERROR(IF('Técnicas de Ki'!BB77&lt;&gt;0,'Técnicas de Ki'!BB77+TS!$O182,0)*$O182/$O182,0))</f>
        <v>0</v>
      </c>
      <c r="BS182" s="538">
        <f>IF('Técnicas de Ki'!AR77=0,0,IFERROR(IF('Técnicas de Ki'!BC77&lt;&gt;0,'Técnicas de Ki'!BC77+TS!$P182,0)*$P182/$P182,0))</f>
        <v>0</v>
      </c>
      <c r="BT182" s="538">
        <f>IF('Técnicas de Ki'!AR77=0,0,IFERROR(IF('Técnicas de Ki'!BD77&lt;&gt;0,'Técnicas de Ki'!BD77+TS!$Q182,0)*$Q182/$Q182,0))</f>
        <v>0</v>
      </c>
      <c r="BU182" s="538">
        <f>IF('Técnicas de Ki'!AR77=0,0,IFERROR(IF('Técnicas de Ki'!BE77&lt;&gt;0,'Técnicas de Ki'!BE77+TS!$R182,0)*$R182/$R182,0))</f>
        <v>0</v>
      </c>
      <c r="BV182" s="538">
        <f>IF('Técnicas de Ki'!AR77=0,0,IFERROR(IF('Técnicas de Ki'!BF77&lt;&gt;0,'Técnicas de Ki'!BF77+TS!$S182,0)*$S182/$S182,0))</f>
        <v>0</v>
      </c>
      <c r="BW182" s="539">
        <f>IF('Técnicas de Ki'!AR77=0,0,IFERROR(IF('Técnicas de Ki'!BG77&lt;&gt;0,'Técnicas de Ki'!BG77+TS!$T182,0)*$T182/$T182,0))</f>
        <v>0</v>
      </c>
      <c r="BY182" s="571" t="str">
        <f>IF('Técnicas de Ki'!AR85&lt;&gt;0,'Técnicas de Ki'!AQ85&amp;" "&amp;'Técnicas de Ki'!AR85,"")</f>
        <v/>
      </c>
      <c r="BZ182" s="302" t="b">
        <v>0</v>
      </c>
      <c r="CA182" s="302" t="str">
        <f t="shared" si="6"/>
        <v/>
      </c>
      <c r="CB182" s="573" t="str">
        <f>IF(CC182,BD189&amp;": "&amp;CONCATENATE(CA182,CA183,CA184,CA185,CA186,CA187,CA188,CA189,CA190,CA191,CA192,CA193,CA194,CA195,CA196,CA197,CA198,CA199,CA200,CA201,CA202,CA203,CA204,CA205,CA206,CA207,CA208,CA209,CA210,CA211,CA212,CA213,CA214,CA215,CA216,CA217,CA218,CA219),"")&amp;IF(CC182,"  ","")</f>
        <v/>
      </c>
      <c r="CC182" s="302" t="b">
        <f>OR(BZ182:BZ219,BY219&lt;&gt;"")</f>
        <v>0</v>
      </c>
      <c r="CG182" s="537">
        <f>IF('Técnicas de Ki'!BM77=0,0,IF('Técnicas de Ki'!BT77=TS!CG$119,'Técnicas de Ki'!BN77-(IF($O182&lt;&gt;0,'Técnicas de Ki'!BW77,0)+IF($P182&lt;&gt;0,'Técnicas de Ki'!BX77,0)+IF($Q182&lt;&gt;0,'Técnicas de Ki'!BY77,0)+IF($R182&lt;&gt;0,'Técnicas de Ki'!BZ77,0)+IF($S182&lt;&gt;0,'Técnicas de Ki'!CA77,0)+IF($T182&lt;&gt;0,'Técnicas de Ki'!CB77,0)),0))</f>
        <v>0</v>
      </c>
      <c r="CH182" s="538">
        <f>IF('Técnicas de Ki'!BM77=0,0,IF('Técnicas de Ki'!BT77=TS!CH$119,'Técnicas de Ki'!BN77-(IF($O182&lt;&gt;0,'Técnicas de Ki'!BW77,0)+IF($P182&lt;&gt;0,'Técnicas de Ki'!BX77,0)+IF($Q182&lt;&gt;0,'Técnicas de Ki'!BY77,0)+IF($R182&lt;&gt;0,'Técnicas de Ki'!BZ77,0)+IF($S182&lt;&gt;0,'Técnicas de Ki'!CA77,0)+IF($T182&lt;&gt;0,'Técnicas de Ki'!CB77,0)),0))</f>
        <v>0</v>
      </c>
      <c r="CI182" s="538">
        <f>IF('Técnicas de Ki'!BM77=0,0,IF('Técnicas de Ki'!BT77=TS!CI$119,'Técnicas de Ki'!BN77-(IF($O182&lt;&gt;0,'Técnicas de Ki'!BW77,0)+IF($P182&lt;&gt;0,'Técnicas de Ki'!BX77,0)+IF($Q182&lt;&gt;0,'Técnicas de Ki'!BY77,0)+IF($R182&lt;&gt;0,'Técnicas de Ki'!BZ77,0)+IF($S182&lt;&gt;0,'Técnicas de Ki'!CA77,0)+IF($T182&lt;&gt;0,'Técnicas de Ki'!CB77,0)),0))</f>
        <v>0</v>
      </c>
      <c r="CJ182" s="538">
        <f>IF('Técnicas de Ki'!BM77=0,0,IF('Técnicas de Ki'!BT77=TS!CJ$119,'Técnicas de Ki'!BN77-(IF($O182&lt;&gt;0,'Técnicas de Ki'!BW77,0)+IF($P182&lt;&gt;0,'Técnicas de Ki'!BX77,0)+IF($Q182&lt;&gt;0,'Técnicas de Ki'!BY77,0)+IF($R182&lt;&gt;0,'Técnicas de Ki'!BZ77,0)+IF($S182&lt;&gt;0,'Técnicas de Ki'!CA77,0)+IF($T182&lt;&gt;0,'Técnicas de Ki'!CB77,0)),0))</f>
        <v>0</v>
      </c>
      <c r="CK182" s="538">
        <f>IF('Técnicas de Ki'!BM77=0,0,IF('Técnicas de Ki'!BT77=TS!CK$119,'Técnicas de Ki'!BN77-(IF($O182&lt;&gt;0,'Técnicas de Ki'!BW77,0)+IF($P182&lt;&gt;0,'Técnicas de Ki'!BX77,0)+IF($Q182&lt;&gt;0,'Técnicas de Ki'!BY77,0)+IF($R182&lt;&gt;0,'Técnicas de Ki'!BZ77,0)+IF($S182&lt;&gt;0,'Técnicas de Ki'!CA77,0)+IF($T182&lt;&gt;0,'Técnicas de Ki'!CB77,0)),0))</f>
        <v>0</v>
      </c>
      <c r="CL182" s="539">
        <f>IF('Técnicas de Ki'!BM77=0,0,IF('Técnicas de Ki'!BT77=TS!CL$119,'Técnicas de Ki'!BN77-(IF($O182&lt;&gt;0,'Técnicas de Ki'!BW77,0)+IF($P182&lt;&gt;0,'Técnicas de Ki'!BX77,0)+IF($Q182&lt;&gt;0,'Técnicas de Ki'!BY77,0)+IF($R182&lt;&gt;0,'Técnicas de Ki'!BZ77,0)+IF($S182&lt;&gt;0,'Técnicas de Ki'!CA77,0)+IF($T182&lt;&gt;0,'Técnicas de Ki'!CB77,0)),0))</f>
        <v>0</v>
      </c>
      <c r="CM182" s="538">
        <f>IF('Técnicas de Ki'!BM77=0,0,IFERROR(IF('Técnicas de Ki'!BW77&lt;&gt;0,'Técnicas de Ki'!BW77+TS!$O182,0)*$O182/$O182,0))</f>
        <v>0</v>
      </c>
      <c r="CN182" s="538">
        <f>IF('Técnicas de Ki'!BM77=0,0,IFERROR(IF('Técnicas de Ki'!BX77&lt;&gt;0,'Técnicas de Ki'!BX77+TS!$P182,0)*$P182/$P182,0))</f>
        <v>0</v>
      </c>
      <c r="CO182" s="538">
        <f>IF('Técnicas de Ki'!BM77=0,0,IFERROR(IF('Técnicas de Ki'!BY77&lt;&gt;0,'Técnicas de Ki'!BY77+TS!$Q182,0)*$Q182/$Q182,0))</f>
        <v>0</v>
      </c>
      <c r="CP182" s="538">
        <f>IF('Técnicas de Ki'!BM77=0,0,IFERROR(IF('Técnicas de Ki'!BZ77&lt;&gt;0,'Técnicas de Ki'!BZ77+TS!$R182,0)*$R182/$R182,0))</f>
        <v>0</v>
      </c>
      <c r="CQ182" s="538">
        <f>IF('Técnicas de Ki'!BM77=0,0,IFERROR(IF('Técnicas de Ki'!CA77&lt;&gt;0,'Técnicas de Ki'!CA77+TS!$S182,0)*$S182/$S182,0))</f>
        <v>0</v>
      </c>
      <c r="CR182" s="539">
        <f>IF('Técnicas de Ki'!BM77=0,0,IFERROR(IF('Técnicas de Ki'!CB77&lt;&gt;0,'Técnicas de Ki'!CB77+TS!$T182,0)*$T182/$T182,0))</f>
        <v>0</v>
      </c>
      <c r="CT182" s="571" t="str">
        <f>IF('Técnicas de Ki'!BM85&lt;&gt;0,'Técnicas de Ki'!BL85&amp;" "&amp;'Técnicas de Ki'!BM85,"")</f>
        <v/>
      </c>
      <c r="CU182" s="302" t="b">
        <v>0</v>
      </c>
      <c r="CV182" s="302" t="str">
        <f t="shared" si="7"/>
        <v/>
      </c>
      <c r="CW182" s="573" t="str">
        <f>IF(CX182,BY189&amp;": "&amp;CONCATENATE(CV182,CV183,CV184,CV185,CV186,CV187,CV188,CV189,CV190,CV191,CV192,CV193,CV194,CV195,CV196,CV197,CV198,CV199,CV200,CV201,CV202,CV203,CV204,CV205,CV206,CV207,CV208,CV209,CV210,CV211,CV212,CV213,CV214,CV215,CV216,CV217,CV218,CV219),"")&amp;IF(CX182,"  ","")</f>
        <v/>
      </c>
      <c r="CX182" s="302" t="b">
        <f>OR(CU182:CU219,CT219&lt;&gt;"")</f>
        <v>0</v>
      </c>
    </row>
    <row r="183" spans="1:102" x14ac:dyDescent="0.2">
      <c r="A183" s="302" t="s">
        <v>6867</v>
      </c>
      <c r="B183" s="301" t="s">
        <v>6778</v>
      </c>
      <c r="C183" s="301" t="str">
        <f t="shared" si="15"/>
        <v>Ataque adicional limitado+2</v>
      </c>
      <c r="D183" s="302">
        <v>6</v>
      </c>
      <c r="E183" s="302">
        <v>9</v>
      </c>
      <c r="F183" s="302">
        <v>10</v>
      </c>
      <c r="G183" s="302">
        <v>2</v>
      </c>
      <c r="H183" s="302">
        <v>4</v>
      </c>
      <c r="I183" s="302">
        <v>7</v>
      </c>
      <c r="J183" s="302">
        <v>1</v>
      </c>
      <c r="N183" t="s">
        <v>6951</v>
      </c>
      <c r="O183" s="302">
        <v>2</v>
      </c>
      <c r="Q183" s="302">
        <v>3</v>
      </c>
      <c r="S183" s="528">
        <v>1</v>
      </c>
      <c r="T183" s="528">
        <v>1</v>
      </c>
      <c r="V183" s="537">
        <f>IF('Técnicas de Ki'!B78=0,0,IF('Técnicas de Ki'!I78=TS!V$119,'Técnicas de Ki'!C78-(IF($O183&lt;&gt;0,'Técnicas de Ki'!L78,0)+IF($P183&lt;&gt;0,'Técnicas de Ki'!M78,0)+IF($Q183&lt;&gt;0,'Técnicas de Ki'!N78,0)+IF($R183&lt;&gt;0,'Técnicas de Ki'!O78,0)+IF($S183&lt;&gt;0,'Técnicas de Ki'!P78,0)+IF($T183&lt;&gt;0,'Técnicas de Ki'!Q78,0)),0))</f>
        <v>0</v>
      </c>
      <c r="W183" s="538">
        <f>IF('Técnicas de Ki'!B78=0,0,IF('Técnicas de Ki'!I78=TS!W$119,'Técnicas de Ki'!C78-(IF($O183&lt;&gt;0,'Técnicas de Ki'!L78,0)+IF($P183&lt;&gt;0,'Técnicas de Ki'!M78,0)+IF($Q183&lt;&gt;0,'Técnicas de Ki'!N78,0)+IF($R183&lt;&gt;0,'Técnicas de Ki'!O78,0)+IF($S183&lt;&gt;0,'Técnicas de Ki'!P78,0)+IF($T183&lt;&gt;0,'Técnicas de Ki'!Q78,0)),0))</f>
        <v>0</v>
      </c>
      <c r="X183" s="538">
        <f>IF('Técnicas de Ki'!B78=0,0,IF('Técnicas de Ki'!I78=TS!X$119,'Técnicas de Ki'!C78-(IF($O183&lt;&gt;0,'Técnicas de Ki'!L78,0)+IF($P183&lt;&gt;0,'Técnicas de Ki'!M78,0)+IF($Q183&lt;&gt;0,'Técnicas de Ki'!N78,0)+IF($R183&lt;&gt;0,'Técnicas de Ki'!O78,0)+IF($S183&lt;&gt;0,'Técnicas de Ki'!P78,0)+IF($T183&lt;&gt;0,'Técnicas de Ki'!Q78,0)),0))</f>
        <v>0</v>
      </c>
      <c r="Y183" s="538">
        <f>IF('Técnicas de Ki'!B78=0,0,IF('Técnicas de Ki'!I78=TS!Y$119,'Técnicas de Ki'!C78-(IF($O183&lt;&gt;0,'Técnicas de Ki'!L78,0)+IF($P183&lt;&gt;0,'Técnicas de Ki'!M78,0)+IF($Q183&lt;&gt;0,'Técnicas de Ki'!N78,0)+IF($R183&lt;&gt;0,'Técnicas de Ki'!O78,0)+IF($S183&lt;&gt;0,'Técnicas de Ki'!P78,0)+IF($T183&lt;&gt;0,'Técnicas de Ki'!Q78,0)),0))</f>
        <v>0</v>
      </c>
      <c r="Z183" s="538">
        <f>IF('Técnicas de Ki'!B78=0,0,IF('Técnicas de Ki'!I78=TS!Z$119,'Técnicas de Ki'!C78-(IF($O183&lt;&gt;0,'Técnicas de Ki'!L78,0)+IF($P183&lt;&gt;0,'Técnicas de Ki'!M78,0)+IF($Q183&lt;&gt;0,'Técnicas de Ki'!N78,0)+IF($R183&lt;&gt;0,'Técnicas de Ki'!O78,0)+IF($S183&lt;&gt;0,'Técnicas de Ki'!P78,0)+IF($T183&lt;&gt;0,'Técnicas de Ki'!Q78,0)),0))</f>
        <v>0</v>
      </c>
      <c r="AA183" s="539">
        <f>IF('Técnicas de Ki'!B78=0,0,IF('Técnicas de Ki'!I78=TS!AA$119,'Técnicas de Ki'!C78-(IF($O183&lt;&gt;0,'Técnicas de Ki'!L78,0)+IF($P183&lt;&gt;0,'Técnicas de Ki'!M78,0)+IF($Q183&lt;&gt;0,'Técnicas de Ki'!N78,0)+IF($R183&lt;&gt;0,'Técnicas de Ki'!O78,0)+IF($S183&lt;&gt;0,'Técnicas de Ki'!P78,0)+IF($T183&lt;&gt;0,'Técnicas de Ki'!Q78,0)),0))</f>
        <v>0</v>
      </c>
      <c r="AB183" s="538">
        <f>IF('Técnicas de Ki'!B78=0,0,IFERROR(IF('Técnicas de Ki'!L78&lt;&gt;0,'Técnicas de Ki'!L78+TS!$O183,0)*$O183/$O183,0))</f>
        <v>0</v>
      </c>
      <c r="AC183" s="538">
        <f>IF('Técnicas de Ki'!B78=0,0,IFERROR(IF('Técnicas de Ki'!M78&lt;&gt;0,'Técnicas de Ki'!M78+TS!$P183,0)*$P183/$P183,0))</f>
        <v>0</v>
      </c>
      <c r="AD183" s="538">
        <f>IF('Técnicas de Ki'!B78=0,0,IFERROR(IF('Técnicas de Ki'!N78&lt;&gt;0,'Técnicas de Ki'!N78+TS!$Q183,0)*$Q183/$Q183,0))</f>
        <v>0</v>
      </c>
      <c r="AE183" s="538">
        <f>IF('Técnicas de Ki'!B78=0,0,IFERROR(IF('Técnicas de Ki'!O78&lt;&gt;0,'Técnicas de Ki'!O78+TS!$R183,0)*$R183/$R183,0))</f>
        <v>0</v>
      </c>
      <c r="AF183" s="538">
        <f>IF('Técnicas de Ki'!B78=0,0,IFERROR(IF('Técnicas de Ki'!P78&lt;&gt;0,'Técnicas de Ki'!P78+TS!$S183,0)*$S183/$S183,0))</f>
        <v>0</v>
      </c>
      <c r="AG183" s="539">
        <f>IF('Técnicas de Ki'!B78=0,0,IFERROR(IF('Técnicas de Ki'!Q78&lt;&gt;0,'Técnicas de Ki'!Q78+TS!$T183,0)*$T183/$T183,0))</f>
        <v>0</v>
      </c>
      <c r="AI183" s="571" t="str">
        <f>IF('Técnicas de Ki'!B86&lt;&gt;0,'Técnicas de Ki'!A86&amp;" "&amp;'Técnicas de Ki'!B86,"")</f>
        <v/>
      </c>
      <c r="AJ183" s="302" t="b">
        <f>OR(AJ182,AI182&lt;&gt;"")</f>
        <v>0</v>
      </c>
      <c r="AK183" s="302" t="str">
        <f t="shared" si="4"/>
        <v/>
      </c>
      <c r="AQ183" s="537">
        <f>IF('Técnicas de Ki'!W78=0,0,IF('Técnicas de Ki'!AD78=TS!AQ$119,'Técnicas de Ki'!X78-(IF($O183&lt;&gt;0,'Técnicas de Ki'!AG78,0)+IF($P183&lt;&gt;0,'Técnicas de Ki'!AH78,0)+IF($Q183&lt;&gt;0,'Técnicas de Ki'!AI78,0)+IF($R183&lt;&gt;0,'Técnicas de Ki'!AJ78,0)+IF($S183&lt;&gt;0,'Técnicas de Ki'!AK78,0)+IF($T183&lt;&gt;0,'Técnicas de Ki'!AL78,0)),0))</f>
        <v>0</v>
      </c>
      <c r="AR183" s="538">
        <f>IF('Técnicas de Ki'!W78=0,0,IF('Técnicas de Ki'!AD78=TS!AR$119,'Técnicas de Ki'!X78-(IF($O183&lt;&gt;0,'Técnicas de Ki'!AG78,0)+IF($P183&lt;&gt;0,'Técnicas de Ki'!AH78,0)+IF($Q183&lt;&gt;0,'Técnicas de Ki'!AI78,0)+IF($R183&lt;&gt;0,'Técnicas de Ki'!AJ78,0)+IF($S183&lt;&gt;0,'Técnicas de Ki'!AK78,0)+IF($T183&lt;&gt;0,'Técnicas de Ki'!AL78,0)),0))</f>
        <v>0</v>
      </c>
      <c r="AS183" s="538">
        <f>IF('Técnicas de Ki'!W78=0,0,IF('Técnicas de Ki'!AD78=TS!AS$119,'Técnicas de Ki'!X78-(IF($O183&lt;&gt;0,'Técnicas de Ki'!AG78,0)+IF($P183&lt;&gt;0,'Técnicas de Ki'!AH78,0)+IF($Q183&lt;&gt;0,'Técnicas de Ki'!AI78,0)+IF($R183&lt;&gt;0,'Técnicas de Ki'!AJ78,0)+IF($S183&lt;&gt;0,'Técnicas de Ki'!AK78,0)+IF($T183&lt;&gt;0,'Técnicas de Ki'!AL78,0)),0))</f>
        <v>0</v>
      </c>
      <c r="AT183" s="538">
        <f>IF('Técnicas de Ki'!W78=0,0,IF('Técnicas de Ki'!AD78=TS!AT$119,'Técnicas de Ki'!X78-(IF($O183&lt;&gt;0,'Técnicas de Ki'!AG78,0)+IF($P183&lt;&gt;0,'Técnicas de Ki'!AH78,0)+IF($Q183&lt;&gt;0,'Técnicas de Ki'!AI78,0)+IF($R183&lt;&gt;0,'Técnicas de Ki'!AJ78,0)+IF($S183&lt;&gt;0,'Técnicas de Ki'!AK78,0)+IF($T183&lt;&gt;0,'Técnicas de Ki'!AL78,0)),0))</f>
        <v>0</v>
      </c>
      <c r="AU183" s="538">
        <f>IF('Técnicas de Ki'!W78=0,0,IF('Técnicas de Ki'!AD78=TS!AU$119,'Técnicas de Ki'!X78-(IF($O183&lt;&gt;0,'Técnicas de Ki'!AG78,0)+IF($P183&lt;&gt;0,'Técnicas de Ki'!AH78,0)+IF($Q183&lt;&gt;0,'Técnicas de Ki'!AI78,0)+IF($R183&lt;&gt;0,'Técnicas de Ki'!AJ78,0)+IF($S183&lt;&gt;0,'Técnicas de Ki'!AK78,0)+IF($T183&lt;&gt;0,'Técnicas de Ki'!AL78,0)),0))</f>
        <v>0</v>
      </c>
      <c r="AV183" s="539">
        <f>IF('Técnicas de Ki'!W78=0,0,IF('Técnicas de Ki'!AD78=TS!AV$119,'Técnicas de Ki'!X78-(IF($O183&lt;&gt;0,'Técnicas de Ki'!AG78,0)+IF($P183&lt;&gt;0,'Técnicas de Ki'!AH78,0)+IF($Q183&lt;&gt;0,'Técnicas de Ki'!AI78,0)+IF($R183&lt;&gt;0,'Técnicas de Ki'!AJ78,0)+IF($S183&lt;&gt;0,'Técnicas de Ki'!AK78,0)+IF($T183&lt;&gt;0,'Técnicas de Ki'!AL78,0)),0))</f>
        <v>0</v>
      </c>
      <c r="AW183" s="538">
        <f>IF('Técnicas de Ki'!W78=0,0,IFERROR(IF('Técnicas de Ki'!AG78&lt;&gt;0,'Técnicas de Ki'!AG78+TS!$O183,0)*$O183/$O183,0))</f>
        <v>0</v>
      </c>
      <c r="AX183" s="538">
        <f>IF('Técnicas de Ki'!W78=0,0,IFERROR(IF('Técnicas de Ki'!AH78&lt;&gt;0,'Técnicas de Ki'!AH78+TS!$P183,0)*$P183/$P183,0))</f>
        <v>0</v>
      </c>
      <c r="AY183" s="538">
        <f>IF('Técnicas de Ki'!W78=0,0,IFERROR(IF('Técnicas de Ki'!AI78&lt;&gt;0,'Técnicas de Ki'!AI78+TS!$Q183,0)*$Q183/$Q183,0))</f>
        <v>0</v>
      </c>
      <c r="AZ183" s="538">
        <f>IF('Técnicas de Ki'!W78=0,0,IFERROR(IF('Técnicas de Ki'!AJ78&lt;&gt;0,'Técnicas de Ki'!AJ78+TS!$R183,0)*$R183/$R183,0))</f>
        <v>0</v>
      </c>
      <c r="BA183" s="538">
        <f>IF('Técnicas de Ki'!W78=0,0,IFERROR(IF('Técnicas de Ki'!AK78&lt;&gt;0,'Técnicas de Ki'!AK78+TS!$S183,0)*$S183/$S183,0))</f>
        <v>0</v>
      </c>
      <c r="BB183" s="539">
        <f>IF('Técnicas de Ki'!W78=0,0,IFERROR(IF('Técnicas de Ki'!AL78&lt;&gt;0,'Técnicas de Ki'!AL78+TS!$T183,0)*$T183/$T183,0))</f>
        <v>0</v>
      </c>
      <c r="BD183" s="571" t="str">
        <f>IF('Técnicas de Ki'!W86&lt;&gt;0,'Técnicas de Ki'!V86&amp;" "&amp;'Técnicas de Ki'!W86,"")</f>
        <v/>
      </c>
      <c r="BE183" s="302" t="b">
        <f>OR(BE182,BD182&lt;&gt;"")</f>
        <v>0</v>
      </c>
      <c r="BF183" s="302" t="str">
        <f t="shared" si="5"/>
        <v/>
      </c>
      <c r="BL183" s="537">
        <f>IF('Técnicas de Ki'!AR78=0,0,IF('Técnicas de Ki'!AY78=TS!BL$119,'Técnicas de Ki'!AS78-(IF($O183&lt;&gt;0,'Técnicas de Ki'!BB78,0)+IF($P183&lt;&gt;0,'Técnicas de Ki'!BC78,0)+IF($Q183&lt;&gt;0,'Técnicas de Ki'!BD78,0)+IF($R183&lt;&gt;0,'Técnicas de Ki'!BE78,0)+IF($S183&lt;&gt;0,'Técnicas de Ki'!BF78,0)+IF($T183&lt;&gt;0,'Técnicas de Ki'!BG78,0)),0))</f>
        <v>0</v>
      </c>
      <c r="BM183" s="538">
        <f>IF('Técnicas de Ki'!AR78=0,0,IF('Técnicas de Ki'!AY78=TS!BM$119,'Técnicas de Ki'!AS78-(IF($O183&lt;&gt;0,'Técnicas de Ki'!BB78,0)+IF($P183&lt;&gt;0,'Técnicas de Ki'!BC78,0)+IF($Q183&lt;&gt;0,'Técnicas de Ki'!BD78,0)+IF($R183&lt;&gt;0,'Técnicas de Ki'!BE78,0)+IF($S183&lt;&gt;0,'Técnicas de Ki'!BF78,0)+IF($T183&lt;&gt;0,'Técnicas de Ki'!BG78,0)),0))</f>
        <v>0</v>
      </c>
      <c r="BN183" s="538">
        <f>IF('Técnicas de Ki'!AR78=0,0,IF('Técnicas de Ki'!AY78=TS!BN$119,'Técnicas de Ki'!AS78-(IF($O183&lt;&gt;0,'Técnicas de Ki'!BB78,0)+IF($P183&lt;&gt;0,'Técnicas de Ki'!BC78,0)+IF($Q183&lt;&gt;0,'Técnicas de Ki'!BD78,0)+IF($R183&lt;&gt;0,'Técnicas de Ki'!BE78,0)+IF($S183&lt;&gt;0,'Técnicas de Ki'!BF78,0)+IF($T183&lt;&gt;0,'Técnicas de Ki'!BG78,0)),0))</f>
        <v>0</v>
      </c>
      <c r="BO183" s="538">
        <f>IF('Técnicas de Ki'!AR78=0,0,IF('Técnicas de Ki'!AY78=TS!BO$119,'Técnicas de Ki'!AS78-(IF($O183&lt;&gt;0,'Técnicas de Ki'!BB78,0)+IF($P183&lt;&gt;0,'Técnicas de Ki'!BC78,0)+IF($Q183&lt;&gt;0,'Técnicas de Ki'!BD78,0)+IF($R183&lt;&gt;0,'Técnicas de Ki'!BE78,0)+IF($S183&lt;&gt;0,'Técnicas de Ki'!BF78,0)+IF($T183&lt;&gt;0,'Técnicas de Ki'!BG78,0)),0))</f>
        <v>0</v>
      </c>
      <c r="BP183" s="538">
        <f>IF('Técnicas de Ki'!AR78=0,0,IF('Técnicas de Ki'!AY78=TS!BP$119,'Técnicas de Ki'!AS78-(IF($O183&lt;&gt;0,'Técnicas de Ki'!BB78,0)+IF($P183&lt;&gt;0,'Técnicas de Ki'!BC78,0)+IF($Q183&lt;&gt;0,'Técnicas de Ki'!BD78,0)+IF($R183&lt;&gt;0,'Técnicas de Ki'!BE78,0)+IF($S183&lt;&gt;0,'Técnicas de Ki'!BF78,0)+IF($T183&lt;&gt;0,'Técnicas de Ki'!BG78,0)),0))</f>
        <v>0</v>
      </c>
      <c r="BQ183" s="539">
        <f>IF('Técnicas de Ki'!AR78=0,0,IF('Técnicas de Ki'!AY78=TS!BQ$119,'Técnicas de Ki'!AS78-(IF($O183&lt;&gt;0,'Técnicas de Ki'!BB78,0)+IF($P183&lt;&gt;0,'Técnicas de Ki'!BC78,0)+IF($Q183&lt;&gt;0,'Técnicas de Ki'!BD78,0)+IF($R183&lt;&gt;0,'Técnicas de Ki'!BE78,0)+IF($S183&lt;&gt;0,'Técnicas de Ki'!BF78,0)+IF($T183&lt;&gt;0,'Técnicas de Ki'!BG78,0)),0))</f>
        <v>0</v>
      </c>
      <c r="BR183" s="538">
        <f>IF('Técnicas de Ki'!AR78=0,0,IFERROR(IF('Técnicas de Ki'!BB78&lt;&gt;0,'Técnicas de Ki'!BB78+TS!$O183,0)*$O183/$O183,0))</f>
        <v>0</v>
      </c>
      <c r="BS183" s="538">
        <f>IF('Técnicas de Ki'!AR78=0,0,IFERROR(IF('Técnicas de Ki'!BC78&lt;&gt;0,'Técnicas de Ki'!BC78+TS!$P183,0)*$P183/$P183,0))</f>
        <v>0</v>
      </c>
      <c r="BT183" s="538">
        <f>IF('Técnicas de Ki'!AR78=0,0,IFERROR(IF('Técnicas de Ki'!BD78&lt;&gt;0,'Técnicas de Ki'!BD78+TS!$Q183,0)*$Q183/$Q183,0))</f>
        <v>0</v>
      </c>
      <c r="BU183" s="538">
        <f>IF('Técnicas de Ki'!AR78=0,0,IFERROR(IF('Técnicas de Ki'!BE78&lt;&gt;0,'Técnicas de Ki'!BE78+TS!$R183,0)*$R183/$R183,0))</f>
        <v>0</v>
      </c>
      <c r="BV183" s="538">
        <f>IF('Técnicas de Ki'!AR78=0,0,IFERROR(IF('Técnicas de Ki'!BF78&lt;&gt;0,'Técnicas de Ki'!BF78+TS!$S183,0)*$S183/$S183,0))</f>
        <v>0</v>
      </c>
      <c r="BW183" s="539">
        <f>IF('Técnicas de Ki'!AR78=0,0,IFERROR(IF('Técnicas de Ki'!BG78&lt;&gt;0,'Técnicas de Ki'!BG78+TS!$T183,0)*$T183/$T183,0))</f>
        <v>0</v>
      </c>
      <c r="BY183" s="571" t="str">
        <f>IF('Técnicas de Ki'!AR86&lt;&gt;0,'Técnicas de Ki'!AQ86&amp;" "&amp;'Técnicas de Ki'!AR86,"")</f>
        <v/>
      </c>
      <c r="BZ183" s="302" t="b">
        <f>OR(BZ182,BY182&lt;&gt;"")</f>
        <v>0</v>
      </c>
      <c r="CA183" s="302" t="str">
        <f t="shared" si="6"/>
        <v/>
      </c>
      <c r="CG183" s="537">
        <f>IF('Técnicas de Ki'!BM78=0,0,IF('Técnicas de Ki'!BT78=TS!CG$119,'Técnicas de Ki'!BN78-(IF($O183&lt;&gt;0,'Técnicas de Ki'!BW78,0)+IF($P183&lt;&gt;0,'Técnicas de Ki'!BX78,0)+IF($Q183&lt;&gt;0,'Técnicas de Ki'!BY78,0)+IF($R183&lt;&gt;0,'Técnicas de Ki'!BZ78,0)+IF($S183&lt;&gt;0,'Técnicas de Ki'!CA78,0)+IF($T183&lt;&gt;0,'Técnicas de Ki'!CB78,0)),0))</f>
        <v>0</v>
      </c>
      <c r="CH183" s="538">
        <f>IF('Técnicas de Ki'!BM78=0,0,IF('Técnicas de Ki'!BT78=TS!CH$119,'Técnicas de Ki'!BN78-(IF($O183&lt;&gt;0,'Técnicas de Ki'!BW78,0)+IF($P183&lt;&gt;0,'Técnicas de Ki'!BX78,0)+IF($Q183&lt;&gt;0,'Técnicas de Ki'!BY78,0)+IF($R183&lt;&gt;0,'Técnicas de Ki'!BZ78,0)+IF($S183&lt;&gt;0,'Técnicas de Ki'!CA78,0)+IF($T183&lt;&gt;0,'Técnicas de Ki'!CB78,0)),0))</f>
        <v>0</v>
      </c>
      <c r="CI183" s="538">
        <f>IF('Técnicas de Ki'!BM78=0,0,IF('Técnicas de Ki'!BT78=TS!CI$119,'Técnicas de Ki'!BN78-(IF($O183&lt;&gt;0,'Técnicas de Ki'!BW78,0)+IF($P183&lt;&gt;0,'Técnicas de Ki'!BX78,0)+IF($Q183&lt;&gt;0,'Técnicas de Ki'!BY78,0)+IF($R183&lt;&gt;0,'Técnicas de Ki'!BZ78,0)+IF($S183&lt;&gt;0,'Técnicas de Ki'!CA78,0)+IF($T183&lt;&gt;0,'Técnicas de Ki'!CB78,0)),0))</f>
        <v>0</v>
      </c>
      <c r="CJ183" s="538">
        <f>IF('Técnicas de Ki'!BM78=0,0,IF('Técnicas de Ki'!BT78=TS!CJ$119,'Técnicas de Ki'!BN78-(IF($O183&lt;&gt;0,'Técnicas de Ki'!BW78,0)+IF($P183&lt;&gt;0,'Técnicas de Ki'!BX78,0)+IF($Q183&lt;&gt;0,'Técnicas de Ki'!BY78,0)+IF($R183&lt;&gt;0,'Técnicas de Ki'!BZ78,0)+IF($S183&lt;&gt;0,'Técnicas de Ki'!CA78,0)+IF($T183&lt;&gt;0,'Técnicas de Ki'!CB78,0)),0))</f>
        <v>0</v>
      </c>
      <c r="CK183" s="538">
        <f>IF('Técnicas de Ki'!BM78=0,0,IF('Técnicas de Ki'!BT78=TS!CK$119,'Técnicas de Ki'!BN78-(IF($O183&lt;&gt;0,'Técnicas de Ki'!BW78,0)+IF($P183&lt;&gt;0,'Técnicas de Ki'!BX78,0)+IF($Q183&lt;&gt;0,'Técnicas de Ki'!BY78,0)+IF($R183&lt;&gt;0,'Técnicas de Ki'!BZ78,0)+IF($S183&lt;&gt;0,'Técnicas de Ki'!CA78,0)+IF($T183&lt;&gt;0,'Técnicas de Ki'!CB78,0)),0))</f>
        <v>0</v>
      </c>
      <c r="CL183" s="539">
        <f>IF('Técnicas de Ki'!BM78=0,0,IF('Técnicas de Ki'!BT78=TS!CL$119,'Técnicas de Ki'!BN78-(IF($O183&lt;&gt;0,'Técnicas de Ki'!BW78,0)+IF($P183&lt;&gt;0,'Técnicas de Ki'!BX78,0)+IF($Q183&lt;&gt;0,'Técnicas de Ki'!BY78,0)+IF($R183&lt;&gt;0,'Técnicas de Ki'!BZ78,0)+IF($S183&lt;&gt;0,'Técnicas de Ki'!CA78,0)+IF($T183&lt;&gt;0,'Técnicas de Ki'!CB78,0)),0))</f>
        <v>0</v>
      </c>
      <c r="CM183" s="538">
        <f>IF('Técnicas de Ki'!BM78=0,0,IFERROR(IF('Técnicas de Ki'!BW78&lt;&gt;0,'Técnicas de Ki'!BW78+TS!$O183,0)*$O183/$O183,0))</f>
        <v>0</v>
      </c>
      <c r="CN183" s="538">
        <f>IF('Técnicas de Ki'!BM78=0,0,IFERROR(IF('Técnicas de Ki'!BX78&lt;&gt;0,'Técnicas de Ki'!BX78+TS!$P183,0)*$P183/$P183,0))</f>
        <v>0</v>
      </c>
      <c r="CO183" s="538">
        <f>IF('Técnicas de Ki'!BM78=0,0,IFERROR(IF('Técnicas de Ki'!BY78&lt;&gt;0,'Técnicas de Ki'!BY78+TS!$Q183,0)*$Q183/$Q183,0))</f>
        <v>0</v>
      </c>
      <c r="CP183" s="538">
        <f>IF('Técnicas de Ki'!BM78=0,0,IFERROR(IF('Técnicas de Ki'!BZ78&lt;&gt;0,'Técnicas de Ki'!BZ78+TS!$R183,0)*$R183/$R183,0))</f>
        <v>0</v>
      </c>
      <c r="CQ183" s="538">
        <f>IF('Técnicas de Ki'!BM78=0,0,IFERROR(IF('Técnicas de Ki'!CA78&lt;&gt;0,'Técnicas de Ki'!CA78+TS!$S183,0)*$S183/$S183,0))</f>
        <v>0</v>
      </c>
      <c r="CR183" s="539">
        <f>IF('Técnicas de Ki'!BM78=0,0,IFERROR(IF('Técnicas de Ki'!CB78&lt;&gt;0,'Técnicas de Ki'!CB78+TS!$T183,0)*$T183/$T183,0))</f>
        <v>0</v>
      </c>
      <c r="CT183" s="571" t="str">
        <f>IF('Técnicas de Ki'!BM86&lt;&gt;0,'Técnicas de Ki'!BL86&amp;" "&amp;'Técnicas de Ki'!BM86,"")</f>
        <v/>
      </c>
      <c r="CU183" s="302" t="b">
        <f>OR(CU182,CT182&lt;&gt;"")</f>
        <v>0</v>
      </c>
      <c r="CV183" s="302" t="str">
        <f t="shared" si="7"/>
        <v/>
      </c>
    </row>
    <row r="184" spans="1:102" x14ac:dyDescent="0.2">
      <c r="A184" s="302" t="s">
        <v>6867</v>
      </c>
      <c r="B184" s="301" t="s">
        <v>6802</v>
      </c>
      <c r="C184" s="301" t="str">
        <f t="shared" si="15"/>
        <v>Ataque adicional limitado+3</v>
      </c>
      <c r="D184" s="302">
        <v>9</v>
      </c>
      <c r="E184" s="302">
        <v>12</v>
      </c>
      <c r="F184" s="302">
        <v>15</v>
      </c>
      <c r="G184" s="302">
        <v>3</v>
      </c>
      <c r="H184" s="302">
        <v>6</v>
      </c>
      <c r="I184" s="302">
        <v>11</v>
      </c>
      <c r="J184" s="302">
        <v>1</v>
      </c>
      <c r="N184" t="s">
        <v>6952</v>
      </c>
      <c r="O184" s="302">
        <v>2</v>
      </c>
      <c r="Q184" s="302">
        <v>3</v>
      </c>
      <c r="S184" s="528">
        <v>1</v>
      </c>
      <c r="T184" s="528">
        <v>1</v>
      </c>
      <c r="V184" s="537">
        <f>IF('Técnicas de Ki'!B79=0,0,IF('Técnicas de Ki'!I79=TS!V$119,'Técnicas de Ki'!C79-(IF($O184&lt;&gt;0,'Técnicas de Ki'!L79,0)+IF($P184&lt;&gt;0,'Técnicas de Ki'!M79,0)+IF($Q184&lt;&gt;0,'Técnicas de Ki'!N79,0)+IF($R184&lt;&gt;0,'Técnicas de Ki'!O79,0)+IF($S184&lt;&gt;0,'Técnicas de Ki'!P79,0)+IF($T184&lt;&gt;0,'Técnicas de Ki'!Q79,0)),0))</f>
        <v>0</v>
      </c>
      <c r="W184" s="538">
        <f>IF('Técnicas de Ki'!B79=0,0,IF('Técnicas de Ki'!I79=TS!W$119,'Técnicas de Ki'!C79-(IF($O184&lt;&gt;0,'Técnicas de Ki'!L79,0)+IF($P184&lt;&gt;0,'Técnicas de Ki'!M79,0)+IF($Q184&lt;&gt;0,'Técnicas de Ki'!N79,0)+IF($R184&lt;&gt;0,'Técnicas de Ki'!O79,0)+IF($S184&lt;&gt;0,'Técnicas de Ki'!P79,0)+IF($T184&lt;&gt;0,'Técnicas de Ki'!Q79,0)),0))</f>
        <v>0</v>
      </c>
      <c r="X184" s="538">
        <f>IF('Técnicas de Ki'!B79=0,0,IF('Técnicas de Ki'!I79=TS!X$119,'Técnicas de Ki'!C79-(IF($O184&lt;&gt;0,'Técnicas de Ki'!L79,0)+IF($P184&lt;&gt;0,'Técnicas de Ki'!M79,0)+IF($Q184&lt;&gt;0,'Técnicas de Ki'!N79,0)+IF($R184&lt;&gt;0,'Técnicas de Ki'!O79,0)+IF($S184&lt;&gt;0,'Técnicas de Ki'!P79,0)+IF($T184&lt;&gt;0,'Técnicas de Ki'!Q79,0)),0))</f>
        <v>0</v>
      </c>
      <c r="Y184" s="538">
        <f>IF('Técnicas de Ki'!B79=0,0,IF('Técnicas de Ki'!I79=TS!Y$119,'Técnicas de Ki'!C79-(IF($O184&lt;&gt;0,'Técnicas de Ki'!L79,0)+IF($P184&lt;&gt;0,'Técnicas de Ki'!M79,0)+IF($Q184&lt;&gt;0,'Técnicas de Ki'!N79,0)+IF($R184&lt;&gt;0,'Técnicas de Ki'!O79,0)+IF($S184&lt;&gt;0,'Técnicas de Ki'!P79,0)+IF($T184&lt;&gt;0,'Técnicas de Ki'!Q79,0)),0))</f>
        <v>0</v>
      </c>
      <c r="Z184" s="538">
        <f>IF('Técnicas de Ki'!B79=0,0,IF('Técnicas de Ki'!I79=TS!Z$119,'Técnicas de Ki'!C79-(IF($O184&lt;&gt;0,'Técnicas de Ki'!L79,0)+IF($P184&lt;&gt;0,'Técnicas de Ki'!M79,0)+IF($Q184&lt;&gt;0,'Técnicas de Ki'!N79,0)+IF($R184&lt;&gt;0,'Técnicas de Ki'!O79,0)+IF($S184&lt;&gt;0,'Técnicas de Ki'!P79,0)+IF($T184&lt;&gt;0,'Técnicas de Ki'!Q79,0)),0))</f>
        <v>0</v>
      </c>
      <c r="AA184" s="539">
        <f>IF('Técnicas de Ki'!B79=0,0,IF('Técnicas de Ki'!I79=TS!AA$119,'Técnicas de Ki'!C79-(IF($O184&lt;&gt;0,'Técnicas de Ki'!L79,0)+IF($P184&lt;&gt;0,'Técnicas de Ki'!M79,0)+IF($Q184&lt;&gt;0,'Técnicas de Ki'!N79,0)+IF($R184&lt;&gt;0,'Técnicas de Ki'!O79,0)+IF($S184&lt;&gt;0,'Técnicas de Ki'!P79,0)+IF($T184&lt;&gt;0,'Técnicas de Ki'!Q79,0)),0))</f>
        <v>0</v>
      </c>
      <c r="AB184" s="538">
        <f>IF('Técnicas de Ki'!B79=0,0,IFERROR(IF('Técnicas de Ki'!L79&lt;&gt;0,'Técnicas de Ki'!L79+TS!$O184,0)*$O184/$O184,0))</f>
        <v>0</v>
      </c>
      <c r="AC184" s="538">
        <f>IF('Técnicas de Ki'!B79=0,0,IFERROR(IF('Técnicas de Ki'!M79&lt;&gt;0,'Técnicas de Ki'!M79+TS!$P184,0)*$P184/$P184,0))</f>
        <v>0</v>
      </c>
      <c r="AD184" s="538">
        <f>IF('Técnicas de Ki'!B79=0,0,IFERROR(IF('Técnicas de Ki'!N79&lt;&gt;0,'Técnicas de Ki'!N79+TS!$Q184,0)*$Q184/$Q184,0))</f>
        <v>0</v>
      </c>
      <c r="AE184" s="538">
        <f>IF('Técnicas de Ki'!B79=0,0,IFERROR(IF('Técnicas de Ki'!O79&lt;&gt;0,'Técnicas de Ki'!O79+TS!$R184,0)*$R184/$R184,0))</f>
        <v>0</v>
      </c>
      <c r="AF184" s="538">
        <f>IF('Técnicas de Ki'!B79=0,0,IFERROR(IF('Técnicas de Ki'!P79&lt;&gt;0,'Técnicas de Ki'!P79+TS!$S184,0)*$S184/$S184,0))</f>
        <v>0</v>
      </c>
      <c r="AG184" s="539">
        <f>IF('Técnicas de Ki'!B79=0,0,IFERROR(IF('Técnicas de Ki'!Q79&lt;&gt;0,'Técnicas de Ki'!Q79+TS!$T184,0)*$T184/$T184,0))</f>
        <v>0</v>
      </c>
      <c r="AI184" s="571" t="str">
        <f>IF('Técnicas de Ki'!B87&lt;&gt;0,'Técnicas de Ki'!A87&amp;" "&amp;'Técnicas de Ki'!B87,"")</f>
        <v/>
      </c>
      <c r="AJ184" s="302" t="b">
        <f t="shared" si="8"/>
        <v>0</v>
      </c>
      <c r="AK184" s="302" t="str">
        <f t="shared" si="4"/>
        <v/>
      </c>
      <c r="AQ184" s="537">
        <f>IF('Técnicas de Ki'!W79=0,0,IF('Técnicas de Ki'!AD79=TS!AQ$119,'Técnicas de Ki'!X79-(IF($O184&lt;&gt;0,'Técnicas de Ki'!AG79,0)+IF($P184&lt;&gt;0,'Técnicas de Ki'!AH79,0)+IF($Q184&lt;&gt;0,'Técnicas de Ki'!AI79,0)+IF($R184&lt;&gt;0,'Técnicas de Ki'!AJ79,0)+IF($S184&lt;&gt;0,'Técnicas de Ki'!AK79,0)+IF($T184&lt;&gt;0,'Técnicas de Ki'!AL79,0)),0))</f>
        <v>0</v>
      </c>
      <c r="AR184" s="538">
        <f>IF('Técnicas de Ki'!W79=0,0,IF('Técnicas de Ki'!AD79=TS!AR$119,'Técnicas de Ki'!X79-(IF($O184&lt;&gt;0,'Técnicas de Ki'!AG79,0)+IF($P184&lt;&gt;0,'Técnicas de Ki'!AH79,0)+IF($Q184&lt;&gt;0,'Técnicas de Ki'!AI79,0)+IF($R184&lt;&gt;0,'Técnicas de Ki'!AJ79,0)+IF($S184&lt;&gt;0,'Técnicas de Ki'!AK79,0)+IF($T184&lt;&gt;0,'Técnicas de Ki'!AL79,0)),0))</f>
        <v>0</v>
      </c>
      <c r="AS184" s="538">
        <f>IF('Técnicas de Ki'!W79=0,0,IF('Técnicas de Ki'!AD79=TS!AS$119,'Técnicas de Ki'!X79-(IF($O184&lt;&gt;0,'Técnicas de Ki'!AG79,0)+IF($P184&lt;&gt;0,'Técnicas de Ki'!AH79,0)+IF($Q184&lt;&gt;0,'Técnicas de Ki'!AI79,0)+IF($R184&lt;&gt;0,'Técnicas de Ki'!AJ79,0)+IF($S184&lt;&gt;0,'Técnicas de Ki'!AK79,0)+IF($T184&lt;&gt;0,'Técnicas de Ki'!AL79,0)),0))</f>
        <v>0</v>
      </c>
      <c r="AT184" s="538">
        <f>IF('Técnicas de Ki'!W79=0,0,IF('Técnicas de Ki'!AD79=TS!AT$119,'Técnicas de Ki'!X79-(IF($O184&lt;&gt;0,'Técnicas de Ki'!AG79,0)+IF($P184&lt;&gt;0,'Técnicas de Ki'!AH79,0)+IF($Q184&lt;&gt;0,'Técnicas de Ki'!AI79,0)+IF($R184&lt;&gt;0,'Técnicas de Ki'!AJ79,0)+IF($S184&lt;&gt;0,'Técnicas de Ki'!AK79,0)+IF($T184&lt;&gt;0,'Técnicas de Ki'!AL79,0)),0))</f>
        <v>0</v>
      </c>
      <c r="AU184" s="538">
        <f>IF('Técnicas de Ki'!W79=0,0,IF('Técnicas de Ki'!AD79=TS!AU$119,'Técnicas de Ki'!X79-(IF($O184&lt;&gt;0,'Técnicas de Ki'!AG79,0)+IF($P184&lt;&gt;0,'Técnicas de Ki'!AH79,0)+IF($Q184&lt;&gt;0,'Técnicas de Ki'!AI79,0)+IF($R184&lt;&gt;0,'Técnicas de Ki'!AJ79,0)+IF($S184&lt;&gt;0,'Técnicas de Ki'!AK79,0)+IF($T184&lt;&gt;0,'Técnicas de Ki'!AL79,0)),0))</f>
        <v>0</v>
      </c>
      <c r="AV184" s="539">
        <f>IF('Técnicas de Ki'!W79=0,0,IF('Técnicas de Ki'!AD79=TS!AV$119,'Técnicas de Ki'!X79-(IF($O184&lt;&gt;0,'Técnicas de Ki'!AG79,0)+IF($P184&lt;&gt;0,'Técnicas de Ki'!AH79,0)+IF($Q184&lt;&gt;0,'Técnicas de Ki'!AI79,0)+IF($R184&lt;&gt;0,'Técnicas de Ki'!AJ79,0)+IF($S184&lt;&gt;0,'Técnicas de Ki'!AK79,0)+IF($T184&lt;&gt;0,'Técnicas de Ki'!AL79,0)),0))</f>
        <v>0</v>
      </c>
      <c r="AW184" s="538">
        <f>IF('Técnicas de Ki'!W79=0,0,IFERROR(IF('Técnicas de Ki'!AG79&lt;&gt;0,'Técnicas de Ki'!AG79+TS!$O184,0)*$O184/$O184,0))</f>
        <v>0</v>
      </c>
      <c r="AX184" s="538">
        <f>IF('Técnicas de Ki'!W79=0,0,IFERROR(IF('Técnicas de Ki'!AH79&lt;&gt;0,'Técnicas de Ki'!AH79+TS!$P184,0)*$P184/$P184,0))</f>
        <v>0</v>
      </c>
      <c r="AY184" s="538">
        <f>IF('Técnicas de Ki'!W79=0,0,IFERROR(IF('Técnicas de Ki'!AI79&lt;&gt;0,'Técnicas de Ki'!AI79+TS!$Q184,0)*$Q184/$Q184,0))</f>
        <v>0</v>
      </c>
      <c r="AZ184" s="538">
        <f>IF('Técnicas de Ki'!W79=0,0,IFERROR(IF('Técnicas de Ki'!AJ79&lt;&gt;0,'Técnicas de Ki'!AJ79+TS!$R184,0)*$R184/$R184,0))</f>
        <v>0</v>
      </c>
      <c r="BA184" s="538">
        <f>IF('Técnicas de Ki'!W79=0,0,IFERROR(IF('Técnicas de Ki'!AK79&lt;&gt;0,'Técnicas de Ki'!AK79+TS!$S184,0)*$S184/$S184,0))</f>
        <v>0</v>
      </c>
      <c r="BB184" s="539">
        <f>IF('Técnicas de Ki'!W79=0,0,IFERROR(IF('Técnicas de Ki'!AL79&lt;&gt;0,'Técnicas de Ki'!AL79+TS!$T184,0)*$T184/$T184,0))</f>
        <v>0</v>
      </c>
      <c r="BD184" s="571" t="str">
        <f>IF('Técnicas de Ki'!W87&lt;&gt;0,'Técnicas de Ki'!V87&amp;" "&amp;'Técnicas de Ki'!W87,"")</f>
        <v/>
      </c>
      <c r="BE184" s="302" t="b">
        <f t="shared" ref="BE184:BE247" si="34">OR(BE183,BD183&lt;&gt;"")</f>
        <v>0</v>
      </c>
      <c r="BF184" s="302" t="str">
        <f t="shared" si="5"/>
        <v/>
      </c>
      <c r="BL184" s="537">
        <f>IF('Técnicas de Ki'!AR79=0,0,IF('Técnicas de Ki'!AY79=TS!BL$119,'Técnicas de Ki'!AS79-(IF($O184&lt;&gt;0,'Técnicas de Ki'!BB79,0)+IF($P184&lt;&gt;0,'Técnicas de Ki'!BC79,0)+IF($Q184&lt;&gt;0,'Técnicas de Ki'!BD79,0)+IF($R184&lt;&gt;0,'Técnicas de Ki'!BE79,0)+IF($S184&lt;&gt;0,'Técnicas de Ki'!BF79,0)+IF($T184&lt;&gt;0,'Técnicas de Ki'!BG79,0)),0))</f>
        <v>0</v>
      </c>
      <c r="BM184" s="538">
        <f>IF('Técnicas de Ki'!AR79=0,0,IF('Técnicas de Ki'!AY79=TS!BM$119,'Técnicas de Ki'!AS79-(IF($O184&lt;&gt;0,'Técnicas de Ki'!BB79,0)+IF($P184&lt;&gt;0,'Técnicas de Ki'!BC79,0)+IF($Q184&lt;&gt;0,'Técnicas de Ki'!BD79,0)+IF($R184&lt;&gt;0,'Técnicas de Ki'!BE79,0)+IF($S184&lt;&gt;0,'Técnicas de Ki'!BF79,0)+IF($T184&lt;&gt;0,'Técnicas de Ki'!BG79,0)),0))</f>
        <v>0</v>
      </c>
      <c r="BN184" s="538">
        <f>IF('Técnicas de Ki'!AR79=0,0,IF('Técnicas de Ki'!AY79=TS!BN$119,'Técnicas de Ki'!AS79-(IF($O184&lt;&gt;0,'Técnicas de Ki'!BB79,0)+IF($P184&lt;&gt;0,'Técnicas de Ki'!BC79,0)+IF($Q184&lt;&gt;0,'Técnicas de Ki'!BD79,0)+IF($R184&lt;&gt;0,'Técnicas de Ki'!BE79,0)+IF($S184&lt;&gt;0,'Técnicas de Ki'!BF79,0)+IF($T184&lt;&gt;0,'Técnicas de Ki'!BG79,0)),0))</f>
        <v>0</v>
      </c>
      <c r="BO184" s="538">
        <f>IF('Técnicas de Ki'!AR79=0,0,IF('Técnicas de Ki'!AY79=TS!BO$119,'Técnicas de Ki'!AS79-(IF($O184&lt;&gt;0,'Técnicas de Ki'!BB79,0)+IF($P184&lt;&gt;0,'Técnicas de Ki'!BC79,0)+IF($Q184&lt;&gt;0,'Técnicas de Ki'!BD79,0)+IF($R184&lt;&gt;0,'Técnicas de Ki'!BE79,0)+IF($S184&lt;&gt;0,'Técnicas de Ki'!BF79,0)+IF($T184&lt;&gt;0,'Técnicas de Ki'!BG79,0)),0))</f>
        <v>0</v>
      </c>
      <c r="BP184" s="538">
        <f>IF('Técnicas de Ki'!AR79=0,0,IF('Técnicas de Ki'!AY79=TS!BP$119,'Técnicas de Ki'!AS79-(IF($O184&lt;&gt;0,'Técnicas de Ki'!BB79,0)+IF($P184&lt;&gt;0,'Técnicas de Ki'!BC79,0)+IF($Q184&lt;&gt;0,'Técnicas de Ki'!BD79,0)+IF($R184&lt;&gt;0,'Técnicas de Ki'!BE79,0)+IF($S184&lt;&gt;0,'Técnicas de Ki'!BF79,0)+IF($T184&lt;&gt;0,'Técnicas de Ki'!BG79,0)),0))</f>
        <v>0</v>
      </c>
      <c r="BQ184" s="539">
        <f>IF('Técnicas de Ki'!AR79=0,0,IF('Técnicas de Ki'!AY79=TS!BQ$119,'Técnicas de Ki'!AS79-(IF($O184&lt;&gt;0,'Técnicas de Ki'!BB79,0)+IF($P184&lt;&gt;0,'Técnicas de Ki'!BC79,0)+IF($Q184&lt;&gt;0,'Técnicas de Ki'!BD79,0)+IF($R184&lt;&gt;0,'Técnicas de Ki'!BE79,0)+IF($S184&lt;&gt;0,'Técnicas de Ki'!BF79,0)+IF($T184&lt;&gt;0,'Técnicas de Ki'!BG79,0)),0))</f>
        <v>0</v>
      </c>
      <c r="BR184" s="538">
        <f>IF('Técnicas de Ki'!AR79=0,0,IFERROR(IF('Técnicas de Ki'!BB79&lt;&gt;0,'Técnicas de Ki'!BB79+TS!$O184,0)*$O184/$O184,0))</f>
        <v>0</v>
      </c>
      <c r="BS184" s="538">
        <f>IF('Técnicas de Ki'!AR79=0,0,IFERROR(IF('Técnicas de Ki'!BC79&lt;&gt;0,'Técnicas de Ki'!BC79+TS!$P184,0)*$P184/$P184,0))</f>
        <v>0</v>
      </c>
      <c r="BT184" s="538">
        <f>IF('Técnicas de Ki'!AR79=0,0,IFERROR(IF('Técnicas de Ki'!BD79&lt;&gt;0,'Técnicas de Ki'!BD79+TS!$Q184,0)*$Q184/$Q184,0))</f>
        <v>0</v>
      </c>
      <c r="BU184" s="538">
        <f>IF('Técnicas de Ki'!AR79=0,0,IFERROR(IF('Técnicas de Ki'!BE79&lt;&gt;0,'Técnicas de Ki'!BE79+TS!$R184,0)*$R184/$R184,0))</f>
        <v>0</v>
      </c>
      <c r="BV184" s="538">
        <f>IF('Técnicas de Ki'!AR79=0,0,IFERROR(IF('Técnicas de Ki'!BF79&lt;&gt;0,'Técnicas de Ki'!BF79+TS!$S184,0)*$S184/$S184,0))</f>
        <v>0</v>
      </c>
      <c r="BW184" s="539">
        <f>IF('Técnicas de Ki'!AR79=0,0,IFERROR(IF('Técnicas de Ki'!BG79&lt;&gt;0,'Técnicas de Ki'!BG79+TS!$T184,0)*$T184/$T184,0))</f>
        <v>0</v>
      </c>
      <c r="BY184" s="571" t="str">
        <f>IF('Técnicas de Ki'!AR87&lt;&gt;0,'Técnicas de Ki'!AQ87&amp;" "&amp;'Técnicas de Ki'!AR87,"")</f>
        <v/>
      </c>
      <c r="BZ184" s="302" t="b">
        <f t="shared" ref="BZ184:BZ247" si="35">OR(BZ183,BY183&lt;&gt;"")</f>
        <v>0</v>
      </c>
      <c r="CA184" s="302" t="str">
        <f t="shared" si="6"/>
        <v/>
      </c>
      <c r="CG184" s="537">
        <f>IF('Técnicas de Ki'!BM79=0,0,IF('Técnicas de Ki'!BT79=TS!CG$119,'Técnicas de Ki'!BN79-(IF($O184&lt;&gt;0,'Técnicas de Ki'!BW79,0)+IF($P184&lt;&gt;0,'Técnicas de Ki'!BX79,0)+IF($Q184&lt;&gt;0,'Técnicas de Ki'!BY79,0)+IF($R184&lt;&gt;0,'Técnicas de Ki'!BZ79,0)+IF($S184&lt;&gt;0,'Técnicas de Ki'!CA79,0)+IF($T184&lt;&gt;0,'Técnicas de Ki'!CB79,0)),0))</f>
        <v>0</v>
      </c>
      <c r="CH184" s="538">
        <f>IF('Técnicas de Ki'!BM79=0,0,IF('Técnicas de Ki'!BT79=TS!CH$119,'Técnicas de Ki'!BN79-(IF($O184&lt;&gt;0,'Técnicas de Ki'!BW79,0)+IF($P184&lt;&gt;0,'Técnicas de Ki'!BX79,0)+IF($Q184&lt;&gt;0,'Técnicas de Ki'!BY79,0)+IF($R184&lt;&gt;0,'Técnicas de Ki'!BZ79,0)+IF($S184&lt;&gt;0,'Técnicas de Ki'!CA79,0)+IF($T184&lt;&gt;0,'Técnicas de Ki'!CB79,0)),0))</f>
        <v>0</v>
      </c>
      <c r="CI184" s="538">
        <f>IF('Técnicas de Ki'!BM79=0,0,IF('Técnicas de Ki'!BT79=TS!CI$119,'Técnicas de Ki'!BN79-(IF($O184&lt;&gt;0,'Técnicas de Ki'!BW79,0)+IF($P184&lt;&gt;0,'Técnicas de Ki'!BX79,0)+IF($Q184&lt;&gt;0,'Técnicas de Ki'!BY79,0)+IF($R184&lt;&gt;0,'Técnicas de Ki'!BZ79,0)+IF($S184&lt;&gt;0,'Técnicas de Ki'!CA79,0)+IF($T184&lt;&gt;0,'Técnicas de Ki'!CB79,0)),0))</f>
        <v>0</v>
      </c>
      <c r="CJ184" s="538">
        <f>IF('Técnicas de Ki'!BM79=0,0,IF('Técnicas de Ki'!BT79=TS!CJ$119,'Técnicas de Ki'!BN79-(IF($O184&lt;&gt;0,'Técnicas de Ki'!BW79,0)+IF($P184&lt;&gt;0,'Técnicas de Ki'!BX79,0)+IF($Q184&lt;&gt;0,'Técnicas de Ki'!BY79,0)+IF($R184&lt;&gt;0,'Técnicas de Ki'!BZ79,0)+IF($S184&lt;&gt;0,'Técnicas de Ki'!CA79,0)+IF($T184&lt;&gt;0,'Técnicas de Ki'!CB79,0)),0))</f>
        <v>0</v>
      </c>
      <c r="CK184" s="538">
        <f>IF('Técnicas de Ki'!BM79=0,0,IF('Técnicas de Ki'!BT79=TS!CK$119,'Técnicas de Ki'!BN79-(IF($O184&lt;&gt;0,'Técnicas de Ki'!BW79,0)+IF($P184&lt;&gt;0,'Técnicas de Ki'!BX79,0)+IF($Q184&lt;&gt;0,'Técnicas de Ki'!BY79,0)+IF($R184&lt;&gt;0,'Técnicas de Ki'!BZ79,0)+IF($S184&lt;&gt;0,'Técnicas de Ki'!CA79,0)+IF($T184&lt;&gt;0,'Técnicas de Ki'!CB79,0)),0))</f>
        <v>0</v>
      </c>
      <c r="CL184" s="539">
        <f>IF('Técnicas de Ki'!BM79=0,0,IF('Técnicas de Ki'!BT79=TS!CL$119,'Técnicas de Ki'!BN79-(IF($O184&lt;&gt;0,'Técnicas de Ki'!BW79,0)+IF($P184&lt;&gt;0,'Técnicas de Ki'!BX79,0)+IF($Q184&lt;&gt;0,'Técnicas de Ki'!BY79,0)+IF($R184&lt;&gt;0,'Técnicas de Ki'!BZ79,0)+IF($S184&lt;&gt;0,'Técnicas de Ki'!CA79,0)+IF($T184&lt;&gt;0,'Técnicas de Ki'!CB79,0)),0))</f>
        <v>0</v>
      </c>
      <c r="CM184" s="538">
        <f>IF('Técnicas de Ki'!BM79=0,0,IFERROR(IF('Técnicas de Ki'!BW79&lt;&gt;0,'Técnicas de Ki'!BW79+TS!$O184,0)*$O184/$O184,0))</f>
        <v>0</v>
      </c>
      <c r="CN184" s="538">
        <f>IF('Técnicas de Ki'!BM79=0,0,IFERROR(IF('Técnicas de Ki'!BX79&lt;&gt;0,'Técnicas de Ki'!BX79+TS!$P184,0)*$P184/$P184,0))</f>
        <v>0</v>
      </c>
      <c r="CO184" s="538">
        <f>IF('Técnicas de Ki'!BM79=0,0,IFERROR(IF('Técnicas de Ki'!BY79&lt;&gt;0,'Técnicas de Ki'!BY79+TS!$Q184,0)*$Q184/$Q184,0))</f>
        <v>0</v>
      </c>
      <c r="CP184" s="538">
        <f>IF('Técnicas de Ki'!BM79=0,0,IFERROR(IF('Técnicas de Ki'!BZ79&lt;&gt;0,'Técnicas de Ki'!BZ79+TS!$R184,0)*$R184/$R184,0))</f>
        <v>0</v>
      </c>
      <c r="CQ184" s="538">
        <f>IF('Técnicas de Ki'!BM79=0,0,IFERROR(IF('Técnicas de Ki'!CA79&lt;&gt;0,'Técnicas de Ki'!CA79+TS!$S184,0)*$S184/$S184,0))</f>
        <v>0</v>
      </c>
      <c r="CR184" s="539">
        <f>IF('Técnicas de Ki'!BM79=0,0,IFERROR(IF('Técnicas de Ki'!CB79&lt;&gt;0,'Técnicas de Ki'!CB79+TS!$T184,0)*$T184/$T184,0))</f>
        <v>0</v>
      </c>
      <c r="CT184" s="571" t="str">
        <f>IF('Técnicas de Ki'!BM87&lt;&gt;0,'Técnicas de Ki'!BL87&amp;" "&amp;'Técnicas de Ki'!BM87,"")</f>
        <v/>
      </c>
      <c r="CU184" s="302" t="b">
        <f t="shared" ref="CU184:CU247" si="36">OR(CU183,CT183&lt;&gt;"")</f>
        <v>0</v>
      </c>
      <c r="CV184" s="302" t="str">
        <f t="shared" si="7"/>
        <v/>
      </c>
    </row>
    <row r="185" spans="1:102" x14ac:dyDescent="0.2">
      <c r="A185" s="302" t="s">
        <v>6867</v>
      </c>
      <c r="B185" s="301" t="s">
        <v>6871</v>
      </c>
      <c r="C185" s="301" t="str">
        <f t="shared" si="15"/>
        <v>Ataque adicional limitado+4</v>
      </c>
      <c r="D185" s="302">
        <v>12</v>
      </c>
      <c r="E185" s="302">
        <v>15</v>
      </c>
      <c r="F185" s="302">
        <v>20</v>
      </c>
      <c r="G185" s="302">
        <v>4</v>
      </c>
      <c r="H185" s="302">
        <v>8</v>
      </c>
      <c r="I185" s="302">
        <v>14</v>
      </c>
      <c r="J185" s="302">
        <v>1</v>
      </c>
      <c r="N185" t="s">
        <v>6952</v>
      </c>
      <c r="O185" s="302">
        <v>2</v>
      </c>
      <c r="Q185" s="302">
        <v>3</v>
      </c>
      <c r="S185" s="528">
        <v>1</v>
      </c>
      <c r="T185" s="528">
        <v>1</v>
      </c>
      <c r="V185" s="537">
        <f>IF('Técnicas de Ki'!B80=0,0,IF('Técnicas de Ki'!I80=TS!V$119,'Técnicas de Ki'!C80-(IF($O185&lt;&gt;0,'Técnicas de Ki'!L80,0)+IF($P185&lt;&gt;0,'Técnicas de Ki'!M80,0)+IF($Q185&lt;&gt;0,'Técnicas de Ki'!N80,0)+IF($R185&lt;&gt;0,'Técnicas de Ki'!O80,0)+IF($S185&lt;&gt;0,'Técnicas de Ki'!P80,0)+IF($T185&lt;&gt;0,'Técnicas de Ki'!Q80,0)),0))</f>
        <v>0</v>
      </c>
      <c r="W185" s="538">
        <f>IF('Técnicas de Ki'!B80=0,0,IF('Técnicas de Ki'!I80=TS!W$119,'Técnicas de Ki'!C80-(IF($O185&lt;&gt;0,'Técnicas de Ki'!L80,0)+IF($P185&lt;&gt;0,'Técnicas de Ki'!M80,0)+IF($Q185&lt;&gt;0,'Técnicas de Ki'!N80,0)+IF($R185&lt;&gt;0,'Técnicas de Ki'!O80,0)+IF($S185&lt;&gt;0,'Técnicas de Ki'!P80,0)+IF($T185&lt;&gt;0,'Técnicas de Ki'!Q80,0)),0))</f>
        <v>0</v>
      </c>
      <c r="X185" s="538">
        <f>IF('Técnicas de Ki'!B80=0,0,IF('Técnicas de Ki'!I80=TS!X$119,'Técnicas de Ki'!C80-(IF($O185&lt;&gt;0,'Técnicas de Ki'!L80,0)+IF($P185&lt;&gt;0,'Técnicas de Ki'!M80,0)+IF($Q185&lt;&gt;0,'Técnicas de Ki'!N80,0)+IF($R185&lt;&gt;0,'Técnicas de Ki'!O80,0)+IF($S185&lt;&gt;0,'Técnicas de Ki'!P80,0)+IF($T185&lt;&gt;0,'Técnicas de Ki'!Q80,0)),0))</f>
        <v>0</v>
      </c>
      <c r="Y185" s="538">
        <f>IF('Técnicas de Ki'!B80=0,0,IF('Técnicas de Ki'!I80=TS!Y$119,'Técnicas de Ki'!C80-(IF($O185&lt;&gt;0,'Técnicas de Ki'!L80,0)+IF($P185&lt;&gt;0,'Técnicas de Ki'!M80,0)+IF($Q185&lt;&gt;0,'Técnicas de Ki'!N80,0)+IF($R185&lt;&gt;0,'Técnicas de Ki'!O80,0)+IF($S185&lt;&gt;0,'Técnicas de Ki'!P80,0)+IF($T185&lt;&gt;0,'Técnicas de Ki'!Q80,0)),0))</f>
        <v>0</v>
      </c>
      <c r="Z185" s="538">
        <f>IF('Técnicas de Ki'!B80=0,0,IF('Técnicas de Ki'!I80=TS!Z$119,'Técnicas de Ki'!C80-(IF($O185&lt;&gt;0,'Técnicas de Ki'!L80,0)+IF($P185&lt;&gt;0,'Técnicas de Ki'!M80,0)+IF($Q185&lt;&gt;0,'Técnicas de Ki'!N80,0)+IF($R185&lt;&gt;0,'Técnicas de Ki'!O80,0)+IF($S185&lt;&gt;0,'Técnicas de Ki'!P80,0)+IF($T185&lt;&gt;0,'Técnicas de Ki'!Q80,0)),0))</f>
        <v>0</v>
      </c>
      <c r="AA185" s="539">
        <f>IF('Técnicas de Ki'!B80=0,0,IF('Técnicas de Ki'!I80=TS!AA$119,'Técnicas de Ki'!C80-(IF($O185&lt;&gt;0,'Técnicas de Ki'!L80,0)+IF($P185&lt;&gt;0,'Técnicas de Ki'!M80,0)+IF($Q185&lt;&gt;0,'Técnicas de Ki'!N80,0)+IF($R185&lt;&gt;0,'Técnicas de Ki'!O80,0)+IF($S185&lt;&gt;0,'Técnicas de Ki'!P80,0)+IF($T185&lt;&gt;0,'Técnicas de Ki'!Q80,0)),0))</f>
        <v>0</v>
      </c>
      <c r="AB185" s="538">
        <f>IF('Técnicas de Ki'!B80=0,0,IFERROR(IF('Técnicas de Ki'!L80&lt;&gt;0,'Técnicas de Ki'!L80+TS!$O185,0)*$O185/$O185,0))</f>
        <v>0</v>
      </c>
      <c r="AC185" s="538">
        <f>IF('Técnicas de Ki'!B80=0,0,IFERROR(IF('Técnicas de Ki'!M80&lt;&gt;0,'Técnicas de Ki'!M80+TS!$P185,0)*$P185/$P185,0))</f>
        <v>0</v>
      </c>
      <c r="AD185" s="538">
        <f>IF('Técnicas de Ki'!B80=0,0,IFERROR(IF('Técnicas de Ki'!N80&lt;&gt;0,'Técnicas de Ki'!N80+TS!$Q185,0)*$Q185/$Q185,0))</f>
        <v>0</v>
      </c>
      <c r="AE185" s="538">
        <f>IF('Técnicas de Ki'!B80=0,0,IFERROR(IF('Técnicas de Ki'!O80&lt;&gt;0,'Técnicas de Ki'!O80+TS!$R185,0)*$R185/$R185,0))</f>
        <v>0</v>
      </c>
      <c r="AF185" s="538">
        <f>IF('Técnicas de Ki'!B80=0,0,IFERROR(IF('Técnicas de Ki'!P80&lt;&gt;0,'Técnicas de Ki'!P80+TS!$S185,0)*$S185/$S185,0))</f>
        <v>0</v>
      </c>
      <c r="AG185" s="539">
        <f>IF('Técnicas de Ki'!B80=0,0,IFERROR(IF('Técnicas de Ki'!Q80&lt;&gt;0,'Técnicas de Ki'!Q80+TS!$T185,0)*$T185/$T185,0))</f>
        <v>0</v>
      </c>
      <c r="AI185" s="571" t="str">
        <f>IF('Técnicas de Ki'!B88&lt;&gt;0,'Técnicas de Ki'!A88&amp;" "&amp;'Técnicas de Ki'!B88,"")</f>
        <v/>
      </c>
      <c r="AJ185" s="302" t="b">
        <f t="shared" si="8"/>
        <v>0</v>
      </c>
      <c r="AK185" s="302" t="str">
        <f t="shared" ref="AK185:AK219" si="37">IF(AI185&lt;&gt;"",IF(AJ185,", ","")&amp;AI185,"")</f>
        <v/>
      </c>
      <c r="AQ185" s="537">
        <f>IF('Técnicas de Ki'!W80=0,0,IF('Técnicas de Ki'!AD80=TS!AQ$119,'Técnicas de Ki'!X80-(IF($O185&lt;&gt;0,'Técnicas de Ki'!AG80,0)+IF($P185&lt;&gt;0,'Técnicas de Ki'!AH80,0)+IF($Q185&lt;&gt;0,'Técnicas de Ki'!AI80,0)+IF($R185&lt;&gt;0,'Técnicas de Ki'!AJ80,0)+IF($S185&lt;&gt;0,'Técnicas de Ki'!AK80,0)+IF($T185&lt;&gt;0,'Técnicas de Ki'!AL80,0)),0))</f>
        <v>0</v>
      </c>
      <c r="AR185" s="538">
        <f>IF('Técnicas de Ki'!W80=0,0,IF('Técnicas de Ki'!AD80=TS!AR$119,'Técnicas de Ki'!X80-(IF($O185&lt;&gt;0,'Técnicas de Ki'!AG80,0)+IF($P185&lt;&gt;0,'Técnicas de Ki'!AH80,0)+IF($Q185&lt;&gt;0,'Técnicas de Ki'!AI80,0)+IF($R185&lt;&gt;0,'Técnicas de Ki'!AJ80,0)+IF($S185&lt;&gt;0,'Técnicas de Ki'!AK80,0)+IF($T185&lt;&gt;0,'Técnicas de Ki'!AL80,0)),0))</f>
        <v>0</v>
      </c>
      <c r="AS185" s="538">
        <f>IF('Técnicas de Ki'!W80=0,0,IF('Técnicas de Ki'!AD80=TS!AS$119,'Técnicas de Ki'!X80-(IF($O185&lt;&gt;0,'Técnicas de Ki'!AG80,0)+IF($P185&lt;&gt;0,'Técnicas de Ki'!AH80,0)+IF($Q185&lt;&gt;0,'Técnicas de Ki'!AI80,0)+IF($R185&lt;&gt;0,'Técnicas de Ki'!AJ80,0)+IF($S185&lt;&gt;0,'Técnicas de Ki'!AK80,0)+IF($T185&lt;&gt;0,'Técnicas de Ki'!AL80,0)),0))</f>
        <v>0</v>
      </c>
      <c r="AT185" s="538">
        <f>IF('Técnicas de Ki'!W80=0,0,IF('Técnicas de Ki'!AD80=TS!AT$119,'Técnicas de Ki'!X80-(IF($O185&lt;&gt;0,'Técnicas de Ki'!AG80,0)+IF($P185&lt;&gt;0,'Técnicas de Ki'!AH80,0)+IF($Q185&lt;&gt;0,'Técnicas de Ki'!AI80,0)+IF($R185&lt;&gt;0,'Técnicas de Ki'!AJ80,0)+IF($S185&lt;&gt;0,'Técnicas de Ki'!AK80,0)+IF($T185&lt;&gt;0,'Técnicas de Ki'!AL80,0)),0))</f>
        <v>0</v>
      </c>
      <c r="AU185" s="538">
        <f>IF('Técnicas de Ki'!W80=0,0,IF('Técnicas de Ki'!AD80=TS!AU$119,'Técnicas de Ki'!X80-(IF($O185&lt;&gt;0,'Técnicas de Ki'!AG80,0)+IF($P185&lt;&gt;0,'Técnicas de Ki'!AH80,0)+IF($Q185&lt;&gt;0,'Técnicas de Ki'!AI80,0)+IF($R185&lt;&gt;0,'Técnicas de Ki'!AJ80,0)+IF($S185&lt;&gt;0,'Técnicas de Ki'!AK80,0)+IF($T185&lt;&gt;0,'Técnicas de Ki'!AL80,0)),0))</f>
        <v>0</v>
      </c>
      <c r="AV185" s="539">
        <f>IF('Técnicas de Ki'!W80=0,0,IF('Técnicas de Ki'!AD80=TS!AV$119,'Técnicas de Ki'!X80-(IF($O185&lt;&gt;0,'Técnicas de Ki'!AG80,0)+IF($P185&lt;&gt;0,'Técnicas de Ki'!AH80,0)+IF($Q185&lt;&gt;0,'Técnicas de Ki'!AI80,0)+IF($R185&lt;&gt;0,'Técnicas de Ki'!AJ80,0)+IF($S185&lt;&gt;0,'Técnicas de Ki'!AK80,0)+IF($T185&lt;&gt;0,'Técnicas de Ki'!AL80,0)),0))</f>
        <v>0</v>
      </c>
      <c r="AW185" s="538">
        <f>IF('Técnicas de Ki'!W80=0,0,IFERROR(IF('Técnicas de Ki'!AG80&lt;&gt;0,'Técnicas de Ki'!AG80+TS!$O185,0)*$O185/$O185,0))</f>
        <v>0</v>
      </c>
      <c r="AX185" s="538">
        <f>IF('Técnicas de Ki'!W80=0,0,IFERROR(IF('Técnicas de Ki'!AH80&lt;&gt;0,'Técnicas de Ki'!AH80+TS!$P185,0)*$P185/$P185,0))</f>
        <v>0</v>
      </c>
      <c r="AY185" s="538">
        <f>IF('Técnicas de Ki'!W80=0,0,IFERROR(IF('Técnicas de Ki'!AI80&lt;&gt;0,'Técnicas de Ki'!AI80+TS!$Q185,0)*$Q185/$Q185,0))</f>
        <v>0</v>
      </c>
      <c r="AZ185" s="538">
        <f>IF('Técnicas de Ki'!W80=0,0,IFERROR(IF('Técnicas de Ki'!AJ80&lt;&gt;0,'Técnicas de Ki'!AJ80+TS!$R185,0)*$R185/$R185,0))</f>
        <v>0</v>
      </c>
      <c r="BA185" s="538">
        <f>IF('Técnicas de Ki'!W80=0,0,IFERROR(IF('Técnicas de Ki'!AK80&lt;&gt;0,'Técnicas de Ki'!AK80+TS!$S185,0)*$S185/$S185,0))</f>
        <v>0</v>
      </c>
      <c r="BB185" s="539">
        <f>IF('Técnicas de Ki'!W80=0,0,IFERROR(IF('Técnicas de Ki'!AL80&lt;&gt;0,'Técnicas de Ki'!AL80+TS!$T185,0)*$T185/$T185,0))</f>
        <v>0</v>
      </c>
      <c r="BD185" s="571" t="str">
        <f>IF('Técnicas de Ki'!W88&lt;&gt;0,'Técnicas de Ki'!V88&amp;" "&amp;'Técnicas de Ki'!W88,"")</f>
        <v/>
      </c>
      <c r="BE185" s="302" t="b">
        <f t="shared" si="34"/>
        <v>0</v>
      </c>
      <c r="BF185" s="302" t="str">
        <f t="shared" ref="BF185:BF219" si="38">IF(BD185&lt;&gt;"",IF(BE185,", ","")&amp;BD185,"")</f>
        <v/>
      </c>
      <c r="BL185" s="537">
        <f>IF('Técnicas de Ki'!AR80=0,0,IF('Técnicas de Ki'!AY80=TS!BL$119,'Técnicas de Ki'!AS80-(IF($O185&lt;&gt;0,'Técnicas de Ki'!BB80,0)+IF($P185&lt;&gt;0,'Técnicas de Ki'!BC80,0)+IF($Q185&lt;&gt;0,'Técnicas de Ki'!BD80,0)+IF($R185&lt;&gt;0,'Técnicas de Ki'!BE80,0)+IF($S185&lt;&gt;0,'Técnicas de Ki'!BF80,0)+IF($T185&lt;&gt;0,'Técnicas de Ki'!BG80,0)),0))</f>
        <v>0</v>
      </c>
      <c r="BM185" s="538">
        <f>IF('Técnicas de Ki'!AR80=0,0,IF('Técnicas de Ki'!AY80=TS!BM$119,'Técnicas de Ki'!AS80-(IF($O185&lt;&gt;0,'Técnicas de Ki'!BB80,0)+IF($P185&lt;&gt;0,'Técnicas de Ki'!BC80,0)+IF($Q185&lt;&gt;0,'Técnicas de Ki'!BD80,0)+IF($R185&lt;&gt;0,'Técnicas de Ki'!BE80,0)+IF($S185&lt;&gt;0,'Técnicas de Ki'!BF80,0)+IF($T185&lt;&gt;0,'Técnicas de Ki'!BG80,0)),0))</f>
        <v>0</v>
      </c>
      <c r="BN185" s="538">
        <f>IF('Técnicas de Ki'!AR80=0,0,IF('Técnicas de Ki'!AY80=TS!BN$119,'Técnicas de Ki'!AS80-(IF($O185&lt;&gt;0,'Técnicas de Ki'!BB80,0)+IF($P185&lt;&gt;0,'Técnicas de Ki'!BC80,0)+IF($Q185&lt;&gt;0,'Técnicas de Ki'!BD80,0)+IF($R185&lt;&gt;0,'Técnicas de Ki'!BE80,0)+IF($S185&lt;&gt;0,'Técnicas de Ki'!BF80,0)+IF($T185&lt;&gt;0,'Técnicas de Ki'!BG80,0)),0))</f>
        <v>0</v>
      </c>
      <c r="BO185" s="538">
        <f>IF('Técnicas de Ki'!AR80=0,0,IF('Técnicas de Ki'!AY80=TS!BO$119,'Técnicas de Ki'!AS80-(IF($O185&lt;&gt;0,'Técnicas de Ki'!BB80,0)+IF($P185&lt;&gt;0,'Técnicas de Ki'!BC80,0)+IF($Q185&lt;&gt;0,'Técnicas de Ki'!BD80,0)+IF($R185&lt;&gt;0,'Técnicas de Ki'!BE80,0)+IF($S185&lt;&gt;0,'Técnicas de Ki'!BF80,0)+IF($T185&lt;&gt;0,'Técnicas de Ki'!BG80,0)),0))</f>
        <v>0</v>
      </c>
      <c r="BP185" s="538">
        <f>IF('Técnicas de Ki'!AR80=0,0,IF('Técnicas de Ki'!AY80=TS!BP$119,'Técnicas de Ki'!AS80-(IF($O185&lt;&gt;0,'Técnicas de Ki'!BB80,0)+IF($P185&lt;&gt;0,'Técnicas de Ki'!BC80,0)+IF($Q185&lt;&gt;0,'Técnicas de Ki'!BD80,0)+IF($R185&lt;&gt;0,'Técnicas de Ki'!BE80,0)+IF($S185&lt;&gt;0,'Técnicas de Ki'!BF80,0)+IF($T185&lt;&gt;0,'Técnicas de Ki'!BG80,0)),0))</f>
        <v>0</v>
      </c>
      <c r="BQ185" s="539">
        <f>IF('Técnicas de Ki'!AR80=0,0,IF('Técnicas de Ki'!AY80=TS!BQ$119,'Técnicas de Ki'!AS80-(IF($O185&lt;&gt;0,'Técnicas de Ki'!BB80,0)+IF($P185&lt;&gt;0,'Técnicas de Ki'!BC80,0)+IF($Q185&lt;&gt;0,'Técnicas de Ki'!BD80,0)+IF($R185&lt;&gt;0,'Técnicas de Ki'!BE80,0)+IF($S185&lt;&gt;0,'Técnicas de Ki'!BF80,0)+IF($T185&lt;&gt;0,'Técnicas de Ki'!BG80,0)),0))</f>
        <v>0</v>
      </c>
      <c r="BR185" s="538">
        <f>IF('Técnicas de Ki'!AR80=0,0,IFERROR(IF('Técnicas de Ki'!BB80&lt;&gt;0,'Técnicas de Ki'!BB80+TS!$O185,0)*$O185/$O185,0))</f>
        <v>0</v>
      </c>
      <c r="BS185" s="538">
        <f>IF('Técnicas de Ki'!AR80=0,0,IFERROR(IF('Técnicas de Ki'!BC80&lt;&gt;0,'Técnicas de Ki'!BC80+TS!$P185,0)*$P185/$P185,0))</f>
        <v>0</v>
      </c>
      <c r="BT185" s="538">
        <f>IF('Técnicas de Ki'!AR80=0,0,IFERROR(IF('Técnicas de Ki'!BD80&lt;&gt;0,'Técnicas de Ki'!BD80+TS!$Q185,0)*$Q185/$Q185,0))</f>
        <v>0</v>
      </c>
      <c r="BU185" s="538">
        <f>IF('Técnicas de Ki'!AR80=0,0,IFERROR(IF('Técnicas de Ki'!BE80&lt;&gt;0,'Técnicas de Ki'!BE80+TS!$R185,0)*$R185/$R185,0))</f>
        <v>0</v>
      </c>
      <c r="BV185" s="538">
        <f>IF('Técnicas de Ki'!AR80=0,0,IFERROR(IF('Técnicas de Ki'!BF80&lt;&gt;0,'Técnicas de Ki'!BF80+TS!$S185,0)*$S185/$S185,0))</f>
        <v>0</v>
      </c>
      <c r="BW185" s="539">
        <f>IF('Técnicas de Ki'!AR80=0,0,IFERROR(IF('Técnicas de Ki'!BG80&lt;&gt;0,'Técnicas de Ki'!BG80+TS!$T185,0)*$T185/$T185,0))</f>
        <v>0</v>
      </c>
      <c r="BY185" s="571" t="str">
        <f>IF('Técnicas de Ki'!AR88&lt;&gt;0,'Técnicas de Ki'!AQ88&amp;" "&amp;'Técnicas de Ki'!AR88,"")</f>
        <v/>
      </c>
      <c r="BZ185" s="302" t="b">
        <f t="shared" si="35"/>
        <v>0</v>
      </c>
      <c r="CA185" s="302" t="str">
        <f t="shared" ref="CA185:CA219" si="39">IF(BY185&lt;&gt;"",IF(BZ185,", ","")&amp;BY185,"")</f>
        <v/>
      </c>
      <c r="CG185" s="537">
        <f>IF('Técnicas de Ki'!BM80=0,0,IF('Técnicas de Ki'!BT80=TS!CG$119,'Técnicas de Ki'!BN80-(IF($O185&lt;&gt;0,'Técnicas de Ki'!BW80,0)+IF($P185&lt;&gt;0,'Técnicas de Ki'!BX80,0)+IF($Q185&lt;&gt;0,'Técnicas de Ki'!BY80,0)+IF($R185&lt;&gt;0,'Técnicas de Ki'!BZ80,0)+IF($S185&lt;&gt;0,'Técnicas de Ki'!CA80,0)+IF($T185&lt;&gt;0,'Técnicas de Ki'!CB80,0)),0))</f>
        <v>0</v>
      </c>
      <c r="CH185" s="538">
        <f>IF('Técnicas de Ki'!BM80=0,0,IF('Técnicas de Ki'!BT80=TS!CH$119,'Técnicas de Ki'!BN80-(IF($O185&lt;&gt;0,'Técnicas de Ki'!BW80,0)+IF($P185&lt;&gt;0,'Técnicas de Ki'!BX80,0)+IF($Q185&lt;&gt;0,'Técnicas de Ki'!BY80,0)+IF($R185&lt;&gt;0,'Técnicas de Ki'!BZ80,0)+IF($S185&lt;&gt;0,'Técnicas de Ki'!CA80,0)+IF($T185&lt;&gt;0,'Técnicas de Ki'!CB80,0)),0))</f>
        <v>0</v>
      </c>
      <c r="CI185" s="538">
        <f>IF('Técnicas de Ki'!BM80=0,0,IF('Técnicas de Ki'!BT80=TS!CI$119,'Técnicas de Ki'!BN80-(IF($O185&lt;&gt;0,'Técnicas de Ki'!BW80,0)+IF($P185&lt;&gt;0,'Técnicas de Ki'!BX80,0)+IF($Q185&lt;&gt;0,'Técnicas de Ki'!BY80,0)+IF($R185&lt;&gt;0,'Técnicas de Ki'!BZ80,0)+IF($S185&lt;&gt;0,'Técnicas de Ki'!CA80,0)+IF($T185&lt;&gt;0,'Técnicas de Ki'!CB80,0)),0))</f>
        <v>0</v>
      </c>
      <c r="CJ185" s="538">
        <f>IF('Técnicas de Ki'!BM80=0,0,IF('Técnicas de Ki'!BT80=TS!CJ$119,'Técnicas de Ki'!BN80-(IF($O185&lt;&gt;0,'Técnicas de Ki'!BW80,0)+IF($P185&lt;&gt;0,'Técnicas de Ki'!BX80,0)+IF($Q185&lt;&gt;0,'Técnicas de Ki'!BY80,0)+IF($R185&lt;&gt;0,'Técnicas de Ki'!BZ80,0)+IF($S185&lt;&gt;0,'Técnicas de Ki'!CA80,0)+IF($T185&lt;&gt;0,'Técnicas de Ki'!CB80,0)),0))</f>
        <v>0</v>
      </c>
      <c r="CK185" s="538">
        <f>IF('Técnicas de Ki'!BM80=0,0,IF('Técnicas de Ki'!BT80=TS!CK$119,'Técnicas de Ki'!BN80-(IF($O185&lt;&gt;0,'Técnicas de Ki'!BW80,0)+IF($P185&lt;&gt;0,'Técnicas de Ki'!BX80,0)+IF($Q185&lt;&gt;0,'Técnicas de Ki'!BY80,0)+IF($R185&lt;&gt;0,'Técnicas de Ki'!BZ80,0)+IF($S185&lt;&gt;0,'Técnicas de Ki'!CA80,0)+IF($T185&lt;&gt;0,'Técnicas de Ki'!CB80,0)),0))</f>
        <v>0</v>
      </c>
      <c r="CL185" s="539">
        <f>IF('Técnicas de Ki'!BM80=0,0,IF('Técnicas de Ki'!BT80=TS!CL$119,'Técnicas de Ki'!BN80-(IF($O185&lt;&gt;0,'Técnicas de Ki'!BW80,0)+IF($P185&lt;&gt;0,'Técnicas de Ki'!BX80,0)+IF($Q185&lt;&gt;0,'Técnicas de Ki'!BY80,0)+IF($R185&lt;&gt;0,'Técnicas de Ki'!BZ80,0)+IF($S185&lt;&gt;0,'Técnicas de Ki'!CA80,0)+IF($T185&lt;&gt;0,'Técnicas de Ki'!CB80,0)),0))</f>
        <v>0</v>
      </c>
      <c r="CM185" s="538">
        <f>IF('Técnicas de Ki'!BM80=0,0,IFERROR(IF('Técnicas de Ki'!BW80&lt;&gt;0,'Técnicas de Ki'!BW80+TS!$O185,0)*$O185/$O185,0))</f>
        <v>0</v>
      </c>
      <c r="CN185" s="538">
        <f>IF('Técnicas de Ki'!BM80=0,0,IFERROR(IF('Técnicas de Ki'!BX80&lt;&gt;0,'Técnicas de Ki'!BX80+TS!$P185,0)*$P185/$P185,0))</f>
        <v>0</v>
      </c>
      <c r="CO185" s="538">
        <f>IF('Técnicas de Ki'!BM80=0,0,IFERROR(IF('Técnicas de Ki'!BY80&lt;&gt;0,'Técnicas de Ki'!BY80+TS!$Q185,0)*$Q185/$Q185,0))</f>
        <v>0</v>
      </c>
      <c r="CP185" s="538">
        <f>IF('Técnicas de Ki'!BM80=0,0,IFERROR(IF('Técnicas de Ki'!BZ80&lt;&gt;0,'Técnicas de Ki'!BZ80+TS!$R185,0)*$R185/$R185,0))</f>
        <v>0</v>
      </c>
      <c r="CQ185" s="538">
        <f>IF('Técnicas de Ki'!BM80=0,0,IFERROR(IF('Técnicas de Ki'!CA80&lt;&gt;0,'Técnicas de Ki'!CA80+TS!$S185,0)*$S185/$S185,0))</f>
        <v>0</v>
      </c>
      <c r="CR185" s="539">
        <f>IF('Técnicas de Ki'!BM80=0,0,IFERROR(IF('Técnicas de Ki'!CB80&lt;&gt;0,'Técnicas de Ki'!CB80+TS!$T185,0)*$T185/$T185,0))</f>
        <v>0</v>
      </c>
      <c r="CT185" s="571" t="str">
        <f>IF('Técnicas de Ki'!BM88&lt;&gt;0,'Técnicas de Ki'!BL88&amp;" "&amp;'Técnicas de Ki'!BM88,"")</f>
        <v/>
      </c>
      <c r="CU185" s="302" t="b">
        <f t="shared" si="36"/>
        <v>0</v>
      </c>
      <c r="CV185" s="302" t="str">
        <f t="shared" ref="CV185:CV219" si="40">IF(CT185&lt;&gt;"",IF(CU185,", ","")&amp;CT185,"")</f>
        <v/>
      </c>
    </row>
    <row r="186" spans="1:102" x14ac:dyDescent="0.2">
      <c r="A186" s="302" t="s">
        <v>6867</v>
      </c>
      <c r="B186" s="301" t="s">
        <v>6777</v>
      </c>
      <c r="C186" s="301" t="str">
        <f t="shared" si="15"/>
        <v>Ataque adicional limitado+5</v>
      </c>
      <c r="D186" s="302">
        <v>15</v>
      </c>
      <c r="E186" s="302">
        <v>19</v>
      </c>
      <c r="F186" s="302">
        <v>30</v>
      </c>
      <c r="G186" s="302">
        <v>6</v>
      </c>
      <c r="H186" s="302">
        <v>12</v>
      </c>
      <c r="I186" s="302">
        <v>21</v>
      </c>
      <c r="J186" s="302">
        <v>1</v>
      </c>
      <c r="N186" t="s">
        <v>6953</v>
      </c>
      <c r="O186" s="302">
        <v>2</v>
      </c>
      <c r="Q186" s="302">
        <v>3</v>
      </c>
      <c r="R186" s="302">
        <v>2</v>
      </c>
      <c r="S186" s="302">
        <v>1</v>
      </c>
      <c r="V186" s="537">
        <f>IF('Técnicas de Ki'!B81=0,0,IF('Técnicas de Ki'!I81=TS!V$119,'Técnicas de Ki'!C81-(IF($O186&lt;&gt;0,'Técnicas de Ki'!L81,0)+IF($P186&lt;&gt;0,'Técnicas de Ki'!M81,0)+IF($Q186&lt;&gt;0,'Técnicas de Ki'!N81,0)+IF($R186&lt;&gt;0,'Técnicas de Ki'!O81,0)+IF($S186&lt;&gt;0,'Técnicas de Ki'!P81,0)+IF($T186&lt;&gt;0,'Técnicas de Ki'!Q81,0)),0))</f>
        <v>0</v>
      </c>
      <c r="W186" s="538">
        <f>IF('Técnicas de Ki'!B81=0,0,IF('Técnicas de Ki'!I81=TS!W$119,'Técnicas de Ki'!C81-(IF($O186&lt;&gt;0,'Técnicas de Ki'!L81,0)+IF($P186&lt;&gt;0,'Técnicas de Ki'!M81,0)+IF($Q186&lt;&gt;0,'Técnicas de Ki'!N81,0)+IF($R186&lt;&gt;0,'Técnicas de Ki'!O81,0)+IF($S186&lt;&gt;0,'Técnicas de Ki'!P81,0)+IF($T186&lt;&gt;0,'Técnicas de Ki'!Q81,0)),0))</f>
        <v>0</v>
      </c>
      <c r="X186" s="538">
        <f>IF('Técnicas de Ki'!B81=0,0,IF('Técnicas de Ki'!I81=TS!X$119,'Técnicas de Ki'!C81-(IF($O186&lt;&gt;0,'Técnicas de Ki'!L81,0)+IF($P186&lt;&gt;0,'Técnicas de Ki'!M81,0)+IF($Q186&lt;&gt;0,'Técnicas de Ki'!N81,0)+IF($R186&lt;&gt;0,'Técnicas de Ki'!O81,0)+IF($S186&lt;&gt;0,'Técnicas de Ki'!P81,0)+IF($T186&lt;&gt;0,'Técnicas de Ki'!Q81,0)),0))</f>
        <v>0</v>
      </c>
      <c r="Y186" s="538">
        <f>IF('Técnicas de Ki'!B81=0,0,IF('Técnicas de Ki'!I81=TS!Y$119,'Técnicas de Ki'!C81-(IF($O186&lt;&gt;0,'Técnicas de Ki'!L81,0)+IF($P186&lt;&gt;0,'Técnicas de Ki'!M81,0)+IF($Q186&lt;&gt;0,'Técnicas de Ki'!N81,0)+IF($R186&lt;&gt;0,'Técnicas de Ki'!O81,0)+IF($S186&lt;&gt;0,'Técnicas de Ki'!P81,0)+IF($T186&lt;&gt;0,'Técnicas de Ki'!Q81,0)),0))</f>
        <v>0</v>
      </c>
      <c r="Z186" s="538">
        <f>IF('Técnicas de Ki'!B81=0,0,IF('Técnicas de Ki'!I81=TS!Z$119,'Técnicas de Ki'!C81-(IF($O186&lt;&gt;0,'Técnicas de Ki'!L81,0)+IF($P186&lt;&gt;0,'Técnicas de Ki'!M81,0)+IF($Q186&lt;&gt;0,'Técnicas de Ki'!N81,0)+IF($R186&lt;&gt;0,'Técnicas de Ki'!O81,0)+IF($S186&lt;&gt;0,'Técnicas de Ki'!P81,0)+IF($T186&lt;&gt;0,'Técnicas de Ki'!Q81,0)),0))</f>
        <v>0</v>
      </c>
      <c r="AA186" s="539">
        <f>IF('Técnicas de Ki'!B81=0,0,IF('Técnicas de Ki'!I81=TS!AA$119,'Técnicas de Ki'!C81-(IF($O186&lt;&gt;0,'Técnicas de Ki'!L81,0)+IF($P186&lt;&gt;0,'Técnicas de Ki'!M81,0)+IF($Q186&lt;&gt;0,'Técnicas de Ki'!N81,0)+IF($R186&lt;&gt;0,'Técnicas de Ki'!O81,0)+IF($S186&lt;&gt;0,'Técnicas de Ki'!P81,0)+IF($T186&lt;&gt;0,'Técnicas de Ki'!Q81,0)),0))</f>
        <v>0</v>
      </c>
      <c r="AB186" s="538">
        <f>IF('Técnicas de Ki'!B81=0,0,IFERROR(IF('Técnicas de Ki'!L81&lt;&gt;0,'Técnicas de Ki'!L81+TS!$O186,0)*$O186/$O186,0))</f>
        <v>0</v>
      </c>
      <c r="AC186" s="538">
        <f>IF('Técnicas de Ki'!B81=0,0,IFERROR(IF('Técnicas de Ki'!M81&lt;&gt;0,'Técnicas de Ki'!M81+TS!$P186,0)*$P186/$P186,0))</f>
        <v>0</v>
      </c>
      <c r="AD186" s="538">
        <f>IF('Técnicas de Ki'!B81=0,0,IFERROR(IF('Técnicas de Ki'!N81&lt;&gt;0,'Técnicas de Ki'!N81+TS!$Q186,0)*$Q186/$Q186,0))</f>
        <v>0</v>
      </c>
      <c r="AE186" s="538">
        <f>IF('Técnicas de Ki'!B81=0,0,IFERROR(IF('Técnicas de Ki'!O81&lt;&gt;0,'Técnicas de Ki'!O81+TS!$R186,0)*$R186/$R186,0))</f>
        <v>0</v>
      </c>
      <c r="AF186" s="538">
        <f>IF('Técnicas de Ki'!B81=0,0,IFERROR(IF('Técnicas de Ki'!P81&lt;&gt;0,'Técnicas de Ki'!P81+TS!$S186,0)*$S186/$S186,0))</f>
        <v>0</v>
      </c>
      <c r="AG186" s="539">
        <f>IF('Técnicas de Ki'!B81=0,0,IFERROR(IF('Técnicas de Ki'!Q81&lt;&gt;0,'Técnicas de Ki'!Q81+TS!$T186,0)*$T186/$T186,0))</f>
        <v>0</v>
      </c>
      <c r="AI186" s="571" t="str">
        <f>IF('Técnicas de Ki'!B89&lt;&gt;0,'Técnicas de Ki'!A89&amp;" "&amp;'Técnicas de Ki'!B89,"")</f>
        <v/>
      </c>
      <c r="AJ186" s="302" t="b">
        <f t="shared" ref="AJ186:AJ219" si="41">OR(AJ185,AI185&lt;&gt;"")</f>
        <v>0</v>
      </c>
      <c r="AK186" s="302" t="str">
        <f t="shared" si="37"/>
        <v/>
      </c>
      <c r="AQ186" s="537">
        <f>IF('Técnicas de Ki'!W81=0,0,IF('Técnicas de Ki'!AD81=TS!AQ$119,'Técnicas de Ki'!X81-(IF($O186&lt;&gt;0,'Técnicas de Ki'!AG81,0)+IF($P186&lt;&gt;0,'Técnicas de Ki'!AH81,0)+IF($Q186&lt;&gt;0,'Técnicas de Ki'!AI81,0)+IF($R186&lt;&gt;0,'Técnicas de Ki'!AJ81,0)+IF($S186&lt;&gt;0,'Técnicas de Ki'!AK81,0)+IF($T186&lt;&gt;0,'Técnicas de Ki'!AL81,0)),0))</f>
        <v>0</v>
      </c>
      <c r="AR186" s="538">
        <f>IF('Técnicas de Ki'!W81=0,0,IF('Técnicas de Ki'!AD81=TS!AR$119,'Técnicas de Ki'!X81-(IF($O186&lt;&gt;0,'Técnicas de Ki'!AG81,0)+IF($P186&lt;&gt;0,'Técnicas de Ki'!AH81,0)+IF($Q186&lt;&gt;0,'Técnicas de Ki'!AI81,0)+IF($R186&lt;&gt;0,'Técnicas de Ki'!AJ81,0)+IF($S186&lt;&gt;0,'Técnicas de Ki'!AK81,0)+IF($T186&lt;&gt;0,'Técnicas de Ki'!AL81,0)),0))</f>
        <v>0</v>
      </c>
      <c r="AS186" s="538">
        <f>IF('Técnicas de Ki'!W81=0,0,IF('Técnicas de Ki'!AD81=TS!AS$119,'Técnicas de Ki'!X81-(IF($O186&lt;&gt;0,'Técnicas de Ki'!AG81,0)+IF($P186&lt;&gt;0,'Técnicas de Ki'!AH81,0)+IF($Q186&lt;&gt;0,'Técnicas de Ki'!AI81,0)+IF($R186&lt;&gt;0,'Técnicas de Ki'!AJ81,0)+IF($S186&lt;&gt;0,'Técnicas de Ki'!AK81,0)+IF($T186&lt;&gt;0,'Técnicas de Ki'!AL81,0)),0))</f>
        <v>0</v>
      </c>
      <c r="AT186" s="538">
        <f>IF('Técnicas de Ki'!W81=0,0,IF('Técnicas de Ki'!AD81=TS!AT$119,'Técnicas de Ki'!X81-(IF($O186&lt;&gt;0,'Técnicas de Ki'!AG81,0)+IF($P186&lt;&gt;0,'Técnicas de Ki'!AH81,0)+IF($Q186&lt;&gt;0,'Técnicas de Ki'!AI81,0)+IF($R186&lt;&gt;0,'Técnicas de Ki'!AJ81,0)+IF($S186&lt;&gt;0,'Técnicas de Ki'!AK81,0)+IF($T186&lt;&gt;0,'Técnicas de Ki'!AL81,0)),0))</f>
        <v>0</v>
      </c>
      <c r="AU186" s="538">
        <f>IF('Técnicas de Ki'!W81=0,0,IF('Técnicas de Ki'!AD81=TS!AU$119,'Técnicas de Ki'!X81-(IF($O186&lt;&gt;0,'Técnicas de Ki'!AG81,0)+IF($P186&lt;&gt;0,'Técnicas de Ki'!AH81,0)+IF($Q186&lt;&gt;0,'Técnicas de Ki'!AI81,0)+IF($R186&lt;&gt;0,'Técnicas de Ki'!AJ81,0)+IF($S186&lt;&gt;0,'Técnicas de Ki'!AK81,0)+IF($T186&lt;&gt;0,'Técnicas de Ki'!AL81,0)),0))</f>
        <v>0</v>
      </c>
      <c r="AV186" s="539">
        <f>IF('Técnicas de Ki'!W81=0,0,IF('Técnicas de Ki'!AD81=TS!AV$119,'Técnicas de Ki'!X81-(IF($O186&lt;&gt;0,'Técnicas de Ki'!AG81,0)+IF($P186&lt;&gt;0,'Técnicas de Ki'!AH81,0)+IF($Q186&lt;&gt;0,'Técnicas de Ki'!AI81,0)+IF($R186&lt;&gt;0,'Técnicas de Ki'!AJ81,0)+IF($S186&lt;&gt;0,'Técnicas de Ki'!AK81,0)+IF($T186&lt;&gt;0,'Técnicas de Ki'!AL81,0)),0))</f>
        <v>0</v>
      </c>
      <c r="AW186" s="538">
        <f>IF('Técnicas de Ki'!W81=0,0,IFERROR(IF('Técnicas de Ki'!AG81&lt;&gt;0,'Técnicas de Ki'!AG81+TS!$O186,0)*$O186/$O186,0))</f>
        <v>0</v>
      </c>
      <c r="AX186" s="538">
        <f>IF('Técnicas de Ki'!W81=0,0,IFERROR(IF('Técnicas de Ki'!AH81&lt;&gt;0,'Técnicas de Ki'!AH81+TS!$P186,0)*$P186/$P186,0))</f>
        <v>0</v>
      </c>
      <c r="AY186" s="538">
        <f>IF('Técnicas de Ki'!W81=0,0,IFERROR(IF('Técnicas de Ki'!AI81&lt;&gt;0,'Técnicas de Ki'!AI81+TS!$Q186,0)*$Q186/$Q186,0))</f>
        <v>0</v>
      </c>
      <c r="AZ186" s="538">
        <f>IF('Técnicas de Ki'!W81=0,0,IFERROR(IF('Técnicas de Ki'!AJ81&lt;&gt;0,'Técnicas de Ki'!AJ81+TS!$R186,0)*$R186/$R186,0))</f>
        <v>0</v>
      </c>
      <c r="BA186" s="538">
        <f>IF('Técnicas de Ki'!W81=0,0,IFERROR(IF('Técnicas de Ki'!AK81&lt;&gt;0,'Técnicas de Ki'!AK81+TS!$S186,0)*$S186/$S186,0))</f>
        <v>0</v>
      </c>
      <c r="BB186" s="539">
        <f>IF('Técnicas de Ki'!W81=0,0,IFERROR(IF('Técnicas de Ki'!AL81&lt;&gt;0,'Técnicas de Ki'!AL81+TS!$T186,0)*$T186/$T186,0))</f>
        <v>0</v>
      </c>
      <c r="BD186" s="571" t="str">
        <f>IF('Técnicas de Ki'!W89&lt;&gt;0,'Técnicas de Ki'!V89&amp;" "&amp;'Técnicas de Ki'!W89,"")</f>
        <v/>
      </c>
      <c r="BE186" s="302" t="b">
        <f t="shared" si="34"/>
        <v>0</v>
      </c>
      <c r="BF186" s="302" t="str">
        <f t="shared" si="38"/>
        <v/>
      </c>
      <c r="BL186" s="537">
        <f>IF('Técnicas de Ki'!AR81=0,0,IF('Técnicas de Ki'!AY81=TS!BL$119,'Técnicas de Ki'!AS81-(IF($O186&lt;&gt;0,'Técnicas de Ki'!BB81,0)+IF($P186&lt;&gt;0,'Técnicas de Ki'!BC81,0)+IF($Q186&lt;&gt;0,'Técnicas de Ki'!BD81,0)+IF($R186&lt;&gt;0,'Técnicas de Ki'!BE81,0)+IF($S186&lt;&gt;0,'Técnicas de Ki'!BF81,0)+IF($T186&lt;&gt;0,'Técnicas de Ki'!BG81,0)),0))</f>
        <v>0</v>
      </c>
      <c r="BM186" s="538">
        <f>IF('Técnicas de Ki'!AR81=0,0,IF('Técnicas de Ki'!AY81=TS!BM$119,'Técnicas de Ki'!AS81-(IF($O186&lt;&gt;0,'Técnicas de Ki'!BB81,0)+IF($P186&lt;&gt;0,'Técnicas de Ki'!BC81,0)+IF($Q186&lt;&gt;0,'Técnicas de Ki'!BD81,0)+IF($R186&lt;&gt;0,'Técnicas de Ki'!BE81,0)+IF($S186&lt;&gt;0,'Técnicas de Ki'!BF81,0)+IF($T186&lt;&gt;0,'Técnicas de Ki'!BG81,0)),0))</f>
        <v>0</v>
      </c>
      <c r="BN186" s="538">
        <f>IF('Técnicas de Ki'!AR81=0,0,IF('Técnicas de Ki'!AY81=TS!BN$119,'Técnicas de Ki'!AS81-(IF($O186&lt;&gt;0,'Técnicas de Ki'!BB81,0)+IF($P186&lt;&gt;0,'Técnicas de Ki'!BC81,0)+IF($Q186&lt;&gt;0,'Técnicas de Ki'!BD81,0)+IF($R186&lt;&gt;0,'Técnicas de Ki'!BE81,0)+IF($S186&lt;&gt;0,'Técnicas de Ki'!BF81,0)+IF($T186&lt;&gt;0,'Técnicas de Ki'!BG81,0)),0))</f>
        <v>0</v>
      </c>
      <c r="BO186" s="538">
        <f>IF('Técnicas de Ki'!AR81=0,0,IF('Técnicas de Ki'!AY81=TS!BO$119,'Técnicas de Ki'!AS81-(IF($O186&lt;&gt;0,'Técnicas de Ki'!BB81,0)+IF($P186&lt;&gt;0,'Técnicas de Ki'!BC81,0)+IF($Q186&lt;&gt;0,'Técnicas de Ki'!BD81,0)+IF($R186&lt;&gt;0,'Técnicas de Ki'!BE81,0)+IF($S186&lt;&gt;0,'Técnicas de Ki'!BF81,0)+IF($T186&lt;&gt;0,'Técnicas de Ki'!BG81,0)),0))</f>
        <v>0</v>
      </c>
      <c r="BP186" s="538">
        <f>IF('Técnicas de Ki'!AR81=0,0,IF('Técnicas de Ki'!AY81=TS!BP$119,'Técnicas de Ki'!AS81-(IF($O186&lt;&gt;0,'Técnicas de Ki'!BB81,0)+IF($P186&lt;&gt;0,'Técnicas de Ki'!BC81,0)+IF($Q186&lt;&gt;0,'Técnicas de Ki'!BD81,0)+IF($R186&lt;&gt;0,'Técnicas de Ki'!BE81,0)+IF($S186&lt;&gt;0,'Técnicas de Ki'!BF81,0)+IF($T186&lt;&gt;0,'Técnicas de Ki'!BG81,0)),0))</f>
        <v>0</v>
      </c>
      <c r="BQ186" s="539">
        <f>IF('Técnicas de Ki'!AR81=0,0,IF('Técnicas de Ki'!AY81=TS!BQ$119,'Técnicas de Ki'!AS81-(IF($O186&lt;&gt;0,'Técnicas de Ki'!BB81,0)+IF($P186&lt;&gt;0,'Técnicas de Ki'!BC81,0)+IF($Q186&lt;&gt;0,'Técnicas de Ki'!BD81,0)+IF($R186&lt;&gt;0,'Técnicas de Ki'!BE81,0)+IF($S186&lt;&gt;0,'Técnicas de Ki'!BF81,0)+IF($T186&lt;&gt;0,'Técnicas de Ki'!BG81,0)),0))</f>
        <v>0</v>
      </c>
      <c r="BR186" s="538">
        <f>IF('Técnicas de Ki'!AR81=0,0,IFERROR(IF('Técnicas de Ki'!BB81&lt;&gt;0,'Técnicas de Ki'!BB81+TS!$O186,0)*$O186/$O186,0))</f>
        <v>0</v>
      </c>
      <c r="BS186" s="538">
        <f>IF('Técnicas de Ki'!AR81=0,0,IFERROR(IF('Técnicas de Ki'!BC81&lt;&gt;0,'Técnicas de Ki'!BC81+TS!$P186,0)*$P186/$P186,0))</f>
        <v>0</v>
      </c>
      <c r="BT186" s="538">
        <f>IF('Técnicas de Ki'!AR81=0,0,IFERROR(IF('Técnicas de Ki'!BD81&lt;&gt;0,'Técnicas de Ki'!BD81+TS!$Q186,0)*$Q186/$Q186,0))</f>
        <v>0</v>
      </c>
      <c r="BU186" s="538">
        <f>IF('Técnicas de Ki'!AR81=0,0,IFERROR(IF('Técnicas de Ki'!BE81&lt;&gt;0,'Técnicas de Ki'!BE81+TS!$R186,0)*$R186/$R186,0))</f>
        <v>0</v>
      </c>
      <c r="BV186" s="538">
        <f>IF('Técnicas de Ki'!AR81=0,0,IFERROR(IF('Técnicas de Ki'!BF81&lt;&gt;0,'Técnicas de Ki'!BF81+TS!$S186,0)*$S186/$S186,0))</f>
        <v>0</v>
      </c>
      <c r="BW186" s="539">
        <f>IF('Técnicas de Ki'!AR81=0,0,IFERROR(IF('Técnicas de Ki'!BG81&lt;&gt;0,'Técnicas de Ki'!BG81+TS!$T186,0)*$T186/$T186,0))</f>
        <v>0</v>
      </c>
      <c r="BY186" s="571" t="str">
        <f>IF('Técnicas de Ki'!AR89&lt;&gt;0,'Técnicas de Ki'!AQ89&amp;" "&amp;'Técnicas de Ki'!AR89,"")</f>
        <v/>
      </c>
      <c r="BZ186" s="302" t="b">
        <f t="shared" si="35"/>
        <v>0</v>
      </c>
      <c r="CA186" s="302" t="str">
        <f t="shared" si="39"/>
        <v/>
      </c>
      <c r="CG186" s="537">
        <f>IF('Técnicas de Ki'!BM81=0,0,IF('Técnicas de Ki'!BT81=TS!CG$119,'Técnicas de Ki'!BN81-(IF($O186&lt;&gt;0,'Técnicas de Ki'!BW81,0)+IF($P186&lt;&gt;0,'Técnicas de Ki'!BX81,0)+IF($Q186&lt;&gt;0,'Técnicas de Ki'!BY81,0)+IF($R186&lt;&gt;0,'Técnicas de Ki'!BZ81,0)+IF($S186&lt;&gt;0,'Técnicas de Ki'!CA81,0)+IF($T186&lt;&gt;0,'Técnicas de Ki'!CB81,0)),0))</f>
        <v>0</v>
      </c>
      <c r="CH186" s="538">
        <f>IF('Técnicas de Ki'!BM81=0,0,IF('Técnicas de Ki'!BT81=TS!CH$119,'Técnicas de Ki'!BN81-(IF($O186&lt;&gt;0,'Técnicas de Ki'!BW81,0)+IF($P186&lt;&gt;0,'Técnicas de Ki'!BX81,0)+IF($Q186&lt;&gt;0,'Técnicas de Ki'!BY81,0)+IF($R186&lt;&gt;0,'Técnicas de Ki'!BZ81,0)+IF($S186&lt;&gt;0,'Técnicas de Ki'!CA81,0)+IF($T186&lt;&gt;0,'Técnicas de Ki'!CB81,0)),0))</f>
        <v>0</v>
      </c>
      <c r="CI186" s="538">
        <f>IF('Técnicas de Ki'!BM81=0,0,IF('Técnicas de Ki'!BT81=TS!CI$119,'Técnicas de Ki'!BN81-(IF($O186&lt;&gt;0,'Técnicas de Ki'!BW81,0)+IF($P186&lt;&gt;0,'Técnicas de Ki'!BX81,0)+IF($Q186&lt;&gt;0,'Técnicas de Ki'!BY81,0)+IF($R186&lt;&gt;0,'Técnicas de Ki'!BZ81,0)+IF($S186&lt;&gt;0,'Técnicas de Ki'!CA81,0)+IF($T186&lt;&gt;0,'Técnicas de Ki'!CB81,0)),0))</f>
        <v>0</v>
      </c>
      <c r="CJ186" s="538">
        <f>IF('Técnicas de Ki'!BM81=0,0,IF('Técnicas de Ki'!BT81=TS!CJ$119,'Técnicas de Ki'!BN81-(IF($O186&lt;&gt;0,'Técnicas de Ki'!BW81,0)+IF($P186&lt;&gt;0,'Técnicas de Ki'!BX81,0)+IF($Q186&lt;&gt;0,'Técnicas de Ki'!BY81,0)+IF($R186&lt;&gt;0,'Técnicas de Ki'!BZ81,0)+IF($S186&lt;&gt;0,'Técnicas de Ki'!CA81,0)+IF($T186&lt;&gt;0,'Técnicas de Ki'!CB81,0)),0))</f>
        <v>0</v>
      </c>
      <c r="CK186" s="538">
        <f>IF('Técnicas de Ki'!BM81=0,0,IF('Técnicas de Ki'!BT81=TS!CK$119,'Técnicas de Ki'!BN81-(IF($O186&lt;&gt;0,'Técnicas de Ki'!BW81,0)+IF($P186&lt;&gt;0,'Técnicas de Ki'!BX81,0)+IF($Q186&lt;&gt;0,'Técnicas de Ki'!BY81,0)+IF($R186&lt;&gt;0,'Técnicas de Ki'!BZ81,0)+IF($S186&lt;&gt;0,'Técnicas de Ki'!CA81,0)+IF($T186&lt;&gt;0,'Técnicas de Ki'!CB81,0)),0))</f>
        <v>0</v>
      </c>
      <c r="CL186" s="539">
        <f>IF('Técnicas de Ki'!BM81=0,0,IF('Técnicas de Ki'!BT81=TS!CL$119,'Técnicas de Ki'!BN81-(IF($O186&lt;&gt;0,'Técnicas de Ki'!BW81,0)+IF($P186&lt;&gt;0,'Técnicas de Ki'!BX81,0)+IF($Q186&lt;&gt;0,'Técnicas de Ki'!BY81,0)+IF($R186&lt;&gt;0,'Técnicas de Ki'!BZ81,0)+IF($S186&lt;&gt;0,'Técnicas de Ki'!CA81,0)+IF($T186&lt;&gt;0,'Técnicas de Ki'!CB81,0)),0))</f>
        <v>0</v>
      </c>
      <c r="CM186" s="538">
        <f>IF('Técnicas de Ki'!BM81=0,0,IFERROR(IF('Técnicas de Ki'!BW81&lt;&gt;0,'Técnicas de Ki'!BW81+TS!$O186,0)*$O186/$O186,0))</f>
        <v>0</v>
      </c>
      <c r="CN186" s="538">
        <f>IF('Técnicas de Ki'!BM81=0,0,IFERROR(IF('Técnicas de Ki'!BX81&lt;&gt;0,'Técnicas de Ki'!BX81+TS!$P186,0)*$P186/$P186,0))</f>
        <v>0</v>
      </c>
      <c r="CO186" s="538">
        <f>IF('Técnicas de Ki'!BM81=0,0,IFERROR(IF('Técnicas de Ki'!BY81&lt;&gt;0,'Técnicas de Ki'!BY81+TS!$Q186,0)*$Q186/$Q186,0))</f>
        <v>0</v>
      </c>
      <c r="CP186" s="538">
        <f>IF('Técnicas de Ki'!BM81=0,0,IFERROR(IF('Técnicas de Ki'!BZ81&lt;&gt;0,'Técnicas de Ki'!BZ81+TS!$R186,0)*$R186/$R186,0))</f>
        <v>0</v>
      </c>
      <c r="CQ186" s="538">
        <f>IF('Técnicas de Ki'!BM81=0,0,IFERROR(IF('Técnicas de Ki'!CA81&lt;&gt;0,'Técnicas de Ki'!CA81+TS!$S186,0)*$S186/$S186,0))</f>
        <v>0</v>
      </c>
      <c r="CR186" s="539">
        <f>IF('Técnicas de Ki'!BM81=0,0,IFERROR(IF('Técnicas de Ki'!CB81&lt;&gt;0,'Técnicas de Ki'!CB81+TS!$T186,0)*$T186/$T186,0))</f>
        <v>0</v>
      </c>
      <c r="CT186" s="571" t="str">
        <f>IF('Técnicas de Ki'!BM89&lt;&gt;0,'Técnicas de Ki'!BL89&amp;" "&amp;'Técnicas de Ki'!BM89,"")</f>
        <v/>
      </c>
      <c r="CU186" s="302" t="b">
        <f t="shared" si="36"/>
        <v>0</v>
      </c>
      <c r="CV186" s="302" t="str">
        <f t="shared" si="40"/>
        <v/>
      </c>
    </row>
    <row r="187" spans="1:102" x14ac:dyDescent="0.2">
      <c r="A187" s="302" t="s">
        <v>6867</v>
      </c>
      <c r="B187" s="301" t="s">
        <v>6875</v>
      </c>
      <c r="C187" s="301" t="str">
        <f t="shared" si="15"/>
        <v>Ataque adicional limitado+6</v>
      </c>
      <c r="D187" s="302">
        <v>18</v>
      </c>
      <c r="E187" s="302">
        <v>22</v>
      </c>
      <c r="F187" s="302">
        <v>40</v>
      </c>
      <c r="G187" s="302">
        <v>8</v>
      </c>
      <c r="H187" s="302">
        <v>16</v>
      </c>
      <c r="I187" s="302">
        <v>28</v>
      </c>
      <c r="J187" s="302">
        <v>2</v>
      </c>
      <c r="N187" t="s">
        <v>6954</v>
      </c>
      <c r="O187" s="302">
        <v>2</v>
      </c>
      <c r="Q187" s="302">
        <v>3</v>
      </c>
      <c r="R187" s="302">
        <v>2</v>
      </c>
      <c r="T187" s="302">
        <v>1</v>
      </c>
      <c r="V187" s="537">
        <f>IF('Técnicas de Ki'!B82=0,0,IF('Técnicas de Ki'!I82=TS!V$119,'Técnicas de Ki'!C82-(IF($O187&lt;&gt;0,'Técnicas de Ki'!L82,0)+IF($P187&lt;&gt;0,'Técnicas de Ki'!M82,0)+IF($Q187&lt;&gt;0,'Técnicas de Ki'!N82,0)+IF($R187&lt;&gt;0,'Técnicas de Ki'!O82,0)+IF($S187&lt;&gt;0,'Técnicas de Ki'!P82,0)+IF($T187&lt;&gt;0,'Técnicas de Ki'!Q82,0)),0))</f>
        <v>0</v>
      </c>
      <c r="W187" s="538">
        <f>IF('Técnicas de Ki'!B82=0,0,IF('Técnicas de Ki'!I82=TS!W$119,'Técnicas de Ki'!C82-(IF($O187&lt;&gt;0,'Técnicas de Ki'!L82,0)+IF($P187&lt;&gt;0,'Técnicas de Ki'!M82,0)+IF($Q187&lt;&gt;0,'Técnicas de Ki'!N82,0)+IF($R187&lt;&gt;0,'Técnicas de Ki'!O82,0)+IF($S187&lt;&gt;0,'Técnicas de Ki'!P82,0)+IF($T187&lt;&gt;0,'Técnicas de Ki'!Q82,0)),0))</f>
        <v>0</v>
      </c>
      <c r="X187" s="538">
        <f>IF('Técnicas de Ki'!B82=0,0,IF('Técnicas de Ki'!I82=TS!X$119,'Técnicas de Ki'!C82-(IF($O187&lt;&gt;0,'Técnicas de Ki'!L82,0)+IF($P187&lt;&gt;0,'Técnicas de Ki'!M82,0)+IF($Q187&lt;&gt;0,'Técnicas de Ki'!N82,0)+IF($R187&lt;&gt;0,'Técnicas de Ki'!O82,0)+IF($S187&lt;&gt;0,'Técnicas de Ki'!P82,0)+IF($T187&lt;&gt;0,'Técnicas de Ki'!Q82,0)),0))</f>
        <v>0</v>
      </c>
      <c r="Y187" s="538">
        <f>IF('Técnicas de Ki'!B82=0,0,IF('Técnicas de Ki'!I82=TS!Y$119,'Técnicas de Ki'!C82-(IF($O187&lt;&gt;0,'Técnicas de Ki'!L82,0)+IF($P187&lt;&gt;0,'Técnicas de Ki'!M82,0)+IF($Q187&lt;&gt;0,'Técnicas de Ki'!N82,0)+IF($R187&lt;&gt;0,'Técnicas de Ki'!O82,0)+IF($S187&lt;&gt;0,'Técnicas de Ki'!P82,0)+IF($T187&lt;&gt;0,'Técnicas de Ki'!Q82,0)),0))</f>
        <v>0</v>
      </c>
      <c r="Z187" s="538">
        <f>IF('Técnicas de Ki'!B82=0,0,IF('Técnicas de Ki'!I82=TS!Z$119,'Técnicas de Ki'!C82-(IF($O187&lt;&gt;0,'Técnicas de Ki'!L82,0)+IF($P187&lt;&gt;0,'Técnicas de Ki'!M82,0)+IF($Q187&lt;&gt;0,'Técnicas de Ki'!N82,0)+IF($R187&lt;&gt;0,'Técnicas de Ki'!O82,0)+IF($S187&lt;&gt;0,'Técnicas de Ki'!P82,0)+IF($T187&lt;&gt;0,'Técnicas de Ki'!Q82,0)),0))</f>
        <v>0</v>
      </c>
      <c r="AA187" s="539">
        <f>IF('Técnicas de Ki'!B82=0,0,IF('Técnicas de Ki'!I82=TS!AA$119,'Técnicas de Ki'!C82-(IF($O187&lt;&gt;0,'Técnicas de Ki'!L82,0)+IF($P187&lt;&gt;0,'Técnicas de Ki'!M82,0)+IF($Q187&lt;&gt;0,'Técnicas de Ki'!N82,0)+IF($R187&lt;&gt;0,'Técnicas de Ki'!O82,0)+IF($S187&lt;&gt;0,'Técnicas de Ki'!P82,0)+IF($T187&lt;&gt;0,'Técnicas de Ki'!Q82,0)),0))</f>
        <v>0</v>
      </c>
      <c r="AB187" s="538">
        <f>IF('Técnicas de Ki'!B82=0,0,IFERROR(IF('Técnicas de Ki'!L82&lt;&gt;0,'Técnicas de Ki'!L82+TS!$O187,0)*$O187/$O187,0))</f>
        <v>0</v>
      </c>
      <c r="AC187" s="538">
        <f>IF('Técnicas de Ki'!B82=0,0,IFERROR(IF('Técnicas de Ki'!M82&lt;&gt;0,'Técnicas de Ki'!M82+TS!$P187,0)*$P187/$P187,0))</f>
        <v>0</v>
      </c>
      <c r="AD187" s="538">
        <f>IF('Técnicas de Ki'!B82=0,0,IFERROR(IF('Técnicas de Ki'!N82&lt;&gt;0,'Técnicas de Ki'!N82+TS!$Q187,0)*$Q187/$Q187,0))</f>
        <v>0</v>
      </c>
      <c r="AE187" s="538">
        <f>IF('Técnicas de Ki'!B82=0,0,IFERROR(IF('Técnicas de Ki'!O82&lt;&gt;0,'Técnicas de Ki'!O82+TS!$R187,0)*$R187/$R187,0))</f>
        <v>0</v>
      </c>
      <c r="AF187" s="538">
        <f>IF('Técnicas de Ki'!B82=0,0,IFERROR(IF('Técnicas de Ki'!P82&lt;&gt;0,'Técnicas de Ki'!P82+TS!$S187,0)*$S187/$S187,0))</f>
        <v>0</v>
      </c>
      <c r="AG187" s="539">
        <f>IF('Técnicas de Ki'!B82=0,0,IFERROR(IF('Técnicas de Ki'!Q82&lt;&gt;0,'Técnicas de Ki'!Q82+TS!$T187,0)*$T187/$T187,0))</f>
        <v>0</v>
      </c>
      <c r="AI187" s="571" t="str">
        <f>IF('Técnicas de Ki'!B90&lt;&gt;0,'Técnicas de Ki'!A90&amp;" "&amp;'Técnicas de Ki'!B90,"")</f>
        <v/>
      </c>
      <c r="AJ187" s="302" t="b">
        <f t="shared" si="41"/>
        <v>0</v>
      </c>
      <c r="AK187" s="302" t="str">
        <f t="shared" si="37"/>
        <v/>
      </c>
      <c r="AQ187" s="537">
        <f>IF('Técnicas de Ki'!W82=0,0,IF('Técnicas de Ki'!AD82=TS!AQ$119,'Técnicas de Ki'!X82-(IF($O187&lt;&gt;0,'Técnicas de Ki'!AG82,0)+IF($P187&lt;&gt;0,'Técnicas de Ki'!AH82,0)+IF($Q187&lt;&gt;0,'Técnicas de Ki'!AI82,0)+IF($R187&lt;&gt;0,'Técnicas de Ki'!AJ82,0)+IF($S187&lt;&gt;0,'Técnicas de Ki'!AK82,0)+IF($T187&lt;&gt;0,'Técnicas de Ki'!AL82,0)),0))</f>
        <v>0</v>
      </c>
      <c r="AR187" s="538">
        <f>IF('Técnicas de Ki'!W82=0,0,IF('Técnicas de Ki'!AD82=TS!AR$119,'Técnicas de Ki'!X82-(IF($O187&lt;&gt;0,'Técnicas de Ki'!AG82,0)+IF($P187&lt;&gt;0,'Técnicas de Ki'!AH82,0)+IF($Q187&lt;&gt;0,'Técnicas de Ki'!AI82,0)+IF($R187&lt;&gt;0,'Técnicas de Ki'!AJ82,0)+IF($S187&lt;&gt;0,'Técnicas de Ki'!AK82,0)+IF($T187&lt;&gt;0,'Técnicas de Ki'!AL82,0)),0))</f>
        <v>0</v>
      </c>
      <c r="AS187" s="538">
        <f>IF('Técnicas de Ki'!W82=0,0,IF('Técnicas de Ki'!AD82=TS!AS$119,'Técnicas de Ki'!X82-(IF($O187&lt;&gt;0,'Técnicas de Ki'!AG82,0)+IF($P187&lt;&gt;0,'Técnicas de Ki'!AH82,0)+IF($Q187&lt;&gt;0,'Técnicas de Ki'!AI82,0)+IF($R187&lt;&gt;0,'Técnicas de Ki'!AJ82,0)+IF($S187&lt;&gt;0,'Técnicas de Ki'!AK82,0)+IF($T187&lt;&gt;0,'Técnicas de Ki'!AL82,0)),0))</f>
        <v>0</v>
      </c>
      <c r="AT187" s="538">
        <f>IF('Técnicas de Ki'!W82=0,0,IF('Técnicas de Ki'!AD82=TS!AT$119,'Técnicas de Ki'!X82-(IF($O187&lt;&gt;0,'Técnicas de Ki'!AG82,0)+IF($P187&lt;&gt;0,'Técnicas de Ki'!AH82,0)+IF($Q187&lt;&gt;0,'Técnicas de Ki'!AI82,0)+IF($R187&lt;&gt;0,'Técnicas de Ki'!AJ82,0)+IF($S187&lt;&gt;0,'Técnicas de Ki'!AK82,0)+IF($T187&lt;&gt;0,'Técnicas de Ki'!AL82,0)),0))</f>
        <v>0</v>
      </c>
      <c r="AU187" s="538">
        <f>IF('Técnicas de Ki'!W82=0,0,IF('Técnicas de Ki'!AD82=TS!AU$119,'Técnicas de Ki'!X82-(IF($O187&lt;&gt;0,'Técnicas de Ki'!AG82,0)+IF($P187&lt;&gt;0,'Técnicas de Ki'!AH82,0)+IF($Q187&lt;&gt;0,'Técnicas de Ki'!AI82,0)+IF($R187&lt;&gt;0,'Técnicas de Ki'!AJ82,0)+IF($S187&lt;&gt;0,'Técnicas de Ki'!AK82,0)+IF($T187&lt;&gt;0,'Técnicas de Ki'!AL82,0)),0))</f>
        <v>0</v>
      </c>
      <c r="AV187" s="539">
        <f>IF('Técnicas de Ki'!W82=0,0,IF('Técnicas de Ki'!AD82=TS!AV$119,'Técnicas de Ki'!X82-(IF($O187&lt;&gt;0,'Técnicas de Ki'!AG82,0)+IF($P187&lt;&gt;0,'Técnicas de Ki'!AH82,0)+IF($Q187&lt;&gt;0,'Técnicas de Ki'!AI82,0)+IF($R187&lt;&gt;0,'Técnicas de Ki'!AJ82,0)+IF($S187&lt;&gt;0,'Técnicas de Ki'!AK82,0)+IF($T187&lt;&gt;0,'Técnicas de Ki'!AL82,0)),0))</f>
        <v>0</v>
      </c>
      <c r="AW187" s="538">
        <f>IF('Técnicas de Ki'!W82=0,0,IFERROR(IF('Técnicas de Ki'!AG82&lt;&gt;0,'Técnicas de Ki'!AG82+TS!$O187,0)*$O187/$O187,0))</f>
        <v>0</v>
      </c>
      <c r="AX187" s="538">
        <f>IF('Técnicas de Ki'!W82=0,0,IFERROR(IF('Técnicas de Ki'!AH82&lt;&gt;0,'Técnicas de Ki'!AH82+TS!$P187,0)*$P187/$P187,0))</f>
        <v>0</v>
      </c>
      <c r="AY187" s="538">
        <f>IF('Técnicas de Ki'!W82=0,0,IFERROR(IF('Técnicas de Ki'!AI82&lt;&gt;0,'Técnicas de Ki'!AI82+TS!$Q187,0)*$Q187/$Q187,0))</f>
        <v>0</v>
      </c>
      <c r="AZ187" s="538">
        <f>IF('Técnicas de Ki'!W82=0,0,IFERROR(IF('Técnicas de Ki'!AJ82&lt;&gt;0,'Técnicas de Ki'!AJ82+TS!$R187,0)*$R187/$R187,0))</f>
        <v>0</v>
      </c>
      <c r="BA187" s="538">
        <f>IF('Técnicas de Ki'!W82=0,0,IFERROR(IF('Técnicas de Ki'!AK82&lt;&gt;0,'Técnicas de Ki'!AK82+TS!$S187,0)*$S187/$S187,0))</f>
        <v>0</v>
      </c>
      <c r="BB187" s="539">
        <f>IF('Técnicas de Ki'!W82=0,0,IFERROR(IF('Técnicas de Ki'!AL82&lt;&gt;0,'Técnicas de Ki'!AL82+TS!$T187,0)*$T187/$T187,0))</f>
        <v>0</v>
      </c>
      <c r="BD187" s="571" t="str">
        <f>IF('Técnicas de Ki'!W90&lt;&gt;0,'Técnicas de Ki'!V90&amp;" "&amp;'Técnicas de Ki'!W90,"")</f>
        <v/>
      </c>
      <c r="BE187" s="302" t="b">
        <f t="shared" si="34"/>
        <v>0</v>
      </c>
      <c r="BF187" s="302" t="str">
        <f t="shared" si="38"/>
        <v/>
      </c>
      <c r="BL187" s="537">
        <f>IF('Técnicas de Ki'!AR82=0,0,IF('Técnicas de Ki'!AY82=TS!BL$119,'Técnicas de Ki'!AS82-(IF($O187&lt;&gt;0,'Técnicas de Ki'!BB82,0)+IF($P187&lt;&gt;0,'Técnicas de Ki'!BC82,0)+IF($Q187&lt;&gt;0,'Técnicas de Ki'!BD82,0)+IF($R187&lt;&gt;0,'Técnicas de Ki'!BE82,0)+IF($S187&lt;&gt;0,'Técnicas de Ki'!BF82,0)+IF($T187&lt;&gt;0,'Técnicas de Ki'!BG82,0)),0))</f>
        <v>0</v>
      </c>
      <c r="BM187" s="538">
        <f>IF('Técnicas de Ki'!AR82=0,0,IF('Técnicas de Ki'!AY82=TS!BM$119,'Técnicas de Ki'!AS82-(IF($O187&lt;&gt;0,'Técnicas de Ki'!BB82,0)+IF($P187&lt;&gt;0,'Técnicas de Ki'!BC82,0)+IF($Q187&lt;&gt;0,'Técnicas de Ki'!BD82,0)+IF($R187&lt;&gt;0,'Técnicas de Ki'!BE82,0)+IF($S187&lt;&gt;0,'Técnicas de Ki'!BF82,0)+IF($T187&lt;&gt;0,'Técnicas de Ki'!BG82,0)),0))</f>
        <v>0</v>
      </c>
      <c r="BN187" s="538">
        <f>IF('Técnicas de Ki'!AR82=0,0,IF('Técnicas de Ki'!AY82=TS!BN$119,'Técnicas de Ki'!AS82-(IF($O187&lt;&gt;0,'Técnicas de Ki'!BB82,0)+IF($P187&lt;&gt;0,'Técnicas de Ki'!BC82,0)+IF($Q187&lt;&gt;0,'Técnicas de Ki'!BD82,0)+IF($R187&lt;&gt;0,'Técnicas de Ki'!BE82,0)+IF($S187&lt;&gt;0,'Técnicas de Ki'!BF82,0)+IF($T187&lt;&gt;0,'Técnicas de Ki'!BG82,0)),0))</f>
        <v>0</v>
      </c>
      <c r="BO187" s="538">
        <f>IF('Técnicas de Ki'!AR82=0,0,IF('Técnicas de Ki'!AY82=TS!BO$119,'Técnicas de Ki'!AS82-(IF($O187&lt;&gt;0,'Técnicas de Ki'!BB82,0)+IF($P187&lt;&gt;0,'Técnicas de Ki'!BC82,0)+IF($Q187&lt;&gt;0,'Técnicas de Ki'!BD82,0)+IF($R187&lt;&gt;0,'Técnicas de Ki'!BE82,0)+IF($S187&lt;&gt;0,'Técnicas de Ki'!BF82,0)+IF($T187&lt;&gt;0,'Técnicas de Ki'!BG82,0)),0))</f>
        <v>0</v>
      </c>
      <c r="BP187" s="538">
        <f>IF('Técnicas de Ki'!AR82=0,0,IF('Técnicas de Ki'!AY82=TS!BP$119,'Técnicas de Ki'!AS82-(IF($O187&lt;&gt;0,'Técnicas de Ki'!BB82,0)+IF($P187&lt;&gt;0,'Técnicas de Ki'!BC82,0)+IF($Q187&lt;&gt;0,'Técnicas de Ki'!BD82,0)+IF($R187&lt;&gt;0,'Técnicas de Ki'!BE82,0)+IF($S187&lt;&gt;0,'Técnicas de Ki'!BF82,0)+IF($T187&lt;&gt;0,'Técnicas de Ki'!BG82,0)),0))</f>
        <v>0</v>
      </c>
      <c r="BQ187" s="539">
        <f>IF('Técnicas de Ki'!AR82=0,0,IF('Técnicas de Ki'!AY82=TS!BQ$119,'Técnicas de Ki'!AS82-(IF($O187&lt;&gt;0,'Técnicas de Ki'!BB82,0)+IF($P187&lt;&gt;0,'Técnicas de Ki'!BC82,0)+IF($Q187&lt;&gt;0,'Técnicas de Ki'!BD82,0)+IF($R187&lt;&gt;0,'Técnicas de Ki'!BE82,0)+IF($S187&lt;&gt;0,'Técnicas de Ki'!BF82,0)+IF($T187&lt;&gt;0,'Técnicas de Ki'!BG82,0)),0))</f>
        <v>0</v>
      </c>
      <c r="BR187" s="538">
        <f>IF('Técnicas de Ki'!AR82=0,0,IFERROR(IF('Técnicas de Ki'!BB82&lt;&gt;0,'Técnicas de Ki'!BB82+TS!$O187,0)*$O187/$O187,0))</f>
        <v>0</v>
      </c>
      <c r="BS187" s="538">
        <f>IF('Técnicas de Ki'!AR82=0,0,IFERROR(IF('Técnicas de Ki'!BC82&lt;&gt;0,'Técnicas de Ki'!BC82+TS!$P187,0)*$P187/$P187,0))</f>
        <v>0</v>
      </c>
      <c r="BT187" s="538">
        <f>IF('Técnicas de Ki'!AR82=0,0,IFERROR(IF('Técnicas de Ki'!BD82&lt;&gt;0,'Técnicas de Ki'!BD82+TS!$Q187,0)*$Q187/$Q187,0))</f>
        <v>0</v>
      </c>
      <c r="BU187" s="538">
        <f>IF('Técnicas de Ki'!AR82=0,0,IFERROR(IF('Técnicas de Ki'!BE82&lt;&gt;0,'Técnicas de Ki'!BE82+TS!$R187,0)*$R187/$R187,0))</f>
        <v>0</v>
      </c>
      <c r="BV187" s="538">
        <f>IF('Técnicas de Ki'!AR82=0,0,IFERROR(IF('Técnicas de Ki'!BF82&lt;&gt;0,'Técnicas de Ki'!BF82+TS!$S187,0)*$S187/$S187,0))</f>
        <v>0</v>
      </c>
      <c r="BW187" s="539">
        <f>IF('Técnicas de Ki'!AR82=0,0,IFERROR(IF('Técnicas de Ki'!BG82&lt;&gt;0,'Técnicas de Ki'!BG82+TS!$T187,0)*$T187/$T187,0))</f>
        <v>0</v>
      </c>
      <c r="BY187" s="571" t="str">
        <f>IF('Técnicas de Ki'!AR90&lt;&gt;0,'Técnicas de Ki'!AQ90&amp;" "&amp;'Técnicas de Ki'!AR90,"")</f>
        <v/>
      </c>
      <c r="BZ187" s="302" t="b">
        <f t="shared" si="35"/>
        <v>0</v>
      </c>
      <c r="CA187" s="302" t="str">
        <f t="shared" si="39"/>
        <v/>
      </c>
      <c r="CG187" s="537">
        <f>IF('Técnicas de Ki'!BM82=0,0,IF('Técnicas de Ki'!BT82=TS!CG$119,'Técnicas de Ki'!BN82-(IF($O187&lt;&gt;0,'Técnicas de Ki'!BW82,0)+IF($P187&lt;&gt;0,'Técnicas de Ki'!BX82,0)+IF($Q187&lt;&gt;0,'Técnicas de Ki'!BY82,0)+IF($R187&lt;&gt;0,'Técnicas de Ki'!BZ82,0)+IF($S187&lt;&gt;0,'Técnicas de Ki'!CA82,0)+IF($T187&lt;&gt;0,'Técnicas de Ki'!CB82,0)),0))</f>
        <v>0</v>
      </c>
      <c r="CH187" s="538">
        <f>IF('Técnicas de Ki'!BM82=0,0,IF('Técnicas de Ki'!BT82=TS!CH$119,'Técnicas de Ki'!BN82-(IF($O187&lt;&gt;0,'Técnicas de Ki'!BW82,0)+IF($P187&lt;&gt;0,'Técnicas de Ki'!BX82,0)+IF($Q187&lt;&gt;0,'Técnicas de Ki'!BY82,0)+IF($R187&lt;&gt;0,'Técnicas de Ki'!BZ82,0)+IF($S187&lt;&gt;0,'Técnicas de Ki'!CA82,0)+IF($T187&lt;&gt;0,'Técnicas de Ki'!CB82,0)),0))</f>
        <v>0</v>
      </c>
      <c r="CI187" s="538">
        <f>IF('Técnicas de Ki'!BM82=0,0,IF('Técnicas de Ki'!BT82=TS!CI$119,'Técnicas de Ki'!BN82-(IF($O187&lt;&gt;0,'Técnicas de Ki'!BW82,0)+IF($P187&lt;&gt;0,'Técnicas de Ki'!BX82,0)+IF($Q187&lt;&gt;0,'Técnicas de Ki'!BY82,0)+IF($R187&lt;&gt;0,'Técnicas de Ki'!BZ82,0)+IF($S187&lt;&gt;0,'Técnicas de Ki'!CA82,0)+IF($T187&lt;&gt;0,'Técnicas de Ki'!CB82,0)),0))</f>
        <v>0</v>
      </c>
      <c r="CJ187" s="538">
        <f>IF('Técnicas de Ki'!BM82=0,0,IF('Técnicas de Ki'!BT82=TS!CJ$119,'Técnicas de Ki'!BN82-(IF($O187&lt;&gt;0,'Técnicas de Ki'!BW82,0)+IF($P187&lt;&gt;0,'Técnicas de Ki'!BX82,0)+IF($Q187&lt;&gt;0,'Técnicas de Ki'!BY82,0)+IF($R187&lt;&gt;0,'Técnicas de Ki'!BZ82,0)+IF($S187&lt;&gt;0,'Técnicas de Ki'!CA82,0)+IF($T187&lt;&gt;0,'Técnicas de Ki'!CB82,0)),0))</f>
        <v>0</v>
      </c>
      <c r="CK187" s="538">
        <f>IF('Técnicas de Ki'!BM82=0,0,IF('Técnicas de Ki'!BT82=TS!CK$119,'Técnicas de Ki'!BN82-(IF($O187&lt;&gt;0,'Técnicas de Ki'!BW82,0)+IF($P187&lt;&gt;0,'Técnicas de Ki'!BX82,0)+IF($Q187&lt;&gt;0,'Técnicas de Ki'!BY82,0)+IF($R187&lt;&gt;0,'Técnicas de Ki'!BZ82,0)+IF($S187&lt;&gt;0,'Técnicas de Ki'!CA82,0)+IF($T187&lt;&gt;0,'Técnicas de Ki'!CB82,0)),0))</f>
        <v>0</v>
      </c>
      <c r="CL187" s="539">
        <f>IF('Técnicas de Ki'!BM82=0,0,IF('Técnicas de Ki'!BT82=TS!CL$119,'Técnicas de Ki'!BN82-(IF($O187&lt;&gt;0,'Técnicas de Ki'!BW82,0)+IF($P187&lt;&gt;0,'Técnicas de Ki'!BX82,0)+IF($Q187&lt;&gt;0,'Técnicas de Ki'!BY82,0)+IF($R187&lt;&gt;0,'Técnicas de Ki'!BZ82,0)+IF($S187&lt;&gt;0,'Técnicas de Ki'!CA82,0)+IF($T187&lt;&gt;0,'Técnicas de Ki'!CB82,0)),0))</f>
        <v>0</v>
      </c>
      <c r="CM187" s="538">
        <f>IF('Técnicas de Ki'!BM82=0,0,IFERROR(IF('Técnicas de Ki'!BW82&lt;&gt;0,'Técnicas de Ki'!BW82+TS!$O187,0)*$O187/$O187,0))</f>
        <v>0</v>
      </c>
      <c r="CN187" s="538">
        <f>IF('Técnicas de Ki'!BM82=0,0,IFERROR(IF('Técnicas de Ki'!BX82&lt;&gt;0,'Técnicas de Ki'!BX82+TS!$P187,0)*$P187/$P187,0))</f>
        <v>0</v>
      </c>
      <c r="CO187" s="538">
        <f>IF('Técnicas de Ki'!BM82=0,0,IFERROR(IF('Técnicas de Ki'!BY82&lt;&gt;0,'Técnicas de Ki'!BY82+TS!$Q187,0)*$Q187/$Q187,0))</f>
        <v>0</v>
      </c>
      <c r="CP187" s="538">
        <f>IF('Técnicas de Ki'!BM82=0,0,IFERROR(IF('Técnicas de Ki'!BZ82&lt;&gt;0,'Técnicas de Ki'!BZ82+TS!$R187,0)*$R187/$R187,0))</f>
        <v>0</v>
      </c>
      <c r="CQ187" s="538">
        <f>IF('Técnicas de Ki'!BM82=0,0,IFERROR(IF('Técnicas de Ki'!CA82&lt;&gt;0,'Técnicas de Ki'!CA82+TS!$S187,0)*$S187/$S187,0))</f>
        <v>0</v>
      </c>
      <c r="CR187" s="539">
        <f>IF('Técnicas de Ki'!BM82=0,0,IFERROR(IF('Técnicas de Ki'!CB82&lt;&gt;0,'Técnicas de Ki'!CB82+TS!$T187,0)*$T187/$T187,0))</f>
        <v>0</v>
      </c>
      <c r="CT187" s="571" t="str">
        <f>IF('Técnicas de Ki'!BM90&lt;&gt;0,'Técnicas de Ki'!BL90&amp;" "&amp;'Técnicas de Ki'!BM90,"")</f>
        <v/>
      </c>
      <c r="CU187" s="302" t="b">
        <f t="shared" si="36"/>
        <v>0</v>
      </c>
      <c r="CV187" s="302" t="str">
        <f t="shared" si="40"/>
        <v/>
      </c>
    </row>
    <row r="188" spans="1:102" x14ac:dyDescent="0.2">
      <c r="A188" s="302" t="s">
        <v>6867</v>
      </c>
      <c r="B188" s="301" t="s">
        <v>6876</v>
      </c>
      <c r="C188" s="301" t="str">
        <f t="shared" si="15"/>
        <v>Ataque adicional limitado+8</v>
      </c>
      <c r="D188" s="302">
        <v>22</v>
      </c>
      <c r="E188" s="302">
        <v>26</v>
      </c>
      <c r="F188" s="302">
        <v>50</v>
      </c>
      <c r="G188" s="302">
        <v>10</v>
      </c>
      <c r="H188" s="302">
        <v>20</v>
      </c>
      <c r="I188" s="302">
        <v>35</v>
      </c>
      <c r="J188" s="302">
        <v>2</v>
      </c>
      <c r="N188" t="s">
        <v>6955</v>
      </c>
      <c r="P188" s="302">
        <v>4</v>
      </c>
      <c r="Q188" s="302">
        <v>4</v>
      </c>
      <c r="R188" s="302">
        <v>4</v>
      </c>
      <c r="S188" s="302">
        <v>1</v>
      </c>
      <c r="V188" s="537">
        <f>IF('Técnicas de Ki'!B83=0,0,IF('Técnicas de Ki'!I83=TS!V$119,'Técnicas de Ki'!C83-(IF($O188&lt;&gt;0,'Técnicas de Ki'!L83,0)+IF($P188&lt;&gt;0,'Técnicas de Ki'!M83,0)+IF($Q188&lt;&gt;0,'Técnicas de Ki'!N83,0)+IF($R188&lt;&gt;0,'Técnicas de Ki'!O83,0)+IF($S188&lt;&gt;0,'Técnicas de Ki'!P83,0)+IF($T188&lt;&gt;0,'Técnicas de Ki'!Q83,0)),0))</f>
        <v>0</v>
      </c>
      <c r="W188" s="538">
        <f>IF('Técnicas de Ki'!B83=0,0,IF('Técnicas de Ki'!I83=TS!W$119,'Técnicas de Ki'!C83-(IF($O188&lt;&gt;0,'Técnicas de Ki'!L83,0)+IF($P188&lt;&gt;0,'Técnicas de Ki'!M83,0)+IF($Q188&lt;&gt;0,'Técnicas de Ki'!N83,0)+IF($R188&lt;&gt;0,'Técnicas de Ki'!O83,0)+IF($S188&lt;&gt;0,'Técnicas de Ki'!P83,0)+IF($T188&lt;&gt;0,'Técnicas de Ki'!Q83,0)),0))</f>
        <v>0</v>
      </c>
      <c r="X188" s="538">
        <f>IF('Técnicas de Ki'!B83=0,0,IF('Técnicas de Ki'!I83=TS!X$119,'Técnicas de Ki'!C83-(IF($O188&lt;&gt;0,'Técnicas de Ki'!L83,0)+IF($P188&lt;&gt;0,'Técnicas de Ki'!M83,0)+IF($Q188&lt;&gt;0,'Técnicas de Ki'!N83,0)+IF($R188&lt;&gt;0,'Técnicas de Ki'!O83,0)+IF($S188&lt;&gt;0,'Técnicas de Ki'!P83,0)+IF($T188&lt;&gt;0,'Técnicas de Ki'!Q83,0)),0))</f>
        <v>0</v>
      </c>
      <c r="Y188" s="538">
        <f>IF('Técnicas de Ki'!B83=0,0,IF('Técnicas de Ki'!I83=TS!Y$119,'Técnicas de Ki'!C83-(IF($O188&lt;&gt;0,'Técnicas de Ki'!L83,0)+IF($P188&lt;&gt;0,'Técnicas de Ki'!M83,0)+IF($Q188&lt;&gt;0,'Técnicas de Ki'!N83,0)+IF($R188&lt;&gt;0,'Técnicas de Ki'!O83,0)+IF($S188&lt;&gt;0,'Técnicas de Ki'!P83,0)+IF($T188&lt;&gt;0,'Técnicas de Ki'!Q83,0)),0))</f>
        <v>0</v>
      </c>
      <c r="Z188" s="538">
        <f>IF('Técnicas de Ki'!B83=0,0,IF('Técnicas de Ki'!I83=TS!Z$119,'Técnicas de Ki'!C83-(IF($O188&lt;&gt;0,'Técnicas de Ki'!L83,0)+IF($P188&lt;&gt;0,'Técnicas de Ki'!M83,0)+IF($Q188&lt;&gt;0,'Técnicas de Ki'!N83,0)+IF($R188&lt;&gt;0,'Técnicas de Ki'!O83,0)+IF($S188&lt;&gt;0,'Técnicas de Ki'!P83,0)+IF($T188&lt;&gt;0,'Técnicas de Ki'!Q83,0)),0))</f>
        <v>0</v>
      </c>
      <c r="AA188" s="539">
        <f>IF('Técnicas de Ki'!B83=0,0,IF('Técnicas de Ki'!I83=TS!AA$119,'Técnicas de Ki'!C83-(IF($O188&lt;&gt;0,'Técnicas de Ki'!L83,0)+IF($P188&lt;&gt;0,'Técnicas de Ki'!M83,0)+IF($Q188&lt;&gt;0,'Técnicas de Ki'!N83,0)+IF($R188&lt;&gt;0,'Técnicas de Ki'!O83,0)+IF($S188&lt;&gt;0,'Técnicas de Ki'!P83,0)+IF($T188&lt;&gt;0,'Técnicas de Ki'!Q83,0)),0))</f>
        <v>0</v>
      </c>
      <c r="AB188" s="538">
        <f>IF('Técnicas de Ki'!B83=0,0,IFERROR(IF('Técnicas de Ki'!L83&lt;&gt;0,'Técnicas de Ki'!L83+TS!$O188,0)*$O188/$O188,0))</f>
        <v>0</v>
      </c>
      <c r="AC188" s="538">
        <f>IF('Técnicas de Ki'!B83=0,0,IFERROR(IF('Técnicas de Ki'!M83&lt;&gt;0,'Técnicas de Ki'!M83+TS!$P188,0)*$P188/$P188,0))</f>
        <v>0</v>
      </c>
      <c r="AD188" s="538">
        <f>IF('Técnicas de Ki'!B83=0,0,IFERROR(IF('Técnicas de Ki'!N83&lt;&gt;0,'Técnicas de Ki'!N83+TS!$Q188,0)*$Q188/$Q188,0))</f>
        <v>0</v>
      </c>
      <c r="AE188" s="538">
        <f>IF('Técnicas de Ki'!B83=0,0,IFERROR(IF('Técnicas de Ki'!O83&lt;&gt;0,'Técnicas de Ki'!O83+TS!$R188,0)*$R188/$R188,0))</f>
        <v>0</v>
      </c>
      <c r="AF188" s="538">
        <f>IF('Técnicas de Ki'!B83=0,0,IFERROR(IF('Técnicas de Ki'!P83&lt;&gt;0,'Técnicas de Ki'!P83+TS!$S188,0)*$S188/$S188,0))</f>
        <v>0</v>
      </c>
      <c r="AG188" s="539">
        <f>IF('Técnicas de Ki'!B83=0,0,IFERROR(IF('Técnicas de Ki'!Q83&lt;&gt;0,'Técnicas de Ki'!Q83+TS!$T188,0)*$T188/$T188,0))</f>
        <v>0</v>
      </c>
      <c r="AI188" s="571" t="str">
        <f>IF('Técnicas de Ki'!B91&lt;&gt;0,'Técnicas de Ki'!A91&amp;" "&amp;'Técnicas de Ki'!B91,"")</f>
        <v/>
      </c>
      <c r="AJ188" s="302" t="b">
        <f t="shared" si="41"/>
        <v>0</v>
      </c>
      <c r="AK188" s="302" t="str">
        <f t="shared" si="37"/>
        <v/>
      </c>
      <c r="AQ188" s="537">
        <f>IF('Técnicas de Ki'!W83=0,0,IF('Técnicas de Ki'!AD83=TS!AQ$119,'Técnicas de Ki'!X83-(IF($O188&lt;&gt;0,'Técnicas de Ki'!AG83,0)+IF($P188&lt;&gt;0,'Técnicas de Ki'!AH83,0)+IF($Q188&lt;&gt;0,'Técnicas de Ki'!AI83,0)+IF($R188&lt;&gt;0,'Técnicas de Ki'!AJ83,0)+IF($S188&lt;&gt;0,'Técnicas de Ki'!AK83,0)+IF($T188&lt;&gt;0,'Técnicas de Ki'!AL83,0)),0))</f>
        <v>0</v>
      </c>
      <c r="AR188" s="538">
        <f>IF('Técnicas de Ki'!W83=0,0,IF('Técnicas de Ki'!AD83=TS!AR$119,'Técnicas de Ki'!X83-(IF($O188&lt;&gt;0,'Técnicas de Ki'!AG83,0)+IF($P188&lt;&gt;0,'Técnicas de Ki'!AH83,0)+IF($Q188&lt;&gt;0,'Técnicas de Ki'!AI83,0)+IF($R188&lt;&gt;0,'Técnicas de Ki'!AJ83,0)+IF($S188&lt;&gt;0,'Técnicas de Ki'!AK83,0)+IF($T188&lt;&gt;0,'Técnicas de Ki'!AL83,0)),0))</f>
        <v>0</v>
      </c>
      <c r="AS188" s="538">
        <f>IF('Técnicas de Ki'!W83=0,0,IF('Técnicas de Ki'!AD83=TS!AS$119,'Técnicas de Ki'!X83-(IF($O188&lt;&gt;0,'Técnicas de Ki'!AG83,0)+IF($P188&lt;&gt;0,'Técnicas de Ki'!AH83,0)+IF($Q188&lt;&gt;0,'Técnicas de Ki'!AI83,0)+IF($R188&lt;&gt;0,'Técnicas de Ki'!AJ83,0)+IF($S188&lt;&gt;0,'Técnicas de Ki'!AK83,0)+IF($T188&lt;&gt;0,'Técnicas de Ki'!AL83,0)),0))</f>
        <v>0</v>
      </c>
      <c r="AT188" s="538">
        <f>IF('Técnicas de Ki'!W83=0,0,IF('Técnicas de Ki'!AD83=TS!AT$119,'Técnicas de Ki'!X83-(IF($O188&lt;&gt;0,'Técnicas de Ki'!AG83,0)+IF($P188&lt;&gt;0,'Técnicas de Ki'!AH83,0)+IF($Q188&lt;&gt;0,'Técnicas de Ki'!AI83,0)+IF($R188&lt;&gt;0,'Técnicas de Ki'!AJ83,0)+IF($S188&lt;&gt;0,'Técnicas de Ki'!AK83,0)+IF($T188&lt;&gt;0,'Técnicas de Ki'!AL83,0)),0))</f>
        <v>0</v>
      </c>
      <c r="AU188" s="538">
        <f>IF('Técnicas de Ki'!W83=0,0,IF('Técnicas de Ki'!AD83=TS!AU$119,'Técnicas de Ki'!X83-(IF($O188&lt;&gt;0,'Técnicas de Ki'!AG83,0)+IF($P188&lt;&gt;0,'Técnicas de Ki'!AH83,0)+IF($Q188&lt;&gt;0,'Técnicas de Ki'!AI83,0)+IF($R188&lt;&gt;0,'Técnicas de Ki'!AJ83,0)+IF($S188&lt;&gt;0,'Técnicas de Ki'!AK83,0)+IF($T188&lt;&gt;0,'Técnicas de Ki'!AL83,0)),0))</f>
        <v>0</v>
      </c>
      <c r="AV188" s="539">
        <f>IF('Técnicas de Ki'!W83=0,0,IF('Técnicas de Ki'!AD83=TS!AV$119,'Técnicas de Ki'!X83-(IF($O188&lt;&gt;0,'Técnicas de Ki'!AG83,0)+IF($P188&lt;&gt;0,'Técnicas de Ki'!AH83,0)+IF($Q188&lt;&gt;0,'Técnicas de Ki'!AI83,0)+IF($R188&lt;&gt;0,'Técnicas de Ki'!AJ83,0)+IF($S188&lt;&gt;0,'Técnicas de Ki'!AK83,0)+IF($T188&lt;&gt;0,'Técnicas de Ki'!AL83,0)),0))</f>
        <v>0</v>
      </c>
      <c r="AW188" s="538">
        <f>IF('Técnicas de Ki'!W83=0,0,IFERROR(IF('Técnicas de Ki'!AG83&lt;&gt;0,'Técnicas de Ki'!AG83+TS!$O188,0)*$O188/$O188,0))</f>
        <v>0</v>
      </c>
      <c r="AX188" s="538">
        <f>IF('Técnicas de Ki'!W83=0,0,IFERROR(IF('Técnicas de Ki'!AH83&lt;&gt;0,'Técnicas de Ki'!AH83+TS!$P188,0)*$P188/$P188,0))</f>
        <v>0</v>
      </c>
      <c r="AY188" s="538">
        <f>IF('Técnicas de Ki'!W83=0,0,IFERROR(IF('Técnicas de Ki'!AI83&lt;&gt;0,'Técnicas de Ki'!AI83+TS!$Q188,0)*$Q188/$Q188,0))</f>
        <v>0</v>
      </c>
      <c r="AZ188" s="538">
        <f>IF('Técnicas de Ki'!W83=0,0,IFERROR(IF('Técnicas de Ki'!AJ83&lt;&gt;0,'Técnicas de Ki'!AJ83+TS!$R188,0)*$R188/$R188,0))</f>
        <v>0</v>
      </c>
      <c r="BA188" s="538">
        <f>IF('Técnicas de Ki'!W83=0,0,IFERROR(IF('Técnicas de Ki'!AK83&lt;&gt;0,'Técnicas de Ki'!AK83+TS!$S188,0)*$S188/$S188,0))</f>
        <v>0</v>
      </c>
      <c r="BB188" s="539">
        <f>IF('Técnicas de Ki'!W83=0,0,IFERROR(IF('Técnicas de Ki'!AL83&lt;&gt;0,'Técnicas de Ki'!AL83+TS!$T188,0)*$T188/$T188,0))</f>
        <v>0</v>
      </c>
      <c r="BD188" s="571" t="str">
        <f>IF('Técnicas de Ki'!W91&lt;&gt;0,'Técnicas de Ki'!V91&amp;" "&amp;'Técnicas de Ki'!W91,"")</f>
        <v/>
      </c>
      <c r="BE188" s="302" t="b">
        <f t="shared" si="34"/>
        <v>0</v>
      </c>
      <c r="BF188" s="302" t="str">
        <f t="shared" si="38"/>
        <v/>
      </c>
      <c r="BL188" s="537">
        <f>IF('Técnicas de Ki'!AR83=0,0,IF('Técnicas de Ki'!AY83=TS!BL$119,'Técnicas de Ki'!AS83-(IF($O188&lt;&gt;0,'Técnicas de Ki'!BB83,0)+IF($P188&lt;&gt;0,'Técnicas de Ki'!BC83,0)+IF($Q188&lt;&gt;0,'Técnicas de Ki'!BD83,0)+IF($R188&lt;&gt;0,'Técnicas de Ki'!BE83,0)+IF($S188&lt;&gt;0,'Técnicas de Ki'!BF83,0)+IF($T188&lt;&gt;0,'Técnicas de Ki'!BG83,0)),0))</f>
        <v>0</v>
      </c>
      <c r="BM188" s="538">
        <f>IF('Técnicas de Ki'!AR83=0,0,IF('Técnicas de Ki'!AY83=TS!BM$119,'Técnicas de Ki'!AS83-(IF($O188&lt;&gt;0,'Técnicas de Ki'!BB83,0)+IF($P188&lt;&gt;0,'Técnicas de Ki'!BC83,0)+IF($Q188&lt;&gt;0,'Técnicas de Ki'!BD83,0)+IF($R188&lt;&gt;0,'Técnicas de Ki'!BE83,0)+IF($S188&lt;&gt;0,'Técnicas de Ki'!BF83,0)+IF($T188&lt;&gt;0,'Técnicas de Ki'!BG83,0)),0))</f>
        <v>0</v>
      </c>
      <c r="BN188" s="538">
        <f>IF('Técnicas de Ki'!AR83=0,0,IF('Técnicas de Ki'!AY83=TS!BN$119,'Técnicas de Ki'!AS83-(IF($O188&lt;&gt;0,'Técnicas de Ki'!BB83,0)+IF($P188&lt;&gt;0,'Técnicas de Ki'!BC83,0)+IF($Q188&lt;&gt;0,'Técnicas de Ki'!BD83,0)+IF($R188&lt;&gt;0,'Técnicas de Ki'!BE83,0)+IF($S188&lt;&gt;0,'Técnicas de Ki'!BF83,0)+IF($T188&lt;&gt;0,'Técnicas de Ki'!BG83,0)),0))</f>
        <v>0</v>
      </c>
      <c r="BO188" s="538">
        <f>IF('Técnicas de Ki'!AR83=0,0,IF('Técnicas de Ki'!AY83=TS!BO$119,'Técnicas de Ki'!AS83-(IF($O188&lt;&gt;0,'Técnicas de Ki'!BB83,0)+IF($P188&lt;&gt;0,'Técnicas de Ki'!BC83,0)+IF($Q188&lt;&gt;0,'Técnicas de Ki'!BD83,0)+IF($R188&lt;&gt;0,'Técnicas de Ki'!BE83,0)+IF($S188&lt;&gt;0,'Técnicas de Ki'!BF83,0)+IF($T188&lt;&gt;0,'Técnicas de Ki'!BG83,0)),0))</f>
        <v>0</v>
      </c>
      <c r="BP188" s="538">
        <f>IF('Técnicas de Ki'!AR83=0,0,IF('Técnicas de Ki'!AY83=TS!BP$119,'Técnicas de Ki'!AS83-(IF($O188&lt;&gt;0,'Técnicas de Ki'!BB83,0)+IF($P188&lt;&gt;0,'Técnicas de Ki'!BC83,0)+IF($Q188&lt;&gt;0,'Técnicas de Ki'!BD83,0)+IF($R188&lt;&gt;0,'Técnicas de Ki'!BE83,0)+IF($S188&lt;&gt;0,'Técnicas de Ki'!BF83,0)+IF($T188&lt;&gt;0,'Técnicas de Ki'!BG83,0)),0))</f>
        <v>0</v>
      </c>
      <c r="BQ188" s="539">
        <f>IF('Técnicas de Ki'!AR83=0,0,IF('Técnicas de Ki'!AY83=TS!BQ$119,'Técnicas de Ki'!AS83-(IF($O188&lt;&gt;0,'Técnicas de Ki'!BB83,0)+IF($P188&lt;&gt;0,'Técnicas de Ki'!BC83,0)+IF($Q188&lt;&gt;0,'Técnicas de Ki'!BD83,0)+IF($R188&lt;&gt;0,'Técnicas de Ki'!BE83,0)+IF($S188&lt;&gt;0,'Técnicas de Ki'!BF83,0)+IF($T188&lt;&gt;0,'Técnicas de Ki'!BG83,0)),0))</f>
        <v>0</v>
      </c>
      <c r="BR188" s="538">
        <f>IF('Técnicas de Ki'!AR83=0,0,IFERROR(IF('Técnicas de Ki'!BB83&lt;&gt;0,'Técnicas de Ki'!BB83+TS!$O188,0)*$O188/$O188,0))</f>
        <v>0</v>
      </c>
      <c r="BS188" s="538">
        <f>IF('Técnicas de Ki'!AR83=0,0,IFERROR(IF('Técnicas de Ki'!BC83&lt;&gt;0,'Técnicas de Ki'!BC83+TS!$P188,0)*$P188/$P188,0))</f>
        <v>0</v>
      </c>
      <c r="BT188" s="538">
        <f>IF('Técnicas de Ki'!AR83=0,0,IFERROR(IF('Técnicas de Ki'!BD83&lt;&gt;0,'Técnicas de Ki'!BD83+TS!$Q188,0)*$Q188/$Q188,0))</f>
        <v>0</v>
      </c>
      <c r="BU188" s="538">
        <f>IF('Técnicas de Ki'!AR83=0,0,IFERROR(IF('Técnicas de Ki'!BE83&lt;&gt;0,'Técnicas de Ki'!BE83+TS!$R188,0)*$R188/$R188,0))</f>
        <v>0</v>
      </c>
      <c r="BV188" s="538">
        <f>IF('Técnicas de Ki'!AR83=0,0,IFERROR(IF('Técnicas de Ki'!BF83&lt;&gt;0,'Técnicas de Ki'!BF83+TS!$S188,0)*$S188/$S188,0))</f>
        <v>0</v>
      </c>
      <c r="BW188" s="539">
        <f>IF('Técnicas de Ki'!AR83=0,0,IFERROR(IF('Técnicas de Ki'!BG83&lt;&gt;0,'Técnicas de Ki'!BG83+TS!$T188,0)*$T188/$T188,0))</f>
        <v>0</v>
      </c>
      <c r="BY188" s="571" t="str">
        <f>IF('Técnicas de Ki'!AR91&lt;&gt;0,'Técnicas de Ki'!AQ91&amp;" "&amp;'Técnicas de Ki'!AR91,"")</f>
        <v/>
      </c>
      <c r="BZ188" s="302" t="b">
        <f t="shared" si="35"/>
        <v>0</v>
      </c>
      <c r="CA188" s="302" t="str">
        <f t="shared" si="39"/>
        <v/>
      </c>
      <c r="CG188" s="537">
        <f>IF('Técnicas de Ki'!BM83=0,0,IF('Técnicas de Ki'!BT83=TS!CG$119,'Técnicas de Ki'!BN83-(IF($O188&lt;&gt;0,'Técnicas de Ki'!BW83,0)+IF($P188&lt;&gt;0,'Técnicas de Ki'!BX83,0)+IF($Q188&lt;&gt;0,'Técnicas de Ki'!BY83,0)+IF($R188&lt;&gt;0,'Técnicas de Ki'!BZ83,0)+IF($S188&lt;&gt;0,'Técnicas de Ki'!CA83,0)+IF($T188&lt;&gt;0,'Técnicas de Ki'!CB83,0)),0))</f>
        <v>0</v>
      </c>
      <c r="CH188" s="538">
        <f>IF('Técnicas de Ki'!BM83=0,0,IF('Técnicas de Ki'!BT83=TS!CH$119,'Técnicas de Ki'!BN83-(IF($O188&lt;&gt;0,'Técnicas de Ki'!BW83,0)+IF($P188&lt;&gt;0,'Técnicas de Ki'!BX83,0)+IF($Q188&lt;&gt;0,'Técnicas de Ki'!BY83,0)+IF($R188&lt;&gt;0,'Técnicas de Ki'!BZ83,0)+IF($S188&lt;&gt;0,'Técnicas de Ki'!CA83,0)+IF($T188&lt;&gt;0,'Técnicas de Ki'!CB83,0)),0))</f>
        <v>0</v>
      </c>
      <c r="CI188" s="538">
        <f>IF('Técnicas de Ki'!BM83=0,0,IF('Técnicas de Ki'!BT83=TS!CI$119,'Técnicas de Ki'!BN83-(IF($O188&lt;&gt;0,'Técnicas de Ki'!BW83,0)+IF($P188&lt;&gt;0,'Técnicas de Ki'!BX83,0)+IF($Q188&lt;&gt;0,'Técnicas de Ki'!BY83,0)+IF($R188&lt;&gt;0,'Técnicas de Ki'!BZ83,0)+IF($S188&lt;&gt;0,'Técnicas de Ki'!CA83,0)+IF($T188&lt;&gt;0,'Técnicas de Ki'!CB83,0)),0))</f>
        <v>0</v>
      </c>
      <c r="CJ188" s="538">
        <f>IF('Técnicas de Ki'!BM83=0,0,IF('Técnicas de Ki'!BT83=TS!CJ$119,'Técnicas de Ki'!BN83-(IF($O188&lt;&gt;0,'Técnicas de Ki'!BW83,0)+IF($P188&lt;&gt;0,'Técnicas de Ki'!BX83,0)+IF($Q188&lt;&gt;0,'Técnicas de Ki'!BY83,0)+IF($R188&lt;&gt;0,'Técnicas de Ki'!BZ83,0)+IF($S188&lt;&gt;0,'Técnicas de Ki'!CA83,0)+IF($T188&lt;&gt;0,'Técnicas de Ki'!CB83,0)),0))</f>
        <v>0</v>
      </c>
      <c r="CK188" s="538">
        <f>IF('Técnicas de Ki'!BM83=0,0,IF('Técnicas de Ki'!BT83=TS!CK$119,'Técnicas de Ki'!BN83-(IF($O188&lt;&gt;0,'Técnicas de Ki'!BW83,0)+IF($P188&lt;&gt;0,'Técnicas de Ki'!BX83,0)+IF($Q188&lt;&gt;0,'Técnicas de Ki'!BY83,0)+IF($R188&lt;&gt;0,'Técnicas de Ki'!BZ83,0)+IF($S188&lt;&gt;0,'Técnicas de Ki'!CA83,0)+IF($T188&lt;&gt;0,'Técnicas de Ki'!CB83,0)),0))</f>
        <v>0</v>
      </c>
      <c r="CL188" s="539">
        <f>IF('Técnicas de Ki'!BM83=0,0,IF('Técnicas de Ki'!BT83=TS!CL$119,'Técnicas de Ki'!BN83-(IF($O188&lt;&gt;0,'Técnicas de Ki'!BW83,0)+IF($P188&lt;&gt;0,'Técnicas de Ki'!BX83,0)+IF($Q188&lt;&gt;0,'Técnicas de Ki'!BY83,0)+IF($R188&lt;&gt;0,'Técnicas de Ki'!BZ83,0)+IF($S188&lt;&gt;0,'Técnicas de Ki'!CA83,0)+IF($T188&lt;&gt;0,'Técnicas de Ki'!CB83,0)),0))</f>
        <v>0</v>
      </c>
      <c r="CM188" s="538">
        <f>IF('Técnicas de Ki'!BM83=0,0,IFERROR(IF('Técnicas de Ki'!BW83&lt;&gt;0,'Técnicas de Ki'!BW83+TS!$O188,0)*$O188/$O188,0))</f>
        <v>0</v>
      </c>
      <c r="CN188" s="538">
        <f>IF('Técnicas de Ki'!BM83=0,0,IFERROR(IF('Técnicas de Ki'!BX83&lt;&gt;0,'Técnicas de Ki'!BX83+TS!$P188,0)*$P188/$P188,0))</f>
        <v>0</v>
      </c>
      <c r="CO188" s="538">
        <f>IF('Técnicas de Ki'!BM83=0,0,IFERROR(IF('Técnicas de Ki'!BY83&lt;&gt;0,'Técnicas de Ki'!BY83+TS!$Q188,0)*$Q188/$Q188,0))</f>
        <v>0</v>
      </c>
      <c r="CP188" s="538">
        <f>IF('Técnicas de Ki'!BM83=0,0,IFERROR(IF('Técnicas de Ki'!BZ83&lt;&gt;0,'Técnicas de Ki'!BZ83+TS!$R188,0)*$R188/$R188,0))</f>
        <v>0</v>
      </c>
      <c r="CQ188" s="538">
        <f>IF('Técnicas de Ki'!BM83=0,0,IFERROR(IF('Técnicas de Ki'!CA83&lt;&gt;0,'Técnicas de Ki'!CA83+TS!$S188,0)*$S188/$S188,0))</f>
        <v>0</v>
      </c>
      <c r="CR188" s="539">
        <f>IF('Técnicas de Ki'!BM83=0,0,IFERROR(IF('Técnicas de Ki'!CB83&lt;&gt;0,'Técnicas de Ki'!CB83+TS!$T188,0)*$T188/$T188,0))</f>
        <v>0</v>
      </c>
      <c r="CT188" s="571" t="str">
        <f>IF('Técnicas de Ki'!BM91&lt;&gt;0,'Técnicas de Ki'!BL91&amp;" "&amp;'Técnicas de Ki'!BM91,"")</f>
        <v/>
      </c>
      <c r="CU188" s="302" t="b">
        <f t="shared" si="36"/>
        <v>0</v>
      </c>
      <c r="CV188" s="302" t="str">
        <f t="shared" si="40"/>
        <v/>
      </c>
    </row>
    <row r="189" spans="1:102" x14ac:dyDescent="0.2">
      <c r="A189" s="302" t="s">
        <v>6867</v>
      </c>
      <c r="B189" s="301" t="s">
        <v>6799</v>
      </c>
      <c r="C189" s="301" t="str">
        <f t="shared" si="15"/>
        <v>Ataque adicional limitado+10</v>
      </c>
      <c r="D189" s="302">
        <v>26</v>
      </c>
      <c r="E189" s="302">
        <v>32</v>
      </c>
      <c r="F189" s="302">
        <v>60</v>
      </c>
      <c r="G189" s="302">
        <v>12</v>
      </c>
      <c r="H189" s="302">
        <v>24</v>
      </c>
      <c r="I189" s="302">
        <v>42</v>
      </c>
      <c r="J189" s="302">
        <v>3</v>
      </c>
      <c r="N189" s="297" t="s">
        <v>6967</v>
      </c>
      <c r="O189" s="298"/>
      <c r="P189" s="298"/>
      <c r="Q189" s="298"/>
      <c r="R189" s="298"/>
      <c r="S189" s="298"/>
      <c r="T189" s="298"/>
      <c r="V189" s="622"/>
      <c r="W189" s="546"/>
      <c r="X189" s="546"/>
      <c r="Y189" s="546"/>
      <c r="Z189" s="546"/>
      <c r="AA189" s="623"/>
      <c r="AB189" s="615"/>
      <c r="AC189" s="545"/>
      <c r="AD189" s="545"/>
      <c r="AE189" s="545"/>
      <c r="AF189" s="545"/>
      <c r="AG189" s="614"/>
      <c r="AI189" s="571" t="str">
        <f>IF('Técnicas de Ki'!B92&lt;&gt;0,'Técnicas de Ki'!A92&amp;" "&amp;'Técnicas de Ki'!B92,"")</f>
        <v/>
      </c>
      <c r="AJ189" s="302" t="b">
        <f t="shared" si="41"/>
        <v>0</v>
      </c>
      <c r="AK189" s="302" t="str">
        <f t="shared" si="37"/>
        <v/>
      </c>
      <c r="AQ189" s="622"/>
      <c r="AR189" s="546"/>
      <c r="AS189" s="546"/>
      <c r="AT189" s="546"/>
      <c r="AU189" s="546"/>
      <c r="AV189" s="623"/>
      <c r="AW189" s="615"/>
      <c r="AX189" s="545"/>
      <c r="AY189" s="545"/>
      <c r="AZ189" s="545"/>
      <c r="BA189" s="545"/>
      <c r="BB189" s="614"/>
      <c r="BD189" s="571" t="str">
        <f>IF('Técnicas de Ki'!W92&lt;&gt;0,'Técnicas de Ki'!V92&amp;" "&amp;'Técnicas de Ki'!W92,"")</f>
        <v/>
      </c>
      <c r="BE189" s="302" t="b">
        <f t="shared" si="34"/>
        <v>0</v>
      </c>
      <c r="BF189" s="302" t="str">
        <f t="shared" si="38"/>
        <v/>
      </c>
      <c r="BL189" s="622"/>
      <c r="BM189" s="546"/>
      <c r="BN189" s="546"/>
      <c r="BO189" s="546"/>
      <c r="BP189" s="546"/>
      <c r="BQ189" s="623"/>
      <c r="BR189" s="615"/>
      <c r="BS189" s="545"/>
      <c r="BT189" s="545"/>
      <c r="BU189" s="545"/>
      <c r="BV189" s="545"/>
      <c r="BW189" s="614"/>
      <c r="BY189" s="571" t="str">
        <f>IF('Técnicas de Ki'!AR92&lt;&gt;0,'Técnicas de Ki'!AQ92&amp;" "&amp;'Técnicas de Ki'!AR92,"")</f>
        <v/>
      </c>
      <c r="BZ189" s="302" t="b">
        <f t="shared" si="35"/>
        <v>0</v>
      </c>
      <c r="CA189" s="302" t="str">
        <f t="shared" si="39"/>
        <v/>
      </c>
      <c r="CG189" s="622"/>
      <c r="CH189" s="546"/>
      <c r="CI189" s="546"/>
      <c r="CJ189" s="546"/>
      <c r="CK189" s="546"/>
      <c r="CL189" s="623"/>
      <c r="CM189" s="615"/>
      <c r="CN189" s="545"/>
      <c r="CO189" s="545"/>
      <c r="CP189" s="545"/>
      <c r="CQ189" s="545"/>
      <c r="CR189" s="614"/>
      <c r="CT189" s="571" t="str">
        <f>IF('Técnicas de Ki'!BM92&lt;&gt;0,'Técnicas de Ki'!BL92&amp;" "&amp;'Técnicas de Ki'!BM92,"")</f>
        <v/>
      </c>
      <c r="CU189" s="302" t="b">
        <f t="shared" si="36"/>
        <v>0</v>
      </c>
      <c r="CV189" s="302" t="str">
        <f t="shared" si="40"/>
        <v/>
      </c>
    </row>
    <row r="190" spans="1:102" x14ac:dyDescent="0.2">
      <c r="A190" s="302" t="s">
        <v>6864</v>
      </c>
      <c r="B190" s="302" t="s">
        <v>6863</v>
      </c>
      <c r="C190" s="302" t="str">
        <f>A189&amp;A190&amp;B190</f>
        <v>Ataque adicional limitadoVentaja opcional: Ataque continuoAtaque continuo</v>
      </c>
      <c r="D190" s="302">
        <v>10</v>
      </c>
      <c r="E190" s="302">
        <v>10</v>
      </c>
      <c r="F190" s="302">
        <v>30</v>
      </c>
      <c r="G190" s="302">
        <v>5</v>
      </c>
      <c r="H190" s="302">
        <v>10</v>
      </c>
      <c r="I190" s="302">
        <v>18</v>
      </c>
      <c r="J190" s="302">
        <v>1</v>
      </c>
      <c r="N190" t="s">
        <v>6968</v>
      </c>
      <c r="O190" s="302">
        <v>3</v>
      </c>
      <c r="Q190" s="528">
        <v>3</v>
      </c>
      <c r="R190" s="528">
        <v>2</v>
      </c>
      <c r="S190" s="528">
        <v>1</v>
      </c>
      <c r="V190" s="537">
        <f>IF('Técnicas de Ki'!B85=0,0,IF('Técnicas de Ki'!I85=TS!V$119,'Técnicas de Ki'!C85-(IF($O190&lt;&gt;0,'Técnicas de Ki'!L85,0)+IF($P190&lt;&gt;0,'Técnicas de Ki'!M85,0)+IF($Q190&lt;&gt;0,'Técnicas de Ki'!N85,0)+IF($R190&lt;&gt;0,'Técnicas de Ki'!O85,0)+IF($S190&lt;&gt;0,'Técnicas de Ki'!P85,0)+IF($T190&lt;&gt;0,'Técnicas de Ki'!Q85,0)),0))</f>
        <v>0</v>
      </c>
      <c r="W190" s="538">
        <f>IF('Técnicas de Ki'!B85=0,0,IF('Técnicas de Ki'!I85=TS!W$119,'Técnicas de Ki'!C85-(IF($O190&lt;&gt;0,'Técnicas de Ki'!L85,0)+IF($P190&lt;&gt;0,'Técnicas de Ki'!M85,0)+IF($Q190&lt;&gt;0,'Técnicas de Ki'!N85,0)+IF($R190&lt;&gt;0,'Técnicas de Ki'!O85,0)+IF($S190&lt;&gt;0,'Técnicas de Ki'!P85,0)+IF($T190&lt;&gt;0,'Técnicas de Ki'!Q85,0)),0))</f>
        <v>0</v>
      </c>
      <c r="X190" s="538">
        <f>IF('Técnicas de Ki'!B85=0,0,IF('Técnicas de Ki'!I85=TS!X$119,'Técnicas de Ki'!C85-(IF($O190&lt;&gt;0,'Técnicas de Ki'!L85,0)+IF($P190&lt;&gt;0,'Técnicas de Ki'!M85,0)+IF($Q190&lt;&gt;0,'Técnicas de Ki'!N85,0)+IF($R190&lt;&gt;0,'Técnicas de Ki'!O85,0)+IF($S190&lt;&gt;0,'Técnicas de Ki'!P85,0)+IF($T190&lt;&gt;0,'Técnicas de Ki'!Q85,0)),0))</f>
        <v>0</v>
      </c>
      <c r="Y190" s="538">
        <f>IF('Técnicas de Ki'!B85=0,0,IF('Técnicas de Ki'!I85=TS!Y$119,'Técnicas de Ki'!C85-(IF($O190&lt;&gt;0,'Técnicas de Ki'!L85,0)+IF($P190&lt;&gt;0,'Técnicas de Ki'!M85,0)+IF($Q190&lt;&gt;0,'Técnicas de Ki'!N85,0)+IF($R190&lt;&gt;0,'Técnicas de Ki'!O85,0)+IF($S190&lt;&gt;0,'Técnicas de Ki'!P85,0)+IF($T190&lt;&gt;0,'Técnicas de Ki'!Q85,0)),0))</f>
        <v>0</v>
      </c>
      <c r="Z190" s="538">
        <f>IF('Técnicas de Ki'!B85=0,0,IF('Técnicas de Ki'!I85=TS!Z$119,'Técnicas de Ki'!C85-(IF($O190&lt;&gt;0,'Técnicas de Ki'!L85,0)+IF($P190&lt;&gt;0,'Técnicas de Ki'!M85,0)+IF($Q190&lt;&gt;0,'Técnicas de Ki'!N85,0)+IF($R190&lt;&gt;0,'Técnicas de Ki'!O85,0)+IF($S190&lt;&gt;0,'Técnicas de Ki'!P85,0)+IF($T190&lt;&gt;0,'Técnicas de Ki'!Q85,0)),0))</f>
        <v>0</v>
      </c>
      <c r="AA190" s="539">
        <f>IF('Técnicas de Ki'!B85=0,0,IF('Técnicas de Ki'!I85=TS!AA$119,'Técnicas de Ki'!C85-(IF($O190&lt;&gt;0,'Técnicas de Ki'!L85,0)+IF($P190&lt;&gt;0,'Técnicas de Ki'!M85,0)+IF($Q190&lt;&gt;0,'Técnicas de Ki'!N85,0)+IF($R190&lt;&gt;0,'Técnicas de Ki'!O85,0)+IF($S190&lt;&gt;0,'Técnicas de Ki'!P85,0)+IF($T190&lt;&gt;0,'Técnicas de Ki'!Q85,0)),0))</f>
        <v>0</v>
      </c>
      <c r="AB190" s="538">
        <f>IF('Técnicas de Ki'!B85=0,0,IFERROR(IF('Técnicas de Ki'!L85&lt;&gt;0,'Técnicas de Ki'!L85+TS!$O190,0)*$O190/$O190,0))</f>
        <v>0</v>
      </c>
      <c r="AC190" s="538">
        <f>IF('Técnicas de Ki'!B85=0,0,IFERROR(IF('Técnicas de Ki'!M85&lt;&gt;0,'Técnicas de Ki'!M85+TS!$P190,0)*$P190/$P190,0))</f>
        <v>0</v>
      </c>
      <c r="AD190" s="538">
        <f>IF('Técnicas de Ki'!B85=0,0,IFERROR(IF('Técnicas de Ki'!N85&lt;&gt;0,'Técnicas de Ki'!N85+TS!$Q190,0)*$Q190/$Q190,0))</f>
        <v>0</v>
      </c>
      <c r="AE190" s="538">
        <f>IF('Técnicas de Ki'!B85=0,0,IFERROR(IF('Técnicas de Ki'!O85&lt;&gt;0,'Técnicas de Ki'!O85+TS!$R190,0)*$R190/$R190,0))</f>
        <v>0</v>
      </c>
      <c r="AF190" s="538">
        <f>IF('Técnicas de Ki'!B85=0,0,IFERROR(IF('Técnicas de Ki'!P85&lt;&gt;0,'Técnicas de Ki'!P85+TS!$S190,0)*$S190/$S190,0))</f>
        <v>0</v>
      </c>
      <c r="AG190" s="539">
        <f>IF('Técnicas de Ki'!B85=0,0,IFERROR(IF('Técnicas de Ki'!Q85&lt;&gt;0,'Técnicas de Ki'!Q85+TS!$T190,0)*$T190/$T190,0))</f>
        <v>0</v>
      </c>
      <c r="AI190" s="571" t="str">
        <f>IF('Técnicas de Ki'!B93&lt;&gt;0,'Técnicas de Ki'!A93&amp;" "&amp;'Técnicas de Ki'!B93,"")</f>
        <v/>
      </c>
      <c r="AJ190" s="302" t="b">
        <f t="shared" si="41"/>
        <v>0</v>
      </c>
      <c r="AK190" s="302" t="str">
        <f t="shared" si="37"/>
        <v/>
      </c>
      <c r="AQ190" s="537">
        <f>IF('Técnicas de Ki'!W85=0,0,IF('Técnicas de Ki'!AD85=TS!AQ$119,'Técnicas de Ki'!X85-(IF($O190&lt;&gt;0,'Técnicas de Ki'!AG85,0)+IF($P190&lt;&gt;0,'Técnicas de Ki'!AH85,0)+IF($Q190&lt;&gt;0,'Técnicas de Ki'!AI85,0)+IF($R190&lt;&gt;0,'Técnicas de Ki'!AJ85,0)+IF($S190&lt;&gt;0,'Técnicas de Ki'!AK85,0)+IF($T190&lt;&gt;0,'Técnicas de Ki'!AL85,0)),0))</f>
        <v>0</v>
      </c>
      <c r="AR190" s="538">
        <f>IF('Técnicas de Ki'!W85=0,0,IF('Técnicas de Ki'!AD85=TS!AR$119,'Técnicas de Ki'!X85-(IF($O190&lt;&gt;0,'Técnicas de Ki'!AG85,0)+IF($P190&lt;&gt;0,'Técnicas de Ki'!AH85,0)+IF($Q190&lt;&gt;0,'Técnicas de Ki'!AI85,0)+IF($R190&lt;&gt;0,'Técnicas de Ki'!AJ85,0)+IF($S190&lt;&gt;0,'Técnicas de Ki'!AK85,0)+IF($T190&lt;&gt;0,'Técnicas de Ki'!AL85,0)),0))</f>
        <v>0</v>
      </c>
      <c r="AS190" s="538">
        <f>IF('Técnicas de Ki'!W85=0,0,IF('Técnicas de Ki'!AD85=TS!AS$119,'Técnicas de Ki'!X85-(IF($O190&lt;&gt;0,'Técnicas de Ki'!AG85,0)+IF($P190&lt;&gt;0,'Técnicas de Ki'!AH85,0)+IF($Q190&lt;&gt;0,'Técnicas de Ki'!AI85,0)+IF($R190&lt;&gt;0,'Técnicas de Ki'!AJ85,0)+IF($S190&lt;&gt;0,'Técnicas de Ki'!AK85,0)+IF($T190&lt;&gt;0,'Técnicas de Ki'!AL85,0)),0))</f>
        <v>0</v>
      </c>
      <c r="AT190" s="538">
        <f>IF('Técnicas de Ki'!W85=0,0,IF('Técnicas de Ki'!AD85=TS!AT$119,'Técnicas de Ki'!X85-(IF($O190&lt;&gt;0,'Técnicas de Ki'!AG85,0)+IF($P190&lt;&gt;0,'Técnicas de Ki'!AH85,0)+IF($Q190&lt;&gt;0,'Técnicas de Ki'!AI85,0)+IF($R190&lt;&gt;0,'Técnicas de Ki'!AJ85,0)+IF($S190&lt;&gt;0,'Técnicas de Ki'!AK85,0)+IF($T190&lt;&gt;0,'Técnicas de Ki'!AL85,0)),0))</f>
        <v>0</v>
      </c>
      <c r="AU190" s="538">
        <f>IF('Técnicas de Ki'!W85=0,0,IF('Técnicas de Ki'!AD85=TS!AU$119,'Técnicas de Ki'!X85-(IF($O190&lt;&gt;0,'Técnicas de Ki'!AG85,0)+IF($P190&lt;&gt;0,'Técnicas de Ki'!AH85,0)+IF($Q190&lt;&gt;0,'Técnicas de Ki'!AI85,0)+IF($R190&lt;&gt;0,'Técnicas de Ki'!AJ85,0)+IF($S190&lt;&gt;0,'Técnicas de Ki'!AK85,0)+IF($T190&lt;&gt;0,'Técnicas de Ki'!AL85,0)),0))</f>
        <v>0</v>
      </c>
      <c r="AV190" s="539">
        <f>IF('Técnicas de Ki'!W85=0,0,IF('Técnicas de Ki'!AD85=TS!AV$119,'Técnicas de Ki'!X85-(IF($O190&lt;&gt;0,'Técnicas de Ki'!AG85,0)+IF($P190&lt;&gt;0,'Técnicas de Ki'!AH85,0)+IF($Q190&lt;&gt;0,'Técnicas de Ki'!AI85,0)+IF($R190&lt;&gt;0,'Técnicas de Ki'!AJ85,0)+IF($S190&lt;&gt;0,'Técnicas de Ki'!AK85,0)+IF($T190&lt;&gt;0,'Técnicas de Ki'!AL85,0)),0))</f>
        <v>0</v>
      </c>
      <c r="AW190" s="538">
        <f>IF('Técnicas de Ki'!W85=0,0,IFERROR(IF('Técnicas de Ki'!AG85&lt;&gt;0,'Técnicas de Ki'!AG85+TS!$O190,0)*$O190/$O190,0))</f>
        <v>0</v>
      </c>
      <c r="AX190" s="538">
        <f>IF('Técnicas de Ki'!W85=0,0,IFERROR(IF('Técnicas de Ki'!AH85&lt;&gt;0,'Técnicas de Ki'!AH85+TS!$P190,0)*$P190/$P190,0))</f>
        <v>0</v>
      </c>
      <c r="AY190" s="538">
        <f>IF('Técnicas de Ki'!W85=0,0,IFERROR(IF('Técnicas de Ki'!AI85&lt;&gt;0,'Técnicas de Ki'!AI85+TS!$Q190,0)*$Q190/$Q190,0))</f>
        <v>0</v>
      </c>
      <c r="AZ190" s="538">
        <f>IF('Técnicas de Ki'!W85=0,0,IFERROR(IF('Técnicas de Ki'!AJ85&lt;&gt;0,'Técnicas de Ki'!AJ85+TS!$R190,0)*$R190/$R190,0))</f>
        <v>0</v>
      </c>
      <c r="BA190" s="538">
        <f>IF('Técnicas de Ki'!W85=0,0,IFERROR(IF('Técnicas de Ki'!AK85&lt;&gt;0,'Técnicas de Ki'!AK85+TS!$S190,0)*$S190/$S190,0))</f>
        <v>0</v>
      </c>
      <c r="BB190" s="539">
        <f>IF('Técnicas de Ki'!W85=0,0,IFERROR(IF('Técnicas de Ki'!AL85&lt;&gt;0,'Técnicas de Ki'!AL85+TS!$T190,0)*$T190/$T190,0))</f>
        <v>0</v>
      </c>
      <c r="BD190" s="571" t="str">
        <f>IF('Técnicas de Ki'!W93&lt;&gt;0,'Técnicas de Ki'!V93&amp;" "&amp;'Técnicas de Ki'!W93,"")</f>
        <v/>
      </c>
      <c r="BE190" s="302" t="b">
        <f t="shared" si="34"/>
        <v>0</v>
      </c>
      <c r="BF190" s="302" t="str">
        <f t="shared" si="38"/>
        <v/>
      </c>
      <c r="BL190" s="537">
        <f>IF('Técnicas de Ki'!AR85=0,0,IF('Técnicas de Ki'!AY85=TS!BL$119,'Técnicas de Ki'!AS85-(IF($O190&lt;&gt;0,'Técnicas de Ki'!BB85,0)+IF($P190&lt;&gt;0,'Técnicas de Ki'!BC85,0)+IF($Q190&lt;&gt;0,'Técnicas de Ki'!BD85,0)+IF($R190&lt;&gt;0,'Técnicas de Ki'!BE85,0)+IF($S190&lt;&gt;0,'Técnicas de Ki'!BF85,0)+IF($T190&lt;&gt;0,'Técnicas de Ki'!BG85,0)),0))</f>
        <v>0</v>
      </c>
      <c r="BM190" s="538">
        <f>IF('Técnicas de Ki'!AR85=0,0,IF('Técnicas de Ki'!AY85=TS!BM$119,'Técnicas de Ki'!AS85-(IF($O190&lt;&gt;0,'Técnicas de Ki'!BB85,0)+IF($P190&lt;&gt;0,'Técnicas de Ki'!BC85,0)+IF($Q190&lt;&gt;0,'Técnicas de Ki'!BD85,0)+IF($R190&lt;&gt;0,'Técnicas de Ki'!BE85,0)+IF($S190&lt;&gt;0,'Técnicas de Ki'!BF85,0)+IF($T190&lt;&gt;0,'Técnicas de Ki'!BG85,0)),0))</f>
        <v>0</v>
      </c>
      <c r="BN190" s="538">
        <f>IF('Técnicas de Ki'!AR85=0,0,IF('Técnicas de Ki'!AY85=TS!BN$119,'Técnicas de Ki'!AS85-(IF($O190&lt;&gt;0,'Técnicas de Ki'!BB85,0)+IF($P190&lt;&gt;0,'Técnicas de Ki'!BC85,0)+IF($Q190&lt;&gt;0,'Técnicas de Ki'!BD85,0)+IF($R190&lt;&gt;0,'Técnicas de Ki'!BE85,0)+IF($S190&lt;&gt;0,'Técnicas de Ki'!BF85,0)+IF($T190&lt;&gt;0,'Técnicas de Ki'!BG85,0)),0))</f>
        <v>0</v>
      </c>
      <c r="BO190" s="538">
        <f>IF('Técnicas de Ki'!AR85=0,0,IF('Técnicas de Ki'!AY85=TS!BO$119,'Técnicas de Ki'!AS85-(IF($O190&lt;&gt;0,'Técnicas de Ki'!BB85,0)+IF($P190&lt;&gt;0,'Técnicas de Ki'!BC85,0)+IF($Q190&lt;&gt;0,'Técnicas de Ki'!BD85,0)+IF($R190&lt;&gt;0,'Técnicas de Ki'!BE85,0)+IF($S190&lt;&gt;0,'Técnicas de Ki'!BF85,0)+IF($T190&lt;&gt;0,'Técnicas de Ki'!BG85,0)),0))</f>
        <v>0</v>
      </c>
      <c r="BP190" s="538">
        <f>IF('Técnicas de Ki'!AR85=0,0,IF('Técnicas de Ki'!AY85=TS!BP$119,'Técnicas de Ki'!AS85-(IF($O190&lt;&gt;0,'Técnicas de Ki'!BB85,0)+IF($P190&lt;&gt;0,'Técnicas de Ki'!BC85,0)+IF($Q190&lt;&gt;0,'Técnicas de Ki'!BD85,0)+IF($R190&lt;&gt;0,'Técnicas de Ki'!BE85,0)+IF($S190&lt;&gt;0,'Técnicas de Ki'!BF85,0)+IF($T190&lt;&gt;0,'Técnicas de Ki'!BG85,0)),0))</f>
        <v>0</v>
      </c>
      <c r="BQ190" s="539">
        <f>IF('Técnicas de Ki'!AR85=0,0,IF('Técnicas de Ki'!AY85=TS!BQ$119,'Técnicas de Ki'!AS85-(IF($O190&lt;&gt;0,'Técnicas de Ki'!BB85,0)+IF($P190&lt;&gt;0,'Técnicas de Ki'!BC85,0)+IF($Q190&lt;&gt;0,'Técnicas de Ki'!BD85,0)+IF($R190&lt;&gt;0,'Técnicas de Ki'!BE85,0)+IF($S190&lt;&gt;0,'Técnicas de Ki'!BF85,0)+IF($T190&lt;&gt;0,'Técnicas de Ki'!BG85,0)),0))</f>
        <v>0</v>
      </c>
      <c r="BR190" s="538">
        <f>IF('Técnicas de Ki'!AR85=0,0,IFERROR(IF('Técnicas de Ki'!BB85&lt;&gt;0,'Técnicas de Ki'!BB85+TS!$O190,0)*$O190/$O190,0))</f>
        <v>0</v>
      </c>
      <c r="BS190" s="538">
        <f>IF('Técnicas de Ki'!AR85=0,0,IFERROR(IF('Técnicas de Ki'!BC85&lt;&gt;0,'Técnicas de Ki'!BC85+TS!$P190,0)*$P190/$P190,0))</f>
        <v>0</v>
      </c>
      <c r="BT190" s="538">
        <f>IF('Técnicas de Ki'!AR85=0,0,IFERROR(IF('Técnicas de Ki'!BD85&lt;&gt;0,'Técnicas de Ki'!BD85+TS!$Q190,0)*$Q190/$Q190,0))</f>
        <v>0</v>
      </c>
      <c r="BU190" s="538">
        <f>IF('Técnicas de Ki'!AR85=0,0,IFERROR(IF('Técnicas de Ki'!BE85&lt;&gt;0,'Técnicas de Ki'!BE85+TS!$R190,0)*$R190/$R190,0))</f>
        <v>0</v>
      </c>
      <c r="BV190" s="538">
        <f>IF('Técnicas de Ki'!AR85=0,0,IFERROR(IF('Técnicas de Ki'!BF85&lt;&gt;0,'Técnicas de Ki'!BF85+TS!$S190,0)*$S190/$S190,0))</f>
        <v>0</v>
      </c>
      <c r="BW190" s="539">
        <f>IF('Técnicas de Ki'!AR85=0,0,IFERROR(IF('Técnicas de Ki'!BG85&lt;&gt;0,'Técnicas de Ki'!BG85+TS!$T190,0)*$T190/$T190,0))</f>
        <v>0</v>
      </c>
      <c r="BY190" s="571" t="str">
        <f>IF('Técnicas de Ki'!AR93&lt;&gt;0,'Técnicas de Ki'!AQ93&amp;" "&amp;'Técnicas de Ki'!AR93,"")</f>
        <v/>
      </c>
      <c r="BZ190" s="302" t="b">
        <f t="shared" si="35"/>
        <v>0</v>
      </c>
      <c r="CA190" s="302" t="str">
        <f t="shared" si="39"/>
        <v/>
      </c>
      <c r="CG190" s="537">
        <f>IF('Técnicas de Ki'!BM85=0,0,IF('Técnicas de Ki'!BT85=TS!CG$119,'Técnicas de Ki'!BN85-(IF($O190&lt;&gt;0,'Técnicas de Ki'!BW85,0)+IF($P190&lt;&gt;0,'Técnicas de Ki'!BX85,0)+IF($Q190&lt;&gt;0,'Técnicas de Ki'!BY85,0)+IF($R190&lt;&gt;0,'Técnicas de Ki'!BZ85,0)+IF($S190&lt;&gt;0,'Técnicas de Ki'!CA85,0)+IF($T190&lt;&gt;0,'Técnicas de Ki'!CB85,0)),0))</f>
        <v>0</v>
      </c>
      <c r="CH190" s="538">
        <f>IF('Técnicas de Ki'!BM85=0,0,IF('Técnicas de Ki'!BT85=TS!CH$119,'Técnicas de Ki'!BN85-(IF($O190&lt;&gt;0,'Técnicas de Ki'!BW85,0)+IF($P190&lt;&gt;0,'Técnicas de Ki'!BX85,0)+IF($Q190&lt;&gt;0,'Técnicas de Ki'!BY85,0)+IF($R190&lt;&gt;0,'Técnicas de Ki'!BZ85,0)+IF($S190&lt;&gt;0,'Técnicas de Ki'!CA85,0)+IF($T190&lt;&gt;0,'Técnicas de Ki'!CB85,0)),0))</f>
        <v>0</v>
      </c>
      <c r="CI190" s="538">
        <f>IF('Técnicas de Ki'!BM85=0,0,IF('Técnicas de Ki'!BT85=TS!CI$119,'Técnicas de Ki'!BN85-(IF($O190&lt;&gt;0,'Técnicas de Ki'!BW85,0)+IF($P190&lt;&gt;0,'Técnicas de Ki'!BX85,0)+IF($Q190&lt;&gt;0,'Técnicas de Ki'!BY85,0)+IF($R190&lt;&gt;0,'Técnicas de Ki'!BZ85,0)+IF($S190&lt;&gt;0,'Técnicas de Ki'!CA85,0)+IF($T190&lt;&gt;0,'Técnicas de Ki'!CB85,0)),0))</f>
        <v>0</v>
      </c>
      <c r="CJ190" s="538">
        <f>IF('Técnicas de Ki'!BM85=0,0,IF('Técnicas de Ki'!BT85=TS!CJ$119,'Técnicas de Ki'!BN85-(IF($O190&lt;&gt;0,'Técnicas de Ki'!BW85,0)+IF($P190&lt;&gt;0,'Técnicas de Ki'!BX85,0)+IF($Q190&lt;&gt;0,'Técnicas de Ki'!BY85,0)+IF($R190&lt;&gt;0,'Técnicas de Ki'!BZ85,0)+IF($S190&lt;&gt;0,'Técnicas de Ki'!CA85,0)+IF($T190&lt;&gt;0,'Técnicas de Ki'!CB85,0)),0))</f>
        <v>0</v>
      </c>
      <c r="CK190" s="538">
        <f>IF('Técnicas de Ki'!BM85=0,0,IF('Técnicas de Ki'!BT85=TS!CK$119,'Técnicas de Ki'!BN85-(IF($O190&lt;&gt;0,'Técnicas de Ki'!BW85,0)+IF($P190&lt;&gt;0,'Técnicas de Ki'!BX85,0)+IF($Q190&lt;&gt;0,'Técnicas de Ki'!BY85,0)+IF($R190&lt;&gt;0,'Técnicas de Ki'!BZ85,0)+IF($S190&lt;&gt;0,'Técnicas de Ki'!CA85,0)+IF($T190&lt;&gt;0,'Técnicas de Ki'!CB85,0)),0))</f>
        <v>0</v>
      </c>
      <c r="CL190" s="539">
        <f>IF('Técnicas de Ki'!BM85=0,0,IF('Técnicas de Ki'!BT85=TS!CL$119,'Técnicas de Ki'!BN85-(IF($O190&lt;&gt;0,'Técnicas de Ki'!BW85,0)+IF($P190&lt;&gt;0,'Técnicas de Ki'!BX85,0)+IF($Q190&lt;&gt;0,'Técnicas de Ki'!BY85,0)+IF($R190&lt;&gt;0,'Técnicas de Ki'!BZ85,0)+IF($S190&lt;&gt;0,'Técnicas de Ki'!CA85,0)+IF($T190&lt;&gt;0,'Técnicas de Ki'!CB85,0)),0))</f>
        <v>0</v>
      </c>
      <c r="CM190" s="538">
        <f>IF('Técnicas de Ki'!BM85=0,0,IFERROR(IF('Técnicas de Ki'!BW85&lt;&gt;0,'Técnicas de Ki'!BW85+TS!$O190,0)*$O190/$O190,0))</f>
        <v>0</v>
      </c>
      <c r="CN190" s="538">
        <f>IF('Técnicas de Ki'!BM85=0,0,IFERROR(IF('Técnicas de Ki'!BX85&lt;&gt;0,'Técnicas de Ki'!BX85+TS!$P190,0)*$P190/$P190,0))</f>
        <v>0</v>
      </c>
      <c r="CO190" s="538">
        <f>IF('Técnicas de Ki'!BM85=0,0,IFERROR(IF('Técnicas de Ki'!BY85&lt;&gt;0,'Técnicas de Ki'!BY85+TS!$Q190,0)*$Q190/$Q190,0))</f>
        <v>0</v>
      </c>
      <c r="CP190" s="538">
        <f>IF('Técnicas de Ki'!BM85=0,0,IFERROR(IF('Técnicas de Ki'!BZ85&lt;&gt;0,'Técnicas de Ki'!BZ85+TS!$R190,0)*$R190/$R190,0))</f>
        <v>0</v>
      </c>
      <c r="CQ190" s="538">
        <f>IF('Técnicas de Ki'!BM85=0,0,IFERROR(IF('Técnicas de Ki'!CA85&lt;&gt;0,'Técnicas de Ki'!CA85+TS!$S190,0)*$S190/$S190,0))</f>
        <v>0</v>
      </c>
      <c r="CR190" s="539">
        <f>IF('Técnicas de Ki'!BM85=0,0,IFERROR(IF('Técnicas de Ki'!CB85&lt;&gt;0,'Técnicas de Ki'!CB85+TS!$T190,0)*$T190/$T190,0))</f>
        <v>0</v>
      </c>
      <c r="CT190" s="571" t="str">
        <f>IF('Técnicas de Ki'!BM93&lt;&gt;0,'Técnicas de Ki'!BL93&amp;" "&amp;'Técnicas de Ki'!BM93,"")</f>
        <v/>
      </c>
      <c r="CU190" s="302" t="b">
        <f t="shared" si="36"/>
        <v>0</v>
      </c>
      <c r="CV190" s="302" t="str">
        <f t="shared" si="40"/>
        <v/>
      </c>
    </row>
    <row r="191" spans="1:102" x14ac:dyDescent="0.2">
      <c r="A191" s="302" t="s">
        <v>6868</v>
      </c>
      <c r="B191" s="301" t="s">
        <v>6803</v>
      </c>
      <c r="C191" s="301" t="str">
        <f t="shared" si="15"/>
        <v>Defensa adicional+1</v>
      </c>
      <c r="D191" s="302">
        <v>1</v>
      </c>
      <c r="E191" s="302">
        <v>2</v>
      </c>
      <c r="F191" s="302">
        <v>5</v>
      </c>
      <c r="G191" s="302">
        <v>1</v>
      </c>
      <c r="H191" s="302">
        <v>2</v>
      </c>
      <c r="I191" s="302">
        <v>4</v>
      </c>
      <c r="J191" s="302">
        <v>1</v>
      </c>
      <c r="N191" t="s">
        <v>5549</v>
      </c>
      <c r="O191" s="528">
        <v>3</v>
      </c>
      <c r="Q191" s="528">
        <v>3</v>
      </c>
      <c r="R191" s="528">
        <v>2</v>
      </c>
      <c r="S191" s="528">
        <v>1</v>
      </c>
      <c r="V191" s="537">
        <f>IF('Técnicas de Ki'!B86=0,0,IF('Técnicas de Ki'!I86=TS!V$119,'Técnicas de Ki'!C86-(IF($O191&lt;&gt;0,'Técnicas de Ki'!L86,0)+IF($P191&lt;&gt;0,'Técnicas de Ki'!M86,0)+IF($Q191&lt;&gt;0,'Técnicas de Ki'!N86,0)+IF($R191&lt;&gt;0,'Técnicas de Ki'!O86,0)+IF($S191&lt;&gt;0,'Técnicas de Ki'!P86,0)+IF($T191&lt;&gt;0,'Técnicas de Ki'!Q86,0)),0))</f>
        <v>0</v>
      </c>
      <c r="W191" s="538">
        <f>IF('Técnicas de Ki'!B86=0,0,IF('Técnicas de Ki'!I86=TS!W$119,'Técnicas de Ki'!C86-(IF($O191&lt;&gt;0,'Técnicas de Ki'!L86,0)+IF($P191&lt;&gt;0,'Técnicas de Ki'!M86,0)+IF($Q191&lt;&gt;0,'Técnicas de Ki'!N86,0)+IF($R191&lt;&gt;0,'Técnicas de Ki'!O86,0)+IF($S191&lt;&gt;0,'Técnicas de Ki'!P86,0)+IF($T191&lt;&gt;0,'Técnicas de Ki'!Q86,0)),0))</f>
        <v>0</v>
      </c>
      <c r="X191" s="538">
        <f>IF('Técnicas de Ki'!B86=0,0,IF('Técnicas de Ki'!I86=TS!X$119,'Técnicas de Ki'!C86-(IF($O191&lt;&gt;0,'Técnicas de Ki'!L86,0)+IF($P191&lt;&gt;0,'Técnicas de Ki'!M86,0)+IF($Q191&lt;&gt;0,'Técnicas de Ki'!N86,0)+IF($R191&lt;&gt;0,'Técnicas de Ki'!O86,0)+IF($S191&lt;&gt;0,'Técnicas de Ki'!P86,0)+IF($T191&lt;&gt;0,'Técnicas de Ki'!Q86,0)),0))</f>
        <v>0</v>
      </c>
      <c r="Y191" s="538">
        <f>IF('Técnicas de Ki'!B86=0,0,IF('Técnicas de Ki'!I86=TS!Y$119,'Técnicas de Ki'!C86-(IF($O191&lt;&gt;0,'Técnicas de Ki'!L86,0)+IF($P191&lt;&gt;0,'Técnicas de Ki'!M86,0)+IF($Q191&lt;&gt;0,'Técnicas de Ki'!N86,0)+IF($R191&lt;&gt;0,'Técnicas de Ki'!O86,0)+IF($S191&lt;&gt;0,'Técnicas de Ki'!P86,0)+IF($T191&lt;&gt;0,'Técnicas de Ki'!Q86,0)),0))</f>
        <v>0</v>
      </c>
      <c r="Z191" s="538">
        <f>IF('Técnicas de Ki'!B86=0,0,IF('Técnicas de Ki'!I86=TS!Z$119,'Técnicas de Ki'!C86-(IF($O191&lt;&gt;0,'Técnicas de Ki'!L86,0)+IF($P191&lt;&gt;0,'Técnicas de Ki'!M86,0)+IF($Q191&lt;&gt;0,'Técnicas de Ki'!N86,0)+IF($R191&lt;&gt;0,'Técnicas de Ki'!O86,0)+IF($S191&lt;&gt;0,'Técnicas de Ki'!P86,0)+IF($T191&lt;&gt;0,'Técnicas de Ki'!Q86,0)),0))</f>
        <v>0</v>
      </c>
      <c r="AA191" s="539">
        <f>IF('Técnicas de Ki'!B86=0,0,IF('Técnicas de Ki'!I86=TS!AA$119,'Técnicas de Ki'!C86-(IF($O191&lt;&gt;0,'Técnicas de Ki'!L86,0)+IF($P191&lt;&gt;0,'Técnicas de Ki'!M86,0)+IF($Q191&lt;&gt;0,'Técnicas de Ki'!N86,0)+IF($R191&lt;&gt;0,'Técnicas de Ki'!O86,0)+IF($S191&lt;&gt;0,'Técnicas de Ki'!P86,0)+IF($T191&lt;&gt;0,'Técnicas de Ki'!Q86,0)),0))</f>
        <v>0</v>
      </c>
      <c r="AB191" s="538">
        <f>IF('Técnicas de Ki'!B86=0,0,IFERROR(IF('Técnicas de Ki'!L86&lt;&gt;0,'Técnicas de Ki'!L86+TS!$O191,0)*$O191/$O191,0))</f>
        <v>0</v>
      </c>
      <c r="AC191" s="538">
        <f>IF('Técnicas de Ki'!B86=0,0,IFERROR(IF('Técnicas de Ki'!M86&lt;&gt;0,'Técnicas de Ki'!M86+TS!$P191,0)*$P191/$P191,0))</f>
        <v>0</v>
      </c>
      <c r="AD191" s="538">
        <f>IF('Técnicas de Ki'!B86=0,0,IFERROR(IF('Técnicas de Ki'!N86&lt;&gt;0,'Técnicas de Ki'!N86+TS!$Q191,0)*$Q191/$Q191,0))</f>
        <v>0</v>
      </c>
      <c r="AE191" s="538">
        <f>IF('Técnicas de Ki'!B86=0,0,IFERROR(IF('Técnicas de Ki'!O86&lt;&gt;0,'Técnicas de Ki'!O86+TS!$R191,0)*$R191/$R191,0))</f>
        <v>0</v>
      </c>
      <c r="AF191" s="538">
        <f>IF('Técnicas de Ki'!B86=0,0,IFERROR(IF('Técnicas de Ki'!P86&lt;&gt;0,'Técnicas de Ki'!P86+TS!$S191,0)*$S191/$S191,0))</f>
        <v>0</v>
      </c>
      <c r="AG191" s="539">
        <f>IF('Técnicas de Ki'!B86=0,0,IFERROR(IF('Técnicas de Ki'!Q86&lt;&gt;0,'Técnicas de Ki'!Q86+TS!$T191,0)*$T191/$T191,0))</f>
        <v>0</v>
      </c>
      <c r="AI191" s="571" t="str">
        <f>IF('Técnicas de Ki'!B94&lt;&gt;0,'Técnicas de Ki'!A94&amp;" "&amp;'Técnicas de Ki'!B94,"")</f>
        <v/>
      </c>
      <c r="AJ191" s="302" t="b">
        <f t="shared" si="41"/>
        <v>0</v>
      </c>
      <c r="AK191" s="302" t="str">
        <f t="shared" si="37"/>
        <v/>
      </c>
      <c r="AQ191" s="537">
        <f>IF('Técnicas de Ki'!W86=0,0,IF('Técnicas de Ki'!AD86=TS!AQ$119,'Técnicas de Ki'!X86-(IF($O191&lt;&gt;0,'Técnicas de Ki'!AG86,0)+IF($P191&lt;&gt;0,'Técnicas de Ki'!AH86,0)+IF($Q191&lt;&gt;0,'Técnicas de Ki'!AI86,0)+IF($R191&lt;&gt;0,'Técnicas de Ki'!AJ86,0)+IF($S191&lt;&gt;0,'Técnicas de Ki'!AK86,0)+IF($T191&lt;&gt;0,'Técnicas de Ki'!AL86,0)),0))</f>
        <v>0</v>
      </c>
      <c r="AR191" s="538">
        <f>IF('Técnicas de Ki'!W86=0,0,IF('Técnicas de Ki'!AD86=TS!AR$119,'Técnicas de Ki'!X86-(IF($O191&lt;&gt;0,'Técnicas de Ki'!AG86,0)+IF($P191&lt;&gt;0,'Técnicas de Ki'!AH86,0)+IF($Q191&lt;&gt;0,'Técnicas de Ki'!AI86,0)+IF($R191&lt;&gt;0,'Técnicas de Ki'!AJ86,0)+IF($S191&lt;&gt;0,'Técnicas de Ki'!AK86,0)+IF($T191&lt;&gt;0,'Técnicas de Ki'!AL86,0)),0))</f>
        <v>0</v>
      </c>
      <c r="AS191" s="538">
        <f>IF('Técnicas de Ki'!W86=0,0,IF('Técnicas de Ki'!AD86=TS!AS$119,'Técnicas de Ki'!X86-(IF($O191&lt;&gt;0,'Técnicas de Ki'!AG86,0)+IF($P191&lt;&gt;0,'Técnicas de Ki'!AH86,0)+IF($Q191&lt;&gt;0,'Técnicas de Ki'!AI86,0)+IF($R191&lt;&gt;0,'Técnicas de Ki'!AJ86,0)+IF($S191&lt;&gt;0,'Técnicas de Ki'!AK86,0)+IF($T191&lt;&gt;0,'Técnicas de Ki'!AL86,0)),0))</f>
        <v>0</v>
      </c>
      <c r="AT191" s="538">
        <f>IF('Técnicas de Ki'!W86=0,0,IF('Técnicas de Ki'!AD86=TS!AT$119,'Técnicas de Ki'!X86-(IF($O191&lt;&gt;0,'Técnicas de Ki'!AG86,0)+IF($P191&lt;&gt;0,'Técnicas de Ki'!AH86,0)+IF($Q191&lt;&gt;0,'Técnicas de Ki'!AI86,0)+IF($R191&lt;&gt;0,'Técnicas de Ki'!AJ86,0)+IF($S191&lt;&gt;0,'Técnicas de Ki'!AK86,0)+IF($T191&lt;&gt;0,'Técnicas de Ki'!AL86,0)),0))</f>
        <v>0</v>
      </c>
      <c r="AU191" s="538">
        <f>IF('Técnicas de Ki'!W86=0,0,IF('Técnicas de Ki'!AD86=TS!AU$119,'Técnicas de Ki'!X86-(IF($O191&lt;&gt;0,'Técnicas de Ki'!AG86,0)+IF($P191&lt;&gt;0,'Técnicas de Ki'!AH86,0)+IF($Q191&lt;&gt;0,'Técnicas de Ki'!AI86,0)+IF($R191&lt;&gt;0,'Técnicas de Ki'!AJ86,0)+IF($S191&lt;&gt;0,'Técnicas de Ki'!AK86,0)+IF($T191&lt;&gt;0,'Técnicas de Ki'!AL86,0)),0))</f>
        <v>0</v>
      </c>
      <c r="AV191" s="539">
        <f>IF('Técnicas de Ki'!W86=0,0,IF('Técnicas de Ki'!AD86=TS!AV$119,'Técnicas de Ki'!X86-(IF($O191&lt;&gt;0,'Técnicas de Ki'!AG86,0)+IF($P191&lt;&gt;0,'Técnicas de Ki'!AH86,0)+IF($Q191&lt;&gt;0,'Técnicas de Ki'!AI86,0)+IF($R191&lt;&gt;0,'Técnicas de Ki'!AJ86,0)+IF($S191&lt;&gt;0,'Técnicas de Ki'!AK86,0)+IF($T191&lt;&gt;0,'Técnicas de Ki'!AL86,0)),0))</f>
        <v>0</v>
      </c>
      <c r="AW191" s="538">
        <f>IF('Técnicas de Ki'!W86=0,0,IFERROR(IF('Técnicas de Ki'!AG86&lt;&gt;0,'Técnicas de Ki'!AG86+TS!$O191,0)*$O191/$O191,0))</f>
        <v>0</v>
      </c>
      <c r="AX191" s="538">
        <f>IF('Técnicas de Ki'!W86=0,0,IFERROR(IF('Técnicas de Ki'!AH86&lt;&gt;0,'Técnicas de Ki'!AH86+TS!$P191,0)*$P191/$P191,0))</f>
        <v>0</v>
      </c>
      <c r="AY191" s="538">
        <f>IF('Técnicas de Ki'!W86=0,0,IFERROR(IF('Técnicas de Ki'!AI86&lt;&gt;0,'Técnicas de Ki'!AI86+TS!$Q191,0)*$Q191/$Q191,0))</f>
        <v>0</v>
      </c>
      <c r="AZ191" s="538">
        <f>IF('Técnicas de Ki'!W86=0,0,IFERROR(IF('Técnicas de Ki'!AJ86&lt;&gt;0,'Técnicas de Ki'!AJ86+TS!$R191,0)*$R191/$R191,0))</f>
        <v>0</v>
      </c>
      <c r="BA191" s="538">
        <f>IF('Técnicas de Ki'!W86=0,0,IFERROR(IF('Técnicas de Ki'!AK86&lt;&gt;0,'Técnicas de Ki'!AK86+TS!$S191,0)*$S191/$S191,0))</f>
        <v>0</v>
      </c>
      <c r="BB191" s="539">
        <f>IF('Técnicas de Ki'!W86=0,0,IFERROR(IF('Técnicas de Ki'!AL86&lt;&gt;0,'Técnicas de Ki'!AL86+TS!$T191,0)*$T191/$T191,0))</f>
        <v>0</v>
      </c>
      <c r="BD191" s="571" t="str">
        <f>IF('Técnicas de Ki'!W94&lt;&gt;0,'Técnicas de Ki'!V94&amp;" "&amp;'Técnicas de Ki'!W94,"")</f>
        <v/>
      </c>
      <c r="BE191" s="302" t="b">
        <f t="shared" si="34"/>
        <v>0</v>
      </c>
      <c r="BF191" s="302" t="str">
        <f t="shared" si="38"/>
        <v/>
      </c>
      <c r="BL191" s="537">
        <f>IF('Técnicas de Ki'!AR86=0,0,IF('Técnicas de Ki'!AY86=TS!BL$119,'Técnicas de Ki'!AS86-(IF($O191&lt;&gt;0,'Técnicas de Ki'!BB86,0)+IF($P191&lt;&gt;0,'Técnicas de Ki'!BC86,0)+IF($Q191&lt;&gt;0,'Técnicas de Ki'!BD86,0)+IF($R191&lt;&gt;0,'Técnicas de Ki'!BE86,0)+IF($S191&lt;&gt;0,'Técnicas de Ki'!BF86,0)+IF($T191&lt;&gt;0,'Técnicas de Ki'!BG86,0)),0))</f>
        <v>0</v>
      </c>
      <c r="BM191" s="538">
        <f>IF('Técnicas de Ki'!AR86=0,0,IF('Técnicas de Ki'!AY86=TS!BM$119,'Técnicas de Ki'!AS86-(IF($O191&lt;&gt;0,'Técnicas de Ki'!BB86,0)+IF($P191&lt;&gt;0,'Técnicas de Ki'!BC86,0)+IF($Q191&lt;&gt;0,'Técnicas de Ki'!BD86,0)+IF($R191&lt;&gt;0,'Técnicas de Ki'!BE86,0)+IF($S191&lt;&gt;0,'Técnicas de Ki'!BF86,0)+IF($T191&lt;&gt;0,'Técnicas de Ki'!BG86,0)),0))</f>
        <v>0</v>
      </c>
      <c r="BN191" s="538">
        <f>IF('Técnicas de Ki'!AR86=0,0,IF('Técnicas de Ki'!AY86=TS!BN$119,'Técnicas de Ki'!AS86-(IF($O191&lt;&gt;0,'Técnicas de Ki'!BB86,0)+IF($P191&lt;&gt;0,'Técnicas de Ki'!BC86,0)+IF($Q191&lt;&gt;0,'Técnicas de Ki'!BD86,0)+IF($R191&lt;&gt;0,'Técnicas de Ki'!BE86,0)+IF($S191&lt;&gt;0,'Técnicas de Ki'!BF86,0)+IF($T191&lt;&gt;0,'Técnicas de Ki'!BG86,0)),0))</f>
        <v>0</v>
      </c>
      <c r="BO191" s="538">
        <f>IF('Técnicas de Ki'!AR86=0,0,IF('Técnicas de Ki'!AY86=TS!BO$119,'Técnicas de Ki'!AS86-(IF($O191&lt;&gt;0,'Técnicas de Ki'!BB86,0)+IF($P191&lt;&gt;0,'Técnicas de Ki'!BC86,0)+IF($Q191&lt;&gt;0,'Técnicas de Ki'!BD86,0)+IF($R191&lt;&gt;0,'Técnicas de Ki'!BE86,0)+IF($S191&lt;&gt;0,'Técnicas de Ki'!BF86,0)+IF($T191&lt;&gt;0,'Técnicas de Ki'!BG86,0)),0))</f>
        <v>0</v>
      </c>
      <c r="BP191" s="538">
        <f>IF('Técnicas de Ki'!AR86=0,0,IF('Técnicas de Ki'!AY86=TS!BP$119,'Técnicas de Ki'!AS86-(IF($O191&lt;&gt;0,'Técnicas de Ki'!BB86,0)+IF($P191&lt;&gt;0,'Técnicas de Ki'!BC86,0)+IF($Q191&lt;&gt;0,'Técnicas de Ki'!BD86,0)+IF($R191&lt;&gt;0,'Técnicas de Ki'!BE86,0)+IF($S191&lt;&gt;0,'Técnicas de Ki'!BF86,0)+IF($T191&lt;&gt;0,'Técnicas de Ki'!BG86,0)),0))</f>
        <v>0</v>
      </c>
      <c r="BQ191" s="539">
        <f>IF('Técnicas de Ki'!AR86=0,0,IF('Técnicas de Ki'!AY86=TS!BQ$119,'Técnicas de Ki'!AS86-(IF($O191&lt;&gt;0,'Técnicas de Ki'!BB86,0)+IF($P191&lt;&gt;0,'Técnicas de Ki'!BC86,0)+IF($Q191&lt;&gt;0,'Técnicas de Ki'!BD86,0)+IF($R191&lt;&gt;0,'Técnicas de Ki'!BE86,0)+IF($S191&lt;&gt;0,'Técnicas de Ki'!BF86,0)+IF($T191&lt;&gt;0,'Técnicas de Ki'!BG86,0)),0))</f>
        <v>0</v>
      </c>
      <c r="BR191" s="538">
        <f>IF('Técnicas de Ki'!AR86=0,0,IFERROR(IF('Técnicas de Ki'!BB86&lt;&gt;0,'Técnicas de Ki'!BB86+TS!$O191,0)*$O191/$O191,0))</f>
        <v>0</v>
      </c>
      <c r="BS191" s="538">
        <f>IF('Técnicas de Ki'!AR86=0,0,IFERROR(IF('Técnicas de Ki'!BC86&lt;&gt;0,'Técnicas de Ki'!BC86+TS!$P191,0)*$P191/$P191,0))</f>
        <v>0</v>
      </c>
      <c r="BT191" s="538">
        <f>IF('Técnicas de Ki'!AR86=0,0,IFERROR(IF('Técnicas de Ki'!BD86&lt;&gt;0,'Técnicas de Ki'!BD86+TS!$Q191,0)*$Q191/$Q191,0))</f>
        <v>0</v>
      </c>
      <c r="BU191" s="538">
        <f>IF('Técnicas de Ki'!AR86=0,0,IFERROR(IF('Técnicas de Ki'!BE86&lt;&gt;0,'Técnicas de Ki'!BE86+TS!$R191,0)*$R191/$R191,0))</f>
        <v>0</v>
      </c>
      <c r="BV191" s="538">
        <f>IF('Técnicas de Ki'!AR86=0,0,IFERROR(IF('Técnicas de Ki'!BF86&lt;&gt;0,'Técnicas de Ki'!BF86+TS!$S191,0)*$S191/$S191,0))</f>
        <v>0</v>
      </c>
      <c r="BW191" s="539">
        <f>IF('Técnicas de Ki'!AR86=0,0,IFERROR(IF('Técnicas de Ki'!BG86&lt;&gt;0,'Técnicas de Ki'!BG86+TS!$T191,0)*$T191/$T191,0))</f>
        <v>0</v>
      </c>
      <c r="BY191" s="571" t="str">
        <f>IF('Técnicas de Ki'!AR94&lt;&gt;0,'Técnicas de Ki'!AQ94&amp;" "&amp;'Técnicas de Ki'!AR94,"")</f>
        <v/>
      </c>
      <c r="BZ191" s="302" t="b">
        <f t="shared" si="35"/>
        <v>0</v>
      </c>
      <c r="CA191" s="302" t="str">
        <f t="shared" si="39"/>
        <v/>
      </c>
      <c r="CG191" s="537">
        <f>IF('Técnicas de Ki'!BM86=0,0,IF('Técnicas de Ki'!BT86=TS!CG$119,'Técnicas de Ki'!BN86-(IF($O191&lt;&gt;0,'Técnicas de Ki'!BW86,0)+IF($P191&lt;&gt;0,'Técnicas de Ki'!BX86,0)+IF($Q191&lt;&gt;0,'Técnicas de Ki'!BY86,0)+IF($R191&lt;&gt;0,'Técnicas de Ki'!BZ86,0)+IF($S191&lt;&gt;0,'Técnicas de Ki'!CA86,0)+IF($T191&lt;&gt;0,'Técnicas de Ki'!CB86,0)),0))</f>
        <v>0</v>
      </c>
      <c r="CH191" s="538">
        <f>IF('Técnicas de Ki'!BM86=0,0,IF('Técnicas de Ki'!BT86=TS!CH$119,'Técnicas de Ki'!BN86-(IF($O191&lt;&gt;0,'Técnicas de Ki'!BW86,0)+IF($P191&lt;&gt;0,'Técnicas de Ki'!BX86,0)+IF($Q191&lt;&gt;0,'Técnicas de Ki'!BY86,0)+IF($R191&lt;&gt;0,'Técnicas de Ki'!BZ86,0)+IF($S191&lt;&gt;0,'Técnicas de Ki'!CA86,0)+IF($T191&lt;&gt;0,'Técnicas de Ki'!CB86,0)),0))</f>
        <v>0</v>
      </c>
      <c r="CI191" s="538">
        <f>IF('Técnicas de Ki'!BM86=0,0,IF('Técnicas de Ki'!BT86=TS!CI$119,'Técnicas de Ki'!BN86-(IF($O191&lt;&gt;0,'Técnicas de Ki'!BW86,0)+IF($P191&lt;&gt;0,'Técnicas de Ki'!BX86,0)+IF($Q191&lt;&gt;0,'Técnicas de Ki'!BY86,0)+IF($R191&lt;&gt;0,'Técnicas de Ki'!BZ86,0)+IF($S191&lt;&gt;0,'Técnicas de Ki'!CA86,0)+IF($T191&lt;&gt;0,'Técnicas de Ki'!CB86,0)),0))</f>
        <v>0</v>
      </c>
      <c r="CJ191" s="538">
        <f>IF('Técnicas de Ki'!BM86=0,0,IF('Técnicas de Ki'!BT86=TS!CJ$119,'Técnicas de Ki'!BN86-(IF($O191&lt;&gt;0,'Técnicas de Ki'!BW86,0)+IF($P191&lt;&gt;0,'Técnicas de Ki'!BX86,0)+IF($Q191&lt;&gt;0,'Técnicas de Ki'!BY86,0)+IF($R191&lt;&gt;0,'Técnicas de Ki'!BZ86,0)+IF($S191&lt;&gt;0,'Técnicas de Ki'!CA86,0)+IF($T191&lt;&gt;0,'Técnicas de Ki'!CB86,0)),0))</f>
        <v>0</v>
      </c>
      <c r="CK191" s="538">
        <f>IF('Técnicas de Ki'!BM86=0,0,IF('Técnicas de Ki'!BT86=TS!CK$119,'Técnicas de Ki'!BN86-(IF($O191&lt;&gt;0,'Técnicas de Ki'!BW86,0)+IF($P191&lt;&gt;0,'Técnicas de Ki'!BX86,0)+IF($Q191&lt;&gt;0,'Técnicas de Ki'!BY86,0)+IF($R191&lt;&gt;0,'Técnicas de Ki'!BZ86,0)+IF($S191&lt;&gt;0,'Técnicas de Ki'!CA86,0)+IF($T191&lt;&gt;0,'Técnicas de Ki'!CB86,0)),0))</f>
        <v>0</v>
      </c>
      <c r="CL191" s="539">
        <f>IF('Técnicas de Ki'!BM86=0,0,IF('Técnicas de Ki'!BT86=TS!CL$119,'Técnicas de Ki'!BN86-(IF($O191&lt;&gt;0,'Técnicas de Ki'!BW86,0)+IF($P191&lt;&gt;0,'Técnicas de Ki'!BX86,0)+IF($Q191&lt;&gt;0,'Técnicas de Ki'!BY86,0)+IF($R191&lt;&gt;0,'Técnicas de Ki'!BZ86,0)+IF($S191&lt;&gt;0,'Técnicas de Ki'!CA86,0)+IF($T191&lt;&gt;0,'Técnicas de Ki'!CB86,0)),0))</f>
        <v>0</v>
      </c>
      <c r="CM191" s="538">
        <f>IF('Técnicas de Ki'!BM86=0,0,IFERROR(IF('Técnicas de Ki'!BW86&lt;&gt;0,'Técnicas de Ki'!BW86+TS!$O191,0)*$O191/$O191,0))</f>
        <v>0</v>
      </c>
      <c r="CN191" s="538">
        <f>IF('Técnicas de Ki'!BM86=0,0,IFERROR(IF('Técnicas de Ki'!BX86&lt;&gt;0,'Técnicas de Ki'!BX86+TS!$P191,0)*$P191/$P191,0))</f>
        <v>0</v>
      </c>
      <c r="CO191" s="538">
        <f>IF('Técnicas de Ki'!BM86=0,0,IFERROR(IF('Técnicas de Ki'!BY86&lt;&gt;0,'Técnicas de Ki'!BY86+TS!$Q191,0)*$Q191/$Q191,0))</f>
        <v>0</v>
      </c>
      <c r="CP191" s="538">
        <f>IF('Técnicas de Ki'!BM86=0,0,IFERROR(IF('Técnicas de Ki'!BZ86&lt;&gt;0,'Técnicas de Ki'!BZ86+TS!$R191,0)*$R191/$R191,0))</f>
        <v>0</v>
      </c>
      <c r="CQ191" s="538">
        <f>IF('Técnicas de Ki'!BM86=0,0,IFERROR(IF('Técnicas de Ki'!CA86&lt;&gt;0,'Técnicas de Ki'!CA86+TS!$S191,0)*$S191/$S191,0))</f>
        <v>0</v>
      </c>
      <c r="CR191" s="539">
        <f>IF('Técnicas de Ki'!BM86=0,0,IFERROR(IF('Técnicas de Ki'!CB86&lt;&gt;0,'Técnicas de Ki'!CB86+TS!$T191,0)*$T191/$T191,0))</f>
        <v>0</v>
      </c>
      <c r="CT191" s="571" t="str">
        <f>IF('Técnicas de Ki'!BM94&lt;&gt;0,'Técnicas de Ki'!BL94&amp;" "&amp;'Técnicas de Ki'!BM94,"")</f>
        <v/>
      </c>
      <c r="CU191" s="302" t="b">
        <f t="shared" si="36"/>
        <v>0</v>
      </c>
      <c r="CV191" s="302" t="str">
        <f t="shared" si="40"/>
        <v/>
      </c>
    </row>
    <row r="192" spans="1:102" x14ac:dyDescent="0.2">
      <c r="A192" s="302" t="s">
        <v>6868</v>
      </c>
      <c r="B192" s="301" t="s">
        <v>6778</v>
      </c>
      <c r="C192" s="301" t="str">
        <f t="shared" si="15"/>
        <v>Defensa adicional+2</v>
      </c>
      <c r="D192" s="302">
        <v>2</v>
      </c>
      <c r="E192" s="302">
        <v>4</v>
      </c>
      <c r="F192" s="302">
        <v>5</v>
      </c>
      <c r="G192" s="302">
        <v>2</v>
      </c>
      <c r="H192" s="302">
        <v>4</v>
      </c>
      <c r="I192" s="302">
        <v>7</v>
      </c>
      <c r="J192" s="302">
        <v>1</v>
      </c>
      <c r="N192" t="s">
        <v>6969</v>
      </c>
      <c r="O192" s="528">
        <v>2</v>
      </c>
      <c r="Q192" s="528">
        <v>3</v>
      </c>
      <c r="R192" s="528">
        <v>1</v>
      </c>
      <c r="S192" s="528">
        <v>1</v>
      </c>
      <c r="V192" s="537">
        <f>IF('Técnicas de Ki'!B87=0,0,IF('Técnicas de Ki'!I87=TS!V$119,'Técnicas de Ki'!C87-(IF($O192&lt;&gt;0,'Técnicas de Ki'!L87,0)+IF($P192&lt;&gt;0,'Técnicas de Ki'!M87,0)+IF($Q192&lt;&gt;0,'Técnicas de Ki'!N87,0)+IF($R192&lt;&gt;0,'Técnicas de Ki'!O87,0)+IF($S192&lt;&gt;0,'Técnicas de Ki'!P87,0)+IF($T192&lt;&gt;0,'Técnicas de Ki'!Q87,0)),0))</f>
        <v>0</v>
      </c>
      <c r="W192" s="538">
        <f>IF('Técnicas de Ki'!B87=0,0,IF('Técnicas de Ki'!I87=TS!W$119,'Técnicas de Ki'!C87-(IF($O192&lt;&gt;0,'Técnicas de Ki'!L87,0)+IF($P192&lt;&gt;0,'Técnicas de Ki'!M87,0)+IF($Q192&lt;&gt;0,'Técnicas de Ki'!N87,0)+IF($R192&lt;&gt;0,'Técnicas de Ki'!O87,0)+IF($S192&lt;&gt;0,'Técnicas de Ki'!P87,0)+IF($T192&lt;&gt;0,'Técnicas de Ki'!Q87,0)),0))</f>
        <v>0</v>
      </c>
      <c r="X192" s="538">
        <f>IF('Técnicas de Ki'!B87=0,0,IF('Técnicas de Ki'!I87=TS!X$119,'Técnicas de Ki'!C87-(IF($O192&lt;&gt;0,'Técnicas de Ki'!L87,0)+IF($P192&lt;&gt;0,'Técnicas de Ki'!M87,0)+IF($Q192&lt;&gt;0,'Técnicas de Ki'!N87,0)+IF($R192&lt;&gt;0,'Técnicas de Ki'!O87,0)+IF($S192&lt;&gt;0,'Técnicas de Ki'!P87,0)+IF($T192&lt;&gt;0,'Técnicas de Ki'!Q87,0)),0))</f>
        <v>0</v>
      </c>
      <c r="Y192" s="538">
        <f>IF('Técnicas de Ki'!B87=0,0,IF('Técnicas de Ki'!I87=TS!Y$119,'Técnicas de Ki'!C87-(IF($O192&lt;&gt;0,'Técnicas de Ki'!L87,0)+IF($P192&lt;&gt;0,'Técnicas de Ki'!M87,0)+IF($Q192&lt;&gt;0,'Técnicas de Ki'!N87,0)+IF($R192&lt;&gt;0,'Técnicas de Ki'!O87,0)+IF($S192&lt;&gt;0,'Técnicas de Ki'!P87,0)+IF($T192&lt;&gt;0,'Técnicas de Ki'!Q87,0)),0))</f>
        <v>0</v>
      </c>
      <c r="Z192" s="538">
        <f>IF('Técnicas de Ki'!B87=0,0,IF('Técnicas de Ki'!I87=TS!Z$119,'Técnicas de Ki'!C87-(IF($O192&lt;&gt;0,'Técnicas de Ki'!L87,0)+IF($P192&lt;&gt;0,'Técnicas de Ki'!M87,0)+IF($Q192&lt;&gt;0,'Técnicas de Ki'!N87,0)+IF($R192&lt;&gt;0,'Técnicas de Ki'!O87,0)+IF($S192&lt;&gt;0,'Técnicas de Ki'!P87,0)+IF($T192&lt;&gt;0,'Técnicas de Ki'!Q87,0)),0))</f>
        <v>0</v>
      </c>
      <c r="AA192" s="539">
        <f>IF('Técnicas de Ki'!B87=0,0,IF('Técnicas de Ki'!I87=TS!AA$119,'Técnicas de Ki'!C87-(IF($O192&lt;&gt;0,'Técnicas de Ki'!L87,0)+IF($P192&lt;&gt;0,'Técnicas de Ki'!M87,0)+IF($Q192&lt;&gt;0,'Técnicas de Ki'!N87,0)+IF($R192&lt;&gt;0,'Técnicas de Ki'!O87,0)+IF($S192&lt;&gt;0,'Técnicas de Ki'!P87,0)+IF($T192&lt;&gt;0,'Técnicas de Ki'!Q87,0)),0))</f>
        <v>0</v>
      </c>
      <c r="AB192" s="538">
        <f>IF('Técnicas de Ki'!B87=0,0,IFERROR(IF('Técnicas de Ki'!L87&lt;&gt;0,'Técnicas de Ki'!L87+TS!$O192,0)*$O192/$O192,0))</f>
        <v>0</v>
      </c>
      <c r="AC192" s="538">
        <f>IF('Técnicas de Ki'!B87=0,0,IFERROR(IF('Técnicas de Ki'!M87&lt;&gt;0,'Técnicas de Ki'!M87+TS!$P192,0)*$P192/$P192,0))</f>
        <v>0</v>
      </c>
      <c r="AD192" s="538">
        <f>IF('Técnicas de Ki'!B87=0,0,IFERROR(IF('Técnicas de Ki'!N87&lt;&gt;0,'Técnicas de Ki'!N87+TS!$Q192,0)*$Q192/$Q192,0))</f>
        <v>0</v>
      </c>
      <c r="AE192" s="538">
        <f>IF('Técnicas de Ki'!B87=0,0,IFERROR(IF('Técnicas de Ki'!O87&lt;&gt;0,'Técnicas de Ki'!O87+TS!$R192,0)*$R192/$R192,0))</f>
        <v>0</v>
      </c>
      <c r="AF192" s="538">
        <f>IF('Técnicas de Ki'!B87=0,0,IFERROR(IF('Técnicas de Ki'!P87&lt;&gt;0,'Técnicas de Ki'!P87+TS!$S192,0)*$S192/$S192,0))</f>
        <v>0</v>
      </c>
      <c r="AG192" s="539">
        <f>IF('Técnicas de Ki'!B87=0,0,IFERROR(IF('Técnicas de Ki'!Q87&lt;&gt;0,'Técnicas de Ki'!Q87+TS!$T192,0)*$T192/$T192,0))</f>
        <v>0</v>
      </c>
      <c r="AI192" s="571" t="str">
        <f>IF('Técnicas de Ki'!B95&lt;&gt;0,'Técnicas de Ki'!A95&amp;" "&amp;'Técnicas de Ki'!B95,"")</f>
        <v/>
      </c>
      <c r="AJ192" s="302" t="b">
        <f t="shared" si="41"/>
        <v>0</v>
      </c>
      <c r="AK192" s="302" t="str">
        <f t="shared" si="37"/>
        <v/>
      </c>
      <c r="AQ192" s="537">
        <f>IF('Técnicas de Ki'!W87=0,0,IF('Técnicas de Ki'!AD87=TS!AQ$119,'Técnicas de Ki'!X87-(IF($O192&lt;&gt;0,'Técnicas de Ki'!AG87,0)+IF($P192&lt;&gt;0,'Técnicas de Ki'!AH87,0)+IF($Q192&lt;&gt;0,'Técnicas de Ki'!AI87,0)+IF($R192&lt;&gt;0,'Técnicas de Ki'!AJ87,0)+IF($S192&lt;&gt;0,'Técnicas de Ki'!AK87,0)+IF($T192&lt;&gt;0,'Técnicas de Ki'!AL87,0)),0))</f>
        <v>0</v>
      </c>
      <c r="AR192" s="538">
        <f>IF('Técnicas de Ki'!W87=0,0,IF('Técnicas de Ki'!AD87=TS!AR$119,'Técnicas de Ki'!X87-(IF($O192&lt;&gt;0,'Técnicas de Ki'!AG87,0)+IF($P192&lt;&gt;0,'Técnicas de Ki'!AH87,0)+IF($Q192&lt;&gt;0,'Técnicas de Ki'!AI87,0)+IF($R192&lt;&gt;0,'Técnicas de Ki'!AJ87,0)+IF($S192&lt;&gt;0,'Técnicas de Ki'!AK87,0)+IF($T192&lt;&gt;0,'Técnicas de Ki'!AL87,0)),0))</f>
        <v>0</v>
      </c>
      <c r="AS192" s="538">
        <f>IF('Técnicas de Ki'!W87=0,0,IF('Técnicas de Ki'!AD87=TS!AS$119,'Técnicas de Ki'!X87-(IF($O192&lt;&gt;0,'Técnicas de Ki'!AG87,0)+IF($P192&lt;&gt;0,'Técnicas de Ki'!AH87,0)+IF($Q192&lt;&gt;0,'Técnicas de Ki'!AI87,0)+IF($R192&lt;&gt;0,'Técnicas de Ki'!AJ87,0)+IF($S192&lt;&gt;0,'Técnicas de Ki'!AK87,0)+IF($T192&lt;&gt;0,'Técnicas de Ki'!AL87,0)),0))</f>
        <v>0</v>
      </c>
      <c r="AT192" s="538">
        <f>IF('Técnicas de Ki'!W87=0,0,IF('Técnicas de Ki'!AD87=TS!AT$119,'Técnicas de Ki'!X87-(IF($O192&lt;&gt;0,'Técnicas de Ki'!AG87,0)+IF($P192&lt;&gt;0,'Técnicas de Ki'!AH87,0)+IF($Q192&lt;&gt;0,'Técnicas de Ki'!AI87,0)+IF($R192&lt;&gt;0,'Técnicas de Ki'!AJ87,0)+IF($S192&lt;&gt;0,'Técnicas de Ki'!AK87,0)+IF($T192&lt;&gt;0,'Técnicas de Ki'!AL87,0)),0))</f>
        <v>0</v>
      </c>
      <c r="AU192" s="538">
        <f>IF('Técnicas de Ki'!W87=0,0,IF('Técnicas de Ki'!AD87=TS!AU$119,'Técnicas de Ki'!X87-(IF($O192&lt;&gt;0,'Técnicas de Ki'!AG87,0)+IF($P192&lt;&gt;0,'Técnicas de Ki'!AH87,0)+IF($Q192&lt;&gt;0,'Técnicas de Ki'!AI87,0)+IF($R192&lt;&gt;0,'Técnicas de Ki'!AJ87,0)+IF($S192&lt;&gt;0,'Técnicas de Ki'!AK87,0)+IF($T192&lt;&gt;0,'Técnicas de Ki'!AL87,0)),0))</f>
        <v>0</v>
      </c>
      <c r="AV192" s="539">
        <f>IF('Técnicas de Ki'!W87=0,0,IF('Técnicas de Ki'!AD87=TS!AV$119,'Técnicas de Ki'!X87-(IF($O192&lt;&gt;0,'Técnicas de Ki'!AG87,0)+IF($P192&lt;&gt;0,'Técnicas de Ki'!AH87,0)+IF($Q192&lt;&gt;0,'Técnicas de Ki'!AI87,0)+IF($R192&lt;&gt;0,'Técnicas de Ki'!AJ87,0)+IF($S192&lt;&gt;0,'Técnicas de Ki'!AK87,0)+IF($T192&lt;&gt;0,'Técnicas de Ki'!AL87,0)),0))</f>
        <v>0</v>
      </c>
      <c r="AW192" s="538">
        <f>IF('Técnicas de Ki'!W87=0,0,IFERROR(IF('Técnicas de Ki'!AG87&lt;&gt;0,'Técnicas de Ki'!AG87+TS!$O192,0)*$O192/$O192,0))</f>
        <v>0</v>
      </c>
      <c r="AX192" s="538">
        <f>IF('Técnicas de Ki'!W87=0,0,IFERROR(IF('Técnicas de Ki'!AH87&lt;&gt;0,'Técnicas de Ki'!AH87+TS!$P192,0)*$P192/$P192,0))</f>
        <v>0</v>
      </c>
      <c r="AY192" s="538">
        <f>IF('Técnicas de Ki'!W87=0,0,IFERROR(IF('Técnicas de Ki'!AI87&lt;&gt;0,'Técnicas de Ki'!AI87+TS!$Q192,0)*$Q192/$Q192,0))</f>
        <v>0</v>
      </c>
      <c r="AZ192" s="538">
        <f>IF('Técnicas de Ki'!W87=0,0,IFERROR(IF('Técnicas de Ki'!AJ87&lt;&gt;0,'Técnicas de Ki'!AJ87+TS!$R192,0)*$R192/$R192,0))</f>
        <v>0</v>
      </c>
      <c r="BA192" s="538">
        <f>IF('Técnicas de Ki'!W87=0,0,IFERROR(IF('Técnicas de Ki'!AK87&lt;&gt;0,'Técnicas de Ki'!AK87+TS!$S192,0)*$S192/$S192,0))</f>
        <v>0</v>
      </c>
      <c r="BB192" s="539">
        <f>IF('Técnicas de Ki'!W87=0,0,IFERROR(IF('Técnicas de Ki'!AL87&lt;&gt;0,'Técnicas de Ki'!AL87+TS!$T192,0)*$T192/$T192,0))</f>
        <v>0</v>
      </c>
      <c r="BD192" s="571" t="str">
        <f>IF('Técnicas de Ki'!W95&lt;&gt;0,'Técnicas de Ki'!V95&amp;" "&amp;'Técnicas de Ki'!W95,"")</f>
        <v/>
      </c>
      <c r="BE192" s="302" t="b">
        <f t="shared" si="34"/>
        <v>0</v>
      </c>
      <c r="BF192" s="302" t="str">
        <f t="shared" si="38"/>
        <v/>
      </c>
      <c r="BL192" s="537">
        <f>IF('Técnicas de Ki'!AR87=0,0,IF('Técnicas de Ki'!AY87=TS!BL$119,'Técnicas de Ki'!AS87-(IF($O192&lt;&gt;0,'Técnicas de Ki'!BB87,0)+IF($P192&lt;&gt;0,'Técnicas de Ki'!BC87,0)+IF($Q192&lt;&gt;0,'Técnicas de Ki'!BD87,0)+IF($R192&lt;&gt;0,'Técnicas de Ki'!BE87,0)+IF($S192&lt;&gt;0,'Técnicas de Ki'!BF87,0)+IF($T192&lt;&gt;0,'Técnicas de Ki'!BG87,0)),0))</f>
        <v>0</v>
      </c>
      <c r="BM192" s="538">
        <f>IF('Técnicas de Ki'!AR87=0,0,IF('Técnicas de Ki'!AY87=TS!BM$119,'Técnicas de Ki'!AS87-(IF($O192&lt;&gt;0,'Técnicas de Ki'!BB87,0)+IF($P192&lt;&gt;0,'Técnicas de Ki'!BC87,0)+IF($Q192&lt;&gt;0,'Técnicas de Ki'!BD87,0)+IF($R192&lt;&gt;0,'Técnicas de Ki'!BE87,0)+IF($S192&lt;&gt;0,'Técnicas de Ki'!BF87,0)+IF($T192&lt;&gt;0,'Técnicas de Ki'!BG87,0)),0))</f>
        <v>0</v>
      </c>
      <c r="BN192" s="538">
        <f>IF('Técnicas de Ki'!AR87=0,0,IF('Técnicas de Ki'!AY87=TS!BN$119,'Técnicas de Ki'!AS87-(IF($O192&lt;&gt;0,'Técnicas de Ki'!BB87,0)+IF($P192&lt;&gt;0,'Técnicas de Ki'!BC87,0)+IF($Q192&lt;&gt;0,'Técnicas de Ki'!BD87,0)+IF($R192&lt;&gt;0,'Técnicas de Ki'!BE87,0)+IF($S192&lt;&gt;0,'Técnicas de Ki'!BF87,0)+IF($T192&lt;&gt;0,'Técnicas de Ki'!BG87,0)),0))</f>
        <v>0</v>
      </c>
      <c r="BO192" s="538">
        <f>IF('Técnicas de Ki'!AR87=0,0,IF('Técnicas de Ki'!AY87=TS!BO$119,'Técnicas de Ki'!AS87-(IF($O192&lt;&gt;0,'Técnicas de Ki'!BB87,0)+IF($P192&lt;&gt;0,'Técnicas de Ki'!BC87,0)+IF($Q192&lt;&gt;0,'Técnicas de Ki'!BD87,0)+IF($R192&lt;&gt;0,'Técnicas de Ki'!BE87,0)+IF($S192&lt;&gt;0,'Técnicas de Ki'!BF87,0)+IF($T192&lt;&gt;0,'Técnicas de Ki'!BG87,0)),0))</f>
        <v>0</v>
      </c>
      <c r="BP192" s="538">
        <f>IF('Técnicas de Ki'!AR87=0,0,IF('Técnicas de Ki'!AY87=TS!BP$119,'Técnicas de Ki'!AS87-(IF($O192&lt;&gt;0,'Técnicas de Ki'!BB87,0)+IF($P192&lt;&gt;0,'Técnicas de Ki'!BC87,0)+IF($Q192&lt;&gt;0,'Técnicas de Ki'!BD87,0)+IF($R192&lt;&gt;0,'Técnicas de Ki'!BE87,0)+IF($S192&lt;&gt;0,'Técnicas de Ki'!BF87,0)+IF($T192&lt;&gt;0,'Técnicas de Ki'!BG87,0)),0))</f>
        <v>0</v>
      </c>
      <c r="BQ192" s="539">
        <f>IF('Técnicas de Ki'!AR87=0,0,IF('Técnicas de Ki'!AY87=TS!BQ$119,'Técnicas de Ki'!AS87-(IF($O192&lt;&gt;0,'Técnicas de Ki'!BB87,0)+IF($P192&lt;&gt;0,'Técnicas de Ki'!BC87,0)+IF($Q192&lt;&gt;0,'Técnicas de Ki'!BD87,0)+IF($R192&lt;&gt;0,'Técnicas de Ki'!BE87,0)+IF($S192&lt;&gt;0,'Técnicas de Ki'!BF87,0)+IF($T192&lt;&gt;0,'Técnicas de Ki'!BG87,0)),0))</f>
        <v>0</v>
      </c>
      <c r="BR192" s="538">
        <f>IF('Técnicas de Ki'!AR87=0,0,IFERROR(IF('Técnicas de Ki'!BB87&lt;&gt;0,'Técnicas de Ki'!BB87+TS!$O192,0)*$O192/$O192,0))</f>
        <v>0</v>
      </c>
      <c r="BS192" s="538">
        <f>IF('Técnicas de Ki'!AR87=0,0,IFERROR(IF('Técnicas de Ki'!BC87&lt;&gt;0,'Técnicas de Ki'!BC87+TS!$P192,0)*$P192/$P192,0))</f>
        <v>0</v>
      </c>
      <c r="BT192" s="538">
        <f>IF('Técnicas de Ki'!AR87=0,0,IFERROR(IF('Técnicas de Ki'!BD87&lt;&gt;0,'Técnicas de Ki'!BD87+TS!$Q192,0)*$Q192/$Q192,0))</f>
        <v>0</v>
      </c>
      <c r="BU192" s="538">
        <f>IF('Técnicas de Ki'!AR87=0,0,IFERROR(IF('Técnicas de Ki'!BE87&lt;&gt;0,'Técnicas de Ki'!BE87+TS!$R192,0)*$R192/$R192,0))</f>
        <v>0</v>
      </c>
      <c r="BV192" s="538">
        <f>IF('Técnicas de Ki'!AR87=0,0,IFERROR(IF('Técnicas de Ki'!BF87&lt;&gt;0,'Técnicas de Ki'!BF87+TS!$S192,0)*$S192/$S192,0))</f>
        <v>0</v>
      </c>
      <c r="BW192" s="539">
        <f>IF('Técnicas de Ki'!AR87=0,0,IFERROR(IF('Técnicas de Ki'!BG87&lt;&gt;0,'Técnicas de Ki'!BG87+TS!$T192,0)*$T192/$T192,0))</f>
        <v>0</v>
      </c>
      <c r="BY192" s="571" t="str">
        <f>IF('Técnicas de Ki'!AR95&lt;&gt;0,'Técnicas de Ki'!AQ95&amp;" "&amp;'Técnicas de Ki'!AR95,"")</f>
        <v/>
      </c>
      <c r="BZ192" s="302" t="b">
        <f t="shared" si="35"/>
        <v>0</v>
      </c>
      <c r="CA192" s="302" t="str">
        <f t="shared" si="39"/>
        <v/>
      </c>
      <c r="CG192" s="537">
        <f>IF('Técnicas de Ki'!BM87=0,0,IF('Técnicas de Ki'!BT87=TS!CG$119,'Técnicas de Ki'!BN87-(IF($O192&lt;&gt;0,'Técnicas de Ki'!BW87,0)+IF($P192&lt;&gt;0,'Técnicas de Ki'!BX87,0)+IF($Q192&lt;&gt;0,'Técnicas de Ki'!BY87,0)+IF($R192&lt;&gt;0,'Técnicas de Ki'!BZ87,0)+IF($S192&lt;&gt;0,'Técnicas de Ki'!CA87,0)+IF($T192&lt;&gt;0,'Técnicas de Ki'!CB87,0)),0))</f>
        <v>0</v>
      </c>
      <c r="CH192" s="538">
        <f>IF('Técnicas de Ki'!BM87=0,0,IF('Técnicas de Ki'!BT87=TS!CH$119,'Técnicas de Ki'!BN87-(IF($O192&lt;&gt;0,'Técnicas de Ki'!BW87,0)+IF($P192&lt;&gt;0,'Técnicas de Ki'!BX87,0)+IF($Q192&lt;&gt;0,'Técnicas de Ki'!BY87,0)+IF($R192&lt;&gt;0,'Técnicas de Ki'!BZ87,0)+IF($S192&lt;&gt;0,'Técnicas de Ki'!CA87,0)+IF($T192&lt;&gt;0,'Técnicas de Ki'!CB87,0)),0))</f>
        <v>0</v>
      </c>
      <c r="CI192" s="538">
        <f>IF('Técnicas de Ki'!BM87=0,0,IF('Técnicas de Ki'!BT87=TS!CI$119,'Técnicas de Ki'!BN87-(IF($O192&lt;&gt;0,'Técnicas de Ki'!BW87,0)+IF($P192&lt;&gt;0,'Técnicas de Ki'!BX87,0)+IF($Q192&lt;&gt;0,'Técnicas de Ki'!BY87,0)+IF($R192&lt;&gt;0,'Técnicas de Ki'!BZ87,0)+IF($S192&lt;&gt;0,'Técnicas de Ki'!CA87,0)+IF($T192&lt;&gt;0,'Técnicas de Ki'!CB87,0)),0))</f>
        <v>0</v>
      </c>
      <c r="CJ192" s="538">
        <f>IF('Técnicas de Ki'!BM87=0,0,IF('Técnicas de Ki'!BT87=TS!CJ$119,'Técnicas de Ki'!BN87-(IF($O192&lt;&gt;0,'Técnicas de Ki'!BW87,0)+IF($P192&lt;&gt;0,'Técnicas de Ki'!BX87,0)+IF($Q192&lt;&gt;0,'Técnicas de Ki'!BY87,0)+IF($R192&lt;&gt;0,'Técnicas de Ki'!BZ87,0)+IF($S192&lt;&gt;0,'Técnicas de Ki'!CA87,0)+IF($T192&lt;&gt;0,'Técnicas de Ki'!CB87,0)),0))</f>
        <v>0</v>
      </c>
      <c r="CK192" s="538">
        <f>IF('Técnicas de Ki'!BM87=0,0,IF('Técnicas de Ki'!BT87=TS!CK$119,'Técnicas de Ki'!BN87-(IF($O192&lt;&gt;0,'Técnicas de Ki'!BW87,0)+IF($P192&lt;&gt;0,'Técnicas de Ki'!BX87,0)+IF($Q192&lt;&gt;0,'Técnicas de Ki'!BY87,0)+IF($R192&lt;&gt;0,'Técnicas de Ki'!BZ87,0)+IF($S192&lt;&gt;0,'Técnicas de Ki'!CA87,0)+IF($T192&lt;&gt;0,'Técnicas de Ki'!CB87,0)),0))</f>
        <v>0</v>
      </c>
      <c r="CL192" s="539">
        <f>IF('Técnicas de Ki'!BM87=0,0,IF('Técnicas de Ki'!BT87=TS!CL$119,'Técnicas de Ki'!BN87-(IF($O192&lt;&gt;0,'Técnicas de Ki'!BW87,0)+IF($P192&lt;&gt;0,'Técnicas de Ki'!BX87,0)+IF($Q192&lt;&gt;0,'Técnicas de Ki'!BY87,0)+IF($R192&lt;&gt;0,'Técnicas de Ki'!BZ87,0)+IF($S192&lt;&gt;0,'Técnicas de Ki'!CA87,0)+IF($T192&lt;&gt;0,'Técnicas de Ki'!CB87,0)),0))</f>
        <v>0</v>
      </c>
      <c r="CM192" s="538">
        <f>IF('Técnicas de Ki'!BM87=0,0,IFERROR(IF('Técnicas de Ki'!BW87&lt;&gt;0,'Técnicas de Ki'!BW87+TS!$O192,0)*$O192/$O192,0))</f>
        <v>0</v>
      </c>
      <c r="CN192" s="538">
        <f>IF('Técnicas de Ki'!BM87=0,0,IFERROR(IF('Técnicas de Ki'!BX87&lt;&gt;0,'Técnicas de Ki'!BX87+TS!$P192,0)*$P192/$P192,0))</f>
        <v>0</v>
      </c>
      <c r="CO192" s="538">
        <f>IF('Técnicas de Ki'!BM87=0,0,IFERROR(IF('Técnicas de Ki'!BY87&lt;&gt;0,'Técnicas de Ki'!BY87+TS!$Q192,0)*$Q192/$Q192,0))</f>
        <v>0</v>
      </c>
      <c r="CP192" s="538">
        <f>IF('Técnicas de Ki'!BM87=0,0,IFERROR(IF('Técnicas de Ki'!BZ87&lt;&gt;0,'Técnicas de Ki'!BZ87+TS!$R192,0)*$R192/$R192,0))</f>
        <v>0</v>
      </c>
      <c r="CQ192" s="538">
        <f>IF('Técnicas de Ki'!BM87=0,0,IFERROR(IF('Técnicas de Ki'!CA87&lt;&gt;0,'Técnicas de Ki'!CA87+TS!$S192,0)*$S192/$S192,0))</f>
        <v>0</v>
      </c>
      <c r="CR192" s="539">
        <f>IF('Técnicas de Ki'!BM87=0,0,IFERROR(IF('Técnicas de Ki'!CB87&lt;&gt;0,'Técnicas de Ki'!CB87+TS!$T192,0)*$T192/$T192,0))</f>
        <v>0</v>
      </c>
      <c r="CT192" s="571" t="str">
        <f>IF('Técnicas de Ki'!BM95&lt;&gt;0,'Técnicas de Ki'!BL95&amp;" "&amp;'Técnicas de Ki'!BM95,"")</f>
        <v/>
      </c>
      <c r="CU192" s="302" t="b">
        <f t="shared" si="36"/>
        <v>0</v>
      </c>
      <c r="CV192" s="302" t="str">
        <f t="shared" si="40"/>
        <v/>
      </c>
    </row>
    <row r="193" spans="1:100" x14ac:dyDescent="0.2">
      <c r="A193" s="302" t="s">
        <v>6868</v>
      </c>
      <c r="B193" s="301" t="s">
        <v>6802</v>
      </c>
      <c r="C193" s="301" t="str">
        <f t="shared" si="15"/>
        <v>Defensa adicional+3</v>
      </c>
      <c r="D193" s="302">
        <v>3</v>
      </c>
      <c r="E193" s="302">
        <v>5</v>
      </c>
      <c r="F193" s="302">
        <v>10</v>
      </c>
      <c r="G193" s="302">
        <v>3</v>
      </c>
      <c r="H193" s="302">
        <v>6</v>
      </c>
      <c r="I193" s="302">
        <v>11</v>
      </c>
      <c r="J193" s="302">
        <v>1</v>
      </c>
      <c r="N193" t="s">
        <v>6970</v>
      </c>
      <c r="O193" s="528">
        <v>2</v>
      </c>
      <c r="Q193" s="528">
        <v>3</v>
      </c>
      <c r="R193" s="528">
        <v>1</v>
      </c>
      <c r="S193" s="528">
        <v>1</v>
      </c>
      <c r="V193" s="537">
        <f>IF('Técnicas de Ki'!B88=0,0,IF('Técnicas de Ki'!I88=TS!V$119,'Técnicas de Ki'!C88-(IF($O193&lt;&gt;0,'Técnicas de Ki'!L88,0)+IF($P193&lt;&gt;0,'Técnicas de Ki'!M88,0)+IF($Q193&lt;&gt;0,'Técnicas de Ki'!N88,0)+IF($R193&lt;&gt;0,'Técnicas de Ki'!O88,0)+IF($S193&lt;&gt;0,'Técnicas de Ki'!P88,0)+IF($T193&lt;&gt;0,'Técnicas de Ki'!Q88,0)),0))</f>
        <v>0</v>
      </c>
      <c r="W193" s="538">
        <f>IF('Técnicas de Ki'!B88=0,0,IF('Técnicas de Ki'!I88=TS!W$119,'Técnicas de Ki'!C88-(IF($O193&lt;&gt;0,'Técnicas de Ki'!L88,0)+IF($P193&lt;&gt;0,'Técnicas de Ki'!M88,0)+IF($Q193&lt;&gt;0,'Técnicas de Ki'!N88,0)+IF($R193&lt;&gt;0,'Técnicas de Ki'!O88,0)+IF($S193&lt;&gt;0,'Técnicas de Ki'!P88,0)+IF($T193&lt;&gt;0,'Técnicas de Ki'!Q88,0)),0))</f>
        <v>0</v>
      </c>
      <c r="X193" s="538">
        <f>IF('Técnicas de Ki'!B88=0,0,IF('Técnicas de Ki'!I88=TS!X$119,'Técnicas de Ki'!C88-(IF($O193&lt;&gt;0,'Técnicas de Ki'!L88,0)+IF($P193&lt;&gt;0,'Técnicas de Ki'!M88,0)+IF($Q193&lt;&gt;0,'Técnicas de Ki'!N88,0)+IF($R193&lt;&gt;0,'Técnicas de Ki'!O88,0)+IF($S193&lt;&gt;0,'Técnicas de Ki'!P88,0)+IF($T193&lt;&gt;0,'Técnicas de Ki'!Q88,0)),0))</f>
        <v>0</v>
      </c>
      <c r="Y193" s="538">
        <f>IF('Técnicas de Ki'!B88=0,0,IF('Técnicas de Ki'!I88=TS!Y$119,'Técnicas de Ki'!C88-(IF($O193&lt;&gt;0,'Técnicas de Ki'!L88,0)+IF($P193&lt;&gt;0,'Técnicas de Ki'!M88,0)+IF($Q193&lt;&gt;0,'Técnicas de Ki'!N88,0)+IF($R193&lt;&gt;0,'Técnicas de Ki'!O88,0)+IF($S193&lt;&gt;0,'Técnicas de Ki'!P88,0)+IF($T193&lt;&gt;0,'Técnicas de Ki'!Q88,0)),0))</f>
        <v>0</v>
      </c>
      <c r="Z193" s="538">
        <f>IF('Técnicas de Ki'!B88=0,0,IF('Técnicas de Ki'!I88=TS!Z$119,'Técnicas de Ki'!C88-(IF($O193&lt;&gt;0,'Técnicas de Ki'!L88,0)+IF($P193&lt;&gt;0,'Técnicas de Ki'!M88,0)+IF($Q193&lt;&gt;0,'Técnicas de Ki'!N88,0)+IF($R193&lt;&gt;0,'Técnicas de Ki'!O88,0)+IF($S193&lt;&gt;0,'Técnicas de Ki'!P88,0)+IF($T193&lt;&gt;0,'Técnicas de Ki'!Q88,0)),0))</f>
        <v>0</v>
      </c>
      <c r="AA193" s="539">
        <f>IF('Técnicas de Ki'!B88=0,0,IF('Técnicas de Ki'!I88=TS!AA$119,'Técnicas de Ki'!C88-(IF($O193&lt;&gt;0,'Técnicas de Ki'!L88,0)+IF($P193&lt;&gt;0,'Técnicas de Ki'!M88,0)+IF($Q193&lt;&gt;0,'Técnicas de Ki'!N88,0)+IF($R193&lt;&gt;0,'Técnicas de Ki'!O88,0)+IF($S193&lt;&gt;0,'Técnicas de Ki'!P88,0)+IF($T193&lt;&gt;0,'Técnicas de Ki'!Q88,0)),0))</f>
        <v>0</v>
      </c>
      <c r="AB193" s="538">
        <f>IF('Técnicas de Ki'!B88=0,0,IFERROR(IF('Técnicas de Ki'!L88&lt;&gt;0,'Técnicas de Ki'!L88+TS!$O193,0)*$O193/$O193,0))</f>
        <v>0</v>
      </c>
      <c r="AC193" s="538">
        <f>IF('Técnicas de Ki'!B88=0,0,IFERROR(IF('Técnicas de Ki'!M88&lt;&gt;0,'Técnicas de Ki'!M88+TS!$P193,0)*$P193/$P193,0))</f>
        <v>0</v>
      </c>
      <c r="AD193" s="538">
        <f>IF('Técnicas de Ki'!B88=0,0,IFERROR(IF('Técnicas de Ki'!N88&lt;&gt;0,'Técnicas de Ki'!N88+TS!$Q193,0)*$Q193/$Q193,0))</f>
        <v>0</v>
      </c>
      <c r="AE193" s="538">
        <f>IF('Técnicas de Ki'!B88=0,0,IFERROR(IF('Técnicas de Ki'!O88&lt;&gt;0,'Técnicas de Ki'!O88+TS!$R193,0)*$R193/$R193,0))</f>
        <v>0</v>
      </c>
      <c r="AF193" s="538">
        <f>IF('Técnicas de Ki'!B88=0,0,IFERROR(IF('Técnicas de Ki'!P88&lt;&gt;0,'Técnicas de Ki'!P88+TS!$S193,0)*$S193/$S193,0))</f>
        <v>0</v>
      </c>
      <c r="AG193" s="539">
        <f>IF('Técnicas de Ki'!B88=0,0,IFERROR(IF('Técnicas de Ki'!Q88&lt;&gt;0,'Técnicas de Ki'!Q88+TS!$T193,0)*$T193/$T193,0))</f>
        <v>0</v>
      </c>
      <c r="AI193" s="571" t="str">
        <f>IF('Técnicas de Ki'!B96&lt;&gt;0,'Técnicas de Ki'!A96&amp;" "&amp;'Técnicas de Ki'!B96,"")</f>
        <v/>
      </c>
      <c r="AJ193" s="302" t="b">
        <f t="shared" si="41"/>
        <v>0</v>
      </c>
      <c r="AK193" s="302" t="str">
        <f t="shared" si="37"/>
        <v/>
      </c>
      <c r="AQ193" s="537">
        <f>IF('Técnicas de Ki'!W88=0,0,IF('Técnicas de Ki'!AD88=TS!AQ$119,'Técnicas de Ki'!X88-(IF($O193&lt;&gt;0,'Técnicas de Ki'!AG88,0)+IF($P193&lt;&gt;0,'Técnicas de Ki'!AH88,0)+IF($Q193&lt;&gt;0,'Técnicas de Ki'!AI88,0)+IF($R193&lt;&gt;0,'Técnicas de Ki'!AJ88,0)+IF($S193&lt;&gt;0,'Técnicas de Ki'!AK88,0)+IF($T193&lt;&gt;0,'Técnicas de Ki'!AL88,0)),0))</f>
        <v>0</v>
      </c>
      <c r="AR193" s="538">
        <f>IF('Técnicas de Ki'!W88=0,0,IF('Técnicas de Ki'!AD88=TS!AR$119,'Técnicas de Ki'!X88-(IF($O193&lt;&gt;0,'Técnicas de Ki'!AG88,0)+IF($P193&lt;&gt;0,'Técnicas de Ki'!AH88,0)+IF($Q193&lt;&gt;0,'Técnicas de Ki'!AI88,0)+IF($R193&lt;&gt;0,'Técnicas de Ki'!AJ88,0)+IF($S193&lt;&gt;0,'Técnicas de Ki'!AK88,0)+IF($T193&lt;&gt;0,'Técnicas de Ki'!AL88,0)),0))</f>
        <v>0</v>
      </c>
      <c r="AS193" s="538">
        <f>IF('Técnicas de Ki'!W88=0,0,IF('Técnicas de Ki'!AD88=TS!AS$119,'Técnicas de Ki'!X88-(IF($O193&lt;&gt;0,'Técnicas de Ki'!AG88,0)+IF($P193&lt;&gt;0,'Técnicas de Ki'!AH88,0)+IF($Q193&lt;&gt;0,'Técnicas de Ki'!AI88,0)+IF($R193&lt;&gt;0,'Técnicas de Ki'!AJ88,0)+IF($S193&lt;&gt;0,'Técnicas de Ki'!AK88,0)+IF($T193&lt;&gt;0,'Técnicas de Ki'!AL88,0)),0))</f>
        <v>0</v>
      </c>
      <c r="AT193" s="538">
        <f>IF('Técnicas de Ki'!W88=0,0,IF('Técnicas de Ki'!AD88=TS!AT$119,'Técnicas de Ki'!X88-(IF($O193&lt;&gt;0,'Técnicas de Ki'!AG88,0)+IF($P193&lt;&gt;0,'Técnicas de Ki'!AH88,0)+IF($Q193&lt;&gt;0,'Técnicas de Ki'!AI88,0)+IF($R193&lt;&gt;0,'Técnicas de Ki'!AJ88,0)+IF($S193&lt;&gt;0,'Técnicas de Ki'!AK88,0)+IF($T193&lt;&gt;0,'Técnicas de Ki'!AL88,0)),0))</f>
        <v>0</v>
      </c>
      <c r="AU193" s="538">
        <f>IF('Técnicas de Ki'!W88=0,0,IF('Técnicas de Ki'!AD88=TS!AU$119,'Técnicas de Ki'!X88-(IF($O193&lt;&gt;0,'Técnicas de Ki'!AG88,0)+IF($P193&lt;&gt;0,'Técnicas de Ki'!AH88,0)+IF($Q193&lt;&gt;0,'Técnicas de Ki'!AI88,0)+IF($R193&lt;&gt;0,'Técnicas de Ki'!AJ88,0)+IF($S193&lt;&gt;0,'Técnicas de Ki'!AK88,0)+IF($T193&lt;&gt;0,'Técnicas de Ki'!AL88,0)),0))</f>
        <v>0</v>
      </c>
      <c r="AV193" s="539">
        <f>IF('Técnicas de Ki'!W88=0,0,IF('Técnicas de Ki'!AD88=TS!AV$119,'Técnicas de Ki'!X88-(IF($O193&lt;&gt;0,'Técnicas de Ki'!AG88,0)+IF($P193&lt;&gt;0,'Técnicas de Ki'!AH88,0)+IF($Q193&lt;&gt;0,'Técnicas de Ki'!AI88,0)+IF($R193&lt;&gt;0,'Técnicas de Ki'!AJ88,0)+IF($S193&lt;&gt;0,'Técnicas de Ki'!AK88,0)+IF($T193&lt;&gt;0,'Técnicas de Ki'!AL88,0)),0))</f>
        <v>0</v>
      </c>
      <c r="AW193" s="538">
        <f>IF('Técnicas de Ki'!W88=0,0,IFERROR(IF('Técnicas de Ki'!AG88&lt;&gt;0,'Técnicas de Ki'!AG88+TS!$O193,0)*$O193/$O193,0))</f>
        <v>0</v>
      </c>
      <c r="AX193" s="538">
        <f>IF('Técnicas de Ki'!W88=0,0,IFERROR(IF('Técnicas de Ki'!AH88&lt;&gt;0,'Técnicas de Ki'!AH88+TS!$P193,0)*$P193/$P193,0))</f>
        <v>0</v>
      </c>
      <c r="AY193" s="538">
        <f>IF('Técnicas de Ki'!W88=0,0,IFERROR(IF('Técnicas de Ki'!AI88&lt;&gt;0,'Técnicas de Ki'!AI88+TS!$Q193,0)*$Q193/$Q193,0))</f>
        <v>0</v>
      </c>
      <c r="AZ193" s="538">
        <f>IF('Técnicas de Ki'!W88=0,0,IFERROR(IF('Técnicas de Ki'!AJ88&lt;&gt;0,'Técnicas de Ki'!AJ88+TS!$R193,0)*$R193/$R193,0))</f>
        <v>0</v>
      </c>
      <c r="BA193" s="538">
        <f>IF('Técnicas de Ki'!W88=0,0,IFERROR(IF('Técnicas de Ki'!AK88&lt;&gt;0,'Técnicas de Ki'!AK88+TS!$S193,0)*$S193/$S193,0))</f>
        <v>0</v>
      </c>
      <c r="BB193" s="539">
        <f>IF('Técnicas de Ki'!W88=0,0,IFERROR(IF('Técnicas de Ki'!AL88&lt;&gt;0,'Técnicas de Ki'!AL88+TS!$T193,0)*$T193/$T193,0))</f>
        <v>0</v>
      </c>
      <c r="BD193" s="571" t="str">
        <f>IF('Técnicas de Ki'!W96&lt;&gt;0,'Técnicas de Ki'!V96&amp;" "&amp;'Técnicas de Ki'!W96,"")</f>
        <v/>
      </c>
      <c r="BE193" s="302" t="b">
        <f t="shared" si="34"/>
        <v>0</v>
      </c>
      <c r="BF193" s="302" t="str">
        <f t="shared" si="38"/>
        <v/>
      </c>
      <c r="BL193" s="537">
        <f>IF('Técnicas de Ki'!AR88=0,0,IF('Técnicas de Ki'!AY88=TS!BL$119,'Técnicas de Ki'!AS88-(IF($O193&lt;&gt;0,'Técnicas de Ki'!BB88,0)+IF($P193&lt;&gt;0,'Técnicas de Ki'!BC88,0)+IF($Q193&lt;&gt;0,'Técnicas de Ki'!BD88,0)+IF($R193&lt;&gt;0,'Técnicas de Ki'!BE88,0)+IF($S193&lt;&gt;0,'Técnicas de Ki'!BF88,0)+IF($T193&lt;&gt;0,'Técnicas de Ki'!BG88,0)),0))</f>
        <v>0</v>
      </c>
      <c r="BM193" s="538">
        <f>IF('Técnicas de Ki'!AR88=0,0,IF('Técnicas de Ki'!AY88=TS!BM$119,'Técnicas de Ki'!AS88-(IF($O193&lt;&gt;0,'Técnicas de Ki'!BB88,0)+IF($P193&lt;&gt;0,'Técnicas de Ki'!BC88,0)+IF($Q193&lt;&gt;0,'Técnicas de Ki'!BD88,0)+IF($R193&lt;&gt;0,'Técnicas de Ki'!BE88,0)+IF($S193&lt;&gt;0,'Técnicas de Ki'!BF88,0)+IF($T193&lt;&gt;0,'Técnicas de Ki'!BG88,0)),0))</f>
        <v>0</v>
      </c>
      <c r="BN193" s="538">
        <f>IF('Técnicas de Ki'!AR88=0,0,IF('Técnicas de Ki'!AY88=TS!BN$119,'Técnicas de Ki'!AS88-(IF($O193&lt;&gt;0,'Técnicas de Ki'!BB88,0)+IF($P193&lt;&gt;0,'Técnicas de Ki'!BC88,0)+IF($Q193&lt;&gt;0,'Técnicas de Ki'!BD88,0)+IF($R193&lt;&gt;0,'Técnicas de Ki'!BE88,0)+IF($S193&lt;&gt;0,'Técnicas de Ki'!BF88,0)+IF($T193&lt;&gt;0,'Técnicas de Ki'!BG88,0)),0))</f>
        <v>0</v>
      </c>
      <c r="BO193" s="538">
        <f>IF('Técnicas de Ki'!AR88=0,0,IF('Técnicas de Ki'!AY88=TS!BO$119,'Técnicas de Ki'!AS88-(IF($O193&lt;&gt;0,'Técnicas de Ki'!BB88,0)+IF($P193&lt;&gt;0,'Técnicas de Ki'!BC88,0)+IF($Q193&lt;&gt;0,'Técnicas de Ki'!BD88,0)+IF($R193&lt;&gt;0,'Técnicas de Ki'!BE88,0)+IF($S193&lt;&gt;0,'Técnicas de Ki'!BF88,0)+IF($T193&lt;&gt;0,'Técnicas de Ki'!BG88,0)),0))</f>
        <v>0</v>
      </c>
      <c r="BP193" s="538">
        <f>IF('Técnicas de Ki'!AR88=0,0,IF('Técnicas de Ki'!AY88=TS!BP$119,'Técnicas de Ki'!AS88-(IF($O193&lt;&gt;0,'Técnicas de Ki'!BB88,0)+IF($P193&lt;&gt;0,'Técnicas de Ki'!BC88,0)+IF($Q193&lt;&gt;0,'Técnicas de Ki'!BD88,0)+IF($R193&lt;&gt;0,'Técnicas de Ki'!BE88,0)+IF($S193&lt;&gt;0,'Técnicas de Ki'!BF88,0)+IF($T193&lt;&gt;0,'Técnicas de Ki'!BG88,0)),0))</f>
        <v>0</v>
      </c>
      <c r="BQ193" s="539">
        <f>IF('Técnicas de Ki'!AR88=0,0,IF('Técnicas de Ki'!AY88=TS!BQ$119,'Técnicas de Ki'!AS88-(IF($O193&lt;&gt;0,'Técnicas de Ki'!BB88,0)+IF($P193&lt;&gt;0,'Técnicas de Ki'!BC88,0)+IF($Q193&lt;&gt;0,'Técnicas de Ki'!BD88,0)+IF($R193&lt;&gt;0,'Técnicas de Ki'!BE88,0)+IF($S193&lt;&gt;0,'Técnicas de Ki'!BF88,0)+IF($T193&lt;&gt;0,'Técnicas de Ki'!BG88,0)),0))</f>
        <v>0</v>
      </c>
      <c r="BR193" s="538">
        <f>IF('Técnicas de Ki'!AR88=0,0,IFERROR(IF('Técnicas de Ki'!BB88&lt;&gt;0,'Técnicas de Ki'!BB88+TS!$O193,0)*$O193/$O193,0))</f>
        <v>0</v>
      </c>
      <c r="BS193" s="538">
        <f>IF('Técnicas de Ki'!AR88=0,0,IFERROR(IF('Técnicas de Ki'!BC88&lt;&gt;0,'Técnicas de Ki'!BC88+TS!$P193,0)*$P193/$P193,0))</f>
        <v>0</v>
      </c>
      <c r="BT193" s="538">
        <f>IF('Técnicas de Ki'!AR88=0,0,IFERROR(IF('Técnicas de Ki'!BD88&lt;&gt;0,'Técnicas de Ki'!BD88+TS!$Q193,0)*$Q193/$Q193,0))</f>
        <v>0</v>
      </c>
      <c r="BU193" s="538">
        <f>IF('Técnicas de Ki'!AR88=0,0,IFERROR(IF('Técnicas de Ki'!BE88&lt;&gt;0,'Técnicas de Ki'!BE88+TS!$R193,0)*$R193/$R193,0))</f>
        <v>0</v>
      </c>
      <c r="BV193" s="538">
        <f>IF('Técnicas de Ki'!AR88=0,0,IFERROR(IF('Técnicas de Ki'!BF88&lt;&gt;0,'Técnicas de Ki'!BF88+TS!$S193,0)*$S193/$S193,0))</f>
        <v>0</v>
      </c>
      <c r="BW193" s="539">
        <f>IF('Técnicas de Ki'!AR88=0,0,IFERROR(IF('Técnicas de Ki'!BG88&lt;&gt;0,'Técnicas de Ki'!BG88+TS!$T193,0)*$T193/$T193,0))</f>
        <v>0</v>
      </c>
      <c r="BY193" s="571" t="str">
        <f>IF('Técnicas de Ki'!AR96&lt;&gt;0,'Técnicas de Ki'!AQ96&amp;" "&amp;'Técnicas de Ki'!AR96,"")</f>
        <v/>
      </c>
      <c r="BZ193" s="302" t="b">
        <f t="shared" si="35"/>
        <v>0</v>
      </c>
      <c r="CA193" s="302" t="str">
        <f t="shared" si="39"/>
        <v/>
      </c>
      <c r="CG193" s="537">
        <f>IF('Técnicas de Ki'!BM88=0,0,IF('Técnicas de Ki'!BT88=TS!CG$119,'Técnicas de Ki'!BN88-(IF($O193&lt;&gt;0,'Técnicas de Ki'!BW88,0)+IF($P193&lt;&gt;0,'Técnicas de Ki'!BX88,0)+IF($Q193&lt;&gt;0,'Técnicas de Ki'!BY88,0)+IF($R193&lt;&gt;0,'Técnicas de Ki'!BZ88,0)+IF($S193&lt;&gt;0,'Técnicas de Ki'!CA88,0)+IF($T193&lt;&gt;0,'Técnicas de Ki'!CB88,0)),0))</f>
        <v>0</v>
      </c>
      <c r="CH193" s="538">
        <f>IF('Técnicas de Ki'!BM88=0,0,IF('Técnicas de Ki'!BT88=TS!CH$119,'Técnicas de Ki'!BN88-(IF($O193&lt;&gt;0,'Técnicas de Ki'!BW88,0)+IF($P193&lt;&gt;0,'Técnicas de Ki'!BX88,0)+IF($Q193&lt;&gt;0,'Técnicas de Ki'!BY88,0)+IF($R193&lt;&gt;0,'Técnicas de Ki'!BZ88,0)+IF($S193&lt;&gt;0,'Técnicas de Ki'!CA88,0)+IF($T193&lt;&gt;0,'Técnicas de Ki'!CB88,0)),0))</f>
        <v>0</v>
      </c>
      <c r="CI193" s="538">
        <f>IF('Técnicas de Ki'!BM88=0,0,IF('Técnicas de Ki'!BT88=TS!CI$119,'Técnicas de Ki'!BN88-(IF($O193&lt;&gt;0,'Técnicas de Ki'!BW88,0)+IF($P193&lt;&gt;0,'Técnicas de Ki'!BX88,0)+IF($Q193&lt;&gt;0,'Técnicas de Ki'!BY88,0)+IF($R193&lt;&gt;0,'Técnicas de Ki'!BZ88,0)+IF($S193&lt;&gt;0,'Técnicas de Ki'!CA88,0)+IF($T193&lt;&gt;0,'Técnicas de Ki'!CB88,0)),0))</f>
        <v>0</v>
      </c>
      <c r="CJ193" s="538">
        <f>IF('Técnicas de Ki'!BM88=0,0,IF('Técnicas de Ki'!BT88=TS!CJ$119,'Técnicas de Ki'!BN88-(IF($O193&lt;&gt;0,'Técnicas de Ki'!BW88,0)+IF($P193&lt;&gt;0,'Técnicas de Ki'!BX88,0)+IF($Q193&lt;&gt;0,'Técnicas de Ki'!BY88,0)+IF($R193&lt;&gt;0,'Técnicas de Ki'!BZ88,0)+IF($S193&lt;&gt;0,'Técnicas de Ki'!CA88,0)+IF($T193&lt;&gt;0,'Técnicas de Ki'!CB88,0)),0))</f>
        <v>0</v>
      </c>
      <c r="CK193" s="538">
        <f>IF('Técnicas de Ki'!BM88=0,0,IF('Técnicas de Ki'!BT88=TS!CK$119,'Técnicas de Ki'!BN88-(IF($O193&lt;&gt;0,'Técnicas de Ki'!BW88,0)+IF($P193&lt;&gt;0,'Técnicas de Ki'!BX88,0)+IF($Q193&lt;&gt;0,'Técnicas de Ki'!BY88,0)+IF($R193&lt;&gt;0,'Técnicas de Ki'!BZ88,0)+IF($S193&lt;&gt;0,'Técnicas de Ki'!CA88,0)+IF($T193&lt;&gt;0,'Técnicas de Ki'!CB88,0)),0))</f>
        <v>0</v>
      </c>
      <c r="CL193" s="539">
        <f>IF('Técnicas de Ki'!BM88=0,0,IF('Técnicas de Ki'!BT88=TS!CL$119,'Técnicas de Ki'!BN88-(IF($O193&lt;&gt;0,'Técnicas de Ki'!BW88,0)+IF($P193&lt;&gt;0,'Técnicas de Ki'!BX88,0)+IF($Q193&lt;&gt;0,'Técnicas de Ki'!BY88,0)+IF($R193&lt;&gt;0,'Técnicas de Ki'!BZ88,0)+IF($S193&lt;&gt;0,'Técnicas de Ki'!CA88,0)+IF($T193&lt;&gt;0,'Técnicas de Ki'!CB88,0)),0))</f>
        <v>0</v>
      </c>
      <c r="CM193" s="538">
        <f>IF('Técnicas de Ki'!BM88=0,0,IFERROR(IF('Técnicas de Ki'!BW88&lt;&gt;0,'Técnicas de Ki'!BW88+TS!$O193,0)*$O193/$O193,0))</f>
        <v>0</v>
      </c>
      <c r="CN193" s="538">
        <f>IF('Técnicas de Ki'!BM88=0,0,IFERROR(IF('Técnicas de Ki'!BX88&lt;&gt;0,'Técnicas de Ki'!BX88+TS!$P193,0)*$P193/$P193,0))</f>
        <v>0</v>
      </c>
      <c r="CO193" s="538">
        <f>IF('Técnicas de Ki'!BM88=0,0,IFERROR(IF('Técnicas de Ki'!BY88&lt;&gt;0,'Técnicas de Ki'!BY88+TS!$Q193,0)*$Q193/$Q193,0))</f>
        <v>0</v>
      </c>
      <c r="CP193" s="538">
        <f>IF('Técnicas de Ki'!BM88=0,0,IFERROR(IF('Técnicas de Ki'!BZ88&lt;&gt;0,'Técnicas de Ki'!BZ88+TS!$R193,0)*$R193/$R193,0))</f>
        <v>0</v>
      </c>
      <c r="CQ193" s="538">
        <f>IF('Técnicas de Ki'!BM88=0,0,IFERROR(IF('Técnicas de Ki'!CA88&lt;&gt;0,'Técnicas de Ki'!CA88+TS!$S193,0)*$S193/$S193,0))</f>
        <v>0</v>
      </c>
      <c r="CR193" s="539">
        <f>IF('Técnicas de Ki'!BM88=0,0,IFERROR(IF('Técnicas de Ki'!CB88&lt;&gt;0,'Técnicas de Ki'!CB88+TS!$T193,0)*$T193/$T193,0))</f>
        <v>0</v>
      </c>
      <c r="CT193" s="571" t="str">
        <f>IF('Técnicas de Ki'!BM96&lt;&gt;0,'Técnicas de Ki'!BL96&amp;" "&amp;'Técnicas de Ki'!BM96,"")</f>
        <v/>
      </c>
      <c r="CU193" s="302" t="b">
        <f t="shared" si="36"/>
        <v>0</v>
      </c>
      <c r="CV193" s="302" t="str">
        <f t="shared" si="40"/>
        <v/>
      </c>
    </row>
    <row r="194" spans="1:100" x14ac:dyDescent="0.2">
      <c r="A194" s="302" t="s">
        <v>6868</v>
      </c>
      <c r="B194" s="301" t="s">
        <v>6871</v>
      </c>
      <c r="C194" s="301" t="str">
        <f t="shared" si="15"/>
        <v>Defensa adicional+4</v>
      </c>
      <c r="D194" s="302">
        <v>4</v>
      </c>
      <c r="E194" s="302">
        <v>6</v>
      </c>
      <c r="F194" s="302">
        <v>15</v>
      </c>
      <c r="G194" s="302">
        <v>4</v>
      </c>
      <c r="H194" s="302">
        <v>8</v>
      </c>
      <c r="I194" s="302">
        <v>14</v>
      </c>
      <c r="J194" s="302">
        <v>1</v>
      </c>
      <c r="N194" t="s">
        <v>6971</v>
      </c>
      <c r="O194" s="528">
        <v>2</v>
      </c>
      <c r="Q194" s="528">
        <v>3</v>
      </c>
      <c r="R194" s="528">
        <v>1</v>
      </c>
      <c r="S194" s="528">
        <v>1</v>
      </c>
      <c r="V194" s="537">
        <f>IF('Técnicas de Ki'!B89=0,0,IF('Técnicas de Ki'!I89=TS!V$119,'Técnicas de Ki'!C89-(IF($O194&lt;&gt;0,'Técnicas de Ki'!L89,0)+IF($P194&lt;&gt;0,'Técnicas de Ki'!M89,0)+IF($Q194&lt;&gt;0,'Técnicas de Ki'!N89,0)+IF($R194&lt;&gt;0,'Técnicas de Ki'!O89,0)+IF($S194&lt;&gt;0,'Técnicas de Ki'!P89,0)+IF($T194&lt;&gt;0,'Técnicas de Ki'!Q89,0)),0))</f>
        <v>0</v>
      </c>
      <c r="W194" s="538">
        <f>IF('Técnicas de Ki'!B89=0,0,IF('Técnicas de Ki'!I89=TS!W$119,'Técnicas de Ki'!C89-(IF($O194&lt;&gt;0,'Técnicas de Ki'!L89,0)+IF($P194&lt;&gt;0,'Técnicas de Ki'!M89,0)+IF($Q194&lt;&gt;0,'Técnicas de Ki'!N89,0)+IF($R194&lt;&gt;0,'Técnicas de Ki'!O89,0)+IF($S194&lt;&gt;0,'Técnicas de Ki'!P89,0)+IF($T194&lt;&gt;0,'Técnicas de Ki'!Q89,0)),0))</f>
        <v>0</v>
      </c>
      <c r="X194" s="538">
        <f>IF('Técnicas de Ki'!B89=0,0,IF('Técnicas de Ki'!I89=TS!X$119,'Técnicas de Ki'!C89-(IF($O194&lt;&gt;0,'Técnicas de Ki'!L89,0)+IF($P194&lt;&gt;0,'Técnicas de Ki'!M89,0)+IF($Q194&lt;&gt;0,'Técnicas de Ki'!N89,0)+IF($R194&lt;&gt;0,'Técnicas de Ki'!O89,0)+IF($S194&lt;&gt;0,'Técnicas de Ki'!P89,0)+IF($T194&lt;&gt;0,'Técnicas de Ki'!Q89,0)),0))</f>
        <v>0</v>
      </c>
      <c r="Y194" s="538">
        <f>IF('Técnicas de Ki'!B89=0,0,IF('Técnicas de Ki'!I89=TS!Y$119,'Técnicas de Ki'!C89-(IF($O194&lt;&gt;0,'Técnicas de Ki'!L89,0)+IF($P194&lt;&gt;0,'Técnicas de Ki'!M89,0)+IF($Q194&lt;&gt;0,'Técnicas de Ki'!N89,0)+IF($R194&lt;&gt;0,'Técnicas de Ki'!O89,0)+IF($S194&lt;&gt;0,'Técnicas de Ki'!P89,0)+IF($T194&lt;&gt;0,'Técnicas de Ki'!Q89,0)),0))</f>
        <v>0</v>
      </c>
      <c r="Z194" s="538">
        <f>IF('Técnicas de Ki'!B89=0,0,IF('Técnicas de Ki'!I89=TS!Z$119,'Técnicas de Ki'!C89-(IF($O194&lt;&gt;0,'Técnicas de Ki'!L89,0)+IF($P194&lt;&gt;0,'Técnicas de Ki'!M89,0)+IF($Q194&lt;&gt;0,'Técnicas de Ki'!N89,0)+IF($R194&lt;&gt;0,'Técnicas de Ki'!O89,0)+IF($S194&lt;&gt;0,'Técnicas de Ki'!P89,0)+IF($T194&lt;&gt;0,'Técnicas de Ki'!Q89,0)),0))</f>
        <v>0</v>
      </c>
      <c r="AA194" s="539">
        <f>IF('Técnicas de Ki'!B89=0,0,IF('Técnicas de Ki'!I89=TS!AA$119,'Técnicas de Ki'!C89-(IF($O194&lt;&gt;0,'Técnicas de Ki'!L89,0)+IF($P194&lt;&gt;0,'Técnicas de Ki'!M89,0)+IF($Q194&lt;&gt;0,'Técnicas de Ki'!N89,0)+IF($R194&lt;&gt;0,'Técnicas de Ki'!O89,0)+IF($S194&lt;&gt;0,'Técnicas de Ki'!P89,0)+IF($T194&lt;&gt;0,'Técnicas de Ki'!Q89,0)),0))</f>
        <v>0</v>
      </c>
      <c r="AB194" s="538">
        <f>IF('Técnicas de Ki'!B89=0,0,IFERROR(IF('Técnicas de Ki'!L89&lt;&gt;0,'Técnicas de Ki'!L89+TS!$O194,0)*$O194/$O194,0))</f>
        <v>0</v>
      </c>
      <c r="AC194" s="538">
        <f>IF('Técnicas de Ki'!B89=0,0,IFERROR(IF('Técnicas de Ki'!M89&lt;&gt;0,'Técnicas de Ki'!M89+TS!$P194,0)*$P194/$P194,0))</f>
        <v>0</v>
      </c>
      <c r="AD194" s="538">
        <f>IF('Técnicas de Ki'!B89=0,0,IFERROR(IF('Técnicas de Ki'!N89&lt;&gt;0,'Técnicas de Ki'!N89+TS!$Q194,0)*$Q194/$Q194,0))</f>
        <v>0</v>
      </c>
      <c r="AE194" s="538">
        <f>IF('Técnicas de Ki'!B89=0,0,IFERROR(IF('Técnicas de Ki'!O89&lt;&gt;0,'Técnicas de Ki'!O89+TS!$R194,0)*$R194/$R194,0))</f>
        <v>0</v>
      </c>
      <c r="AF194" s="538">
        <f>IF('Técnicas de Ki'!B89=0,0,IFERROR(IF('Técnicas de Ki'!P89&lt;&gt;0,'Técnicas de Ki'!P89+TS!$S194,0)*$S194/$S194,0))</f>
        <v>0</v>
      </c>
      <c r="AG194" s="539">
        <f>IF('Técnicas de Ki'!B89=0,0,IFERROR(IF('Técnicas de Ki'!Q89&lt;&gt;0,'Técnicas de Ki'!Q89+TS!$T194,0)*$T194/$T194,0))</f>
        <v>0</v>
      </c>
      <c r="AI194" s="571" t="str">
        <f>IF('Técnicas de Ki'!B97&lt;&gt;0,'Técnicas de Ki'!A97&amp;" "&amp;'Técnicas de Ki'!B97,"")</f>
        <v/>
      </c>
      <c r="AJ194" s="302" t="b">
        <f t="shared" si="41"/>
        <v>0</v>
      </c>
      <c r="AK194" s="302" t="str">
        <f t="shared" si="37"/>
        <v/>
      </c>
      <c r="AQ194" s="537">
        <f>IF('Técnicas de Ki'!W89=0,0,IF('Técnicas de Ki'!AD89=TS!AQ$119,'Técnicas de Ki'!X89-(IF($O194&lt;&gt;0,'Técnicas de Ki'!AG89,0)+IF($P194&lt;&gt;0,'Técnicas de Ki'!AH89,0)+IF($Q194&lt;&gt;0,'Técnicas de Ki'!AI89,0)+IF($R194&lt;&gt;0,'Técnicas de Ki'!AJ89,0)+IF($S194&lt;&gt;0,'Técnicas de Ki'!AK89,0)+IF($T194&lt;&gt;0,'Técnicas de Ki'!AL89,0)),0))</f>
        <v>0</v>
      </c>
      <c r="AR194" s="538">
        <f>IF('Técnicas de Ki'!W89=0,0,IF('Técnicas de Ki'!AD89=TS!AR$119,'Técnicas de Ki'!X89-(IF($O194&lt;&gt;0,'Técnicas de Ki'!AG89,0)+IF($P194&lt;&gt;0,'Técnicas de Ki'!AH89,0)+IF($Q194&lt;&gt;0,'Técnicas de Ki'!AI89,0)+IF($R194&lt;&gt;0,'Técnicas de Ki'!AJ89,0)+IF($S194&lt;&gt;0,'Técnicas de Ki'!AK89,0)+IF($T194&lt;&gt;0,'Técnicas de Ki'!AL89,0)),0))</f>
        <v>0</v>
      </c>
      <c r="AS194" s="538">
        <f>IF('Técnicas de Ki'!W89=0,0,IF('Técnicas de Ki'!AD89=TS!AS$119,'Técnicas de Ki'!X89-(IF($O194&lt;&gt;0,'Técnicas de Ki'!AG89,0)+IF($P194&lt;&gt;0,'Técnicas de Ki'!AH89,0)+IF($Q194&lt;&gt;0,'Técnicas de Ki'!AI89,0)+IF($R194&lt;&gt;0,'Técnicas de Ki'!AJ89,0)+IF($S194&lt;&gt;0,'Técnicas de Ki'!AK89,0)+IF($T194&lt;&gt;0,'Técnicas de Ki'!AL89,0)),0))</f>
        <v>0</v>
      </c>
      <c r="AT194" s="538">
        <f>IF('Técnicas de Ki'!W89=0,0,IF('Técnicas de Ki'!AD89=TS!AT$119,'Técnicas de Ki'!X89-(IF($O194&lt;&gt;0,'Técnicas de Ki'!AG89,0)+IF($P194&lt;&gt;0,'Técnicas de Ki'!AH89,0)+IF($Q194&lt;&gt;0,'Técnicas de Ki'!AI89,0)+IF($R194&lt;&gt;0,'Técnicas de Ki'!AJ89,0)+IF($S194&lt;&gt;0,'Técnicas de Ki'!AK89,0)+IF($T194&lt;&gt;0,'Técnicas de Ki'!AL89,0)),0))</f>
        <v>0</v>
      </c>
      <c r="AU194" s="538">
        <f>IF('Técnicas de Ki'!W89=0,0,IF('Técnicas de Ki'!AD89=TS!AU$119,'Técnicas de Ki'!X89-(IF($O194&lt;&gt;0,'Técnicas de Ki'!AG89,0)+IF($P194&lt;&gt;0,'Técnicas de Ki'!AH89,0)+IF($Q194&lt;&gt;0,'Técnicas de Ki'!AI89,0)+IF($R194&lt;&gt;0,'Técnicas de Ki'!AJ89,0)+IF($S194&lt;&gt;0,'Técnicas de Ki'!AK89,0)+IF($T194&lt;&gt;0,'Técnicas de Ki'!AL89,0)),0))</f>
        <v>0</v>
      </c>
      <c r="AV194" s="539">
        <f>IF('Técnicas de Ki'!W89=0,0,IF('Técnicas de Ki'!AD89=TS!AV$119,'Técnicas de Ki'!X89-(IF($O194&lt;&gt;0,'Técnicas de Ki'!AG89,0)+IF($P194&lt;&gt;0,'Técnicas de Ki'!AH89,0)+IF($Q194&lt;&gt;0,'Técnicas de Ki'!AI89,0)+IF($R194&lt;&gt;0,'Técnicas de Ki'!AJ89,0)+IF($S194&lt;&gt;0,'Técnicas de Ki'!AK89,0)+IF($T194&lt;&gt;0,'Técnicas de Ki'!AL89,0)),0))</f>
        <v>0</v>
      </c>
      <c r="AW194" s="538">
        <f>IF('Técnicas de Ki'!W89=0,0,IFERROR(IF('Técnicas de Ki'!AG89&lt;&gt;0,'Técnicas de Ki'!AG89+TS!$O194,0)*$O194/$O194,0))</f>
        <v>0</v>
      </c>
      <c r="AX194" s="538">
        <f>IF('Técnicas de Ki'!W89=0,0,IFERROR(IF('Técnicas de Ki'!AH89&lt;&gt;0,'Técnicas de Ki'!AH89+TS!$P194,0)*$P194/$P194,0))</f>
        <v>0</v>
      </c>
      <c r="AY194" s="538">
        <f>IF('Técnicas de Ki'!W89=0,0,IFERROR(IF('Técnicas de Ki'!AI89&lt;&gt;0,'Técnicas de Ki'!AI89+TS!$Q194,0)*$Q194/$Q194,0))</f>
        <v>0</v>
      </c>
      <c r="AZ194" s="538">
        <f>IF('Técnicas de Ki'!W89=0,0,IFERROR(IF('Técnicas de Ki'!AJ89&lt;&gt;0,'Técnicas de Ki'!AJ89+TS!$R194,0)*$R194/$R194,0))</f>
        <v>0</v>
      </c>
      <c r="BA194" s="538">
        <f>IF('Técnicas de Ki'!W89=0,0,IFERROR(IF('Técnicas de Ki'!AK89&lt;&gt;0,'Técnicas de Ki'!AK89+TS!$S194,0)*$S194/$S194,0))</f>
        <v>0</v>
      </c>
      <c r="BB194" s="539">
        <f>IF('Técnicas de Ki'!W89=0,0,IFERROR(IF('Técnicas de Ki'!AL89&lt;&gt;0,'Técnicas de Ki'!AL89+TS!$T194,0)*$T194/$T194,0))</f>
        <v>0</v>
      </c>
      <c r="BD194" s="571" t="str">
        <f>IF('Técnicas de Ki'!W97&lt;&gt;0,'Técnicas de Ki'!V97&amp;" "&amp;'Técnicas de Ki'!W97,"")</f>
        <v/>
      </c>
      <c r="BE194" s="302" t="b">
        <f t="shared" si="34"/>
        <v>0</v>
      </c>
      <c r="BF194" s="302" t="str">
        <f t="shared" si="38"/>
        <v/>
      </c>
      <c r="BL194" s="537">
        <f>IF('Técnicas de Ki'!AR89=0,0,IF('Técnicas de Ki'!AY89=TS!BL$119,'Técnicas de Ki'!AS89-(IF($O194&lt;&gt;0,'Técnicas de Ki'!BB89,0)+IF($P194&lt;&gt;0,'Técnicas de Ki'!BC89,0)+IF($Q194&lt;&gt;0,'Técnicas de Ki'!BD89,0)+IF($R194&lt;&gt;0,'Técnicas de Ki'!BE89,0)+IF($S194&lt;&gt;0,'Técnicas de Ki'!BF89,0)+IF($T194&lt;&gt;0,'Técnicas de Ki'!BG89,0)),0))</f>
        <v>0</v>
      </c>
      <c r="BM194" s="538">
        <f>IF('Técnicas de Ki'!AR89=0,0,IF('Técnicas de Ki'!AY89=TS!BM$119,'Técnicas de Ki'!AS89-(IF($O194&lt;&gt;0,'Técnicas de Ki'!BB89,0)+IF($P194&lt;&gt;0,'Técnicas de Ki'!BC89,0)+IF($Q194&lt;&gt;0,'Técnicas de Ki'!BD89,0)+IF($R194&lt;&gt;0,'Técnicas de Ki'!BE89,0)+IF($S194&lt;&gt;0,'Técnicas de Ki'!BF89,0)+IF($T194&lt;&gt;0,'Técnicas de Ki'!BG89,0)),0))</f>
        <v>0</v>
      </c>
      <c r="BN194" s="538">
        <f>IF('Técnicas de Ki'!AR89=0,0,IF('Técnicas de Ki'!AY89=TS!BN$119,'Técnicas de Ki'!AS89-(IF($O194&lt;&gt;0,'Técnicas de Ki'!BB89,0)+IF($P194&lt;&gt;0,'Técnicas de Ki'!BC89,0)+IF($Q194&lt;&gt;0,'Técnicas de Ki'!BD89,0)+IF($R194&lt;&gt;0,'Técnicas de Ki'!BE89,0)+IF($S194&lt;&gt;0,'Técnicas de Ki'!BF89,0)+IF($T194&lt;&gt;0,'Técnicas de Ki'!BG89,0)),0))</f>
        <v>0</v>
      </c>
      <c r="BO194" s="538">
        <f>IF('Técnicas de Ki'!AR89=0,0,IF('Técnicas de Ki'!AY89=TS!BO$119,'Técnicas de Ki'!AS89-(IF($O194&lt;&gt;0,'Técnicas de Ki'!BB89,0)+IF($P194&lt;&gt;0,'Técnicas de Ki'!BC89,0)+IF($Q194&lt;&gt;0,'Técnicas de Ki'!BD89,0)+IF($R194&lt;&gt;0,'Técnicas de Ki'!BE89,0)+IF($S194&lt;&gt;0,'Técnicas de Ki'!BF89,0)+IF($T194&lt;&gt;0,'Técnicas de Ki'!BG89,0)),0))</f>
        <v>0</v>
      </c>
      <c r="BP194" s="538">
        <f>IF('Técnicas de Ki'!AR89=0,0,IF('Técnicas de Ki'!AY89=TS!BP$119,'Técnicas de Ki'!AS89-(IF($O194&lt;&gt;0,'Técnicas de Ki'!BB89,0)+IF($P194&lt;&gt;0,'Técnicas de Ki'!BC89,0)+IF($Q194&lt;&gt;0,'Técnicas de Ki'!BD89,0)+IF($R194&lt;&gt;0,'Técnicas de Ki'!BE89,0)+IF($S194&lt;&gt;0,'Técnicas de Ki'!BF89,0)+IF($T194&lt;&gt;0,'Técnicas de Ki'!BG89,0)),0))</f>
        <v>0</v>
      </c>
      <c r="BQ194" s="539">
        <f>IF('Técnicas de Ki'!AR89=0,0,IF('Técnicas de Ki'!AY89=TS!BQ$119,'Técnicas de Ki'!AS89-(IF($O194&lt;&gt;0,'Técnicas de Ki'!BB89,0)+IF($P194&lt;&gt;0,'Técnicas de Ki'!BC89,0)+IF($Q194&lt;&gt;0,'Técnicas de Ki'!BD89,0)+IF($R194&lt;&gt;0,'Técnicas de Ki'!BE89,0)+IF($S194&lt;&gt;0,'Técnicas de Ki'!BF89,0)+IF($T194&lt;&gt;0,'Técnicas de Ki'!BG89,0)),0))</f>
        <v>0</v>
      </c>
      <c r="BR194" s="538">
        <f>IF('Técnicas de Ki'!AR89=0,0,IFERROR(IF('Técnicas de Ki'!BB89&lt;&gt;0,'Técnicas de Ki'!BB89+TS!$O194,0)*$O194/$O194,0))</f>
        <v>0</v>
      </c>
      <c r="BS194" s="538">
        <f>IF('Técnicas de Ki'!AR89=0,0,IFERROR(IF('Técnicas de Ki'!BC89&lt;&gt;0,'Técnicas de Ki'!BC89+TS!$P194,0)*$P194/$P194,0))</f>
        <v>0</v>
      </c>
      <c r="BT194" s="538">
        <f>IF('Técnicas de Ki'!AR89=0,0,IFERROR(IF('Técnicas de Ki'!BD89&lt;&gt;0,'Técnicas de Ki'!BD89+TS!$Q194,0)*$Q194/$Q194,0))</f>
        <v>0</v>
      </c>
      <c r="BU194" s="538">
        <f>IF('Técnicas de Ki'!AR89=0,0,IFERROR(IF('Técnicas de Ki'!BE89&lt;&gt;0,'Técnicas de Ki'!BE89+TS!$R194,0)*$R194/$R194,0))</f>
        <v>0</v>
      </c>
      <c r="BV194" s="538">
        <f>IF('Técnicas de Ki'!AR89=0,0,IFERROR(IF('Técnicas de Ki'!BF89&lt;&gt;0,'Técnicas de Ki'!BF89+TS!$S194,0)*$S194/$S194,0))</f>
        <v>0</v>
      </c>
      <c r="BW194" s="539">
        <f>IF('Técnicas de Ki'!AR89=0,0,IFERROR(IF('Técnicas de Ki'!BG89&lt;&gt;0,'Técnicas de Ki'!BG89+TS!$T194,0)*$T194/$T194,0))</f>
        <v>0</v>
      </c>
      <c r="BY194" s="571" t="str">
        <f>IF('Técnicas de Ki'!AR97&lt;&gt;0,'Técnicas de Ki'!AQ97&amp;" "&amp;'Técnicas de Ki'!AR97,"")</f>
        <v/>
      </c>
      <c r="BZ194" s="302" t="b">
        <f t="shared" si="35"/>
        <v>0</v>
      </c>
      <c r="CA194" s="302" t="str">
        <f t="shared" si="39"/>
        <v/>
      </c>
      <c r="CG194" s="537">
        <f>IF('Técnicas de Ki'!BM89=0,0,IF('Técnicas de Ki'!BT89=TS!CG$119,'Técnicas de Ki'!BN89-(IF($O194&lt;&gt;0,'Técnicas de Ki'!BW89,0)+IF($P194&lt;&gt;0,'Técnicas de Ki'!BX89,0)+IF($Q194&lt;&gt;0,'Técnicas de Ki'!BY89,0)+IF($R194&lt;&gt;0,'Técnicas de Ki'!BZ89,0)+IF($S194&lt;&gt;0,'Técnicas de Ki'!CA89,0)+IF($T194&lt;&gt;0,'Técnicas de Ki'!CB89,0)),0))</f>
        <v>0</v>
      </c>
      <c r="CH194" s="538">
        <f>IF('Técnicas de Ki'!BM89=0,0,IF('Técnicas de Ki'!BT89=TS!CH$119,'Técnicas de Ki'!BN89-(IF($O194&lt;&gt;0,'Técnicas de Ki'!BW89,0)+IF($P194&lt;&gt;0,'Técnicas de Ki'!BX89,0)+IF($Q194&lt;&gt;0,'Técnicas de Ki'!BY89,0)+IF($R194&lt;&gt;0,'Técnicas de Ki'!BZ89,0)+IF($S194&lt;&gt;0,'Técnicas de Ki'!CA89,0)+IF($T194&lt;&gt;0,'Técnicas de Ki'!CB89,0)),0))</f>
        <v>0</v>
      </c>
      <c r="CI194" s="538">
        <f>IF('Técnicas de Ki'!BM89=0,0,IF('Técnicas de Ki'!BT89=TS!CI$119,'Técnicas de Ki'!BN89-(IF($O194&lt;&gt;0,'Técnicas de Ki'!BW89,0)+IF($P194&lt;&gt;0,'Técnicas de Ki'!BX89,0)+IF($Q194&lt;&gt;0,'Técnicas de Ki'!BY89,0)+IF($R194&lt;&gt;0,'Técnicas de Ki'!BZ89,0)+IF($S194&lt;&gt;0,'Técnicas de Ki'!CA89,0)+IF($T194&lt;&gt;0,'Técnicas de Ki'!CB89,0)),0))</f>
        <v>0</v>
      </c>
      <c r="CJ194" s="538">
        <f>IF('Técnicas de Ki'!BM89=0,0,IF('Técnicas de Ki'!BT89=TS!CJ$119,'Técnicas de Ki'!BN89-(IF($O194&lt;&gt;0,'Técnicas de Ki'!BW89,0)+IF($P194&lt;&gt;0,'Técnicas de Ki'!BX89,0)+IF($Q194&lt;&gt;0,'Técnicas de Ki'!BY89,0)+IF($R194&lt;&gt;0,'Técnicas de Ki'!BZ89,0)+IF($S194&lt;&gt;0,'Técnicas de Ki'!CA89,0)+IF($T194&lt;&gt;0,'Técnicas de Ki'!CB89,0)),0))</f>
        <v>0</v>
      </c>
      <c r="CK194" s="538">
        <f>IF('Técnicas de Ki'!BM89=0,0,IF('Técnicas de Ki'!BT89=TS!CK$119,'Técnicas de Ki'!BN89-(IF($O194&lt;&gt;0,'Técnicas de Ki'!BW89,0)+IF($P194&lt;&gt;0,'Técnicas de Ki'!BX89,0)+IF($Q194&lt;&gt;0,'Técnicas de Ki'!BY89,0)+IF($R194&lt;&gt;0,'Técnicas de Ki'!BZ89,0)+IF($S194&lt;&gt;0,'Técnicas de Ki'!CA89,0)+IF($T194&lt;&gt;0,'Técnicas de Ki'!CB89,0)),0))</f>
        <v>0</v>
      </c>
      <c r="CL194" s="539">
        <f>IF('Técnicas de Ki'!BM89=0,0,IF('Técnicas de Ki'!BT89=TS!CL$119,'Técnicas de Ki'!BN89-(IF($O194&lt;&gt;0,'Técnicas de Ki'!BW89,0)+IF($P194&lt;&gt;0,'Técnicas de Ki'!BX89,0)+IF($Q194&lt;&gt;0,'Técnicas de Ki'!BY89,0)+IF($R194&lt;&gt;0,'Técnicas de Ki'!BZ89,0)+IF($S194&lt;&gt;0,'Técnicas de Ki'!CA89,0)+IF($T194&lt;&gt;0,'Técnicas de Ki'!CB89,0)),0))</f>
        <v>0</v>
      </c>
      <c r="CM194" s="538">
        <f>IF('Técnicas de Ki'!BM89=0,0,IFERROR(IF('Técnicas de Ki'!BW89&lt;&gt;0,'Técnicas de Ki'!BW89+TS!$O194,0)*$O194/$O194,0))</f>
        <v>0</v>
      </c>
      <c r="CN194" s="538">
        <f>IF('Técnicas de Ki'!BM89=0,0,IFERROR(IF('Técnicas de Ki'!BX89&lt;&gt;0,'Técnicas de Ki'!BX89+TS!$P194,0)*$P194/$P194,0))</f>
        <v>0</v>
      </c>
      <c r="CO194" s="538">
        <f>IF('Técnicas de Ki'!BM89=0,0,IFERROR(IF('Técnicas de Ki'!BY89&lt;&gt;0,'Técnicas de Ki'!BY89+TS!$Q194,0)*$Q194/$Q194,0))</f>
        <v>0</v>
      </c>
      <c r="CP194" s="538">
        <f>IF('Técnicas de Ki'!BM89=0,0,IFERROR(IF('Técnicas de Ki'!BZ89&lt;&gt;0,'Técnicas de Ki'!BZ89+TS!$R194,0)*$R194/$R194,0))</f>
        <v>0</v>
      </c>
      <c r="CQ194" s="538">
        <f>IF('Técnicas de Ki'!BM89=0,0,IFERROR(IF('Técnicas de Ki'!CA89&lt;&gt;0,'Técnicas de Ki'!CA89+TS!$S194,0)*$S194/$S194,0))</f>
        <v>0</v>
      </c>
      <c r="CR194" s="539">
        <f>IF('Técnicas de Ki'!BM89=0,0,IFERROR(IF('Técnicas de Ki'!CB89&lt;&gt;0,'Técnicas de Ki'!CB89+TS!$T194,0)*$T194/$T194,0))</f>
        <v>0</v>
      </c>
      <c r="CT194" s="571" t="str">
        <f>IF('Técnicas de Ki'!BM97&lt;&gt;0,'Técnicas de Ki'!BL97&amp;" "&amp;'Técnicas de Ki'!BM97,"")</f>
        <v/>
      </c>
      <c r="CU194" s="302" t="b">
        <f t="shared" si="36"/>
        <v>0</v>
      </c>
      <c r="CV194" s="302" t="str">
        <f t="shared" si="40"/>
        <v/>
      </c>
    </row>
    <row r="195" spans="1:100" x14ac:dyDescent="0.2">
      <c r="A195" s="302" t="s">
        <v>6868</v>
      </c>
      <c r="B195" s="301" t="s">
        <v>6875</v>
      </c>
      <c r="C195" s="301" t="str">
        <f t="shared" si="15"/>
        <v>Defensa adicional+6</v>
      </c>
      <c r="D195" s="302">
        <v>5</v>
      </c>
      <c r="E195" s="302">
        <v>8</v>
      </c>
      <c r="F195" s="302">
        <v>20</v>
      </c>
      <c r="G195" s="302">
        <v>6</v>
      </c>
      <c r="H195" s="302">
        <v>12</v>
      </c>
      <c r="I195" s="302">
        <v>21</v>
      </c>
      <c r="J195" s="302">
        <v>1</v>
      </c>
      <c r="N195" t="s">
        <v>6972</v>
      </c>
      <c r="O195" s="302">
        <v>3</v>
      </c>
      <c r="Q195" s="302">
        <v>3</v>
      </c>
      <c r="R195" s="302">
        <v>2</v>
      </c>
      <c r="S195" s="302">
        <v>1</v>
      </c>
      <c r="V195" s="537">
        <f>IF('Técnicas de Ki'!B90=0,0,IF('Técnicas de Ki'!I90=TS!V$119,'Técnicas de Ki'!C90-(IF($O195&lt;&gt;0,'Técnicas de Ki'!L90,0)+IF($P195&lt;&gt;0,'Técnicas de Ki'!M90,0)+IF($Q195&lt;&gt;0,'Técnicas de Ki'!N90,0)+IF($R195&lt;&gt;0,'Técnicas de Ki'!O90,0)+IF($S195&lt;&gt;0,'Técnicas de Ki'!P90,0)+IF($T195&lt;&gt;0,'Técnicas de Ki'!Q90,0)),0))</f>
        <v>0</v>
      </c>
      <c r="W195" s="538">
        <f>IF('Técnicas de Ki'!B90=0,0,IF('Técnicas de Ki'!I90=TS!W$119,'Técnicas de Ki'!C90-(IF($O195&lt;&gt;0,'Técnicas de Ki'!L90,0)+IF($P195&lt;&gt;0,'Técnicas de Ki'!M90,0)+IF($Q195&lt;&gt;0,'Técnicas de Ki'!N90,0)+IF($R195&lt;&gt;0,'Técnicas de Ki'!O90,0)+IF($S195&lt;&gt;0,'Técnicas de Ki'!P90,0)+IF($T195&lt;&gt;0,'Técnicas de Ki'!Q90,0)),0))</f>
        <v>0</v>
      </c>
      <c r="X195" s="538">
        <f>IF('Técnicas de Ki'!B90=0,0,IF('Técnicas de Ki'!I90=TS!X$119,'Técnicas de Ki'!C90-(IF($O195&lt;&gt;0,'Técnicas de Ki'!L90,0)+IF($P195&lt;&gt;0,'Técnicas de Ki'!M90,0)+IF($Q195&lt;&gt;0,'Técnicas de Ki'!N90,0)+IF($R195&lt;&gt;0,'Técnicas de Ki'!O90,0)+IF($S195&lt;&gt;0,'Técnicas de Ki'!P90,0)+IF($T195&lt;&gt;0,'Técnicas de Ki'!Q90,0)),0))</f>
        <v>0</v>
      </c>
      <c r="Y195" s="538">
        <f>IF('Técnicas de Ki'!B90=0,0,IF('Técnicas de Ki'!I90=TS!Y$119,'Técnicas de Ki'!C90-(IF($O195&lt;&gt;0,'Técnicas de Ki'!L90,0)+IF($P195&lt;&gt;0,'Técnicas de Ki'!M90,0)+IF($Q195&lt;&gt;0,'Técnicas de Ki'!N90,0)+IF($R195&lt;&gt;0,'Técnicas de Ki'!O90,0)+IF($S195&lt;&gt;0,'Técnicas de Ki'!P90,0)+IF($T195&lt;&gt;0,'Técnicas de Ki'!Q90,0)),0))</f>
        <v>0</v>
      </c>
      <c r="Z195" s="538">
        <f>IF('Técnicas de Ki'!B90=0,0,IF('Técnicas de Ki'!I90=TS!Z$119,'Técnicas de Ki'!C90-(IF($O195&lt;&gt;0,'Técnicas de Ki'!L90,0)+IF($P195&lt;&gt;0,'Técnicas de Ki'!M90,0)+IF($Q195&lt;&gt;0,'Técnicas de Ki'!N90,0)+IF($R195&lt;&gt;0,'Técnicas de Ki'!O90,0)+IF($S195&lt;&gt;0,'Técnicas de Ki'!P90,0)+IF($T195&lt;&gt;0,'Técnicas de Ki'!Q90,0)),0))</f>
        <v>0</v>
      </c>
      <c r="AA195" s="539">
        <f>IF('Técnicas de Ki'!B90=0,0,IF('Técnicas de Ki'!I90=TS!AA$119,'Técnicas de Ki'!C90-(IF($O195&lt;&gt;0,'Técnicas de Ki'!L90,0)+IF($P195&lt;&gt;0,'Técnicas de Ki'!M90,0)+IF($Q195&lt;&gt;0,'Técnicas de Ki'!N90,0)+IF($R195&lt;&gt;0,'Técnicas de Ki'!O90,0)+IF($S195&lt;&gt;0,'Técnicas de Ki'!P90,0)+IF($T195&lt;&gt;0,'Técnicas de Ki'!Q90,0)),0))</f>
        <v>0</v>
      </c>
      <c r="AB195" s="538">
        <f>IF('Técnicas de Ki'!B90=0,0,IFERROR(IF('Técnicas de Ki'!L90&lt;&gt;0,'Técnicas de Ki'!L90+TS!$O195,0)*$O195/$O195,0))</f>
        <v>0</v>
      </c>
      <c r="AC195" s="538">
        <f>IF('Técnicas de Ki'!B90=0,0,IFERROR(IF('Técnicas de Ki'!M90&lt;&gt;0,'Técnicas de Ki'!M90+TS!$P195,0)*$P195/$P195,0))</f>
        <v>0</v>
      </c>
      <c r="AD195" s="538">
        <f>IF('Técnicas de Ki'!B90=0,0,IFERROR(IF('Técnicas de Ki'!N90&lt;&gt;0,'Técnicas de Ki'!N90+TS!$Q195,0)*$Q195/$Q195,0))</f>
        <v>0</v>
      </c>
      <c r="AE195" s="538">
        <f>IF('Técnicas de Ki'!B90=0,0,IFERROR(IF('Técnicas de Ki'!O90&lt;&gt;0,'Técnicas de Ki'!O90+TS!$R195,0)*$R195/$R195,0))</f>
        <v>0</v>
      </c>
      <c r="AF195" s="538">
        <f>IF('Técnicas de Ki'!B90=0,0,IFERROR(IF('Técnicas de Ki'!P90&lt;&gt;0,'Técnicas de Ki'!P90+TS!$S195,0)*$S195/$S195,0))</f>
        <v>0</v>
      </c>
      <c r="AG195" s="539">
        <f>IF('Técnicas de Ki'!B90=0,0,IFERROR(IF('Técnicas de Ki'!Q90&lt;&gt;0,'Técnicas de Ki'!Q90+TS!$T195,0)*$T195/$T195,0))</f>
        <v>0</v>
      </c>
      <c r="AI195" s="571" t="str">
        <f>IF('Técnicas de Ki'!B98&lt;&gt;0,'Técnicas de Ki'!A98&amp;" "&amp;'Técnicas de Ki'!B98,"")</f>
        <v/>
      </c>
      <c r="AJ195" s="302" t="b">
        <f t="shared" si="41"/>
        <v>0</v>
      </c>
      <c r="AK195" s="302" t="str">
        <f t="shared" si="37"/>
        <v/>
      </c>
      <c r="AQ195" s="537">
        <f>IF('Técnicas de Ki'!W90=0,0,IF('Técnicas de Ki'!AD90=TS!AQ$119,'Técnicas de Ki'!X90-(IF($O195&lt;&gt;0,'Técnicas de Ki'!AG90,0)+IF($P195&lt;&gt;0,'Técnicas de Ki'!AH90,0)+IF($Q195&lt;&gt;0,'Técnicas de Ki'!AI90,0)+IF($R195&lt;&gt;0,'Técnicas de Ki'!AJ90,0)+IF($S195&lt;&gt;0,'Técnicas de Ki'!AK90,0)+IF($T195&lt;&gt;0,'Técnicas de Ki'!AL90,0)),0))</f>
        <v>0</v>
      </c>
      <c r="AR195" s="538">
        <f>IF('Técnicas de Ki'!W90=0,0,IF('Técnicas de Ki'!AD90=TS!AR$119,'Técnicas de Ki'!X90-(IF($O195&lt;&gt;0,'Técnicas de Ki'!AG90,0)+IF($P195&lt;&gt;0,'Técnicas de Ki'!AH90,0)+IF($Q195&lt;&gt;0,'Técnicas de Ki'!AI90,0)+IF($R195&lt;&gt;0,'Técnicas de Ki'!AJ90,0)+IF($S195&lt;&gt;0,'Técnicas de Ki'!AK90,0)+IF($T195&lt;&gt;0,'Técnicas de Ki'!AL90,0)),0))</f>
        <v>0</v>
      </c>
      <c r="AS195" s="538">
        <f>IF('Técnicas de Ki'!W90=0,0,IF('Técnicas de Ki'!AD90=TS!AS$119,'Técnicas de Ki'!X90-(IF($O195&lt;&gt;0,'Técnicas de Ki'!AG90,0)+IF($P195&lt;&gt;0,'Técnicas de Ki'!AH90,0)+IF($Q195&lt;&gt;0,'Técnicas de Ki'!AI90,0)+IF($R195&lt;&gt;0,'Técnicas de Ki'!AJ90,0)+IF($S195&lt;&gt;0,'Técnicas de Ki'!AK90,0)+IF($T195&lt;&gt;0,'Técnicas de Ki'!AL90,0)),0))</f>
        <v>0</v>
      </c>
      <c r="AT195" s="538">
        <f>IF('Técnicas de Ki'!W90=0,0,IF('Técnicas de Ki'!AD90=TS!AT$119,'Técnicas de Ki'!X90-(IF($O195&lt;&gt;0,'Técnicas de Ki'!AG90,0)+IF($P195&lt;&gt;0,'Técnicas de Ki'!AH90,0)+IF($Q195&lt;&gt;0,'Técnicas de Ki'!AI90,0)+IF($R195&lt;&gt;0,'Técnicas de Ki'!AJ90,0)+IF($S195&lt;&gt;0,'Técnicas de Ki'!AK90,0)+IF($T195&lt;&gt;0,'Técnicas de Ki'!AL90,0)),0))</f>
        <v>0</v>
      </c>
      <c r="AU195" s="538">
        <f>IF('Técnicas de Ki'!W90=0,0,IF('Técnicas de Ki'!AD90=TS!AU$119,'Técnicas de Ki'!X90-(IF($O195&lt;&gt;0,'Técnicas de Ki'!AG90,0)+IF($P195&lt;&gt;0,'Técnicas de Ki'!AH90,0)+IF($Q195&lt;&gt;0,'Técnicas de Ki'!AI90,0)+IF($R195&lt;&gt;0,'Técnicas de Ki'!AJ90,0)+IF($S195&lt;&gt;0,'Técnicas de Ki'!AK90,0)+IF($T195&lt;&gt;0,'Técnicas de Ki'!AL90,0)),0))</f>
        <v>0</v>
      </c>
      <c r="AV195" s="539">
        <f>IF('Técnicas de Ki'!W90=0,0,IF('Técnicas de Ki'!AD90=TS!AV$119,'Técnicas de Ki'!X90-(IF($O195&lt;&gt;0,'Técnicas de Ki'!AG90,0)+IF($P195&lt;&gt;0,'Técnicas de Ki'!AH90,0)+IF($Q195&lt;&gt;0,'Técnicas de Ki'!AI90,0)+IF($R195&lt;&gt;0,'Técnicas de Ki'!AJ90,0)+IF($S195&lt;&gt;0,'Técnicas de Ki'!AK90,0)+IF($T195&lt;&gt;0,'Técnicas de Ki'!AL90,0)),0))</f>
        <v>0</v>
      </c>
      <c r="AW195" s="538">
        <f>IF('Técnicas de Ki'!W90=0,0,IFERROR(IF('Técnicas de Ki'!AG90&lt;&gt;0,'Técnicas de Ki'!AG90+TS!$O195,0)*$O195/$O195,0))</f>
        <v>0</v>
      </c>
      <c r="AX195" s="538">
        <f>IF('Técnicas de Ki'!W90=0,0,IFERROR(IF('Técnicas de Ki'!AH90&lt;&gt;0,'Técnicas de Ki'!AH90+TS!$P195,0)*$P195/$P195,0))</f>
        <v>0</v>
      </c>
      <c r="AY195" s="538">
        <f>IF('Técnicas de Ki'!W90=0,0,IFERROR(IF('Técnicas de Ki'!AI90&lt;&gt;0,'Técnicas de Ki'!AI90+TS!$Q195,0)*$Q195/$Q195,0))</f>
        <v>0</v>
      </c>
      <c r="AZ195" s="538">
        <f>IF('Técnicas de Ki'!W90=0,0,IFERROR(IF('Técnicas de Ki'!AJ90&lt;&gt;0,'Técnicas de Ki'!AJ90+TS!$R195,0)*$R195/$R195,0))</f>
        <v>0</v>
      </c>
      <c r="BA195" s="538">
        <f>IF('Técnicas de Ki'!W90=0,0,IFERROR(IF('Técnicas de Ki'!AK90&lt;&gt;0,'Técnicas de Ki'!AK90+TS!$S195,0)*$S195/$S195,0))</f>
        <v>0</v>
      </c>
      <c r="BB195" s="539">
        <f>IF('Técnicas de Ki'!W90=0,0,IFERROR(IF('Técnicas de Ki'!AL90&lt;&gt;0,'Técnicas de Ki'!AL90+TS!$T195,0)*$T195/$T195,0))</f>
        <v>0</v>
      </c>
      <c r="BD195" s="571" t="str">
        <f>IF('Técnicas de Ki'!W98&lt;&gt;0,'Técnicas de Ki'!V98&amp;" "&amp;'Técnicas de Ki'!W98,"")</f>
        <v/>
      </c>
      <c r="BE195" s="302" t="b">
        <f t="shared" si="34"/>
        <v>0</v>
      </c>
      <c r="BF195" s="302" t="str">
        <f t="shared" si="38"/>
        <v/>
      </c>
      <c r="BL195" s="537">
        <f>IF('Técnicas de Ki'!AR90=0,0,IF('Técnicas de Ki'!AY90=TS!BL$119,'Técnicas de Ki'!AS90-(IF($O195&lt;&gt;0,'Técnicas de Ki'!BB90,0)+IF($P195&lt;&gt;0,'Técnicas de Ki'!BC90,0)+IF($Q195&lt;&gt;0,'Técnicas de Ki'!BD90,0)+IF($R195&lt;&gt;0,'Técnicas de Ki'!BE90,0)+IF($S195&lt;&gt;0,'Técnicas de Ki'!BF90,0)+IF($T195&lt;&gt;0,'Técnicas de Ki'!BG90,0)),0))</f>
        <v>0</v>
      </c>
      <c r="BM195" s="538">
        <f>IF('Técnicas de Ki'!AR90=0,0,IF('Técnicas de Ki'!AY90=TS!BM$119,'Técnicas de Ki'!AS90-(IF($O195&lt;&gt;0,'Técnicas de Ki'!BB90,0)+IF($P195&lt;&gt;0,'Técnicas de Ki'!BC90,0)+IF($Q195&lt;&gt;0,'Técnicas de Ki'!BD90,0)+IF($R195&lt;&gt;0,'Técnicas de Ki'!BE90,0)+IF($S195&lt;&gt;0,'Técnicas de Ki'!BF90,0)+IF($T195&lt;&gt;0,'Técnicas de Ki'!BG90,0)),0))</f>
        <v>0</v>
      </c>
      <c r="BN195" s="538">
        <f>IF('Técnicas de Ki'!AR90=0,0,IF('Técnicas de Ki'!AY90=TS!BN$119,'Técnicas de Ki'!AS90-(IF($O195&lt;&gt;0,'Técnicas de Ki'!BB90,0)+IF($P195&lt;&gt;0,'Técnicas de Ki'!BC90,0)+IF($Q195&lt;&gt;0,'Técnicas de Ki'!BD90,0)+IF($R195&lt;&gt;0,'Técnicas de Ki'!BE90,0)+IF($S195&lt;&gt;0,'Técnicas de Ki'!BF90,0)+IF($T195&lt;&gt;0,'Técnicas de Ki'!BG90,0)),0))</f>
        <v>0</v>
      </c>
      <c r="BO195" s="538">
        <f>IF('Técnicas de Ki'!AR90=0,0,IF('Técnicas de Ki'!AY90=TS!BO$119,'Técnicas de Ki'!AS90-(IF($O195&lt;&gt;0,'Técnicas de Ki'!BB90,0)+IF($P195&lt;&gt;0,'Técnicas de Ki'!BC90,0)+IF($Q195&lt;&gt;0,'Técnicas de Ki'!BD90,0)+IF($R195&lt;&gt;0,'Técnicas de Ki'!BE90,0)+IF($S195&lt;&gt;0,'Técnicas de Ki'!BF90,0)+IF($T195&lt;&gt;0,'Técnicas de Ki'!BG90,0)),0))</f>
        <v>0</v>
      </c>
      <c r="BP195" s="538">
        <f>IF('Técnicas de Ki'!AR90=0,0,IF('Técnicas de Ki'!AY90=TS!BP$119,'Técnicas de Ki'!AS90-(IF($O195&lt;&gt;0,'Técnicas de Ki'!BB90,0)+IF($P195&lt;&gt;0,'Técnicas de Ki'!BC90,0)+IF($Q195&lt;&gt;0,'Técnicas de Ki'!BD90,0)+IF($R195&lt;&gt;0,'Técnicas de Ki'!BE90,0)+IF($S195&lt;&gt;0,'Técnicas de Ki'!BF90,0)+IF($T195&lt;&gt;0,'Técnicas de Ki'!BG90,0)),0))</f>
        <v>0</v>
      </c>
      <c r="BQ195" s="539">
        <f>IF('Técnicas de Ki'!AR90=0,0,IF('Técnicas de Ki'!AY90=TS!BQ$119,'Técnicas de Ki'!AS90-(IF($O195&lt;&gt;0,'Técnicas de Ki'!BB90,0)+IF($P195&lt;&gt;0,'Técnicas de Ki'!BC90,0)+IF($Q195&lt;&gt;0,'Técnicas de Ki'!BD90,0)+IF($R195&lt;&gt;0,'Técnicas de Ki'!BE90,0)+IF($S195&lt;&gt;0,'Técnicas de Ki'!BF90,0)+IF($T195&lt;&gt;0,'Técnicas de Ki'!BG90,0)),0))</f>
        <v>0</v>
      </c>
      <c r="BR195" s="538">
        <f>IF('Técnicas de Ki'!AR90=0,0,IFERROR(IF('Técnicas de Ki'!BB90&lt;&gt;0,'Técnicas de Ki'!BB90+TS!$O195,0)*$O195/$O195,0))</f>
        <v>0</v>
      </c>
      <c r="BS195" s="538">
        <f>IF('Técnicas de Ki'!AR90=0,0,IFERROR(IF('Técnicas de Ki'!BC90&lt;&gt;0,'Técnicas de Ki'!BC90+TS!$P195,0)*$P195/$P195,0))</f>
        <v>0</v>
      </c>
      <c r="BT195" s="538">
        <f>IF('Técnicas de Ki'!AR90=0,0,IFERROR(IF('Técnicas de Ki'!BD90&lt;&gt;0,'Técnicas de Ki'!BD90+TS!$Q195,0)*$Q195/$Q195,0))</f>
        <v>0</v>
      </c>
      <c r="BU195" s="538">
        <f>IF('Técnicas de Ki'!AR90=0,0,IFERROR(IF('Técnicas de Ki'!BE90&lt;&gt;0,'Técnicas de Ki'!BE90+TS!$R195,0)*$R195/$R195,0))</f>
        <v>0</v>
      </c>
      <c r="BV195" s="538">
        <f>IF('Técnicas de Ki'!AR90=0,0,IFERROR(IF('Técnicas de Ki'!BF90&lt;&gt;0,'Técnicas de Ki'!BF90+TS!$S195,0)*$S195/$S195,0))</f>
        <v>0</v>
      </c>
      <c r="BW195" s="539">
        <f>IF('Técnicas de Ki'!AR90=0,0,IFERROR(IF('Técnicas de Ki'!BG90&lt;&gt;0,'Técnicas de Ki'!BG90+TS!$T195,0)*$T195/$T195,0))</f>
        <v>0</v>
      </c>
      <c r="BY195" s="571" t="str">
        <f>IF('Técnicas de Ki'!AR98&lt;&gt;0,'Técnicas de Ki'!AQ98&amp;" "&amp;'Técnicas de Ki'!AR98,"")</f>
        <v/>
      </c>
      <c r="BZ195" s="302" t="b">
        <f t="shared" si="35"/>
        <v>0</v>
      </c>
      <c r="CA195" s="302" t="str">
        <f t="shared" si="39"/>
        <v/>
      </c>
      <c r="CG195" s="537">
        <f>IF('Técnicas de Ki'!BM90=0,0,IF('Técnicas de Ki'!BT90=TS!CG$119,'Técnicas de Ki'!BN90-(IF($O195&lt;&gt;0,'Técnicas de Ki'!BW90,0)+IF($P195&lt;&gt;0,'Técnicas de Ki'!BX90,0)+IF($Q195&lt;&gt;0,'Técnicas de Ki'!BY90,0)+IF($R195&lt;&gt;0,'Técnicas de Ki'!BZ90,0)+IF($S195&lt;&gt;0,'Técnicas de Ki'!CA90,0)+IF($T195&lt;&gt;0,'Técnicas de Ki'!CB90,0)),0))</f>
        <v>0</v>
      </c>
      <c r="CH195" s="538">
        <f>IF('Técnicas de Ki'!BM90=0,0,IF('Técnicas de Ki'!BT90=TS!CH$119,'Técnicas de Ki'!BN90-(IF($O195&lt;&gt;0,'Técnicas de Ki'!BW90,0)+IF($P195&lt;&gt;0,'Técnicas de Ki'!BX90,0)+IF($Q195&lt;&gt;0,'Técnicas de Ki'!BY90,0)+IF($R195&lt;&gt;0,'Técnicas de Ki'!BZ90,0)+IF($S195&lt;&gt;0,'Técnicas de Ki'!CA90,0)+IF($T195&lt;&gt;0,'Técnicas de Ki'!CB90,0)),0))</f>
        <v>0</v>
      </c>
      <c r="CI195" s="538">
        <f>IF('Técnicas de Ki'!BM90=0,0,IF('Técnicas de Ki'!BT90=TS!CI$119,'Técnicas de Ki'!BN90-(IF($O195&lt;&gt;0,'Técnicas de Ki'!BW90,0)+IF($P195&lt;&gt;0,'Técnicas de Ki'!BX90,0)+IF($Q195&lt;&gt;0,'Técnicas de Ki'!BY90,0)+IF($R195&lt;&gt;0,'Técnicas de Ki'!BZ90,0)+IF($S195&lt;&gt;0,'Técnicas de Ki'!CA90,0)+IF($T195&lt;&gt;0,'Técnicas de Ki'!CB90,0)),0))</f>
        <v>0</v>
      </c>
      <c r="CJ195" s="538">
        <f>IF('Técnicas de Ki'!BM90=0,0,IF('Técnicas de Ki'!BT90=TS!CJ$119,'Técnicas de Ki'!BN90-(IF($O195&lt;&gt;0,'Técnicas de Ki'!BW90,0)+IF($P195&lt;&gt;0,'Técnicas de Ki'!BX90,0)+IF($Q195&lt;&gt;0,'Técnicas de Ki'!BY90,0)+IF($R195&lt;&gt;0,'Técnicas de Ki'!BZ90,0)+IF($S195&lt;&gt;0,'Técnicas de Ki'!CA90,0)+IF($T195&lt;&gt;0,'Técnicas de Ki'!CB90,0)),0))</f>
        <v>0</v>
      </c>
      <c r="CK195" s="538">
        <f>IF('Técnicas de Ki'!BM90=0,0,IF('Técnicas de Ki'!BT90=TS!CK$119,'Técnicas de Ki'!BN90-(IF($O195&lt;&gt;0,'Técnicas de Ki'!BW90,0)+IF($P195&lt;&gt;0,'Técnicas de Ki'!BX90,0)+IF($Q195&lt;&gt;0,'Técnicas de Ki'!BY90,0)+IF($R195&lt;&gt;0,'Técnicas de Ki'!BZ90,0)+IF($S195&lt;&gt;0,'Técnicas de Ki'!CA90,0)+IF($T195&lt;&gt;0,'Técnicas de Ki'!CB90,0)),0))</f>
        <v>0</v>
      </c>
      <c r="CL195" s="539">
        <f>IF('Técnicas de Ki'!BM90=0,0,IF('Técnicas de Ki'!BT90=TS!CL$119,'Técnicas de Ki'!BN90-(IF($O195&lt;&gt;0,'Técnicas de Ki'!BW90,0)+IF($P195&lt;&gt;0,'Técnicas de Ki'!BX90,0)+IF($Q195&lt;&gt;0,'Técnicas de Ki'!BY90,0)+IF($R195&lt;&gt;0,'Técnicas de Ki'!BZ90,0)+IF($S195&lt;&gt;0,'Técnicas de Ki'!CA90,0)+IF($T195&lt;&gt;0,'Técnicas de Ki'!CB90,0)),0))</f>
        <v>0</v>
      </c>
      <c r="CM195" s="538">
        <f>IF('Técnicas de Ki'!BM90=0,0,IFERROR(IF('Técnicas de Ki'!BW90&lt;&gt;0,'Técnicas de Ki'!BW90+TS!$O195,0)*$O195/$O195,0))</f>
        <v>0</v>
      </c>
      <c r="CN195" s="538">
        <f>IF('Técnicas de Ki'!BM90=0,0,IFERROR(IF('Técnicas de Ki'!BX90&lt;&gt;0,'Técnicas de Ki'!BX90+TS!$P195,0)*$P195/$P195,0))</f>
        <v>0</v>
      </c>
      <c r="CO195" s="538">
        <f>IF('Técnicas de Ki'!BM90=0,0,IFERROR(IF('Técnicas de Ki'!BY90&lt;&gt;0,'Técnicas de Ki'!BY90+TS!$Q195,0)*$Q195/$Q195,0))</f>
        <v>0</v>
      </c>
      <c r="CP195" s="538">
        <f>IF('Técnicas de Ki'!BM90=0,0,IFERROR(IF('Técnicas de Ki'!BZ90&lt;&gt;0,'Técnicas de Ki'!BZ90+TS!$R195,0)*$R195/$R195,0))</f>
        <v>0</v>
      </c>
      <c r="CQ195" s="538">
        <f>IF('Técnicas de Ki'!BM90=0,0,IFERROR(IF('Técnicas de Ki'!CA90&lt;&gt;0,'Técnicas de Ki'!CA90+TS!$S195,0)*$S195/$S195,0))</f>
        <v>0</v>
      </c>
      <c r="CR195" s="539">
        <f>IF('Técnicas de Ki'!BM90=0,0,IFERROR(IF('Técnicas de Ki'!CB90&lt;&gt;0,'Técnicas de Ki'!CB90+TS!$T195,0)*$T195/$T195,0))</f>
        <v>0</v>
      </c>
      <c r="CT195" s="571" t="str">
        <f>IF('Técnicas de Ki'!BM98&lt;&gt;0,'Técnicas de Ki'!BL98&amp;" "&amp;'Técnicas de Ki'!BM98,"")</f>
        <v/>
      </c>
      <c r="CU195" s="302" t="b">
        <f t="shared" si="36"/>
        <v>0</v>
      </c>
      <c r="CV195" s="302" t="str">
        <f t="shared" si="40"/>
        <v/>
      </c>
    </row>
    <row r="196" spans="1:100" x14ac:dyDescent="0.2">
      <c r="A196" s="302" t="s">
        <v>6868</v>
      </c>
      <c r="B196" s="301" t="s">
        <v>6876</v>
      </c>
      <c r="C196" s="301" t="str">
        <f t="shared" si="15"/>
        <v>Defensa adicional+8</v>
      </c>
      <c r="D196" s="302">
        <v>6</v>
      </c>
      <c r="E196" s="302">
        <v>9</v>
      </c>
      <c r="F196" s="302">
        <v>25</v>
      </c>
      <c r="G196" s="302">
        <v>8</v>
      </c>
      <c r="H196" s="302">
        <v>16</v>
      </c>
      <c r="I196" s="302">
        <v>28</v>
      </c>
      <c r="J196" s="302">
        <v>1</v>
      </c>
      <c r="N196" t="s">
        <v>6973</v>
      </c>
      <c r="O196" s="302">
        <v>3</v>
      </c>
      <c r="Q196" s="302">
        <v>4</v>
      </c>
      <c r="R196" s="302">
        <v>3</v>
      </c>
      <c r="S196" s="302">
        <v>1</v>
      </c>
      <c r="V196" s="537">
        <f>IF('Técnicas de Ki'!B91=0,0,IF('Técnicas de Ki'!I91=TS!V$119,'Técnicas de Ki'!C91-(IF($O196&lt;&gt;0,'Técnicas de Ki'!L91,0)+IF($P196&lt;&gt;0,'Técnicas de Ki'!M91,0)+IF($Q196&lt;&gt;0,'Técnicas de Ki'!N91,0)+IF($R196&lt;&gt;0,'Técnicas de Ki'!O91,0)+IF($S196&lt;&gt;0,'Técnicas de Ki'!P91,0)+IF($T196&lt;&gt;0,'Técnicas de Ki'!Q91,0)),0))</f>
        <v>0</v>
      </c>
      <c r="W196" s="538">
        <f>IF('Técnicas de Ki'!B91=0,0,IF('Técnicas de Ki'!I91=TS!W$119,'Técnicas de Ki'!C91-(IF($O196&lt;&gt;0,'Técnicas de Ki'!L91,0)+IF($P196&lt;&gt;0,'Técnicas de Ki'!M91,0)+IF($Q196&lt;&gt;0,'Técnicas de Ki'!N91,0)+IF($R196&lt;&gt;0,'Técnicas de Ki'!O91,0)+IF($S196&lt;&gt;0,'Técnicas de Ki'!P91,0)+IF($T196&lt;&gt;0,'Técnicas de Ki'!Q91,0)),0))</f>
        <v>0</v>
      </c>
      <c r="X196" s="538">
        <f>IF('Técnicas de Ki'!B91=0,0,IF('Técnicas de Ki'!I91=TS!X$119,'Técnicas de Ki'!C91-(IF($O196&lt;&gt;0,'Técnicas de Ki'!L91,0)+IF($P196&lt;&gt;0,'Técnicas de Ki'!M91,0)+IF($Q196&lt;&gt;0,'Técnicas de Ki'!N91,0)+IF($R196&lt;&gt;0,'Técnicas de Ki'!O91,0)+IF($S196&lt;&gt;0,'Técnicas de Ki'!P91,0)+IF($T196&lt;&gt;0,'Técnicas de Ki'!Q91,0)),0))</f>
        <v>0</v>
      </c>
      <c r="Y196" s="538">
        <f>IF('Técnicas de Ki'!B91=0,0,IF('Técnicas de Ki'!I91=TS!Y$119,'Técnicas de Ki'!C91-(IF($O196&lt;&gt;0,'Técnicas de Ki'!L91,0)+IF($P196&lt;&gt;0,'Técnicas de Ki'!M91,0)+IF($Q196&lt;&gt;0,'Técnicas de Ki'!N91,0)+IF($R196&lt;&gt;0,'Técnicas de Ki'!O91,0)+IF($S196&lt;&gt;0,'Técnicas de Ki'!P91,0)+IF($T196&lt;&gt;0,'Técnicas de Ki'!Q91,0)),0))</f>
        <v>0</v>
      </c>
      <c r="Z196" s="538">
        <f>IF('Técnicas de Ki'!B91=0,0,IF('Técnicas de Ki'!I91=TS!Z$119,'Técnicas de Ki'!C91-(IF($O196&lt;&gt;0,'Técnicas de Ki'!L91,0)+IF($P196&lt;&gt;0,'Técnicas de Ki'!M91,0)+IF($Q196&lt;&gt;0,'Técnicas de Ki'!N91,0)+IF($R196&lt;&gt;0,'Técnicas de Ki'!O91,0)+IF($S196&lt;&gt;0,'Técnicas de Ki'!P91,0)+IF($T196&lt;&gt;0,'Técnicas de Ki'!Q91,0)),0))</f>
        <v>0</v>
      </c>
      <c r="AA196" s="539">
        <f>IF('Técnicas de Ki'!B91=0,0,IF('Técnicas de Ki'!I91=TS!AA$119,'Técnicas de Ki'!C91-(IF($O196&lt;&gt;0,'Técnicas de Ki'!L91,0)+IF($P196&lt;&gt;0,'Técnicas de Ki'!M91,0)+IF($Q196&lt;&gt;0,'Técnicas de Ki'!N91,0)+IF($R196&lt;&gt;0,'Técnicas de Ki'!O91,0)+IF($S196&lt;&gt;0,'Técnicas de Ki'!P91,0)+IF($T196&lt;&gt;0,'Técnicas de Ki'!Q91,0)),0))</f>
        <v>0</v>
      </c>
      <c r="AB196" s="538">
        <f>IF('Técnicas de Ki'!B91=0,0,IFERROR(IF('Técnicas de Ki'!L91&lt;&gt;0,'Técnicas de Ki'!L91+TS!$O196,0)*$O196/$O196,0))</f>
        <v>0</v>
      </c>
      <c r="AC196" s="538">
        <f>IF('Técnicas de Ki'!B91=0,0,IFERROR(IF('Técnicas de Ki'!M91&lt;&gt;0,'Técnicas de Ki'!M91+TS!$P196,0)*$P196/$P196,0))</f>
        <v>0</v>
      </c>
      <c r="AD196" s="538">
        <f>IF('Técnicas de Ki'!B91=0,0,IFERROR(IF('Técnicas de Ki'!N91&lt;&gt;0,'Técnicas de Ki'!N91+TS!$Q196,0)*$Q196/$Q196,0))</f>
        <v>0</v>
      </c>
      <c r="AE196" s="538">
        <f>IF('Técnicas de Ki'!B91=0,0,IFERROR(IF('Técnicas de Ki'!O91&lt;&gt;0,'Técnicas de Ki'!O91+TS!$R196,0)*$R196/$R196,0))</f>
        <v>0</v>
      </c>
      <c r="AF196" s="538">
        <f>IF('Técnicas de Ki'!B91=0,0,IFERROR(IF('Técnicas de Ki'!P91&lt;&gt;0,'Técnicas de Ki'!P91+TS!$S196,0)*$S196/$S196,0))</f>
        <v>0</v>
      </c>
      <c r="AG196" s="539">
        <f>IF('Técnicas de Ki'!B91=0,0,IFERROR(IF('Técnicas de Ki'!Q91&lt;&gt;0,'Técnicas de Ki'!Q91+TS!$T196,0)*$T196/$T196,0))</f>
        <v>0</v>
      </c>
      <c r="AI196" s="571" t="str">
        <f>IF('Técnicas de Ki'!B99&lt;&gt;0,'Técnicas de Ki'!A99&amp;" "&amp;'Técnicas de Ki'!B99,"")</f>
        <v/>
      </c>
      <c r="AJ196" s="302" t="b">
        <f t="shared" si="41"/>
        <v>0</v>
      </c>
      <c r="AK196" s="302" t="str">
        <f t="shared" si="37"/>
        <v/>
      </c>
      <c r="AQ196" s="537">
        <f>IF('Técnicas de Ki'!W91=0,0,IF('Técnicas de Ki'!AD91=TS!AQ$119,'Técnicas de Ki'!X91-(IF($O196&lt;&gt;0,'Técnicas de Ki'!AG91,0)+IF($P196&lt;&gt;0,'Técnicas de Ki'!AH91,0)+IF($Q196&lt;&gt;0,'Técnicas de Ki'!AI91,0)+IF($R196&lt;&gt;0,'Técnicas de Ki'!AJ91,0)+IF($S196&lt;&gt;0,'Técnicas de Ki'!AK91,0)+IF($T196&lt;&gt;0,'Técnicas de Ki'!AL91,0)),0))</f>
        <v>0</v>
      </c>
      <c r="AR196" s="538">
        <f>IF('Técnicas de Ki'!W91=0,0,IF('Técnicas de Ki'!AD91=TS!AR$119,'Técnicas de Ki'!X91-(IF($O196&lt;&gt;0,'Técnicas de Ki'!AG91,0)+IF($P196&lt;&gt;0,'Técnicas de Ki'!AH91,0)+IF($Q196&lt;&gt;0,'Técnicas de Ki'!AI91,0)+IF($R196&lt;&gt;0,'Técnicas de Ki'!AJ91,0)+IF($S196&lt;&gt;0,'Técnicas de Ki'!AK91,0)+IF($T196&lt;&gt;0,'Técnicas de Ki'!AL91,0)),0))</f>
        <v>0</v>
      </c>
      <c r="AS196" s="538">
        <f>IF('Técnicas de Ki'!W91=0,0,IF('Técnicas de Ki'!AD91=TS!AS$119,'Técnicas de Ki'!X91-(IF($O196&lt;&gt;0,'Técnicas de Ki'!AG91,0)+IF($P196&lt;&gt;0,'Técnicas de Ki'!AH91,0)+IF($Q196&lt;&gt;0,'Técnicas de Ki'!AI91,0)+IF($R196&lt;&gt;0,'Técnicas de Ki'!AJ91,0)+IF($S196&lt;&gt;0,'Técnicas de Ki'!AK91,0)+IF($T196&lt;&gt;0,'Técnicas de Ki'!AL91,0)),0))</f>
        <v>0</v>
      </c>
      <c r="AT196" s="538">
        <f>IF('Técnicas de Ki'!W91=0,0,IF('Técnicas de Ki'!AD91=TS!AT$119,'Técnicas de Ki'!X91-(IF($O196&lt;&gt;0,'Técnicas de Ki'!AG91,0)+IF($P196&lt;&gt;0,'Técnicas de Ki'!AH91,0)+IF($Q196&lt;&gt;0,'Técnicas de Ki'!AI91,0)+IF($R196&lt;&gt;0,'Técnicas de Ki'!AJ91,0)+IF($S196&lt;&gt;0,'Técnicas de Ki'!AK91,0)+IF($T196&lt;&gt;0,'Técnicas de Ki'!AL91,0)),0))</f>
        <v>0</v>
      </c>
      <c r="AU196" s="538">
        <f>IF('Técnicas de Ki'!W91=0,0,IF('Técnicas de Ki'!AD91=TS!AU$119,'Técnicas de Ki'!X91-(IF($O196&lt;&gt;0,'Técnicas de Ki'!AG91,0)+IF($P196&lt;&gt;0,'Técnicas de Ki'!AH91,0)+IF($Q196&lt;&gt;0,'Técnicas de Ki'!AI91,0)+IF($R196&lt;&gt;0,'Técnicas de Ki'!AJ91,0)+IF($S196&lt;&gt;0,'Técnicas de Ki'!AK91,0)+IF($T196&lt;&gt;0,'Técnicas de Ki'!AL91,0)),0))</f>
        <v>0</v>
      </c>
      <c r="AV196" s="539">
        <f>IF('Técnicas de Ki'!W91=0,0,IF('Técnicas de Ki'!AD91=TS!AV$119,'Técnicas de Ki'!X91-(IF($O196&lt;&gt;0,'Técnicas de Ki'!AG91,0)+IF($P196&lt;&gt;0,'Técnicas de Ki'!AH91,0)+IF($Q196&lt;&gt;0,'Técnicas de Ki'!AI91,0)+IF($R196&lt;&gt;0,'Técnicas de Ki'!AJ91,0)+IF($S196&lt;&gt;0,'Técnicas de Ki'!AK91,0)+IF($T196&lt;&gt;0,'Técnicas de Ki'!AL91,0)),0))</f>
        <v>0</v>
      </c>
      <c r="AW196" s="538">
        <f>IF('Técnicas de Ki'!W91=0,0,IFERROR(IF('Técnicas de Ki'!AG91&lt;&gt;0,'Técnicas de Ki'!AG91+TS!$O196,0)*$O196/$O196,0))</f>
        <v>0</v>
      </c>
      <c r="AX196" s="538">
        <f>IF('Técnicas de Ki'!W91=0,0,IFERROR(IF('Técnicas de Ki'!AH91&lt;&gt;0,'Técnicas de Ki'!AH91+TS!$P196,0)*$P196/$P196,0))</f>
        <v>0</v>
      </c>
      <c r="AY196" s="538">
        <f>IF('Técnicas de Ki'!W91=0,0,IFERROR(IF('Técnicas de Ki'!AI91&lt;&gt;0,'Técnicas de Ki'!AI91+TS!$Q196,0)*$Q196/$Q196,0))</f>
        <v>0</v>
      </c>
      <c r="AZ196" s="538">
        <f>IF('Técnicas de Ki'!W91=0,0,IFERROR(IF('Técnicas de Ki'!AJ91&lt;&gt;0,'Técnicas de Ki'!AJ91+TS!$R196,0)*$R196/$R196,0))</f>
        <v>0</v>
      </c>
      <c r="BA196" s="538">
        <f>IF('Técnicas de Ki'!W91=0,0,IFERROR(IF('Técnicas de Ki'!AK91&lt;&gt;0,'Técnicas de Ki'!AK91+TS!$S196,0)*$S196/$S196,0))</f>
        <v>0</v>
      </c>
      <c r="BB196" s="539">
        <f>IF('Técnicas de Ki'!W91=0,0,IFERROR(IF('Técnicas de Ki'!AL91&lt;&gt;0,'Técnicas de Ki'!AL91+TS!$T196,0)*$T196/$T196,0))</f>
        <v>0</v>
      </c>
      <c r="BD196" s="571" t="str">
        <f>IF('Técnicas de Ki'!W99&lt;&gt;0,'Técnicas de Ki'!V99&amp;" "&amp;'Técnicas de Ki'!W99,"")</f>
        <v/>
      </c>
      <c r="BE196" s="302" t="b">
        <f t="shared" si="34"/>
        <v>0</v>
      </c>
      <c r="BF196" s="302" t="str">
        <f t="shared" si="38"/>
        <v/>
      </c>
      <c r="BL196" s="537">
        <f>IF('Técnicas de Ki'!AR91=0,0,IF('Técnicas de Ki'!AY91=TS!BL$119,'Técnicas de Ki'!AS91-(IF($O196&lt;&gt;0,'Técnicas de Ki'!BB91,0)+IF($P196&lt;&gt;0,'Técnicas de Ki'!BC91,0)+IF($Q196&lt;&gt;0,'Técnicas de Ki'!BD91,0)+IF($R196&lt;&gt;0,'Técnicas de Ki'!BE91,0)+IF($S196&lt;&gt;0,'Técnicas de Ki'!BF91,0)+IF($T196&lt;&gt;0,'Técnicas de Ki'!BG91,0)),0))</f>
        <v>0</v>
      </c>
      <c r="BM196" s="538">
        <f>IF('Técnicas de Ki'!AR91=0,0,IF('Técnicas de Ki'!AY91=TS!BM$119,'Técnicas de Ki'!AS91-(IF($O196&lt;&gt;0,'Técnicas de Ki'!BB91,0)+IF($P196&lt;&gt;0,'Técnicas de Ki'!BC91,0)+IF($Q196&lt;&gt;0,'Técnicas de Ki'!BD91,0)+IF($R196&lt;&gt;0,'Técnicas de Ki'!BE91,0)+IF($S196&lt;&gt;0,'Técnicas de Ki'!BF91,0)+IF($T196&lt;&gt;0,'Técnicas de Ki'!BG91,0)),0))</f>
        <v>0</v>
      </c>
      <c r="BN196" s="538">
        <f>IF('Técnicas de Ki'!AR91=0,0,IF('Técnicas de Ki'!AY91=TS!BN$119,'Técnicas de Ki'!AS91-(IF($O196&lt;&gt;0,'Técnicas de Ki'!BB91,0)+IF($P196&lt;&gt;0,'Técnicas de Ki'!BC91,0)+IF($Q196&lt;&gt;0,'Técnicas de Ki'!BD91,0)+IF($R196&lt;&gt;0,'Técnicas de Ki'!BE91,0)+IF($S196&lt;&gt;0,'Técnicas de Ki'!BF91,0)+IF($T196&lt;&gt;0,'Técnicas de Ki'!BG91,0)),0))</f>
        <v>0</v>
      </c>
      <c r="BO196" s="538">
        <f>IF('Técnicas de Ki'!AR91=0,0,IF('Técnicas de Ki'!AY91=TS!BO$119,'Técnicas de Ki'!AS91-(IF($O196&lt;&gt;0,'Técnicas de Ki'!BB91,0)+IF($P196&lt;&gt;0,'Técnicas de Ki'!BC91,0)+IF($Q196&lt;&gt;0,'Técnicas de Ki'!BD91,0)+IF($R196&lt;&gt;0,'Técnicas de Ki'!BE91,0)+IF($S196&lt;&gt;0,'Técnicas de Ki'!BF91,0)+IF($T196&lt;&gt;0,'Técnicas de Ki'!BG91,0)),0))</f>
        <v>0</v>
      </c>
      <c r="BP196" s="538">
        <f>IF('Técnicas de Ki'!AR91=0,0,IF('Técnicas de Ki'!AY91=TS!BP$119,'Técnicas de Ki'!AS91-(IF($O196&lt;&gt;0,'Técnicas de Ki'!BB91,0)+IF($P196&lt;&gt;0,'Técnicas de Ki'!BC91,0)+IF($Q196&lt;&gt;0,'Técnicas de Ki'!BD91,0)+IF($R196&lt;&gt;0,'Técnicas de Ki'!BE91,0)+IF($S196&lt;&gt;0,'Técnicas de Ki'!BF91,0)+IF($T196&lt;&gt;0,'Técnicas de Ki'!BG91,0)),0))</f>
        <v>0</v>
      </c>
      <c r="BQ196" s="539">
        <f>IF('Técnicas de Ki'!AR91=0,0,IF('Técnicas de Ki'!AY91=TS!BQ$119,'Técnicas de Ki'!AS91-(IF($O196&lt;&gt;0,'Técnicas de Ki'!BB91,0)+IF($P196&lt;&gt;0,'Técnicas de Ki'!BC91,0)+IF($Q196&lt;&gt;0,'Técnicas de Ki'!BD91,0)+IF($R196&lt;&gt;0,'Técnicas de Ki'!BE91,0)+IF($S196&lt;&gt;0,'Técnicas de Ki'!BF91,0)+IF($T196&lt;&gt;0,'Técnicas de Ki'!BG91,0)),0))</f>
        <v>0</v>
      </c>
      <c r="BR196" s="538">
        <f>IF('Técnicas de Ki'!AR91=0,0,IFERROR(IF('Técnicas de Ki'!BB91&lt;&gt;0,'Técnicas de Ki'!BB91+TS!$O196,0)*$O196/$O196,0))</f>
        <v>0</v>
      </c>
      <c r="BS196" s="538">
        <f>IF('Técnicas de Ki'!AR91=0,0,IFERROR(IF('Técnicas de Ki'!BC91&lt;&gt;0,'Técnicas de Ki'!BC91+TS!$P196,0)*$P196/$P196,0))</f>
        <v>0</v>
      </c>
      <c r="BT196" s="538">
        <f>IF('Técnicas de Ki'!AR91=0,0,IFERROR(IF('Técnicas de Ki'!BD91&lt;&gt;0,'Técnicas de Ki'!BD91+TS!$Q196,0)*$Q196/$Q196,0))</f>
        <v>0</v>
      </c>
      <c r="BU196" s="538">
        <f>IF('Técnicas de Ki'!AR91=0,0,IFERROR(IF('Técnicas de Ki'!BE91&lt;&gt;0,'Técnicas de Ki'!BE91+TS!$R196,0)*$R196/$R196,0))</f>
        <v>0</v>
      </c>
      <c r="BV196" s="538">
        <f>IF('Técnicas de Ki'!AR91=0,0,IFERROR(IF('Técnicas de Ki'!BF91&lt;&gt;0,'Técnicas de Ki'!BF91+TS!$S196,0)*$S196/$S196,0))</f>
        <v>0</v>
      </c>
      <c r="BW196" s="539">
        <f>IF('Técnicas de Ki'!AR91=0,0,IFERROR(IF('Técnicas de Ki'!BG91&lt;&gt;0,'Técnicas de Ki'!BG91+TS!$T196,0)*$T196/$T196,0))</f>
        <v>0</v>
      </c>
      <c r="BY196" s="571" t="str">
        <f>IF('Técnicas de Ki'!AR99&lt;&gt;0,'Técnicas de Ki'!AQ99&amp;" "&amp;'Técnicas de Ki'!AR99,"")</f>
        <v/>
      </c>
      <c r="BZ196" s="302" t="b">
        <f t="shared" si="35"/>
        <v>0</v>
      </c>
      <c r="CA196" s="302" t="str">
        <f t="shared" si="39"/>
        <v/>
      </c>
      <c r="CG196" s="537">
        <f>IF('Técnicas de Ki'!BM91=0,0,IF('Técnicas de Ki'!BT91=TS!CG$119,'Técnicas de Ki'!BN91-(IF($O196&lt;&gt;0,'Técnicas de Ki'!BW91,0)+IF($P196&lt;&gt;0,'Técnicas de Ki'!BX91,0)+IF($Q196&lt;&gt;0,'Técnicas de Ki'!BY91,0)+IF($R196&lt;&gt;0,'Técnicas de Ki'!BZ91,0)+IF($S196&lt;&gt;0,'Técnicas de Ki'!CA91,0)+IF($T196&lt;&gt;0,'Técnicas de Ki'!CB91,0)),0))</f>
        <v>0</v>
      </c>
      <c r="CH196" s="538">
        <f>IF('Técnicas de Ki'!BM91=0,0,IF('Técnicas de Ki'!BT91=TS!CH$119,'Técnicas de Ki'!BN91-(IF($O196&lt;&gt;0,'Técnicas de Ki'!BW91,0)+IF($P196&lt;&gt;0,'Técnicas de Ki'!BX91,0)+IF($Q196&lt;&gt;0,'Técnicas de Ki'!BY91,0)+IF($R196&lt;&gt;0,'Técnicas de Ki'!BZ91,0)+IF($S196&lt;&gt;0,'Técnicas de Ki'!CA91,0)+IF($T196&lt;&gt;0,'Técnicas de Ki'!CB91,0)),0))</f>
        <v>0</v>
      </c>
      <c r="CI196" s="538">
        <f>IF('Técnicas de Ki'!BM91=0,0,IF('Técnicas de Ki'!BT91=TS!CI$119,'Técnicas de Ki'!BN91-(IF($O196&lt;&gt;0,'Técnicas de Ki'!BW91,0)+IF($P196&lt;&gt;0,'Técnicas de Ki'!BX91,0)+IF($Q196&lt;&gt;0,'Técnicas de Ki'!BY91,0)+IF($R196&lt;&gt;0,'Técnicas de Ki'!BZ91,0)+IF($S196&lt;&gt;0,'Técnicas de Ki'!CA91,0)+IF($T196&lt;&gt;0,'Técnicas de Ki'!CB91,0)),0))</f>
        <v>0</v>
      </c>
      <c r="CJ196" s="538">
        <f>IF('Técnicas de Ki'!BM91=0,0,IF('Técnicas de Ki'!BT91=TS!CJ$119,'Técnicas de Ki'!BN91-(IF($O196&lt;&gt;0,'Técnicas de Ki'!BW91,0)+IF($P196&lt;&gt;0,'Técnicas de Ki'!BX91,0)+IF($Q196&lt;&gt;0,'Técnicas de Ki'!BY91,0)+IF($R196&lt;&gt;0,'Técnicas de Ki'!BZ91,0)+IF($S196&lt;&gt;0,'Técnicas de Ki'!CA91,0)+IF($T196&lt;&gt;0,'Técnicas de Ki'!CB91,0)),0))</f>
        <v>0</v>
      </c>
      <c r="CK196" s="538">
        <f>IF('Técnicas de Ki'!BM91=0,0,IF('Técnicas de Ki'!BT91=TS!CK$119,'Técnicas de Ki'!BN91-(IF($O196&lt;&gt;0,'Técnicas de Ki'!BW91,0)+IF($P196&lt;&gt;0,'Técnicas de Ki'!BX91,0)+IF($Q196&lt;&gt;0,'Técnicas de Ki'!BY91,0)+IF($R196&lt;&gt;0,'Técnicas de Ki'!BZ91,0)+IF($S196&lt;&gt;0,'Técnicas de Ki'!CA91,0)+IF($T196&lt;&gt;0,'Técnicas de Ki'!CB91,0)),0))</f>
        <v>0</v>
      </c>
      <c r="CL196" s="539">
        <f>IF('Técnicas de Ki'!BM91=0,0,IF('Técnicas de Ki'!BT91=TS!CL$119,'Técnicas de Ki'!BN91-(IF($O196&lt;&gt;0,'Técnicas de Ki'!BW91,0)+IF($P196&lt;&gt;0,'Técnicas de Ki'!BX91,0)+IF($Q196&lt;&gt;0,'Técnicas de Ki'!BY91,0)+IF($R196&lt;&gt;0,'Técnicas de Ki'!BZ91,0)+IF($S196&lt;&gt;0,'Técnicas de Ki'!CA91,0)+IF($T196&lt;&gt;0,'Técnicas de Ki'!CB91,0)),0))</f>
        <v>0</v>
      </c>
      <c r="CM196" s="538">
        <f>IF('Técnicas de Ki'!BM91=0,0,IFERROR(IF('Técnicas de Ki'!BW91&lt;&gt;0,'Técnicas de Ki'!BW91+TS!$O196,0)*$O196/$O196,0))</f>
        <v>0</v>
      </c>
      <c r="CN196" s="538">
        <f>IF('Técnicas de Ki'!BM91=0,0,IFERROR(IF('Técnicas de Ki'!BX91&lt;&gt;0,'Técnicas de Ki'!BX91+TS!$P196,0)*$P196/$P196,0))</f>
        <v>0</v>
      </c>
      <c r="CO196" s="538">
        <f>IF('Técnicas de Ki'!BM91=0,0,IFERROR(IF('Técnicas de Ki'!BY91&lt;&gt;0,'Técnicas de Ki'!BY91+TS!$Q196,0)*$Q196/$Q196,0))</f>
        <v>0</v>
      </c>
      <c r="CP196" s="538">
        <f>IF('Técnicas de Ki'!BM91=0,0,IFERROR(IF('Técnicas de Ki'!BZ91&lt;&gt;0,'Técnicas de Ki'!BZ91+TS!$R196,0)*$R196/$R196,0))</f>
        <v>0</v>
      </c>
      <c r="CQ196" s="538">
        <f>IF('Técnicas de Ki'!BM91=0,0,IFERROR(IF('Técnicas de Ki'!CA91&lt;&gt;0,'Técnicas de Ki'!CA91+TS!$S196,0)*$S196/$S196,0))</f>
        <v>0</v>
      </c>
      <c r="CR196" s="539">
        <f>IF('Técnicas de Ki'!BM91=0,0,IFERROR(IF('Técnicas de Ki'!CB91&lt;&gt;0,'Técnicas de Ki'!CB91+TS!$T196,0)*$T196/$T196,0))</f>
        <v>0</v>
      </c>
      <c r="CT196" s="571" t="str">
        <f>IF('Técnicas de Ki'!BM99&lt;&gt;0,'Técnicas de Ki'!BL99&amp;" "&amp;'Técnicas de Ki'!BM99,"")</f>
        <v/>
      </c>
      <c r="CU196" s="302" t="b">
        <f t="shared" si="36"/>
        <v>0</v>
      </c>
      <c r="CV196" s="302" t="str">
        <f t="shared" si="40"/>
        <v/>
      </c>
    </row>
    <row r="197" spans="1:100" x14ac:dyDescent="0.2">
      <c r="A197" s="302" t="s">
        <v>6868</v>
      </c>
      <c r="B197" s="301" t="s">
        <v>6799</v>
      </c>
      <c r="C197" s="301" t="str">
        <f t="shared" si="15"/>
        <v>Defensa adicional+10</v>
      </c>
      <c r="D197" s="302">
        <v>7</v>
      </c>
      <c r="E197" s="302">
        <v>10</v>
      </c>
      <c r="F197" s="302">
        <v>30</v>
      </c>
      <c r="G197" s="302">
        <v>10</v>
      </c>
      <c r="H197" s="302">
        <v>20</v>
      </c>
      <c r="I197" s="302">
        <v>35</v>
      </c>
      <c r="J197" s="302">
        <v>2</v>
      </c>
      <c r="N197" t="s">
        <v>6974</v>
      </c>
      <c r="Q197" s="302">
        <v>1</v>
      </c>
      <c r="R197" s="302">
        <v>2</v>
      </c>
      <c r="S197" s="302">
        <v>2</v>
      </c>
      <c r="T197" s="302">
        <v>2</v>
      </c>
      <c r="V197" s="537">
        <f>IF('Técnicas de Ki'!B92=0,0,IF('Técnicas de Ki'!I92=TS!V$119,'Técnicas de Ki'!C92-(IF($O197&lt;&gt;0,'Técnicas de Ki'!L92,0)+IF($P197&lt;&gt;0,'Técnicas de Ki'!M92,0)+IF($Q197&lt;&gt;0,'Técnicas de Ki'!N92,0)+IF($R197&lt;&gt;0,'Técnicas de Ki'!O92,0)+IF($S197&lt;&gt;0,'Técnicas de Ki'!P92,0)+IF($T197&lt;&gt;0,'Técnicas de Ki'!Q92,0)),0))</f>
        <v>0</v>
      </c>
      <c r="W197" s="538">
        <f>IF('Técnicas de Ki'!B92=0,0,IF('Técnicas de Ki'!I92=TS!W$119,'Técnicas de Ki'!C92-(IF($O197&lt;&gt;0,'Técnicas de Ki'!L92,0)+IF($P197&lt;&gt;0,'Técnicas de Ki'!M92,0)+IF($Q197&lt;&gt;0,'Técnicas de Ki'!N92,0)+IF($R197&lt;&gt;0,'Técnicas de Ki'!O92,0)+IF($S197&lt;&gt;0,'Técnicas de Ki'!P92,0)+IF($T197&lt;&gt;0,'Técnicas de Ki'!Q92,0)),0))</f>
        <v>0</v>
      </c>
      <c r="X197" s="538">
        <f>IF('Técnicas de Ki'!B92=0,0,IF('Técnicas de Ki'!I92=TS!X$119,'Técnicas de Ki'!C92-(IF($O197&lt;&gt;0,'Técnicas de Ki'!L92,0)+IF($P197&lt;&gt;0,'Técnicas de Ki'!M92,0)+IF($Q197&lt;&gt;0,'Técnicas de Ki'!N92,0)+IF($R197&lt;&gt;0,'Técnicas de Ki'!O92,0)+IF($S197&lt;&gt;0,'Técnicas de Ki'!P92,0)+IF($T197&lt;&gt;0,'Técnicas de Ki'!Q92,0)),0))</f>
        <v>0</v>
      </c>
      <c r="Y197" s="538">
        <f>IF('Técnicas de Ki'!B92=0,0,IF('Técnicas de Ki'!I92=TS!Y$119,'Técnicas de Ki'!C92-(IF($O197&lt;&gt;0,'Técnicas de Ki'!L92,0)+IF($P197&lt;&gt;0,'Técnicas de Ki'!M92,0)+IF($Q197&lt;&gt;0,'Técnicas de Ki'!N92,0)+IF($R197&lt;&gt;0,'Técnicas de Ki'!O92,0)+IF($S197&lt;&gt;0,'Técnicas de Ki'!P92,0)+IF($T197&lt;&gt;0,'Técnicas de Ki'!Q92,0)),0))</f>
        <v>0</v>
      </c>
      <c r="Z197" s="538">
        <f>IF('Técnicas de Ki'!B92=0,0,IF('Técnicas de Ki'!I92=TS!Z$119,'Técnicas de Ki'!C92-(IF($O197&lt;&gt;0,'Técnicas de Ki'!L92,0)+IF($P197&lt;&gt;0,'Técnicas de Ki'!M92,0)+IF($Q197&lt;&gt;0,'Técnicas de Ki'!N92,0)+IF($R197&lt;&gt;0,'Técnicas de Ki'!O92,0)+IF($S197&lt;&gt;0,'Técnicas de Ki'!P92,0)+IF($T197&lt;&gt;0,'Técnicas de Ki'!Q92,0)),0))</f>
        <v>0</v>
      </c>
      <c r="AA197" s="539">
        <f>IF('Técnicas de Ki'!B92=0,0,IF('Técnicas de Ki'!I92=TS!AA$119,'Técnicas de Ki'!C92-(IF($O197&lt;&gt;0,'Técnicas de Ki'!L92,0)+IF($P197&lt;&gt;0,'Técnicas de Ki'!M92,0)+IF($Q197&lt;&gt;0,'Técnicas de Ki'!N92,0)+IF($R197&lt;&gt;0,'Técnicas de Ki'!O92,0)+IF($S197&lt;&gt;0,'Técnicas de Ki'!P92,0)+IF($T197&lt;&gt;0,'Técnicas de Ki'!Q92,0)),0))</f>
        <v>0</v>
      </c>
      <c r="AB197" s="538">
        <f>IF('Técnicas de Ki'!B92=0,0,IFERROR(IF('Técnicas de Ki'!L92&lt;&gt;0,'Técnicas de Ki'!L92+TS!$O197,0)*$O197/$O197,0))</f>
        <v>0</v>
      </c>
      <c r="AC197" s="538">
        <f>IF('Técnicas de Ki'!B92=0,0,IFERROR(IF('Técnicas de Ki'!M92&lt;&gt;0,'Técnicas de Ki'!M92+TS!$P197,0)*$P197/$P197,0))</f>
        <v>0</v>
      </c>
      <c r="AD197" s="538">
        <f>IF('Técnicas de Ki'!B92=0,0,IFERROR(IF('Técnicas de Ki'!N92&lt;&gt;0,'Técnicas de Ki'!N92+TS!$Q197,0)*$Q197/$Q197,0))</f>
        <v>0</v>
      </c>
      <c r="AE197" s="538">
        <f>IF('Técnicas de Ki'!B92=0,0,IFERROR(IF('Técnicas de Ki'!O92&lt;&gt;0,'Técnicas de Ki'!O92+TS!$R197,0)*$R197/$R197,0))</f>
        <v>0</v>
      </c>
      <c r="AF197" s="538">
        <f>IF('Técnicas de Ki'!B92=0,0,IFERROR(IF('Técnicas de Ki'!P92&lt;&gt;0,'Técnicas de Ki'!P92+TS!$S197,0)*$S197/$S197,0))</f>
        <v>0</v>
      </c>
      <c r="AG197" s="539">
        <f>IF('Técnicas de Ki'!B92=0,0,IFERROR(IF('Técnicas de Ki'!Q92&lt;&gt;0,'Técnicas de Ki'!Q92+TS!$T197,0)*$T197/$T197,0))</f>
        <v>0</v>
      </c>
      <c r="AI197" s="571" t="str">
        <f>IF('Técnicas de Ki'!B100&lt;&gt;0,'Técnicas de Ki'!A100&amp;" "&amp;'Técnicas de Ki'!B100,"")</f>
        <v/>
      </c>
      <c r="AJ197" s="302" t="b">
        <f t="shared" si="41"/>
        <v>0</v>
      </c>
      <c r="AK197" s="302" t="str">
        <f t="shared" si="37"/>
        <v/>
      </c>
      <c r="AQ197" s="537">
        <f>IF('Técnicas de Ki'!W92=0,0,IF('Técnicas de Ki'!AD92=TS!AQ$119,'Técnicas de Ki'!X92-(IF($O197&lt;&gt;0,'Técnicas de Ki'!AG92,0)+IF($P197&lt;&gt;0,'Técnicas de Ki'!AH92,0)+IF($Q197&lt;&gt;0,'Técnicas de Ki'!AI92,0)+IF($R197&lt;&gt;0,'Técnicas de Ki'!AJ92,0)+IF($S197&lt;&gt;0,'Técnicas de Ki'!AK92,0)+IF($T197&lt;&gt;0,'Técnicas de Ki'!AL92,0)),0))</f>
        <v>0</v>
      </c>
      <c r="AR197" s="538">
        <f>IF('Técnicas de Ki'!W92=0,0,IF('Técnicas de Ki'!AD92=TS!AR$119,'Técnicas de Ki'!X92-(IF($O197&lt;&gt;0,'Técnicas de Ki'!AG92,0)+IF($P197&lt;&gt;0,'Técnicas de Ki'!AH92,0)+IF($Q197&lt;&gt;0,'Técnicas de Ki'!AI92,0)+IF($R197&lt;&gt;0,'Técnicas de Ki'!AJ92,0)+IF($S197&lt;&gt;0,'Técnicas de Ki'!AK92,0)+IF($T197&lt;&gt;0,'Técnicas de Ki'!AL92,0)),0))</f>
        <v>0</v>
      </c>
      <c r="AS197" s="538">
        <f>IF('Técnicas de Ki'!W92=0,0,IF('Técnicas de Ki'!AD92=TS!AS$119,'Técnicas de Ki'!X92-(IF($O197&lt;&gt;0,'Técnicas de Ki'!AG92,0)+IF($P197&lt;&gt;0,'Técnicas de Ki'!AH92,0)+IF($Q197&lt;&gt;0,'Técnicas de Ki'!AI92,0)+IF($R197&lt;&gt;0,'Técnicas de Ki'!AJ92,0)+IF($S197&lt;&gt;0,'Técnicas de Ki'!AK92,0)+IF($T197&lt;&gt;0,'Técnicas de Ki'!AL92,0)),0))</f>
        <v>0</v>
      </c>
      <c r="AT197" s="538">
        <f>IF('Técnicas de Ki'!W92=0,0,IF('Técnicas de Ki'!AD92=TS!AT$119,'Técnicas de Ki'!X92-(IF($O197&lt;&gt;0,'Técnicas de Ki'!AG92,0)+IF($P197&lt;&gt;0,'Técnicas de Ki'!AH92,0)+IF($Q197&lt;&gt;0,'Técnicas de Ki'!AI92,0)+IF($R197&lt;&gt;0,'Técnicas de Ki'!AJ92,0)+IF($S197&lt;&gt;0,'Técnicas de Ki'!AK92,0)+IF($T197&lt;&gt;0,'Técnicas de Ki'!AL92,0)),0))</f>
        <v>0</v>
      </c>
      <c r="AU197" s="538">
        <f>IF('Técnicas de Ki'!W92=0,0,IF('Técnicas de Ki'!AD92=TS!AU$119,'Técnicas de Ki'!X92-(IF($O197&lt;&gt;0,'Técnicas de Ki'!AG92,0)+IF($P197&lt;&gt;0,'Técnicas de Ki'!AH92,0)+IF($Q197&lt;&gt;0,'Técnicas de Ki'!AI92,0)+IF($R197&lt;&gt;0,'Técnicas de Ki'!AJ92,0)+IF($S197&lt;&gt;0,'Técnicas de Ki'!AK92,0)+IF($T197&lt;&gt;0,'Técnicas de Ki'!AL92,0)),0))</f>
        <v>0</v>
      </c>
      <c r="AV197" s="539">
        <f>IF('Técnicas de Ki'!W92=0,0,IF('Técnicas de Ki'!AD92=TS!AV$119,'Técnicas de Ki'!X92-(IF($O197&lt;&gt;0,'Técnicas de Ki'!AG92,0)+IF($P197&lt;&gt;0,'Técnicas de Ki'!AH92,0)+IF($Q197&lt;&gt;0,'Técnicas de Ki'!AI92,0)+IF($R197&lt;&gt;0,'Técnicas de Ki'!AJ92,0)+IF($S197&lt;&gt;0,'Técnicas de Ki'!AK92,0)+IF($T197&lt;&gt;0,'Técnicas de Ki'!AL92,0)),0))</f>
        <v>0</v>
      </c>
      <c r="AW197" s="538">
        <f>IF('Técnicas de Ki'!W92=0,0,IFERROR(IF('Técnicas de Ki'!AG92&lt;&gt;0,'Técnicas de Ki'!AG92+TS!$O197,0)*$O197/$O197,0))</f>
        <v>0</v>
      </c>
      <c r="AX197" s="538">
        <f>IF('Técnicas de Ki'!W92=0,0,IFERROR(IF('Técnicas de Ki'!AH92&lt;&gt;0,'Técnicas de Ki'!AH92+TS!$P197,0)*$P197/$P197,0))</f>
        <v>0</v>
      </c>
      <c r="AY197" s="538">
        <f>IF('Técnicas de Ki'!W92=0,0,IFERROR(IF('Técnicas de Ki'!AI92&lt;&gt;0,'Técnicas de Ki'!AI92+TS!$Q197,0)*$Q197/$Q197,0))</f>
        <v>0</v>
      </c>
      <c r="AZ197" s="538">
        <f>IF('Técnicas de Ki'!W92=0,0,IFERROR(IF('Técnicas de Ki'!AJ92&lt;&gt;0,'Técnicas de Ki'!AJ92+TS!$R197,0)*$R197/$R197,0))</f>
        <v>0</v>
      </c>
      <c r="BA197" s="538">
        <f>IF('Técnicas de Ki'!W92=0,0,IFERROR(IF('Técnicas de Ki'!AK92&lt;&gt;0,'Técnicas de Ki'!AK92+TS!$S197,0)*$S197/$S197,0))</f>
        <v>0</v>
      </c>
      <c r="BB197" s="539">
        <f>IF('Técnicas de Ki'!W92=0,0,IFERROR(IF('Técnicas de Ki'!AL92&lt;&gt;0,'Técnicas de Ki'!AL92+TS!$T197,0)*$T197/$T197,0))</f>
        <v>0</v>
      </c>
      <c r="BD197" s="571" t="str">
        <f>IF('Técnicas de Ki'!W100&lt;&gt;0,'Técnicas de Ki'!V100&amp;" "&amp;'Técnicas de Ki'!W100,"")</f>
        <v/>
      </c>
      <c r="BE197" s="302" t="b">
        <f t="shared" si="34"/>
        <v>0</v>
      </c>
      <c r="BF197" s="302" t="str">
        <f t="shared" si="38"/>
        <v/>
      </c>
      <c r="BL197" s="537">
        <f>IF('Técnicas de Ki'!AR92=0,0,IF('Técnicas de Ki'!AY92=TS!BL$119,'Técnicas de Ki'!AS92-(IF($O197&lt;&gt;0,'Técnicas de Ki'!BB92,0)+IF($P197&lt;&gt;0,'Técnicas de Ki'!BC92,0)+IF($Q197&lt;&gt;0,'Técnicas de Ki'!BD92,0)+IF($R197&lt;&gt;0,'Técnicas de Ki'!BE92,0)+IF($S197&lt;&gt;0,'Técnicas de Ki'!BF92,0)+IF($T197&lt;&gt;0,'Técnicas de Ki'!BG92,0)),0))</f>
        <v>0</v>
      </c>
      <c r="BM197" s="538">
        <f>IF('Técnicas de Ki'!AR92=0,0,IF('Técnicas de Ki'!AY92=TS!BM$119,'Técnicas de Ki'!AS92-(IF($O197&lt;&gt;0,'Técnicas de Ki'!BB92,0)+IF($P197&lt;&gt;0,'Técnicas de Ki'!BC92,0)+IF($Q197&lt;&gt;0,'Técnicas de Ki'!BD92,0)+IF($R197&lt;&gt;0,'Técnicas de Ki'!BE92,0)+IF($S197&lt;&gt;0,'Técnicas de Ki'!BF92,0)+IF($T197&lt;&gt;0,'Técnicas de Ki'!BG92,0)),0))</f>
        <v>0</v>
      </c>
      <c r="BN197" s="538">
        <f>IF('Técnicas de Ki'!AR92=0,0,IF('Técnicas de Ki'!AY92=TS!BN$119,'Técnicas de Ki'!AS92-(IF($O197&lt;&gt;0,'Técnicas de Ki'!BB92,0)+IF($P197&lt;&gt;0,'Técnicas de Ki'!BC92,0)+IF($Q197&lt;&gt;0,'Técnicas de Ki'!BD92,0)+IF($R197&lt;&gt;0,'Técnicas de Ki'!BE92,0)+IF($S197&lt;&gt;0,'Técnicas de Ki'!BF92,0)+IF($T197&lt;&gt;0,'Técnicas de Ki'!BG92,0)),0))</f>
        <v>0</v>
      </c>
      <c r="BO197" s="538">
        <f>IF('Técnicas de Ki'!AR92=0,0,IF('Técnicas de Ki'!AY92=TS!BO$119,'Técnicas de Ki'!AS92-(IF($O197&lt;&gt;0,'Técnicas de Ki'!BB92,0)+IF($P197&lt;&gt;0,'Técnicas de Ki'!BC92,0)+IF($Q197&lt;&gt;0,'Técnicas de Ki'!BD92,0)+IF($R197&lt;&gt;0,'Técnicas de Ki'!BE92,0)+IF($S197&lt;&gt;0,'Técnicas de Ki'!BF92,0)+IF($T197&lt;&gt;0,'Técnicas de Ki'!BG92,0)),0))</f>
        <v>0</v>
      </c>
      <c r="BP197" s="538">
        <f>IF('Técnicas de Ki'!AR92=0,0,IF('Técnicas de Ki'!AY92=TS!BP$119,'Técnicas de Ki'!AS92-(IF($O197&lt;&gt;0,'Técnicas de Ki'!BB92,0)+IF($P197&lt;&gt;0,'Técnicas de Ki'!BC92,0)+IF($Q197&lt;&gt;0,'Técnicas de Ki'!BD92,0)+IF($R197&lt;&gt;0,'Técnicas de Ki'!BE92,0)+IF($S197&lt;&gt;0,'Técnicas de Ki'!BF92,0)+IF($T197&lt;&gt;0,'Técnicas de Ki'!BG92,0)),0))</f>
        <v>0</v>
      </c>
      <c r="BQ197" s="539">
        <f>IF('Técnicas de Ki'!AR92=0,0,IF('Técnicas de Ki'!AY92=TS!BQ$119,'Técnicas de Ki'!AS92-(IF($O197&lt;&gt;0,'Técnicas de Ki'!BB92,0)+IF($P197&lt;&gt;0,'Técnicas de Ki'!BC92,0)+IF($Q197&lt;&gt;0,'Técnicas de Ki'!BD92,0)+IF($R197&lt;&gt;0,'Técnicas de Ki'!BE92,0)+IF($S197&lt;&gt;0,'Técnicas de Ki'!BF92,0)+IF($T197&lt;&gt;0,'Técnicas de Ki'!BG92,0)),0))</f>
        <v>0</v>
      </c>
      <c r="BR197" s="538">
        <f>IF('Técnicas de Ki'!AR92=0,0,IFERROR(IF('Técnicas de Ki'!BB92&lt;&gt;0,'Técnicas de Ki'!BB92+TS!$O197,0)*$O197/$O197,0))</f>
        <v>0</v>
      </c>
      <c r="BS197" s="538">
        <f>IF('Técnicas de Ki'!AR92=0,0,IFERROR(IF('Técnicas de Ki'!BC92&lt;&gt;0,'Técnicas de Ki'!BC92+TS!$P197,0)*$P197/$P197,0))</f>
        <v>0</v>
      </c>
      <c r="BT197" s="538">
        <f>IF('Técnicas de Ki'!AR92=0,0,IFERROR(IF('Técnicas de Ki'!BD92&lt;&gt;0,'Técnicas de Ki'!BD92+TS!$Q197,0)*$Q197/$Q197,0))</f>
        <v>0</v>
      </c>
      <c r="BU197" s="538">
        <f>IF('Técnicas de Ki'!AR92=0,0,IFERROR(IF('Técnicas de Ki'!BE92&lt;&gt;0,'Técnicas de Ki'!BE92+TS!$R197,0)*$R197/$R197,0))</f>
        <v>0</v>
      </c>
      <c r="BV197" s="538">
        <f>IF('Técnicas de Ki'!AR92=0,0,IFERROR(IF('Técnicas de Ki'!BF92&lt;&gt;0,'Técnicas de Ki'!BF92+TS!$S197,0)*$S197/$S197,0))</f>
        <v>0</v>
      </c>
      <c r="BW197" s="539">
        <f>IF('Técnicas de Ki'!AR92=0,0,IFERROR(IF('Técnicas de Ki'!BG92&lt;&gt;0,'Técnicas de Ki'!BG92+TS!$T197,0)*$T197/$T197,0))</f>
        <v>0</v>
      </c>
      <c r="BY197" s="571" t="str">
        <f>IF('Técnicas de Ki'!AR100&lt;&gt;0,'Técnicas de Ki'!AQ100&amp;" "&amp;'Técnicas de Ki'!AR100,"")</f>
        <v/>
      </c>
      <c r="BZ197" s="302" t="b">
        <f t="shared" si="35"/>
        <v>0</v>
      </c>
      <c r="CA197" s="302" t="str">
        <f t="shared" si="39"/>
        <v/>
      </c>
      <c r="CG197" s="537">
        <f>IF('Técnicas de Ki'!BM92=0,0,IF('Técnicas de Ki'!BT92=TS!CG$119,'Técnicas de Ki'!BN92-(IF($O197&lt;&gt;0,'Técnicas de Ki'!BW92,0)+IF($P197&lt;&gt;0,'Técnicas de Ki'!BX92,0)+IF($Q197&lt;&gt;0,'Técnicas de Ki'!BY92,0)+IF($R197&lt;&gt;0,'Técnicas de Ki'!BZ92,0)+IF($S197&lt;&gt;0,'Técnicas de Ki'!CA92,0)+IF($T197&lt;&gt;0,'Técnicas de Ki'!CB92,0)),0))</f>
        <v>0</v>
      </c>
      <c r="CH197" s="538">
        <f>IF('Técnicas de Ki'!BM92=0,0,IF('Técnicas de Ki'!BT92=TS!CH$119,'Técnicas de Ki'!BN92-(IF($O197&lt;&gt;0,'Técnicas de Ki'!BW92,0)+IF($P197&lt;&gt;0,'Técnicas de Ki'!BX92,0)+IF($Q197&lt;&gt;0,'Técnicas de Ki'!BY92,0)+IF($R197&lt;&gt;0,'Técnicas de Ki'!BZ92,0)+IF($S197&lt;&gt;0,'Técnicas de Ki'!CA92,0)+IF($T197&lt;&gt;0,'Técnicas de Ki'!CB92,0)),0))</f>
        <v>0</v>
      </c>
      <c r="CI197" s="538">
        <f>IF('Técnicas de Ki'!BM92=0,0,IF('Técnicas de Ki'!BT92=TS!CI$119,'Técnicas de Ki'!BN92-(IF($O197&lt;&gt;0,'Técnicas de Ki'!BW92,0)+IF($P197&lt;&gt;0,'Técnicas de Ki'!BX92,0)+IF($Q197&lt;&gt;0,'Técnicas de Ki'!BY92,0)+IF($R197&lt;&gt;0,'Técnicas de Ki'!BZ92,0)+IF($S197&lt;&gt;0,'Técnicas de Ki'!CA92,0)+IF($T197&lt;&gt;0,'Técnicas de Ki'!CB92,0)),0))</f>
        <v>0</v>
      </c>
      <c r="CJ197" s="538">
        <f>IF('Técnicas de Ki'!BM92=0,0,IF('Técnicas de Ki'!BT92=TS!CJ$119,'Técnicas de Ki'!BN92-(IF($O197&lt;&gt;0,'Técnicas de Ki'!BW92,0)+IF($P197&lt;&gt;0,'Técnicas de Ki'!BX92,0)+IF($Q197&lt;&gt;0,'Técnicas de Ki'!BY92,0)+IF($R197&lt;&gt;0,'Técnicas de Ki'!BZ92,0)+IF($S197&lt;&gt;0,'Técnicas de Ki'!CA92,0)+IF($T197&lt;&gt;0,'Técnicas de Ki'!CB92,0)),0))</f>
        <v>0</v>
      </c>
      <c r="CK197" s="538">
        <f>IF('Técnicas de Ki'!BM92=0,0,IF('Técnicas de Ki'!BT92=TS!CK$119,'Técnicas de Ki'!BN92-(IF($O197&lt;&gt;0,'Técnicas de Ki'!BW92,0)+IF($P197&lt;&gt;0,'Técnicas de Ki'!BX92,0)+IF($Q197&lt;&gt;0,'Técnicas de Ki'!BY92,0)+IF($R197&lt;&gt;0,'Técnicas de Ki'!BZ92,0)+IF($S197&lt;&gt;0,'Técnicas de Ki'!CA92,0)+IF($T197&lt;&gt;0,'Técnicas de Ki'!CB92,0)),0))</f>
        <v>0</v>
      </c>
      <c r="CL197" s="539">
        <f>IF('Técnicas de Ki'!BM92=0,0,IF('Técnicas de Ki'!BT92=TS!CL$119,'Técnicas de Ki'!BN92-(IF($O197&lt;&gt;0,'Técnicas de Ki'!BW92,0)+IF($P197&lt;&gt;0,'Técnicas de Ki'!BX92,0)+IF($Q197&lt;&gt;0,'Técnicas de Ki'!BY92,0)+IF($R197&lt;&gt;0,'Técnicas de Ki'!BZ92,0)+IF($S197&lt;&gt;0,'Técnicas de Ki'!CA92,0)+IF($T197&lt;&gt;0,'Técnicas de Ki'!CB92,0)),0))</f>
        <v>0</v>
      </c>
      <c r="CM197" s="538">
        <f>IF('Técnicas de Ki'!BM92=0,0,IFERROR(IF('Técnicas de Ki'!BW92&lt;&gt;0,'Técnicas de Ki'!BW92+TS!$O197,0)*$O197/$O197,0))</f>
        <v>0</v>
      </c>
      <c r="CN197" s="538">
        <f>IF('Técnicas de Ki'!BM92=0,0,IFERROR(IF('Técnicas de Ki'!BX92&lt;&gt;0,'Técnicas de Ki'!BX92+TS!$P197,0)*$P197/$P197,0))</f>
        <v>0</v>
      </c>
      <c r="CO197" s="538">
        <f>IF('Técnicas de Ki'!BM92=0,0,IFERROR(IF('Técnicas de Ki'!BY92&lt;&gt;0,'Técnicas de Ki'!BY92+TS!$Q197,0)*$Q197/$Q197,0))</f>
        <v>0</v>
      </c>
      <c r="CP197" s="538">
        <f>IF('Técnicas de Ki'!BM92=0,0,IFERROR(IF('Técnicas de Ki'!BZ92&lt;&gt;0,'Técnicas de Ki'!BZ92+TS!$R197,0)*$R197/$R197,0))</f>
        <v>0</v>
      </c>
      <c r="CQ197" s="538">
        <f>IF('Técnicas de Ki'!BM92=0,0,IFERROR(IF('Técnicas de Ki'!CA92&lt;&gt;0,'Técnicas de Ki'!CA92+TS!$S197,0)*$S197/$S197,0))</f>
        <v>0</v>
      </c>
      <c r="CR197" s="539">
        <f>IF('Técnicas de Ki'!BM92=0,0,IFERROR(IF('Técnicas de Ki'!CB92&lt;&gt;0,'Técnicas de Ki'!CB92+TS!$T197,0)*$T197/$T197,0))</f>
        <v>0</v>
      </c>
      <c r="CT197" s="571" t="str">
        <f>IF('Técnicas de Ki'!BM100&lt;&gt;0,'Técnicas de Ki'!BL100&amp;" "&amp;'Técnicas de Ki'!BM100,"")</f>
        <v/>
      </c>
      <c r="CU197" s="302" t="b">
        <f t="shared" si="36"/>
        <v>0</v>
      </c>
      <c r="CV197" s="302" t="str">
        <f t="shared" si="40"/>
        <v/>
      </c>
    </row>
    <row r="198" spans="1:100" x14ac:dyDescent="0.2">
      <c r="A198" s="302" t="s">
        <v>6868</v>
      </c>
      <c r="B198" s="302" t="s">
        <v>6877</v>
      </c>
      <c r="C198" s="302" t="str">
        <f t="shared" si="15"/>
        <v>Defensa adicionalIlimitadas</v>
      </c>
      <c r="D198" s="302">
        <v>8</v>
      </c>
      <c r="E198" s="302">
        <v>11</v>
      </c>
      <c r="F198" s="302">
        <v>35</v>
      </c>
      <c r="G198" s="302">
        <v>12</v>
      </c>
      <c r="H198" s="302">
        <v>24</v>
      </c>
      <c r="I198" s="302">
        <v>72</v>
      </c>
      <c r="J198" s="302">
        <v>3</v>
      </c>
      <c r="N198" t="s">
        <v>6975</v>
      </c>
      <c r="Q198" s="302">
        <v>1</v>
      </c>
      <c r="R198" s="302">
        <v>2</v>
      </c>
      <c r="S198" s="302">
        <v>2</v>
      </c>
      <c r="T198" s="302">
        <v>2</v>
      </c>
      <c r="V198" s="537">
        <f>IF('Técnicas de Ki'!B93=0,0,IF('Técnicas de Ki'!I93=TS!V$119,'Técnicas de Ki'!C93-(IF($O198&lt;&gt;0,'Técnicas de Ki'!L93,0)+IF($P198&lt;&gt;0,'Técnicas de Ki'!M93,0)+IF($Q198&lt;&gt;0,'Técnicas de Ki'!N93,0)+IF($R198&lt;&gt;0,'Técnicas de Ki'!O93,0)+IF($S198&lt;&gt;0,'Técnicas de Ki'!P93,0)+IF($T198&lt;&gt;0,'Técnicas de Ki'!Q93,0)),0))</f>
        <v>0</v>
      </c>
      <c r="W198" s="538">
        <f>IF('Técnicas de Ki'!B93=0,0,IF('Técnicas de Ki'!I93=TS!W$119,'Técnicas de Ki'!C93-(IF($O198&lt;&gt;0,'Técnicas de Ki'!L93,0)+IF($P198&lt;&gt;0,'Técnicas de Ki'!M93,0)+IF($Q198&lt;&gt;0,'Técnicas de Ki'!N93,0)+IF($R198&lt;&gt;0,'Técnicas de Ki'!O93,0)+IF($S198&lt;&gt;0,'Técnicas de Ki'!P93,0)+IF($T198&lt;&gt;0,'Técnicas de Ki'!Q93,0)),0))</f>
        <v>0</v>
      </c>
      <c r="X198" s="538">
        <f>IF('Técnicas de Ki'!B93=0,0,IF('Técnicas de Ki'!I93=TS!X$119,'Técnicas de Ki'!C93-(IF($O198&lt;&gt;0,'Técnicas de Ki'!L93,0)+IF($P198&lt;&gt;0,'Técnicas de Ki'!M93,0)+IF($Q198&lt;&gt;0,'Técnicas de Ki'!N93,0)+IF($R198&lt;&gt;0,'Técnicas de Ki'!O93,0)+IF($S198&lt;&gt;0,'Técnicas de Ki'!P93,0)+IF($T198&lt;&gt;0,'Técnicas de Ki'!Q93,0)),0))</f>
        <v>0</v>
      </c>
      <c r="Y198" s="538">
        <f>IF('Técnicas de Ki'!B93=0,0,IF('Técnicas de Ki'!I93=TS!Y$119,'Técnicas de Ki'!C93-(IF($O198&lt;&gt;0,'Técnicas de Ki'!L93,0)+IF($P198&lt;&gt;0,'Técnicas de Ki'!M93,0)+IF($Q198&lt;&gt;0,'Técnicas de Ki'!N93,0)+IF($R198&lt;&gt;0,'Técnicas de Ki'!O93,0)+IF($S198&lt;&gt;0,'Técnicas de Ki'!P93,0)+IF($T198&lt;&gt;0,'Técnicas de Ki'!Q93,0)),0))</f>
        <v>0</v>
      </c>
      <c r="Z198" s="538">
        <f>IF('Técnicas de Ki'!B93=0,0,IF('Técnicas de Ki'!I93=TS!Z$119,'Técnicas de Ki'!C93-(IF($O198&lt;&gt;0,'Técnicas de Ki'!L93,0)+IF($P198&lt;&gt;0,'Técnicas de Ki'!M93,0)+IF($Q198&lt;&gt;0,'Técnicas de Ki'!N93,0)+IF($R198&lt;&gt;0,'Técnicas de Ki'!O93,0)+IF($S198&lt;&gt;0,'Técnicas de Ki'!P93,0)+IF($T198&lt;&gt;0,'Técnicas de Ki'!Q93,0)),0))</f>
        <v>0</v>
      </c>
      <c r="AA198" s="539">
        <f>IF('Técnicas de Ki'!B93=0,0,IF('Técnicas de Ki'!I93=TS!AA$119,'Técnicas de Ki'!C93-(IF($O198&lt;&gt;0,'Técnicas de Ki'!L93,0)+IF($P198&lt;&gt;0,'Técnicas de Ki'!M93,0)+IF($Q198&lt;&gt;0,'Técnicas de Ki'!N93,0)+IF($R198&lt;&gt;0,'Técnicas de Ki'!O93,0)+IF($S198&lt;&gt;0,'Técnicas de Ki'!P93,0)+IF($T198&lt;&gt;0,'Técnicas de Ki'!Q93,0)),0))</f>
        <v>0</v>
      </c>
      <c r="AB198" s="538">
        <f>IF('Técnicas de Ki'!B93=0,0,IFERROR(IF('Técnicas de Ki'!L93&lt;&gt;0,'Técnicas de Ki'!L93+TS!$O198,0)*$O198/$O198,0))</f>
        <v>0</v>
      </c>
      <c r="AC198" s="538">
        <f>IF('Técnicas de Ki'!B93=0,0,IFERROR(IF('Técnicas de Ki'!M93&lt;&gt;0,'Técnicas de Ki'!M93+TS!$P198,0)*$P198/$P198,0))</f>
        <v>0</v>
      </c>
      <c r="AD198" s="538">
        <f>IF('Técnicas de Ki'!B93=0,0,IFERROR(IF('Técnicas de Ki'!N93&lt;&gt;0,'Técnicas de Ki'!N93+TS!$Q198,0)*$Q198/$Q198,0))</f>
        <v>0</v>
      </c>
      <c r="AE198" s="538">
        <f>IF('Técnicas de Ki'!B93=0,0,IFERROR(IF('Técnicas de Ki'!O93&lt;&gt;0,'Técnicas de Ki'!O93+TS!$R198,0)*$R198/$R198,0))</f>
        <v>0</v>
      </c>
      <c r="AF198" s="538">
        <f>IF('Técnicas de Ki'!B93=0,0,IFERROR(IF('Técnicas de Ki'!P93&lt;&gt;0,'Técnicas de Ki'!P93+TS!$S198,0)*$S198/$S198,0))</f>
        <v>0</v>
      </c>
      <c r="AG198" s="539">
        <f>IF('Técnicas de Ki'!B93=0,0,IFERROR(IF('Técnicas de Ki'!Q93&lt;&gt;0,'Técnicas de Ki'!Q93+TS!$T198,0)*$T198/$T198,0))</f>
        <v>0</v>
      </c>
      <c r="AI198" s="571" t="str">
        <f>IF('Técnicas de Ki'!B101&lt;&gt;0,'Técnicas de Ki'!A101&amp;" "&amp;'Técnicas de Ki'!B101,"")</f>
        <v/>
      </c>
      <c r="AJ198" s="302" t="b">
        <f t="shared" si="41"/>
        <v>0</v>
      </c>
      <c r="AK198" s="302" t="str">
        <f t="shared" si="37"/>
        <v/>
      </c>
      <c r="AQ198" s="537">
        <f>IF('Técnicas de Ki'!W93=0,0,IF('Técnicas de Ki'!AD93=TS!AQ$119,'Técnicas de Ki'!X93-(IF($O198&lt;&gt;0,'Técnicas de Ki'!AG93,0)+IF($P198&lt;&gt;0,'Técnicas de Ki'!AH93,0)+IF($Q198&lt;&gt;0,'Técnicas de Ki'!AI93,0)+IF($R198&lt;&gt;0,'Técnicas de Ki'!AJ93,0)+IF($S198&lt;&gt;0,'Técnicas de Ki'!AK93,0)+IF($T198&lt;&gt;0,'Técnicas de Ki'!AL93,0)),0))</f>
        <v>0</v>
      </c>
      <c r="AR198" s="538">
        <f>IF('Técnicas de Ki'!W93=0,0,IF('Técnicas de Ki'!AD93=TS!AR$119,'Técnicas de Ki'!X93-(IF($O198&lt;&gt;0,'Técnicas de Ki'!AG93,0)+IF($P198&lt;&gt;0,'Técnicas de Ki'!AH93,0)+IF($Q198&lt;&gt;0,'Técnicas de Ki'!AI93,0)+IF($R198&lt;&gt;0,'Técnicas de Ki'!AJ93,0)+IF($S198&lt;&gt;0,'Técnicas de Ki'!AK93,0)+IF($T198&lt;&gt;0,'Técnicas de Ki'!AL93,0)),0))</f>
        <v>0</v>
      </c>
      <c r="AS198" s="538">
        <f>IF('Técnicas de Ki'!W93=0,0,IF('Técnicas de Ki'!AD93=TS!AS$119,'Técnicas de Ki'!X93-(IF($O198&lt;&gt;0,'Técnicas de Ki'!AG93,0)+IF($P198&lt;&gt;0,'Técnicas de Ki'!AH93,0)+IF($Q198&lt;&gt;0,'Técnicas de Ki'!AI93,0)+IF($R198&lt;&gt;0,'Técnicas de Ki'!AJ93,0)+IF($S198&lt;&gt;0,'Técnicas de Ki'!AK93,0)+IF($T198&lt;&gt;0,'Técnicas de Ki'!AL93,0)),0))</f>
        <v>0</v>
      </c>
      <c r="AT198" s="538">
        <f>IF('Técnicas de Ki'!W93=0,0,IF('Técnicas de Ki'!AD93=TS!AT$119,'Técnicas de Ki'!X93-(IF($O198&lt;&gt;0,'Técnicas de Ki'!AG93,0)+IF($P198&lt;&gt;0,'Técnicas de Ki'!AH93,0)+IF($Q198&lt;&gt;0,'Técnicas de Ki'!AI93,0)+IF($R198&lt;&gt;0,'Técnicas de Ki'!AJ93,0)+IF($S198&lt;&gt;0,'Técnicas de Ki'!AK93,0)+IF($T198&lt;&gt;0,'Técnicas de Ki'!AL93,0)),0))</f>
        <v>0</v>
      </c>
      <c r="AU198" s="538">
        <f>IF('Técnicas de Ki'!W93=0,0,IF('Técnicas de Ki'!AD93=TS!AU$119,'Técnicas de Ki'!X93-(IF($O198&lt;&gt;0,'Técnicas de Ki'!AG93,0)+IF($P198&lt;&gt;0,'Técnicas de Ki'!AH93,0)+IF($Q198&lt;&gt;0,'Técnicas de Ki'!AI93,0)+IF($R198&lt;&gt;0,'Técnicas de Ki'!AJ93,0)+IF($S198&lt;&gt;0,'Técnicas de Ki'!AK93,0)+IF($T198&lt;&gt;0,'Técnicas de Ki'!AL93,0)),0))</f>
        <v>0</v>
      </c>
      <c r="AV198" s="539">
        <f>IF('Técnicas de Ki'!W93=0,0,IF('Técnicas de Ki'!AD93=TS!AV$119,'Técnicas de Ki'!X93-(IF($O198&lt;&gt;0,'Técnicas de Ki'!AG93,0)+IF($P198&lt;&gt;0,'Técnicas de Ki'!AH93,0)+IF($Q198&lt;&gt;0,'Técnicas de Ki'!AI93,0)+IF($R198&lt;&gt;0,'Técnicas de Ki'!AJ93,0)+IF($S198&lt;&gt;0,'Técnicas de Ki'!AK93,0)+IF($T198&lt;&gt;0,'Técnicas de Ki'!AL93,0)),0))</f>
        <v>0</v>
      </c>
      <c r="AW198" s="538">
        <f>IF('Técnicas de Ki'!W93=0,0,IFERROR(IF('Técnicas de Ki'!AG93&lt;&gt;0,'Técnicas de Ki'!AG93+TS!$O198,0)*$O198/$O198,0))</f>
        <v>0</v>
      </c>
      <c r="AX198" s="538">
        <f>IF('Técnicas de Ki'!W93=0,0,IFERROR(IF('Técnicas de Ki'!AH93&lt;&gt;0,'Técnicas de Ki'!AH93+TS!$P198,0)*$P198/$P198,0))</f>
        <v>0</v>
      </c>
      <c r="AY198" s="538">
        <f>IF('Técnicas de Ki'!W93=0,0,IFERROR(IF('Técnicas de Ki'!AI93&lt;&gt;0,'Técnicas de Ki'!AI93+TS!$Q198,0)*$Q198/$Q198,0))</f>
        <v>0</v>
      </c>
      <c r="AZ198" s="538">
        <f>IF('Técnicas de Ki'!W93=0,0,IFERROR(IF('Técnicas de Ki'!AJ93&lt;&gt;0,'Técnicas de Ki'!AJ93+TS!$R198,0)*$R198/$R198,0))</f>
        <v>0</v>
      </c>
      <c r="BA198" s="538">
        <f>IF('Técnicas de Ki'!W93=0,0,IFERROR(IF('Técnicas de Ki'!AK93&lt;&gt;0,'Técnicas de Ki'!AK93+TS!$S198,0)*$S198/$S198,0))</f>
        <v>0</v>
      </c>
      <c r="BB198" s="539">
        <f>IF('Técnicas de Ki'!W93=0,0,IFERROR(IF('Técnicas de Ki'!AL93&lt;&gt;0,'Técnicas de Ki'!AL93+TS!$T198,0)*$T198/$T198,0))</f>
        <v>0</v>
      </c>
      <c r="BD198" s="571" t="str">
        <f>IF('Técnicas de Ki'!W101&lt;&gt;0,'Técnicas de Ki'!V101&amp;" "&amp;'Técnicas de Ki'!W101,"")</f>
        <v/>
      </c>
      <c r="BE198" s="302" t="b">
        <f t="shared" si="34"/>
        <v>0</v>
      </c>
      <c r="BF198" s="302" t="str">
        <f t="shared" si="38"/>
        <v/>
      </c>
      <c r="BL198" s="537">
        <f>IF('Técnicas de Ki'!AR93=0,0,IF('Técnicas de Ki'!AY93=TS!BL$119,'Técnicas de Ki'!AS93-(IF($O198&lt;&gt;0,'Técnicas de Ki'!BB93,0)+IF($P198&lt;&gt;0,'Técnicas de Ki'!BC93,0)+IF($Q198&lt;&gt;0,'Técnicas de Ki'!BD93,0)+IF($R198&lt;&gt;0,'Técnicas de Ki'!BE93,0)+IF($S198&lt;&gt;0,'Técnicas de Ki'!BF93,0)+IF($T198&lt;&gt;0,'Técnicas de Ki'!BG93,0)),0))</f>
        <v>0</v>
      </c>
      <c r="BM198" s="538">
        <f>IF('Técnicas de Ki'!AR93=0,0,IF('Técnicas de Ki'!AY93=TS!BM$119,'Técnicas de Ki'!AS93-(IF($O198&lt;&gt;0,'Técnicas de Ki'!BB93,0)+IF($P198&lt;&gt;0,'Técnicas de Ki'!BC93,0)+IF($Q198&lt;&gt;0,'Técnicas de Ki'!BD93,0)+IF($R198&lt;&gt;0,'Técnicas de Ki'!BE93,0)+IF($S198&lt;&gt;0,'Técnicas de Ki'!BF93,0)+IF($T198&lt;&gt;0,'Técnicas de Ki'!BG93,0)),0))</f>
        <v>0</v>
      </c>
      <c r="BN198" s="538">
        <f>IF('Técnicas de Ki'!AR93=0,0,IF('Técnicas de Ki'!AY93=TS!BN$119,'Técnicas de Ki'!AS93-(IF($O198&lt;&gt;0,'Técnicas de Ki'!BB93,0)+IF($P198&lt;&gt;0,'Técnicas de Ki'!BC93,0)+IF($Q198&lt;&gt;0,'Técnicas de Ki'!BD93,0)+IF($R198&lt;&gt;0,'Técnicas de Ki'!BE93,0)+IF($S198&lt;&gt;0,'Técnicas de Ki'!BF93,0)+IF($T198&lt;&gt;0,'Técnicas de Ki'!BG93,0)),0))</f>
        <v>0</v>
      </c>
      <c r="BO198" s="538">
        <f>IF('Técnicas de Ki'!AR93=0,0,IF('Técnicas de Ki'!AY93=TS!BO$119,'Técnicas de Ki'!AS93-(IF($O198&lt;&gt;0,'Técnicas de Ki'!BB93,0)+IF($P198&lt;&gt;0,'Técnicas de Ki'!BC93,0)+IF($Q198&lt;&gt;0,'Técnicas de Ki'!BD93,0)+IF($R198&lt;&gt;0,'Técnicas de Ki'!BE93,0)+IF($S198&lt;&gt;0,'Técnicas de Ki'!BF93,0)+IF($T198&lt;&gt;0,'Técnicas de Ki'!BG93,0)),0))</f>
        <v>0</v>
      </c>
      <c r="BP198" s="538">
        <f>IF('Técnicas de Ki'!AR93=0,0,IF('Técnicas de Ki'!AY93=TS!BP$119,'Técnicas de Ki'!AS93-(IF($O198&lt;&gt;0,'Técnicas de Ki'!BB93,0)+IF($P198&lt;&gt;0,'Técnicas de Ki'!BC93,0)+IF($Q198&lt;&gt;0,'Técnicas de Ki'!BD93,0)+IF($R198&lt;&gt;0,'Técnicas de Ki'!BE93,0)+IF($S198&lt;&gt;0,'Técnicas de Ki'!BF93,0)+IF($T198&lt;&gt;0,'Técnicas de Ki'!BG93,0)),0))</f>
        <v>0</v>
      </c>
      <c r="BQ198" s="539">
        <f>IF('Técnicas de Ki'!AR93=0,0,IF('Técnicas de Ki'!AY93=TS!BQ$119,'Técnicas de Ki'!AS93-(IF($O198&lt;&gt;0,'Técnicas de Ki'!BB93,0)+IF($P198&lt;&gt;0,'Técnicas de Ki'!BC93,0)+IF($Q198&lt;&gt;0,'Técnicas de Ki'!BD93,0)+IF($R198&lt;&gt;0,'Técnicas de Ki'!BE93,0)+IF($S198&lt;&gt;0,'Técnicas de Ki'!BF93,0)+IF($T198&lt;&gt;0,'Técnicas de Ki'!BG93,0)),0))</f>
        <v>0</v>
      </c>
      <c r="BR198" s="538">
        <f>IF('Técnicas de Ki'!AR93=0,0,IFERROR(IF('Técnicas de Ki'!BB93&lt;&gt;0,'Técnicas de Ki'!BB93+TS!$O198,0)*$O198/$O198,0))</f>
        <v>0</v>
      </c>
      <c r="BS198" s="538">
        <f>IF('Técnicas de Ki'!AR93=0,0,IFERROR(IF('Técnicas de Ki'!BC93&lt;&gt;0,'Técnicas de Ki'!BC93+TS!$P198,0)*$P198/$P198,0))</f>
        <v>0</v>
      </c>
      <c r="BT198" s="538">
        <f>IF('Técnicas de Ki'!AR93=0,0,IFERROR(IF('Técnicas de Ki'!BD93&lt;&gt;0,'Técnicas de Ki'!BD93+TS!$Q198,0)*$Q198/$Q198,0))</f>
        <v>0</v>
      </c>
      <c r="BU198" s="538">
        <f>IF('Técnicas de Ki'!AR93=0,0,IFERROR(IF('Técnicas de Ki'!BE93&lt;&gt;0,'Técnicas de Ki'!BE93+TS!$R198,0)*$R198/$R198,0))</f>
        <v>0</v>
      </c>
      <c r="BV198" s="538">
        <f>IF('Técnicas de Ki'!AR93=0,0,IFERROR(IF('Técnicas de Ki'!BF93&lt;&gt;0,'Técnicas de Ki'!BF93+TS!$S198,0)*$S198/$S198,0))</f>
        <v>0</v>
      </c>
      <c r="BW198" s="539">
        <f>IF('Técnicas de Ki'!AR93=0,0,IFERROR(IF('Técnicas de Ki'!BG93&lt;&gt;0,'Técnicas de Ki'!BG93+TS!$T198,0)*$T198/$T198,0))</f>
        <v>0</v>
      </c>
      <c r="BY198" s="571" t="str">
        <f>IF('Técnicas de Ki'!AR101&lt;&gt;0,'Técnicas de Ki'!AQ101&amp;" "&amp;'Técnicas de Ki'!AR101,"")</f>
        <v/>
      </c>
      <c r="BZ198" s="302" t="b">
        <f t="shared" si="35"/>
        <v>0</v>
      </c>
      <c r="CA198" s="302" t="str">
        <f t="shared" si="39"/>
        <v/>
      </c>
      <c r="CG198" s="537">
        <f>IF('Técnicas de Ki'!BM93=0,0,IF('Técnicas de Ki'!BT93=TS!CG$119,'Técnicas de Ki'!BN93-(IF($O198&lt;&gt;0,'Técnicas de Ki'!BW93,0)+IF($P198&lt;&gt;0,'Técnicas de Ki'!BX93,0)+IF($Q198&lt;&gt;0,'Técnicas de Ki'!BY93,0)+IF($R198&lt;&gt;0,'Técnicas de Ki'!BZ93,0)+IF($S198&lt;&gt;0,'Técnicas de Ki'!CA93,0)+IF($T198&lt;&gt;0,'Técnicas de Ki'!CB93,0)),0))</f>
        <v>0</v>
      </c>
      <c r="CH198" s="538">
        <f>IF('Técnicas de Ki'!BM93=0,0,IF('Técnicas de Ki'!BT93=TS!CH$119,'Técnicas de Ki'!BN93-(IF($O198&lt;&gt;0,'Técnicas de Ki'!BW93,0)+IF($P198&lt;&gt;0,'Técnicas de Ki'!BX93,0)+IF($Q198&lt;&gt;0,'Técnicas de Ki'!BY93,0)+IF($R198&lt;&gt;0,'Técnicas de Ki'!BZ93,0)+IF($S198&lt;&gt;0,'Técnicas de Ki'!CA93,0)+IF($T198&lt;&gt;0,'Técnicas de Ki'!CB93,0)),0))</f>
        <v>0</v>
      </c>
      <c r="CI198" s="538">
        <f>IF('Técnicas de Ki'!BM93=0,0,IF('Técnicas de Ki'!BT93=TS!CI$119,'Técnicas de Ki'!BN93-(IF($O198&lt;&gt;0,'Técnicas de Ki'!BW93,0)+IF($P198&lt;&gt;0,'Técnicas de Ki'!BX93,0)+IF($Q198&lt;&gt;0,'Técnicas de Ki'!BY93,0)+IF($R198&lt;&gt;0,'Técnicas de Ki'!BZ93,0)+IF($S198&lt;&gt;0,'Técnicas de Ki'!CA93,0)+IF($T198&lt;&gt;0,'Técnicas de Ki'!CB93,0)),0))</f>
        <v>0</v>
      </c>
      <c r="CJ198" s="538">
        <f>IF('Técnicas de Ki'!BM93=0,0,IF('Técnicas de Ki'!BT93=TS!CJ$119,'Técnicas de Ki'!BN93-(IF($O198&lt;&gt;0,'Técnicas de Ki'!BW93,0)+IF($P198&lt;&gt;0,'Técnicas de Ki'!BX93,0)+IF($Q198&lt;&gt;0,'Técnicas de Ki'!BY93,0)+IF($R198&lt;&gt;0,'Técnicas de Ki'!BZ93,0)+IF($S198&lt;&gt;0,'Técnicas de Ki'!CA93,0)+IF($T198&lt;&gt;0,'Técnicas de Ki'!CB93,0)),0))</f>
        <v>0</v>
      </c>
      <c r="CK198" s="538">
        <f>IF('Técnicas de Ki'!BM93=0,0,IF('Técnicas de Ki'!BT93=TS!CK$119,'Técnicas de Ki'!BN93-(IF($O198&lt;&gt;0,'Técnicas de Ki'!BW93,0)+IF($P198&lt;&gt;0,'Técnicas de Ki'!BX93,0)+IF($Q198&lt;&gt;0,'Técnicas de Ki'!BY93,0)+IF($R198&lt;&gt;0,'Técnicas de Ki'!BZ93,0)+IF($S198&lt;&gt;0,'Técnicas de Ki'!CA93,0)+IF($T198&lt;&gt;0,'Técnicas de Ki'!CB93,0)),0))</f>
        <v>0</v>
      </c>
      <c r="CL198" s="539">
        <f>IF('Técnicas de Ki'!BM93=0,0,IF('Técnicas de Ki'!BT93=TS!CL$119,'Técnicas de Ki'!BN93-(IF($O198&lt;&gt;0,'Técnicas de Ki'!BW93,0)+IF($P198&lt;&gt;0,'Técnicas de Ki'!BX93,0)+IF($Q198&lt;&gt;0,'Técnicas de Ki'!BY93,0)+IF($R198&lt;&gt;0,'Técnicas de Ki'!BZ93,0)+IF($S198&lt;&gt;0,'Técnicas de Ki'!CA93,0)+IF($T198&lt;&gt;0,'Técnicas de Ki'!CB93,0)),0))</f>
        <v>0</v>
      </c>
      <c r="CM198" s="538">
        <f>IF('Técnicas de Ki'!BM93=0,0,IFERROR(IF('Técnicas de Ki'!BW93&lt;&gt;0,'Técnicas de Ki'!BW93+TS!$O198,0)*$O198/$O198,0))</f>
        <v>0</v>
      </c>
      <c r="CN198" s="538">
        <f>IF('Técnicas de Ki'!BM93=0,0,IFERROR(IF('Técnicas de Ki'!BX93&lt;&gt;0,'Técnicas de Ki'!BX93+TS!$P198,0)*$P198/$P198,0))</f>
        <v>0</v>
      </c>
      <c r="CO198" s="538">
        <f>IF('Técnicas de Ki'!BM93=0,0,IFERROR(IF('Técnicas de Ki'!BY93&lt;&gt;0,'Técnicas de Ki'!BY93+TS!$Q198,0)*$Q198/$Q198,0))</f>
        <v>0</v>
      </c>
      <c r="CP198" s="538">
        <f>IF('Técnicas de Ki'!BM93=0,0,IFERROR(IF('Técnicas de Ki'!BZ93&lt;&gt;0,'Técnicas de Ki'!BZ93+TS!$R198,0)*$R198/$R198,0))</f>
        <v>0</v>
      </c>
      <c r="CQ198" s="538">
        <f>IF('Técnicas de Ki'!BM93=0,0,IFERROR(IF('Técnicas de Ki'!CA93&lt;&gt;0,'Técnicas de Ki'!CA93+TS!$S198,0)*$S198/$S198,0))</f>
        <v>0</v>
      </c>
      <c r="CR198" s="539">
        <f>IF('Técnicas de Ki'!BM93=0,0,IFERROR(IF('Técnicas de Ki'!CB93&lt;&gt;0,'Técnicas de Ki'!CB93+TS!$T198,0)*$T198/$T198,0))</f>
        <v>0</v>
      </c>
      <c r="CT198" s="571" t="str">
        <f>IF('Técnicas de Ki'!BM101&lt;&gt;0,'Técnicas de Ki'!BL101&amp;" "&amp;'Técnicas de Ki'!BM101,"")</f>
        <v/>
      </c>
      <c r="CU198" s="302" t="b">
        <f t="shared" si="36"/>
        <v>0</v>
      </c>
      <c r="CV198" s="302" t="str">
        <f t="shared" si="40"/>
        <v/>
      </c>
    </row>
    <row r="199" spans="1:100" x14ac:dyDescent="0.2">
      <c r="A199" s="302" t="s">
        <v>6865</v>
      </c>
      <c r="B199" s="302" t="s">
        <v>6872</v>
      </c>
      <c r="C199" s="302" t="str">
        <f>A198&amp;A199&amp;B199</f>
        <v>Defensa adicionalVentaja opcional: Bono de cansancio añadidoBono de cansancio añadido</v>
      </c>
      <c r="D199" s="302">
        <v>6</v>
      </c>
      <c r="E199" s="302">
        <v>6</v>
      </c>
      <c r="F199" s="302">
        <v>20</v>
      </c>
      <c r="G199" s="302">
        <v>2</v>
      </c>
      <c r="H199" s="302">
        <v>4</v>
      </c>
      <c r="I199" s="302">
        <v>7</v>
      </c>
      <c r="J199" s="302">
        <v>1</v>
      </c>
      <c r="N199" t="s">
        <v>6976</v>
      </c>
      <c r="O199" s="302">
        <v>1</v>
      </c>
      <c r="Q199" s="302">
        <v>3</v>
      </c>
      <c r="R199" s="302">
        <v>1</v>
      </c>
      <c r="S199" s="302">
        <v>1</v>
      </c>
      <c r="V199" s="537">
        <f>IF('Técnicas de Ki'!B94=0,0,IF('Técnicas de Ki'!I94=TS!V$119,'Técnicas de Ki'!C94-(IF($O199&lt;&gt;0,'Técnicas de Ki'!L94,0)+IF($P199&lt;&gt;0,'Técnicas de Ki'!M94,0)+IF($Q199&lt;&gt;0,'Técnicas de Ki'!N94,0)+IF($R199&lt;&gt;0,'Técnicas de Ki'!O94,0)+IF($S199&lt;&gt;0,'Técnicas de Ki'!P94,0)+IF($T199&lt;&gt;0,'Técnicas de Ki'!Q94,0)),0))</f>
        <v>0</v>
      </c>
      <c r="W199" s="538">
        <f>IF('Técnicas de Ki'!B94=0,0,IF('Técnicas de Ki'!I94=TS!W$119,'Técnicas de Ki'!C94-(IF($O199&lt;&gt;0,'Técnicas de Ki'!L94,0)+IF($P199&lt;&gt;0,'Técnicas de Ki'!M94,0)+IF($Q199&lt;&gt;0,'Técnicas de Ki'!N94,0)+IF($R199&lt;&gt;0,'Técnicas de Ki'!O94,0)+IF($S199&lt;&gt;0,'Técnicas de Ki'!P94,0)+IF($T199&lt;&gt;0,'Técnicas de Ki'!Q94,0)),0))</f>
        <v>0</v>
      </c>
      <c r="X199" s="538">
        <f>IF('Técnicas de Ki'!B94=0,0,IF('Técnicas de Ki'!I94=TS!X$119,'Técnicas de Ki'!C94-(IF($O199&lt;&gt;0,'Técnicas de Ki'!L94,0)+IF($P199&lt;&gt;0,'Técnicas de Ki'!M94,0)+IF($Q199&lt;&gt;0,'Técnicas de Ki'!N94,0)+IF($R199&lt;&gt;0,'Técnicas de Ki'!O94,0)+IF($S199&lt;&gt;0,'Técnicas de Ki'!P94,0)+IF($T199&lt;&gt;0,'Técnicas de Ki'!Q94,0)),0))</f>
        <v>0</v>
      </c>
      <c r="Y199" s="538">
        <f>IF('Técnicas de Ki'!B94=0,0,IF('Técnicas de Ki'!I94=TS!Y$119,'Técnicas de Ki'!C94-(IF($O199&lt;&gt;0,'Técnicas de Ki'!L94,0)+IF($P199&lt;&gt;0,'Técnicas de Ki'!M94,0)+IF($Q199&lt;&gt;0,'Técnicas de Ki'!N94,0)+IF($R199&lt;&gt;0,'Técnicas de Ki'!O94,0)+IF($S199&lt;&gt;0,'Técnicas de Ki'!P94,0)+IF($T199&lt;&gt;0,'Técnicas de Ki'!Q94,0)),0))</f>
        <v>0</v>
      </c>
      <c r="Z199" s="538">
        <f>IF('Técnicas de Ki'!B94=0,0,IF('Técnicas de Ki'!I94=TS!Z$119,'Técnicas de Ki'!C94-(IF($O199&lt;&gt;0,'Técnicas de Ki'!L94,0)+IF($P199&lt;&gt;0,'Técnicas de Ki'!M94,0)+IF($Q199&lt;&gt;0,'Técnicas de Ki'!N94,0)+IF($R199&lt;&gt;0,'Técnicas de Ki'!O94,0)+IF($S199&lt;&gt;0,'Técnicas de Ki'!P94,0)+IF($T199&lt;&gt;0,'Técnicas de Ki'!Q94,0)),0))</f>
        <v>0</v>
      </c>
      <c r="AA199" s="539">
        <f>IF('Técnicas de Ki'!B94=0,0,IF('Técnicas de Ki'!I94=TS!AA$119,'Técnicas de Ki'!C94-(IF($O199&lt;&gt;0,'Técnicas de Ki'!L94,0)+IF($P199&lt;&gt;0,'Técnicas de Ki'!M94,0)+IF($Q199&lt;&gt;0,'Técnicas de Ki'!N94,0)+IF($R199&lt;&gt;0,'Técnicas de Ki'!O94,0)+IF($S199&lt;&gt;0,'Técnicas de Ki'!P94,0)+IF($T199&lt;&gt;0,'Técnicas de Ki'!Q94,0)),0))</f>
        <v>0</v>
      </c>
      <c r="AB199" s="538">
        <f>IF('Técnicas de Ki'!B94=0,0,IFERROR(IF('Técnicas de Ki'!L94&lt;&gt;0,'Técnicas de Ki'!L94+TS!$O199,0)*$O199/$O199,0))</f>
        <v>0</v>
      </c>
      <c r="AC199" s="538">
        <f>IF('Técnicas de Ki'!B94=0,0,IFERROR(IF('Técnicas de Ki'!M94&lt;&gt;0,'Técnicas de Ki'!M94+TS!$P199,0)*$P199/$P199,0))</f>
        <v>0</v>
      </c>
      <c r="AD199" s="538">
        <f>IF('Técnicas de Ki'!B94=0,0,IFERROR(IF('Técnicas de Ki'!N94&lt;&gt;0,'Técnicas de Ki'!N94+TS!$Q199,0)*$Q199/$Q199,0))</f>
        <v>0</v>
      </c>
      <c r="AE199" s="538">
        <f>IF('Técnicas de Ki'!B94=0,0,IFERROR(IF('Técnicas de Ki'!O94&lt;&gt;0,'Técnicas de Ki'!O94+TS!$R199,0)*$R199/$R199,0))</f>
        <v>0</v>
      </c>
      <c r="AF199" s="538">
        <f>IF('Técnicas de Ki'!B94=0,0,IFERROR(IF('Técnicas de Ki'!P94&lt;&gt;0,'Técnicas de Ki'!P94+TS!$S199,0)*$S199/$S199,0))</f>
        <v>0</v>
      </c>
      <c r="AG199" s="539">
        <f>IF('Técnicas de Ki'!B94=0,0,IFERROR(IF('Técnicas de Ki'!Q94&lt;&gt;0,'Técnicas de Ki'!Q94+TS!$T199,0)*$T199/$T199,0))</f>
        <v>0</v>
      </c>
      <c r="AI199" s="571" t="str">
        <f>IF('Técnicas de Ki'!B102&lt;&gt;0,'Técnicas de Ki'!A102&amp;" "&amp;'Técnicas de Ki'!B102,"")</f>
        <v/>
      </c>
      <c r="AJ199" s="302" t="b">
        <f t="shared" si="41"/>
        <v>0</v>
      </c>
      <c r="AK199" s="302" t="str">
        <f t="shared" si="37"/>
        <v/>
      </c>
      <c r="AQ199" s="537">
        <f>IF('Técnicas de Ki'!W94=0,0,IF('Técnicas de Ki'!AD94=TS!AQ$119,'Técnicas de Ki'!X94-(IF($O199&lt;&gt;0,'Técnicas de Ki'!AG94,0)+IF($P199&lt;&gt;0,'Técnicas de Ki'!AH94,0)+IF($Q199&lt;&gt;0,'Técnicas de Ki'!AI94,0)+IF($R199&lt;&gt;0,'Técnicas de Ki'!AJ94,0)+IF($S199&lt;&gt;0,'Técnicas de Ki'!AK94,0)+IF($T199&lt;&gt;0,'Técnicas de Ki'!AL94,0)),0))</f>
        <v>0</v>
      </c>
      <c r="AR199" s="538">
        <f>IF('Técnicas de Ki'!W94=0,0,IF('Técnicas de Ki'!AD94=TS!AR$119,'Técnicas de Ki'!X94-(IF($O199&lt;&gt;0,'Técnicas de Ki'!AG94,0)+IF($P199&lt;&gt;0,'Técnicas de Ki'!AH94,0)+IF($Q199&lt;&gt;0,'Técnicas de Ki'!AI94,0)+IF($R199&lt;&gt;0,'Técnicas de Ki'!AJ94,0)+IF($S199&lt;&gt;0,'Técnicas de Ki'!AK94,0)+IF($T199&lt;&gt;0,'Técnicas de Ki'!AL94,0)),0))</f>
        <v>0</v>
      </c>
      <c r="AS199" s="538">
        <f>IF('Técnicas de Ki'!W94=0,0,IF('Técnicas de Ki'!AD94=TS!AS$119,'Técnicas de Ki'!X94-(IF($O199&lt;&gt;0,'Técnicas de Ki'!AG94,0)+IF($P199&lt;&gt;0,'Técnicas de Ki'!AH94,0)+IF($Q199&lt;&gt;0,'Técnicas de Ki'!AI94,0)+IF($R199&lt;&gt;0,'Técnicas de Ki'!AJ94,0)+IF($S199&lt;&gt;0,'Técnicas de Ki'!AK94,0)+IF($T199&lt;&gt;0,'Técnicas de Ki'!AL94,0)),0))</f>
        <v>0</v>
      </c>
      <c r="AT199" s="538">
        <f>IF('Técnicas de Ki'!W94=0,0,IF('Técnicas de Ki'!AD94=TS!AT$119,'Técnicas de Ki'!X94-(IF($O199&lt;&gt;0,'Técnicas de Ki'!AG94,0)+IF($P199&lt;&gt;0,'Técnicas de Ki'!AH94,0)+IF($Q199&lt;&gt;0,'Técnicas de Ki'!AI94,0)+IF($R199&lt;&gt;0,'Técnicas de Ki'!AJ94,0)+IF($S199&lt;&gt;0,'Técnicas de Ki'!AK94,0)+IF($T199&lt;&gt;0,'Técnicas de Ki'!AL94,0)),0))</f>
        <v>0</v>
      </c>
      <c r="AU199" s="538">
        <f>IF('Técnicas de Ki'!W94=0,0,IF('Técnicas de Ki'!AD94=TS!AU$119,'Técnicas de Ki'!X94-(IF($O199&lt;&gt;0,'Técnicas de Ki'!AG94,0)+IF($P199&lt;&gt;0,'Técnicas de Ki'!AH94,0)+IF($Q199&lt;&gt;0,'Técnicas de Ki'!AI94,0)+IF($R199&lt;&gt;0,'Técnicas de Ki'!AJ94,0)+IF($S199&lt;&gt;0,'Técnicas de Ki'!AK94,0)+IF($T199&lt;&gt;0,'Técnicas de Ki'!AL94,0)),0))</f>
        <v>0</v>
      </c>
      <c r="AV199" s="539">
        <f>IF('Técnicas de Ki'!W94=0,0,IF('Técnicas de Ki'!AD94=TS!AV$119,'Técnicas de Ki'!X94-(IF($O199&lt;&gt;0,'Técnicas de Ki'!AG94,0)+IF($P199&lt;&gt;0,'Técnicas de Ki'!AH94,0)+IF($Q199&lt;&gt;0,'Técnicas de Ki'!AI94,0)+IF($R199&lt;&gt;0,'Técnicas de Ki'!AJ94,0)+IF($S199&lt;&gt;0,'Técnicas de Ki'!AK94,0)+IF($T199&lt;&gt;0,'Técnicas de Ki'!AL94,0)),0))</f>
        <v>0</v>
      </c>
      <c r="AW199" s="538">
        <f>IF('Técnicas de Ki'!W94=0,0,IFERROR(IF('Técnicas de Ki'!AG94&lt;&gt;0,'Técnicas de Ki'!AG94+TS!$O199,0)*$O199/$O199,0))</f>
        <v>0</v>
      </c>
      <c r="AX199" s="538">
        <f>IF('Técnicas de Ki'!W94=0,0,IFERROR(IF('Técnicas de Ki'!AH94&lt;&gt;0,'Técnicas de Ki'!AH94+TS!$P199,0)*$P199/$P199,0))</f>
        <v>0</v>
      </c>
      <c r="AY199" s="538">
        <f>IF('Técnicas de Ki'!W94=0,0,IFERROR(IF('Técnicas de Ki'!AI94&lt;&gt;0,'Técnicas de Ki'!AI94+TS!$Q199,0)*$Q199/$Q199,0))</f>
        <v>0</v>
      </c>
      <c r="AZ199" s="538">
        <f>IF('Técnicas de Ki'!W94=0,0,IFERROR(IF('Técnicas de Ki'!AJ94&lt;&gt;0,'Técnicas de Ki'!AJ94+TS!$R199,0)*$R199/$R199,0))</f>
        <v>0</v>
      </c>
      <c r="BA199" s="538">
        <f>IF('Técnicas de Ki'!W94=0,0,IFERROR(IF('Técnicas de Ki'!AK94&lt;&gt;0,'Técnicas de Ki'!AK94+TS!$S199,0)*$S199/$S199,0))</f>
        <v>0</v>
      </c>
      <c r="BB199" s="539">
        <f>IF('Técnicas de Ki'!W94=0,0,IFERROR(IF('Técnicas de Ki'!AL94&lt;&gt;0,'Técnicas de Ki'!AL94+TS!$T199,0)*$T199/$T199,0))</f>
        <v>0</v>
      </c>
      <c r="BD199" s="571" t="str">
        <f>IF('Técnicas de Ki'!W102&lt;&gt;0,'Técnicas de Ki'!V102&amp;" "&amp;'Técnicas de Ki'!W102,"")</f>
        <v/>
      </c>
      <c r="BE199" s="302" t="b">
        <f t="shared" si="34"/>
        <v>0</v>
      </c>
      <c r="BF199" s="302" t="str">
        <f t="shared" si="38"/>
        <v/>
      </c>
      <c r="BL199" s="537">
        <f>IF('Técnicas de Ki'!AR94=0,0,IF('Técnicas de Ki'!AY94=TS!BL$119,'Técnicas de Ki'!AS94-(IF($O199&lt;&gt;0,'Técnicas de Ki'!BB94,0)+IF($P199&lt;&gt;0,'Técnicas de Ki'!BC94,0)+IF($Q199&lt;&gt;0,'Técnicas de Ki'!BD94,0)+IF($R199&lt;&gt;0,'Técnicas de Ki'!BE94,0)+IF($S199&lt;&gt;0,'Técnicas de Ki'!BF94,0)+IF($T199&lt;&gt;0,'Técnicas de Ki'!BG94,0)),0))</f>
        <v>0</v>
      </c>
      <c r="BM199" s="538">
        <f>IF('Técnicas de Ki'!AR94=0,0,IF('Técnicas de Ki'!AY94=TS!BM$119,'Técnicas de Ki'!AS94-(IF($O199&lt;&gt;0,'Técnicas de Ki'!BB94,0)+IF($P199&lt;&gt;0,'Técnicas de Ki'!BC94,0)+IF($Q199&lt;&gt;0,'Técnicas de Ki'!BD94,0)+IF($R199&lt;&gt;0,'Técnicas de Ki'!BE94,0)+IF($S199&lt;&gt;0,'Técnicas de Ki'!BF94,0)+IF($T199&lt;&gt;0,'Técnicas de Ki'!BG94,0)),0))</f>
        <v>0</v>
      </c>
      <c r="BN199" s="538">
        <f>IF('Técnicas de Ki'!AR94=0,0,IF('Técnicas de Ki'!AY94=TS!BN$119,'Técnicas de Ki'!AS94-(IF($O199&lt;&gt;0,'Técnicas de Ki'!BB94,0)+IF($P199&lt;&gt;0,'Técnicas de Ki'!BC94,0)+IF($Q199&lt;&gt;0,'Técnicas de Ki'!BD94,0)+IF($R199&lt;&gt;0,'Técnicas de Ki'!BE94,0)+IF($S199&lt;&gt;0,'Técnicas de Ki'!BF94,0)+IF($T199&lt;&gt;0,'Técnicas de Ki'!BG94,0)),0))</f>
        <v>0</v>
      </c>
      <c r="BO199" s="538">
        <f>IF('Técnicas de Ki'!AR94=0,0,IF('Técnicas de Ki'!AY94=TS!BO$119,'Técnicas de Ki'!AS94-(IF($O199&lt;&gt;0,'Técnicas de Ki'!BB94,0)+IF($P199&lt;&gt;0,'Técnicas de Ki'!BC94,0)+IF($Q199&lt;&gt;0,'Técnicas de Ki'!BD94,0)+IF($R199&lt;&gt;0,'Técnicas de Ki'!BE94,0)+IF($S199&lt;&gt;0,'Técnicas de Ki'!BF94,0)+IF($T199&lt;&gt;0,'Técnicas de Ki'!BG94,0)),0))</f>
        <v>0</v>
      </c>
      <c r="BP199" s="538">
        <f>IF('Técnicas de Ki'!AR94=0,0,IF('Técnicas de Ki'!AY94=TS!BP$119,'Técnicas de Ki'!AS94-(IF($O199&lt;&gt;0,'Técnicas de Ki'!BB94,0)+IF($P199&lt;&gt;0,'Técnicas de Ki'!BC94,0)+IF($Q199&lt;&gt;0,'Técnicas de Ki'!BD94,0)+IF($R199&lt;&gt;0,'Técnicas de Ki'!BE94,0)+IF($S199&lt;&gt;0,'Técnicas de Ki'!BF94,0)+IF($T199&lt;&gt;0,'Técnicas de Ki'!BG94,0)),0))</f>
        <v>0</v>
      </c>
      <c r="BQ199" s="539">
        <f>IF('Técnicas de Ki'!AR94=0,0,IF('Técnicas de Ki'!AY94=TS!BQ$119,'Técnicas de Ki'!AS94-(IF($O199&lt;&gt;0,'Técnicas de Ki'!BB94,0)+IF($P199&lt;&gt;0,'Técnicas de Ki'!BC94,0)+IF($Q199&lt;&gt;0,'Técnicas de Ki'!BD94,0)+IF($R199&lt;&gt;0,'Técnicas de Ki'!BE94,0)+IF($S199&lt;&gt;0,'Técnicas de Ki'!BF94,0)+IF($T199&lt;&gt;0,'Técnicas de Ki'!BG94,0)),0))</f>
        <v>0</v>
      </c>
      <c r="BR199" s="538">
        <f>IF('Técnicas de Ki'!AR94=0,0,IFERROR(IF('Técnicas de Ki'!BB94&lt;&gt;0,'Técnicas de Ki'!BB94+TS!$O199,0)*$O199/$O199,0))</f>
        <v>0</v>
      </c>
      <c r="BS199" s="538">
        <f>IF('Técnicas de Ki'!AR94=0,0,IFERROR(IF('Técnicas de Ki'!BC94&lt;&gt;0,'Técnicas de Ki'!BC94+TS!$P199,0)*$P199/$P199,0))</f>
        <v>0</v>
      </c>
      <c r="BT199" s="538">
        <f>IF('Técnicas de Ki'!AR94=0,0,IFERROR(IF('Técnicas de Ki'!BD94&lt;&gt;0,'Técnicas de Ki'!BD94+TS!$Q199,0)*$Q199/$Q199,0))</f>
        <v>0</v>
      </c>
      <c r="BU199" s="538">
        <f>IF('Técnicas de Ki'!AR94=0,0,IFERROR(IF('Técnicas de Ki'!BE94&lt;&gt;0,'Técnicas de Ki'!BE94+TS!$R199,0)*$R199/$R199,0))</f>
        <v>0</v>
      </c>
      <c r="BV199" s="538">
        <f>IF('Técnicas de Ki'!AR94=0,0,IFERROR(IF('Técnicas de Ki'!BF94&lt;&gt;0,'Técnicas de Ki'!BF94+TS!$S199,0)*$S199/$S199,0))</f>
        <v>0</v>
      </c>
      <c r="BW199" s="539">
        <f>IF('Técnicas de Ki'!AR94=0,0,IFERROR(IF('Técnicas de Ki'!BG94&lt;&gt;0,'Técnicas de Ki'!BG94+TS!$T199,0)*$T199/$T199,0))</f>
        <v>0</v>
      </c>
      <c r="BY199" s="571" t="str">
        <f>IF('Técnicas de Ki'!AR102&lt;&gt;0,'Técnicas de Ki'!AQ102&amp;" "&amp;'Técnicas de Ki'!AR102,"")</f>
        <v/>
      </c>
      <c r="BZ199" s="302" t="b">
        <f t="shared" si="35"/>
        <v>0</v>
      </c>
      <c r="CA199" s="302" t="str">
        <f t="shared" si="39"/>
        <v/>
      </c>
      <c r="CG199" s="537">
        <f>IF('Técnicas de Ki'!BM94=0,0,IF('Técnicas de Ki'!BT94=TS!CG$119,'Técnicas de Ki'!BN94-(IF($O199&lt;&gt;0,'Técnicas de Ki'!BW94,0)+IF($P199&lt;&gt;0,'Técnicas de Ki'!BX94,0)+IF($Q199&lt;&gt;0,'Técnicas de Ki'!BY94,0)+IF($R199&lt;&gt;0,'Técnicas de Ki'!BZ94,0)+IF($S199&lt;&gt;0,'Técnicas de Ki'!CA94,0)+IF($T199&lt;&gt;0,'Técnicas de Ki'!CB94,0)),0))</f>
        <v>0</v>
      </c>
      <c r="CH199" s="538">
        <f>IF('Técnicas de Ki'!BM94=0,0,IF('Técnicas de Ki'!BT94=TS!CH$119,'Técnicas de Ki'!BN94-(IF($O199&lt;&gt;0,'Técnicas de Ki'!BW94,0)+IF($P199&lt;&gt;0,'Técnicas de Ki'!BX94,0)+IF($Q199&lt;&gt;0,'Técnicas de Ki'!BY94,0)+IF($R199&lt;&gt;0,'Técnicas de Ki'!BZ94,0)+IF($S199&lt;&gt;0,'Técnicas de Ki'!CA94,0)+IF($T199&lt;&gt;0,'Técnicas de Ki'!CB94,0)),0))</f>
        <v>0</v>
      </c>
      <c r="CI199" s="538">
        <f>IF('Técnicas de Ki'!BM94=0,0,IF('Técnicas de Ki'!BT94=TS!CI$119,'Técnicas de Ki'!BN94-(IF($O199&lt;&gt;0,'Técnicas de Ki'!BW94,0)+IF($P199&lt;&gt;0,'Técnicas de Ki'!BX94,0)+IF($Q199&lt;&gt;0,'Técnicas de Ki'!BY94,0)+IF($R199&lt;&gt;0,'Técnicas de Ki'!BZ94,0)+IF($S199&lt;&gt;0,'Técnicas de Ki'!CA94,0)+IF($T199&lt;&gt;0,'Técnicas de Ki'!CB94,0)),0))</f>
        <v>0</v>
      </c>
      <c r="CJ199" s="538">
        <f>IF('Técnicas de Ki'!BM94=0,0,IF('Técnicas de Ki'!BT94=TS!CJ$119,'Técnicas de Ki'!BN94-(IF($O199&lt;&gt;0,'Técnicas de Ki'!BW94,0)+IF($P199&lt;&gt;0,'Técnicas de Ki'!BX94,0)+IF($Q199&lt;&gt;0,'Técnicas de Ki'!BY94,0)+IF($R199&lt;&gt;0,'Técnicas de Ki'!BZ94,0)+IF($S199&lt;&gt;0,'Técnicas de Ki'!CA94,0)+IF($T199&lt;&gt;0,'Técnicas de Ki'!CB94,0)),0))</f>
        <v>0</v>
      </c>
      <c r="CK199" s="538">
        <f>IF('Técnicas de Ki'!BM94=0,0,IF('Técnicas de Ki'!BT94=TS!CK$119,'Técnicas de Ki'!BN94-(IF($O199&lt;&gt;0,'Técnicas de Ki'!BW94,0)+IF($P199&lt;&gt;0,'Técnicas de Ki'!BX94,0)+IF($Q199&lt;&gt;0,'Técnicas de Ki'!BY94,0)+IF($R199&lt;&gt;0,'Técnicas de Ki'!BZ94,0)+IF($S199&lt;&gt;0,'Técnicas de Ki'!CA94,0)+IF($T199&lt;&gt;0,'Técnicas de Ki'!CB94,0)),0))</f>
        <v>0</v>
      </c>
      <c r="CL199" s="539">
        <f>IF('Técnicas de Ki'!BM94=0,0,IF('Técnicas de Ki'!BT94=TS!CL$119,'Técnicas de Ki'!BN94-(IF($O199&lt;&gt;0,'Técnicas de Ki'!BW94,0)+IF($P199&lt;&gt;0,'Técnicas de Ki'!BX94,0)+IF($Q199&lt;&gt;0,'Técnicas de Ki'!BY94,0)+IF($R199&lt;&gt;0,'Técnicas de Ki'!BZ94,0)+IF($S199&lt;&gt;0,'Técnicas de Ki'!CA94,0)+IF($T199&lt;&gt;0,'Técnicas de Ki'!CB94,0)),0))</f>
        <v>0</v>
      </c>
      <c r="CM199" s="538">
        <f>IF('Técnicas de Ki'!BM94=0,0,IFERROR(IF('Técnicas de Ki'!BW94&lt;&gt;0,'Técnicas de Ki'!BW94+TS!$O199,0)*$O199/$O199,0))</f>
        <v>0</v>
      </c>
      <c r="CN199" s="538">
        <f>IF('Técnicas de Ki'!BM94=0,0,IFERROR(IF('Técnicas de Ki'!BX94&lt;&gt;0,'Técnicas de Ki'!BX94+TS!$P199,0)*$P199/$P199,0))</f>
        <v>0</v>
      </c>
      <c r="CO199" s="538">
        <f>IF('Técnicas de Ki'!BM94=0,0,IFERROR(IF('Técnicas de Ki'!BY94&lt;&gt;0,'Técnicas de Ki'!BY94+TS!$Q199,0)*$Q199/$Q199,0))</f>
        <v>0</v>
      </c>
      <c r="CP199" s="538">
        <f>IF('Técnicas de Ki'!BM94=0,0,IFERROR(IF('Técnicas de Ki'!BZ94&lt;&gt;0,'Técnicas de Ki'!BZ94+TS!$R199,0)*$R199/$R199,0))</f>
        <v>0</v>
      </c>
      <c r="CQ199" s="538">
        <f>IF('Técnicas de Ki'!BM94=0,0,IFERROR(IF('Técnicas de Ki'!CA94&lt;&gt;0,'Técnicas de Ki'!CA94+TS!$S199,0)*$S199/$S199,0))</f>
        <v>0</v>
      </c>
      <c r="CR199" s="539">
        <f>IF('Técnicas de Ki'!BM94=0,0,IFERROR(IF('Técnicas de Ki'!CB94&lt;&gt;0,'Técnicas de Ki'!CB94+TS!$T199,0)*$T199/$T199,0))</f>
        <v>0</v>
      </c>
      <c r="CT199" s="571" t="str">
        <f>IF('Técnicas de Ki'!BM102&lt;&gt;0,'Técnicas de Ki'!BL102&amp;" "&amp;'Técnicas de Ki'!BM102,"")</f>
        <v/>
      </c>
      <c r="CU199" s="302" t="b">
        <f t="shared" si="36"/>
        <v>0</v>
      </c>
      <c r="CV199" s="302" t="str">
        <f t="shared" si="40"/>
        <v/>
      </c>
    </row>
    <row r="200" spans="1:100" x14ac:dyDescent="0.2">
      <c r="A200" s="302" t="s">
        <v>6869</v>
      </c>
      <c r="B200" s="301" t="s">
        <v>6803</v>
      </c>
      <c r="C200" s="301" t="str">
        <f t="shared" ref="C200:C219" si="42">A200&amp;B200</f>
        <v>Accion Adicional+1</v>
      </c>
      <c r="D200" s="302">
        <v>1</v>
      </c>
      <c r="E200" s="302">
        <v>2</v>
      </c>
      <c r="F200" s="302">
        <v>5</v>
      </c>
      <c r="G200" s="302">
        <v>1</v>
      </c>
      <c r="H200" s="302">
        <v>2</v>
      </c>
      <c r="I200" s="302">
        <v>4</v>
      </c>
      <c r="J200" s="302">
        <v>1</v>
      </c>
      <c r="N200" t="s">
        <v>28</v>
      </c>
      <c r="O200" s="302">
        <v>3</v>
      </c>
      <c r="Q200" s="302">
        <v>3</v>
      </c>
      <c r="S200" s="302">
        <v>1</v>
      </c>
      <c r="T200" s="302">
        <v>3</v>
      </c>
      <c r="V200" s="537">
        <f>IF('Técnicas de Ki'!B95=0,0,IF('Técnicas de Ki'!I95=TS!V$119,'Técnicas de Ki'!C95-(IF($O200&lt;&gt;0,'Técnicas de Ki'!L95,0)+IF($P200&lt;&gt;0,'Técnicas de Ki'!M95,0)+IF($Q200&lt;&gt;0,'Técnicas de Ki'!N95,0)+IF($R200&lt;&gt;0,'Técnicas de Ki'!O95,0)+IF($S200&lt;&gt;0,'Técnicas de Ki'!P95,0)+IF($T200&lt;&gt;0,'Técnicas de Ki'!Q95,0)),0))</f>
        <v>0</v>
      </c>
      <c r="W200" s="538">
        <f>IF('Técnicas de Ki'!B95=0,0,IF('Técnicas de Ki'!I95=TS!W$119,'Técnicas de Ki'!C95-(IF($O200&lt;&gt;0,'Técnicas de Ki'!L95,0)+IF($P200&lt;&gt;0,'Técnicas de Ki'!M95,0)+IF($Q200&lt;&gt;0,'Técnicas de Ki'!N95,0)+IF($R200&lt;&gt;0,'Técnicas de Ki'!O95,0)+IF($S200&lt;&gt;0,'Técnicas de Ki'!P95,0)+IF($T200&lt;&gt;0,'Técnicas de Ki'!Q95,0)),0))</f>
        <v>0</v>
      </c>
      <c r="X200" s="538">
        <f>IF('Técnicas de Ki'!B95=0,0,IF('Técnicas de Ki'!I95=TS!X$119,'Técnicas de Ki'!C95-(IF($O200&lt;&gt;0,'Técnicas de Ki'!L95,0)+IF($P200&lt;&gt;0,'Técnicas de Ki'!M95,0)+IF($Q200&lt;&gt;0,'Técnicas de Ki'!N95,0)+IF($R200&lt;&gt;0,'Técnicas de Ki'!O95,0)+IF($S200&lt;&gt;0,'Técnicas de Ki'!P95,0)+IF($T200&lt;&gt;0,'Técnicas de Ki'!Q95,0)),0))</f>
        <v>0</v>
      </c>
      <c r="Y200" s="538">
        <f>IF('Técnicas de Ki'!B95=0,0,IF('Técnicas de Ki'!I95=TS!Y$119,'Técnicas de Ki'!C95-(IF($O200&lt;&gt;0,'Técnicas de Ki'!L95,0)+IF($P200&lt;&gt;0,'Técnicas de Ki'!M95,0)+IF($Q200&lt;&gt;0,'Técnicas de Ki'!N95,0)+IF($R200&lt;&gt;0,'Técnicas de Ki'!O95,0)+IF($S200&lt;&gt;0,'Técnicas de Ki'!P95,0)+IF($T200&lt;&gt;0,'Técnicas de Ki'!Q95,0)),0))</f>
        <v>0</v>
      </c>
      <c r="Z200" s="538">
        <f>IF('Técnicas de Ki'!B95=0,0,IF('Técnicas de Ki'!I95=TS!Z$119,'Técnicas de Ki'!C95-(IF($O200&lt;&gt;0,'Técnicas de Ki'!L95,0)+IF($P200&lt;&gt;0,'Técnicas de Ki'!M95,0)+IF($Q200&lt;&gt;0,'Técnicas de Ki'!N95,0)+IF($R200&lt;&gt;0,'Técnicas de Ki'!O95,0)+IF($S200&lt;&gt;0,'Técnicas de Ki'!P95,0)+IF($T200&lt;&gt;0,'Técnicas de Ki'!Q95,0)),0))</f>
        <v>0</v>
      </c>
      <c r="AA200" s="539">
        <f>IF('Técnicas de Ki'!B95=0,0,IF('Técnicas de Ki'!I95=TS!AA$119,'Técnicas de Ki'!C95-(IF($O200&lt;&gt;0,'Técnicas de Ki'!L95,0)+IF($P200&lt;&gt;0,'Técnicas de Ki'!M95,0)+IF($Q200&lt;&gt;0,'Técnicas de Ki'!N95,0)+IF($R200&lt;&gt;0,'Técnicas de Ki'!O95,0)+IF($S200&lt;&gt;0,'Técnicas de Ki'!P95,0)+IF($T200&lt;&gt;0,'Técnicas de Ki'!Q95,0)),0))</f>
        <v>0</v>
      </c>
      <c r="AB200" s="538">
        <f>IF('Técnicas de Ki'!B95=0,0,IFERROR(IF('Técnicas de Ki'!L95&lt;&gt;0,'Técnicas de Ki'!L95+TS!$O200,0)*$O200/$O200,0))</f>
        <v>0</v>
      </c>
      <c r="AC200" s="538">
        <f>IF('Técnicas de Ki'!B95=0,0,IFERROR(IF('Técnicas de Ki'!M95&lt;&gt;0,'Técnicas de Ki'!M95+TS!$P200,0)*$P200/$P200,0))</f>
        <v>0</v>
      </c>
      <c r="AD200" s="538">
        <f>IF('Técnicas de Ki'!B95=0,0,IFERROR(IF('Técnicas de Ki'!N95&lt;&gt;0,'Técnicas de Ki'!N95+TS!$Q200,0)*$Q200/$Q200,0))</f>
        <v>0</v>
      </c>
      <c r="AE200" s="538">
        <f>IF('Técnicas de Ki'!B95=0,0,IFERROR(IF('Técnicas de Ki'!O95&lt;&gt;0,'Técnicas de Ki'!O95+TS!$R200,0)*$R200/$R200,0))</f>
        <v>0</v>
      </c>
      <c r="AF200" s="538">
        <f>IF('Técnicas de Ki'!B95=0,0,IFERROR(IF('Técnicas de Ki'!P95&lt;&gt;0,'Técnicas de Ki'!P95+TS!$S200,0)*$S200/$S200,0))</f>
        <v>0</v>
      </c>
      <c r="AG200" s="539">
        <f>IF('Técnicas de Ki'!B95=0,0,IFERROR(IF('Técnicas de Ki'!Q95&lt;&gt;0,'Técnicas de Ki'!Q95+TS!$T200,0)*$T200/$T200,0))</f>
        <v>0</v>
      </c>
      <c r="AI200" s="571" t="str">
        <f>IF('Técnicas de Ki'!B103&lt;&gt;0,'Técnicas de Ki'!A103&amp;" "&amp;'Técnicas de Ki'!B103,"")</f>
        <v/>
      </c>
      <c r="AJ200" s="302" t="b">
        <f t="shared" si="41"/>
        <v>0</v>
      </c>
      <c r="AK200" s="302" t="str">
        <f t="shared" si="37"/>
        <v/>
      </c>
      <c r="AQ200" s="537">
        <f>IF('Técnicas de Ki'!W95=0,0,IF('Técnicas de Ki'!AD95=TS!AQ$119,'Técnicas de Ki'!X95-(IF($O200&lt;&gt;0,'Técnicas de Ki'!AG95,0)+IF($P200&lt;&gt;0,'Técnicas de Ki'!AH95,0)+IF($Q200&lt;&gt;0,'Técnicas de Ki'!AI95,0)+IF($R200&lt;&gt;0,'Técnicas de Ki'!AJ95,0)+IF($S200&lt;&gt;0,'Técnicas de Ki'!AK95,0)+IF($T200&lt;&gt;0,'Técnicas de Ki'!AL95,0)),0))</f>
        <v>0</v>
      </c>
      <c r="AR200" s="538">
        <f>IF('Técnicas de Ki'!W95=0,0,IF('Técnicas de Ki'!AD95=TS!AR$119,'Técnicas de Ki'!X95-(IF($O200&lt;&gt;0,'Técnicas de Ki'!AG95,0)+IF($P200&lt;&gt;0,'Técnicas de Ki'!AH95,0)+IF($Q200&lt;&gt;0,'Técnicas de Ki'!AI95,0)+IF($R200&lt;&gt;0,'Técnicas de Ki'!AJ95,0)+IF($S200&lt;&gt;0,'Técnicas de Ki'!AK95,0)+IF($T200&lt;&gt;0,'Técnicas de Ki'!AL95,0)),0))</f>
        <v>0</v>
      </c>
      <c r="AS200" s="538">
        <f>IF('Técnicas de Ki'!W95=0,0,IF('Técnicas de Ki'!AD95=TS!AS$119,'Técnicas de Ki'!X95-(IF($O200&lt;&gt;0,'Técnicas de Ki'!AG95,0)+IF($P200&lt;&gt;0,'Técnicas de Ki'!AH95,0)+IF($Q200&lt;&gt;0,'Técnicas de Ki'!AI95,0)+IF($R200&lt;&gt;0,'Técnicas de Ki'!AJ95,0)+IF($S200&lt;&gt;0,'Técnicas de Ki'!AK95,0)+IF($T200&lt;&gt;0,'Técnicas de Ki'!AL95,0)),0))</f>
        <v>0</v>
      </c>
      <c r="AT200" s="538">
        <f>IF('Técnicas de Ki'!W95=0,0,IF('Técnicas de Ki'!AD95=TS!AT$119,'Técnicas de Ki'!X95-(IF($O200&lt;&gt;0,'Técnicas de Ki'!AG95,0)+IF($P200&lt;&gt;0,'Técnicas de Ki'!AH95,0)+IF($Q200&lt;&gt;0,'Técnicas de Ki'!AI95,0)+IF($R200&lt;&gt;0,'Técnicas de Ki'!AJ95,0)+IF($S200&lt;&gt;0,'Técnicas de Ki'!AK95,0)+IF($T200&lt;&gt;0,'Técnicas de Ki'!AL95,0)),0))</f>
        <v>0</v>
      </c>
      <c r="AU200" s="538">
        <f>IF('Técnicas de Ki'!W95=0,0,IF('Técnicas de Ki'!AD95=TS!AU$119,'Técnicas de Ki'!X95-(IF($O200&lt;&gt;0,'Técnicas de Ki'!AG95,0)+IF($P200&lt;&gt;0,'Técnicas de Ki'!AH95,0)+IF($Q200&lt;&gt;0,'Técnicas de Ki'!AI95,0)+IF($R200&lt;&gt;0,'Técnicas de Ki'!AJ95,0)+IF($S200&lt;&gt;0,'Técnicas de Ki'!AK95,0)+IF($T200&lt;&gt;0,'Técnicas de Ki'!AL95,0)),0))</f>
        <v>0</v>
      </c>
      <c r="AV200" s="539">
        <f>IF('Técnicas de Ki'!W95=0,0,IF('Técnicas de Ki'!AD95=TS!AV$119,'Técnicas de Ki'!X95-(IF($O200&lt;&gt;0,'Técnicas de Ki'!AG95,0)+IF($P200&lt;&gt;0,'Técnicas de Ki'!AH95,0)+IF($Q200&lt;&gt;0,'Técnicas de Ki'!AI95,0)+IF($R200&lt;&gt;0,'Técnicas de Ki'!AJ95,0)+IF($S200&lt;&gt;0,'Técnicas de Ki'!AK95,0)+IF($T200&lt;&gt;0,'Técnicas de Ki'!AL95,0)),0))</f>
        <v>0</v>
      </c>
      <c r="AW200" s="538">
        <f>IF('Técnicas de Ki'!W95=0,0,IFERROR(IF('Técnicas de Ki'!AG95&lt;&gt;0,'Técnicas de Ki'!AG95+TS!$O200,0)*$O200/$O200,0))</f>
        <v>0</v>
      </c>
      <c r="AX200" s="538">
        <f>IF('Técnicas de Ki'!W95=0,0,IFERROR(IF('Técnicas de Ki'!AH95&lt;&gt;0,'Técnicas de Ki'!AH95+TS!$P200,0)*$P200/$P200,0))</f>
        <v>0</v>
      </c>
      <c r="AY200" s="538">
        <f>IF('Técnicas de Ki'!W95=0,0,IFERROR(IF('Técnicas de Ki'!AI95&lt;&gt;0,'Técnicas de Ki'!AI95+TS!$Q200,0)*$Q200/$Q200,0))</f>
        <v>0</v>
      </c>
      <c r="AZ200" s="538">
        <f>IF('Técnicas de Ki'!W95=0,0,IFERROR(IF('Técnicas de Ki'!AJ95&lt;&gt;0,'Técnicas de Ki'!AJ95+TS!$R200,0)*$R200/$R200,0))</f>
        <v>0</v>
      </c>
      <c r="BA200" s="538">
        <f>IF('Técnicas de Ki'!W95=0,0,IFERROR(IF('Técnicas de Ki'!AK95&lt;&gt;0,'Técnicas de Ki'!AK95+TS!$S200,0)*$S200/$S200,0))</f>
        <v>0</v>
      </c>
      <c r="BB200" s="539">
        <f>IF('Técnicas de Ki'!W95=0,0,IFERROR(IF('Técnicas de Ki'!AL95&lt;&gt;0,'Técnicas de Ki'!AL95+TS!$T200,0)*$T200/$T200,0))</f>
        <v>0</v>
      </c>
      <c r="BD200" s="571" t="str">
        <f>IF('Técnicas de Ki'!W103&lt;&gt;0,'Técnicas de Ki'!V103&amp;" "&amp;'Técnicas de Ki'!W103,"")</f>
        <v/>
      </c>
      <c r="BE200" s="302" t="b">
        <f t="shared" si="34"/>
        <v>0</v>
      </c>
      <c r="BF200" s="302" t="str">
        <f t="shared" si="38"/>
        <v/>
      </c>
      <c r="BL200" s="537">
        <f>IF('Técnicas de Ki'!AR95=0,0,IF('Técnicas de Ki'!AY95=TS!BL$119,'Técnicas de Ki'!AS95-(IF($O200&lt;&gt;0,'Técnicas de Ki'!BB95,0)+IF($P200&lt;&gt;0,'Técnicas de Ki'!BC95,0)+IF($Q200&lt;&gt;0,'Técnicas de Ki'!BD95,0)+IF($R200&lt;&gt;0,'Técnicas de Ki'!BE95,0)+IF($S200&lt;&gt;0,'Técnicas de Ki'!BF95,0)+IF($T200&lt;&gt;0,'Técnicas de Ki'!BG95,0)),0))</f>
        <v>0</v>
      </c>
      <c r="BM200" s="538">
        <f>IF('Técnicas de Ki'!AR95=0,0,IF('Técnicas de Ki'!AY95=TS!BM$119,'Técnicas de Ki'!AS95-(IF($O200&lt;&gt;0,'Técnicas de Ki'!BB95,0)+IF($P200&lt;&gt;0,'Técnicas de Ki'!BC95,0)+IF($Q200&lt;&gt;0,'Técnicas de Ki'!BD95,0)+IF($R200&lt;&gt;0,'Técnicas de Ki'!BE95,0)+IF($S200&lt;&gt;0,'Técnicas de Ki'!BF95,0)+IF($T200&lt;&gt;0,'Técnicas de Ki'!BG95,0)),0))</f>
        <v>0</v>
      </c>
      <c r="BN200" s="538">
        <f>IF('Técnicas de Ki'!AR95=0,0,IF('Técnicas de Ki'!AY95=TS!BN$119,'Técnicas de Ki'!AS95-(IF($O200&lt;&gt;0,'Técnicas de Ki'!BB95,0)+IF($P200&lt;&gt;0,'Técnicas de Ki'!BC95,0)+IF($Q200&lt;&gt;0,'Técnicas de Ki'!BD95,0)+IF($R200&lt;&gt;0,'Técnicas de Ki'!BE95,0)+IF($S200&lt;&gt;0,'Técnicas de Ki'!BF95,0)+IF($T200&lt;&gt;0,'Técnicas de Ki'!BG95,0)),0))</f>
        <v>0</v>
      </c>
      <c r="BO200" s="538">
        <f>IF('Técnicas de Ki'!AR95=0,0,IF('Técnicas de Ki'!AY95=TS!BO$119,'Técnicas de Ki'!AS95-(IF($O200&lt;&gt;0,'Técnicas de Ki'!BB95,0)+IF($P200&lt;&gt;0,'Técnicas de Ki'!BC95,0)+IF($Q200&lt;&gt;0,'Técnicas de Ki'!BD95,0)+IF($R200&lt;&gt;0,'Técnicas de Ki'!BE95,0)+IF($S200&lt;&gt;0,'Técnicas de Ki'!BF95,0)+IF($T200&lt;&gt;0,'Técnicas de Ki'!BG95,0)),0))</f>
        <v>0</v>
      </c>
      <c r="BP200" s="538">
        <f>IF('Técnicas de Ki'!AR95=0,0,IF('Técnicas de Ki'!AY95=TS!BP$119,'Técnicas de Ki'!AS95-(IF($O200&lt;&gt;0,'Técnicas de Ki'!BB95,0)+IF($P200&lt;&gt;0,'Técnicas de Ki'!BC95,0)+IF($Q200&lt;&gt;0,'Técnicas de Ki'!BD95,0)+IF($R200&lt;&gt;0,'Técnicas de Ki'!BE95,0)+IF($S200&lt;&gt;0,'Técnicas de Ki'!BF95,0)+IF($T200&lt;&gt;0,'Técnicas de Ki'!BG95,0)),0))</f>
        <v>0</v>
      </c>
      <c r="BQ200" s="539">
        <f>IF('Técnicas de Ki'!AR95=0,0,IF('Técnicas de Ki'!AY95=TS!BQ$119,'Técnicas de Ki'!AS95-(IF($O200&lt;&gt;0,'Técnicas de Ki'!BB95,0)+IF($P200&lt;&gt;0,'Técnicas de Ki'!BC95,0)+IF($Q200&lt;&gt;0,'Técnicas de Ki'!BD95,0)+IF($R200&lt;&gt;0,'Técnicas de Ki'!BE95,0)+IF($S200&lt;&gt;0,'Técnicas de Ki'!BF95,0)+IF($T200&lt;&gt;0,'Técnicas de Ki'!BG95,0)),0))</f>
        <v>0</v>
      </c>
      <c r="BR200" s="538">
        <f>IF('Técnicas de Ki'!AR95=0,0,IFERROR(IF('Técnicas de Ki'!BB95&lt;&gt;0,'Técnicas de Ki'!BB95+TS!$O200,0)*$O200/$O200,0))</f>
        <v>0</v>
      </c>
      <c r="BS200" s="538">
        <f>IF('Técnicas de Ki'!AR95=0,0,IFERROR(IF('Técnicas de Ki'!BC95&lt;&gt;0,'Técnicas de Ki'!BC95+TS!$P200,0)*$P200/$P200,0))</f>
        <v>0</v>
      </c>
      <c r="BT200" s="538">
        <f>IF('Técnicas de Ki'!AR95=0,0,IFERROR(IF('Técnicas de Ki'!BD95&lt;&gt;0,'Técnicas de Ki'!BD95+TS!$Q200,0)*$Q200/$Q200,0))</f>
        <v>0</v>
      </c>
      <c r="BU200" s="538">
        <f>IF('Técnicas de Ki'!AR95=0,0,IFERROR(IF('Técnicas de Ki'!BE95&lt;&gt;0,'Técnicas de Ki'!BE95+TS!$R200,0)*$R200/$R200,0))</f>
        <v>0</v>
      </c>
      <c r="BV200" s="538">
        <f>IF('Técnicas de Ki'!AR95=0,0,IFERROR(IF('Técnicas de Ki'!BF95&lt;&gt;0,'Técnicas de Ki'!BF95+TS!$S200,0)*$S200/$S200,0))</f>
        <v>0</v>
      </c>
      <c r="BW200" s="539">
        <f>IF('Técnicas de Ki'!AR95=0,0,IFERROR(IF('Técnicas de Ki'!BG95&lt;&gt;0,'Técnicas de Ki'!BG95+TS!$T200,0)*$T200/$T200,0))</f>
        <v>0</v>
      </c>
      <c r="BY200" s="571" t="str">
        <f>IF('Técnicas de Ki'!AR103&lt;&gt;0,'Técnicas de Ki'!AQ103&amp;" "&amp;'Técnicas de Ki'!AR103,"")</f>
        <v/>
      </c>
      <c r="BZ200" s="302" t="b">
        <f t="shared" si="35"/>
        <v>0</v>
      </c>
      <c r="CA200" s="302" t="str">
        <f t="shared" si="39"/>
        <v/>
      </c>
      <c r="CG200" s="537">
        <f>IF('Técnicas de Ki'!BM95=0,0,IF('Técnicas de Ki'!BT95=TS!CG$119,'Técnicas de Ki'!BN95-(IF($O200&lt;&gt;0,'Técnicas de Ki'!BW95,0)+IF($P200&lt;&gt;0,'Técnicas de Ki'!BX95,0)+IF($Q200&lt;&gt;0,'Técnicas de Ki'!BY95,0)+IF($R200&lt;&gt;0,'Técnicas de Ki'!BZ95,0)+IF($S200&lt;&gt;0,'Técnicas de Ki'!CA95,0)+IF($T200&lt;&gt;0,'Técnicas de Ki'!CB95,0)),0))</f>
        <v>0</v>
      </c>
      <c r="CH200" s="538">
        <f>IF('Técnicas de Ki'!BM95=0,0,IF('Técnicas de Ki'!BT95=TS!CH$119,'Técnicas de Ki'!BN95-(IF($O200&lt;&gt;0,'Técnicas de Ki'!BW95,0)+IF($P200&lt;&gt;0,'Técnicas de Ki'!BX95,0)+IF($Q200&lt;&gt;0,'Técnicas de Ki'!BY95,0)+IF($R200&lt;&gt;0,'Técnicas de Ki'!BZ95,0)+IF($S200&lt;&gt;0,'Técnicas de Ki'!CA95,0)+IF($T200&lt;&gt;0,'Técnicas de Ki'!CB95,0)),0))</f>
        <v>0</v>
      </c>
      <c r="CI200" s="538">
        <f>IF('Técnicas de Ki'!BM95=0,0,IF('Técnicas de Ki'!BT95=TS!CI$119,'Técnicas de Ki'!BN95-(IF($O200&lt;&gt;0,'Técnicas de Ki'!BW95,0)+IF($P200&lt;&gt;0,'Técnicas de Ki'!BX95,0)+IF($Q200&lt;&gt;0,'Técnicas de Ki'!BY95,0)+IF($R200&lt;&gt;0,'Técnicas de Ki'!BZ95,0)+IF($S200&lt;&gt;0,'Técnicas de Ki'!CA95,0)+IF($T200&lt;&gt;0,'Técnicas de Ki'!CB95,0)),0))</f>
        <v>0</v>
      </c>
      <c r="CJ200" s="538">
        <f>IF('Técnicas de Ki'!BM95=0,0,IF('Técnicas de Ki'!BT95=TS!CJ$119,'Técnicas de Ki'!BN95-(IF($O200&lt;&gt;0,'Técnicas de Ki'!BW95,0)+IF($P200&lt;&gt;0,'Técnicas de Ki'!BX95,0)+IF($Q200&lt;&gt;0,'Técnicas de Ki'!BY95,0)+IF($R200&lt;&gt;0,'Técnicas de Ki'!BZ95,0)+IF($S200&lt;&gt;0,'Técnicas de Ki'!CA95,0)+IF($T200&lt;&gt;0,'Técnicas de Ki'!CB95,0)),0))</f>
        <v>0</v>
      </c>
      <c r="CK200" s="538">
        <f>IF('Técnicas de Ki'!BM95=0,0,IF('Técnicas de Ki'!BT95=TS!CK$119,'Técnicas de Ki'!BN95-(IF($O200&lt;&gt;0,'Técnicas de Ki'!BW95,0)+IF($P200&lt;&gt;0,'Técnicas de Ki'!BX95,0)+IF($Q200&lt;&gt;0,'Técnicas de Ki'!BY95,0)+IF($R200&lt;&gt;0,'Técnicas de Ki'!BZ95,0)+IF($S200&lt;&gt;0,'Técnicas de Ki'!CA95,0)+IF($T200&lt;&gt;0,'Técnicas de Ki'!CB95,0)),0))</f>
        <v>0</v>
      </c>
      <c r="CL200" s="539">
        <f>IF('Técnicas de Ki'!BM95=0,0,IF('Técnicas de Ki'!BT95=TS!CL$119,'Técnicas de Ki'!BN95-(IF($O200&lt;&gt;0,'Técnicas de Ki'!BW95,0)+IF($P200&lt;&gt;0,'Técnicas de Ki'!BX95,0)+IF($Q200&lt;&gt;0,'Técnicas de Ki'!BY95,0)+IF($R200&lt;&gt;0,'Técnicas de Ki'!BZ95,0)+IF($S200&lt;&gt;0,'Técnicas de Ki'!CA95,0)+IF($T200&lt;&gt;0,'Técnicas de Ki'!CB95,0)),0))</f>
        <v>0</v>
      </c>
      <c r="CM200" s="538">
        <f>IF('Técnicas de Ki'!BM95=0,0,IFERROR(IF('Técnicas de Ki'!BW95&lt;&gt;0,'Técnicas de Ki'!BW95+TS!$O200,0)*$O200/$O200,0))</f>
        <v>0</v>
      </c>
      <c r="CN200" s="538">
        <f>IF('Técnicas de Ki'!BM95=0,0,IFERROR(IF('Técnicas de Ki'!BX95&lt;&gt;0,'Técnicas de Ki'!BX95+TS!$P200,0)*$P200/$P200,0))</f>
        <v>0</v>
      </c>
      <c r="CO200" s="538">
        <f>IF('Técnicas de Ki'!BM95=0,0,IFERROR(IF('Técnicas de Ki'!BY95&lt;&gt;0,'Técnicas de Ki'!BY95+TS!$Q200,0)*$Q200/$Q200,0))</f>
        <v>0</v>
      </c>
      <c r="CP200" s="538">
        <f>IF('Técnicas de Ki'!BM95=0,0,IFERROR(IF('Técnicas de Ki'!BZ95&lt;&gt;0,'Técnicas de Ki'!BZ95+TS!$R200,0)*$R200/$R200,0))</f>
        <v>0</v>
      </c>
      <c r="CQ200" s="538">
        <f>IF('Técnicas de Ki'!BM95=0,0,IFERROR(IF('Técnicas de Ki'!CA95&lt;&gt;0,'Técnicas de Ki'!CA95+TS!$S200,0)*$S200/$S200,0))</f>
        <v>0</v>
      </c>
      <c r="CR200" s="539">
        <f>IF('Técnicas de Ki'!BM95=0,0,IFERROR(IF('Técnicas de Ki'!CB95&lt;&gt;0,'Técnicas de Ki'!CB95+TS!$T200,0)*$T200/$T200,0))</f>
        <v>0</v>
      </c>
      <c r="CT200" s="571" t="str">
        <f>IF('Técnicas de Ki'!BM103&lt;&gt;0,'Técnicas de Ki'!BL103&amp;" "&amp;'Técnicas de Ki'!BM103,"")</f>
        <v/>
      </c>
      <c r="CU200" s="302" t="b">
        <f t="shared" si="36"/>
        <v>0</v>
      </c>
      <c r="CV200" s="302" t="str">
        <f t="shared" si="40"/>
        <v/>
      </c>
    </row>
    <row r="201" spans="1:100" x14ac:dyDescent="0.2">
      <c r="A201" s="302" t="s">
        <v>6869</v>
      </c>
      <c r="B201" s="301" t="s">
        <v>6778</v>
      </c>
      <c r="C201" s="301" t="str">
        <f t="shared" si="42"/>
        <v>Accion Adicional+2</v>
      </c>
      <c r="D201" s="302">
        <v>2</v>
      </c>
      <c r="E201" s="302">
        <v>4</v>
      </c>
      <c r="F201" s="302">
        <v>5</v>
      </c>
      <c r="G201" s="302">
        <v>2</v>
      </c>
      <c r="H201" s="302">
        <v>4</v>
      </c>
      <c r="I201" s="302">
        <v>7</v>
      </c>
      <c r="J201" s="302">
        <v>1</v>
      </c>
      <c r="N201" t="s">
        <v>6977</v>
      </c>
      <c r="O201" s="302">
        <v>3</v>
      </c>
      <c r="Q201" s="302">
        <v>3</v>
      </c>
      <c r="S201" s="302">
        <v>1</v>
      </c>
      <c r="T201" s="302">
        <v>3</v>
      </c>
      <c r="V201" s="537">
        <f>IF('Técnicas de Ki'!B96=0,0,IF('Técnicas de Ki'!I96=TS!V$119,'Técnicas de Ki'!C96-(IF($O201&lt;&gt;0,'Técnicas de Ki'!L96,0)+IF($P201&lt;&gt;0,'Técnicas de Ki'!M96,0)+IF($Q201&lt;&gt;0,'Técnicas de Ki'!N96,0)+IF($R201&lt;&gt;0,'Técnicas de Ki'!O96,0)+IF($S201&lt;&gt;0,'Técnicas de Ki'!P96,0)+IF($T201&lt;&gt;0,'Técnicas de Ki'!Q96,0)),0))</f>
        <v>0</v>
      </c>
      <c r="W201" s="538">
        <f>IF('Técnicas de Ki'!B96=0,0,IF('Técnicas de Ki'!I96=TS!W$119,'Técnicas de Ki'!C96-(IF($O201&lt;&gt;0,'Técnicas de Ki'!L96,0)+IF($P201&lt;&gt;0,'Técnicas de Ki'!M96,0)+IF($Q201&lt;&gt;0,'Técnicas de Ki'!N96,0)+IF($R201&lt;&gt;0,'Técnicas de Ki'!O96,0)+IF($S201&lt;&gt;0,'Técnicas de Ki'!P96,0)+IF($T201&lt;&gt;0,'Técnicas de Ki'!Q96,0)),0))</f>
        <v>0</v>
      </c>
      <c r="X201" s="538">
        <f>IF('Técnicas de Ki'!B96=0,0,IF('Técnicas de Ki'!I96=TS!X$119,'Técnicas de Ki'!C96-(IF($O201&lt;&gt;0,'Técnicas de Ki'!L96,0)+IF($P201&lt;&gt;0,'Técnicas de Ki'!M96,0)+IF($Q201&lt;&gt;0,'Técnicas de Ki'!N96,0)+IF($R201&lt;&gt;0,'Técnicas de Ki'!O96,0)+IF($S201&lt;&gt;0,'Técnicas de Ki'!P96,0)+IF($T201&lt;&gt;0,'Técnicas de Ki'!Q96,0)),0))</f>
        <v>0</v>
      </c>
      <c r="Y201" s="538">
        <f>IF('Técnicas de Ki'!B96=0,0,IF('Técnicas de Ki'!I96=TS!Y$119,'Técnicas de Ki'!C96-(IF($O201&lt;&gt;0,'Técnicas de Ki'!L96,0)+IF($P201&lt;&gt;0,'Técnicas de Ki'!M96,0)+IF($Q201&lt;&gt;0,'Técnicas de Ki'!N96,0)+IF($R201&lt;&gt;0,'Técnicas de Ki'!O96,0)+IF($S201&lt;&gt;0,'Técnicas de Ki'!P96,0)+IF($T201&lt;&gt;0,'Técnicas de Ki'!Q96,0)),0))</f>
        <v>0</v>
      </c>
      <c r="Z201" s="538">
        <f>IF('Técnicas de Ki'!B96=0,0,IF('Técnicas de Ki'!I96=TS!Z$119,'Técnicas de Ki'!C96-(IF($O201&lt;&gt;0,'Técnicas de Ki'!L96,0)+IF($P201&lt;&gt;0,'Técnicas de Ki'!M96,0)+IF($Q201&lt;&gt;0,'Técnicas de Ki'!N96,0)+IF($R201&lt;&gt;0,'Técnicas de Ki'!O96,0)+IF($S201&lt;&gt;0,'Técnicas de Ki'!P96,0)+IF($T201&lt;&gt;0,'Técnicas de Ki'!Q96,0)),0))</f>
        <v>0</v>
      </c>
      <c r="AA201" s="539">
        <f>IF('Técnicas de Ki'!B96=0,0,IF('Técnicas de Ki'!I96=TS!AA$119,'Técnicas de Ki'!C96-(IF($O201&lt;&gt;0,'Técnicas de Ki'!L96,0)+IF($P201&lt;&gt;0,'Técnicas de Ki'!M96,0)+IF($Q201&lt;&gt;0,'Técnicas de Ki'!N96,0)+IF($R201&lt;&gt;0,'Técnicas de Ki'!O96,0)+IF($S201&lt;&gt;0,'Técnicas de Ki'!P96,0)+IF($T201&lt;&gt;0,'Técnicas de Ki'!Q96,0)),0))</f>
        <v>0</v>
      </c>
      <c r="AB201" s="538">
        <f>IF('Técnicas de Ki'!B96=0,0,IFERROR(IF('Técnicas de Ki'!L96&lt;&gt;0,'Técnicas de Ki'!L96+TS!$O201,0)*$O201/$O201,0))</f>
        <v>0</v>
      </c>
      <c r="AC201" s="538">
        <f>IF('Técnicas de Ki'!B96=0,0,IFERROR(IF('Técnicas de Ki'!M96&lt;&gt;0,'Técnicas de Ki'!M96+TS!$P201,0)*$P201/$P201,0))</f>
        <v>0</v>
      </c>
      <c r="AD201" s="538">
        <f>IF('Técnicas de Ki'!B96=0,0,IFERROR(IF('Técnicas de Ki'!N96&lt;&gt;0,'Técnicas de Ki'!N96+TS!$Q201,0)*$Q201/$Q201,0))</f>
        <v>0</v>
      </c>
      <c r="AE201" s="538">
        <f>IF('Técnicas de Ki'!B96=0,0,IFERROR(IF('Técnicas de Ki'!O96&lt;&gt;0,'Técnicas de Ki'!O96+TS!$R201,0)*$R201/$R201,0))</f>
        <v>0</v>
      </c>
      <c r="AF201" s="538">
        <f>IF('Técnicas de Ki'!B96=0,0,IFERROR(IF('Técnicas de Ki'!P96&lt;&gt;0,'Técnicas de Ki'!P96+TS!$S201,0)*$S201/$S201,0))</f>
        <v>0</v>
      </c>
      <c r="AG201" s="539">
        <f>IF('Técnicas de Ki'!B96=0,0,IFERROR(IF('Técnicas de Ki'!Q96&lt;&gt;0,'Técnicas de Ki'!Q96+TS!$T201,0)*$T201/$T201,0))</f>
        <v>0</v>
      </c>
      <c r="AI201" s="571" t="str">
        <f>IF('Técnicas de Ki'!B104&lt;&gt;0,'Técnicas de Ki'!A104&amp;" "&amp;'Técnicas de Ki'!B104,"")</f>
        <v/>
      </c>
      <c r="AJ201" s="302" t="b">
        <f t="shared" si="41"/>
        <v>0</v>
      </c>
      <c r="AK201" s="302" t="str">
        <f t="shared" si="37"/>
        <v/>
      </c>
      <c r="AQ201" s="537">
        <f>IF('Técnicas de Ki'!W96=0,0,IF('Técnicas de Ki'!AD96=TS!AQ$119,'Técnicas de Ki'!X96-(IF($O201&lt;&gt;0,'Técnicas de Ki'!AG96,0)+IF($P201&lt;&gt;0,'Técnicas de Ki'!AH96,0)+IF($Q201&lt;&gt;0,'Técnicas de Ki'!AI96,0)+IF($R201&lt;&gt;0,'Técnicas de Ki'!AJ96,0)+IF($S201&lt;&gt;0,'Técnicas de Ki'!AK96,0)+IF($T201&lt;&gt;0,'Técnicas de Ki'!AL96,0)),0))</f>
        <v>0</v>
      </c>
      <c r="AR201" s="538">
        <f>IF('Técnicas de Ki'!W96=0,0,IF('Técnicas de Ki'!AD96=TS!AR$119,'Técnicas de Ki'!X96-(IF($O201&lt;&gt;0,'Técnicas de Ki'!AG96,0)+IF($P201&lt;&gt;0,'Técnicas de Ki'!AH96,0)+IF($Q201&lt;&gt;0,'Técnicas de Ki'!AI96,0)+IF($R201&lt;&gt;0,'Técnicas de Ki'!AJ96,0)+IF($S201&lt;&gt;0,'Técnicas de Ki'!AK96,0)+IF($T201&lt;&gt;0,'Técnicas de Ki'!AL96,0)),0))</f>
        <v>0</v>
      </c>
      <c r="AS201" s="538">
        <f>IF('Técnicas de Ki'!W96=0,0,IF('Técnicas de Ki'!AD96=TS!AS$119,'Técnicas de Ki'!X96-(IF($O201&lt;&gt;0,'Técnicas de Ki'!AG96,0)+IF($P201&lt;&gt;0,'Técnicas de Ki'!AH96,0)+IF($Q201&lt;&gt;0,'Técnicas de Ki'!AI96,0)+IF($R201&lt;&gt;0,'Técnicas de Ki'!AJ96,0)+IF($S201&lt;&gt;0,'Técnicas de Ki'!AK96,0)+IF($T201&lt;&gt;0,'Técnicas de Ki'!AL96,0)),0))</f>
        <v>0</v>
      </c>
      <c r="AT201" s="538">
        <f>IF('Técnicas de Ki'!W96=0,0,IF('Técnicas de Ki'!AD96=TS!AT$119,'Técnicas de Ki'!X96-(IF($O201&lt;&gt;0,'Técnicas de Ki'!AG96,0)+IF($P201&lt;&gt;0,'Técnicas de Ki'!AH96,0)+IF($Q201&lt;&gt;0,'Técnicas de Ki'!AI96,0)+IF($R201&lt;&gt;0,'Técnicas de Ki'!AJ96,0)+IF($S201&lt;&gt;0,'Técnicas de Ki'!AK96,0)+IF($T201&lt;&gt;0,'Técnicas de Ki'!AL96,0)),0))</f>
        <v>0</v>
      </c>
      <c r="AU201" s="538">
        <f>IF('Técnicas de Ki'!W96=0,0,IF('Técnicas de Ki'!AD96=TS!AU$119,'Técnicas de Ki'!X96-(IF($O201&lt;&gt;0,'Técnicas de Ki'!AG96,0)+IF($P201&lt;&gt;0,'Técnicas de Ki'!AH96,0)+IF($Q201&lt;&gt;0,'Técnicas de Ki'!AI96,0)+IF($R201&lt;&gt;0,'Técnicas de Ki'!AJ96,0)+IF($S201&lt;&gt;0,'Técnicas de Ki'!AK96,0)+IF($T201&lt;&gt;0,'Técnicas de Ki'!AL96,0)),0))</f>
        <v>0</v>
      </c>
      <c r="AV201" s="539">
        <f>IF('Técnicas de Ki'!W96=0,0,IF('Técnicas de Ki'!AD96=TS!AV$119,'Técnicas de Ki'!X96-(IF($O201&lt;&gt;0,'Técnicas de Ki'!AG96,0)+IF($P201&lt;&gt;0,'Técnicas de Ki'!AH96,0)+IF($Q201&lt;&gt;0,'Técnicas de Ki'!AI96,0)+IF($R201&lt;&gt;0,'Técnicas de Ki'!AJ96,0)+IF($S201&lt;&gt;0,'Técnicas de Ki'!AK96,0)+IF($T201&lt;&gt;0,'Técnicas de Ki'!AL96,0)),0))</f>
        <v>0</v>
      </c>
      <c r="AW201" s="538">
        <f>IF('Técnicas de Ki'!W96=0,0,IFERROR(IF('Técnicas de Ki'!AG96&lt;&gt;0,'Técnicas de Ki'!AG96+TS!$O201,0)*$O201/$O201,0))</f>
        <v>0</v>
      </c>
      <c r="AX201" s="538">
        <f>IF('Técnicas de Ki'!W96=0,0,IFERROR(IF('Técnicas de Ki'!AH96&lt;&gt;0,'Técnicas de Ki'!AH96+TS!$P201,0)*$P201/$P201,0))</f>
        <v>0</v>
      </c>
      <c r="AY201" s="538">
        <f>IF('Técnicas de Ki'!W96=0,0,IFERROR(IF('Técnicas de Ki'!AI96&lt;&gt;0,'Técnicas de Ki'!AI96+TS!$Q201,0)*$Q201/$Q201,0))</f>
        <v>0</v>
      </c>
      <c r="AZ201" s="538">
        <f>IF('Técnicas de Ki'!W96=0,0,IFERROR(IF('Técnicas de Ki'!AJ96&lt;&gt;0,'Técnicas de Ki'!AJ96+TS!$R201,0)*$R201/$R201,0))</f>
        <v>0</v>
      </c>
      <c r="BA201" s="538">
        <f>IF('Técnicas de Ki'!W96=0,0,IFERROR(IF('Técnicas de Ki'!AK96&lt;&gt;0,'Técnicas de Ki'!AK96+TS!$S201,0)*$S201/$S201,0))</f>
        <v>0</v>
      </c>
      <c r="BB201" s="539">
        <f>IF('Técnicas de Ki'!W96=0,0,IFERROR(IF('Técnicas de Ki'!AL96&lt;&gt;0,'Técnicas de Ki'!AL96+TS!$T201,0)*$T201/$T201,0))</f>
        <v>0</v>
      </c>
      <c r="BD201" s="571" t="str">
        <f>IF('Técnicas de Ki'!W104&lt;&gt;0,'Técnicas de Ki'!V104&amp;" "&amp;'Técnicas de Ki'!W104,"")</f>
        <v/>
      </c>
      <c r="BE201" s="302" t="b">
        <f t="shared" si="34"/>
        <v>0</v>
      </c>
      <c r="BF201" s="302" t="str">
        <f t="shared" si="38"/>
        <v/>
      </c>
      <c r="BL201" s="537">
        <f>IF('Técnicas de Ki'!AR96=0,0,IF('Técnicas de Ki'!AY96=TS!BL$119,'Técnicas de Ki'!AS96-(IF($O201&lt;&gt;0,'Técnicas de Ki'!BB96,0)+IF($P201&lt;&gt;0,'Técnicas de Ki'!BC96,0)+IF($Q201&lt;&gt;0,'Técnicas de Ki'!BD96,0)+IF($R201&lt;&gt;0,'Técnicas de Ki'!BE96,0)+IF($S201&lt;&gt;0,'Técnicas de Ki'!BF96,0)+IF($T201&lt;&gt;0,'Técnicas de Ki'!BG96,0)),0))</f>
        <v>0</v>
      </c>
      <c r="BM201" s="538">
        <f>IF('Técnicas de Ki'!AR96=0,0,IF('Técnicas de Ki'!AY96=TS!BM$119,'Técnicas de Ki'!AS96-(IF($O201&lt;&gt;0,'Técnicas de Ki'!BB96,0)+IF($P201&lt;&gt;0,'Técnicas de Ki'!BC96,0)+IF($Q201&lt;&gt;0,'Técnicas de Ki'!BD96,0)+IF($R201&lt;&gt;0,'Técnicas de Ki'!BE96,0)+IF($S201&lt;&gt;0,'Técnicas de Ki'!BF96,0)+IF($T201&lt;&gt;0,'Técnicas de Ki'!BG96,0)),0))</f>
        <v>0</v>
      </c>
      <c r="BN201" s="538">
        <f>IF('Técnicas de Ki'!AR96=0,0,IF('Técnicas de Ki'!AY96=TS!BN$119,'Técnicas de Ki'!AS96-(IF($O201&lt;&gt;0,'Técnicas de Ki'!BB96,0)+IF($P201&lt;&gt;0,'Técnicas de Ki'!BC96,0)+IF($Q201&lt;&gt;0,'Técnicas de Ki'!BD96,0)+IF($R201&lt;&gt;0,'Técnicas de Ki'!BE96,0)+IF($S201&lt;&gt;0,'Técnicas de Ki'!BF96,0)+IF($T201&lt;&gt;0,'Técnicas de Ki'!BG96,0)),0))</f>
        <v>0</v>
      </c>
      <c r="BO201" s="538">
        <f>IF('Técnicas de Ki'!AR96=0,0,IF('Técnicas de Ki'!AY96=TS!BO$119,'Técnicas de Ki'!AS96-(IF($O201&lt;&gt;0,'Técnicas de Ki'!BB96,0)+IF($P201&lt;&gt;0,'Técnicas de Ki'!BC96,0)+IF($Q201&lt;&gt;0,'Técnicas de Ki'!BD96,0)+IF($R201&lt;&gt;0,'Técnicas de Ki'!BE96,0)+IF($S201&lt;&gt;0,'Técnicas de Ki'!BF96,0)+IF($T201&lt;&gt;0,'Técnicas de Ki'!BG96,0)),0))</f>
        <v>0</v>
      </c>
      <c r="BP201" s="538">
        <f>IF('Técnicas de Ki'!AR96=0,0,IF('Técnicas de Ki'!AY96=TS!BP$119,'Técnicas de Ki'!AS96-(IF($O201&lt;&gt;0,'Técnicas de Ki'!BB96,0)+IF($P201&lt;&gt;0,'Técnicas de Ki'!BC96,0)+IF($Q201&lt;&gt;0,'Técnicas de Ki'!BD96,0)+IF($R201&lt;&gt;0,'Técnicas de Ki'!BE96,0)+IF($S201&lt;&gt;0,'Técnicas de Ki'!BF96,0)+IF($T201&lt;&gt;0,'Técnicas de Ki'!BG96,0)),0))</f>
        <v>0</v>
      </c>
      <c r="BQ201" s="539">
        <f>IF('Técnicas de Ki'!AR96=0,0,IF('Técnicas de Ki'!AY96=TS!BQ$119,'Técnicas de Ki'!AS96-(IF($O201&lt;&gt;0,'Técnicas de Ki'!BB96,0)+IF($P201&lt;&gt;0,'Técnicas de Ki'!BC96,0)+IF($Q201&lt;&gt;0,'Técnicas de Ki'!BD96,0)+IF($R201&lt;&gt;0,'Técnicas de Ki'!BE96,0)+IF($S201&lt;&gt;0,'Técnicas de Ki'!BF96,0)+IF($T201&lt;&gt;0,'Técnicas de Ki'!BG96,0)),0))</f>
        <v>0</v>
      </c>
      <c r="BR201" s="538">
        <f>IF('Técnicas de Ki'!AR96=0,0,IFERROR(IF('Técnicas de Ki'!BB96&lt;&gt;0,'Técnicas de Ki'!BB96+TS!$O201,0)*$O201/$O201,0))</f>
        <v>0</v>
      </c>
      <c r="BS201" s="538">
        <f>IF('Técnicas de Ki'!AR96=0,0,IFERROR(IF('Técnicas de Ki'!BC96&lt;&gt;0,'Técnicas de Ki'!BC96+TS!$P201,0)*$P201/$P201,0))</f>
        <v>0</v>
      </c>
      <c r="BT201" s="538">
        <f>IF('Técnicas de Ki'!AR96=0,0,IFERROR(IF('Técnicas de Ki'!BD96&lt;&gt;0,'Técnicas de Ki'!BD96+TS!$Q201,0)*$Q201/$Q201,0))</f>
        <v>0</v>
      </c>
      <c r="BU201" s="538">
        <f>IF('Técnicas de Ki'!AR96=0,0,IFERROR(IF('Técnicas de Ki'!BE96&lt;&gt;0,'Técnicas de Ki'!BE96+TS!$R201,0)*$R201/$R201,0))</f>
        <v>0</v>
      </c>
      <c r="BV201" s="538">
        <f>IF('Técnicas de Ki'!AR96=0,0,IFERROR(IF('Técnicas de Ki'!BF96&lt;&gt;0,'Técnicas de Ki'!BF96+TS!$S201,0)*$S201/$S201,0))</f>
        <v>0</v>
      </c>
      <c r="BW201" s="539">
        <f>IF('Técnicas de Ki'!AR96=0,0,IFERROR(IF('Técnicas de Ki'!BG96&lt;&gt;0,'Técnicas de Ki'!BG96+TS!$T201,0)*$T201/$T201,0))</f>
        <v>0</v>
      </c>
      <c r="BY201" s="571" t="str">
        <f>IF('Técnicas de Ki'!AR104&lt;&gt;0,'Técnicas de Ki'!AQ104&amp;" "&amp;'Técnicas de Ki'!AR104,"")</f>
        <v/>
      </c>
      <c r="BZ201" s="302" t="b">
        <f t="shared" si="35"/>
        <v>0</v>
      </c>
      <c r="CA201" s="302" t="str">
        <f t="shared" si="39"/>
        <v/>
      </c>
      <c r="CG201" s="537">
        <f>IF('Técnicas de Ki'!BM96=0,0,IF('Técnicas de Ki'!BT96=TS!CG$119,'Técnicas de Ki'!BN96-(IF($O201&lt;&gt;0,'Técnicas de Ki'!BW96,0)+IF($P201&lt;&gt;0,'Técnicas de Ki'!BX96,0)+IF($Q201&lt;&gt;0,'Técnicas de Ki'!BY96,0)+IF($R201&lt;&gt;0,'Técnicas de Ki'!BZ96,0)+IF($S201&lt;&gt;0,'Técnicas de Ki'!CA96,0)+IF($T201&lt;&gt;0,'Técnicas de Ki'!CB96,0)),0))</f>
        <v>0</v>
      </c>
      <c r="CH201" s="538">
        <f>IF('Técnicas de Ki'!BM96=0,0,IF('Técnicas de Ki'!BT96=TS!CH$119,'Técnicas de Ki'!BN96-(IF($O201&lt;&gt;0,'Técnicas de Ki'!BW96,0)+IF($P201&lt;&gt;0,'Técnicas de Ki'!BX96,0)+IF($Q201&lt;&gt;0,'Técnicas de Ki'!BY96,0)+IF($R201&lt;&gt;0,'Técnicas de Ki'!BZ96,0)+IF($S201&lt;&gt;0,'Técnicas de Ki'!CA96,0)+IF($T201&lt;&gt;0,'Técnicas de Ki'!CB96,0)),0))</f>
        <v>0</v>
      </c>
      <c r="CI201" s="538">
        <f>IF('Técnicas de Ki'!BM96=0,0,IF('Técnicas de Ki'!BT96=TS!CI$119,'Técnicas de Ki'!BN96-(IF($O201&lt;&gt;0,'Técnicas de Ki'!BW96,0)+IF($P201&lt;&gt;0,'Técnicas de Ki'!BX96,0)+IF($Q201&lt;&gt;0,'Técnicas de Ki'!BY96,0)+IF($R201&lt;&gt;0,'Técnicas de Ki'!BZ96,0)+IF($S201&lt;&gt;0,'Técnicas de Ki'!CA96,0)+IF($T201&lt;&gt;0,'Técnicas de Ki'!CB96,0)),0))</f>
        <v>0</v>
      </c>
      <c r="CJ201" s="538">
        <f>IF('Técnicas de Ki'!BM96=0,0,IF('Técnicas de Ki'!BT96=TS!CJ$119,'Técnicas de Ki'!BN96-(IF($O201&lt;&gt;0,'Técnicas de Ki'!BW96,0)+IF($P201&lt;&gt;0,'Técnicas de Ki'!BX96,0)+IF($Q201&lt;&gt;0,'Técnicas de Ki'!BY96,0)+IF($R201&lt;&gt;0,'Técnicas de Ki'!BZ96,0)+IF($S201&lt;&gt;0,'Técnicas de Ki'!CA96,0)+IF($T201&lt;&gt;0,'Técnicas de Ki'!CB96,0)),0))</f>
        <v>0</v>
      </c>
      <c r="CK201" s="538">
        <f>IF('Técnicas de Ki'!BM96=0,0,IF('Técnicas de Ki'!BT96=TS!CK$119,'Técnicas de Ki'!BN96-(IF($O201&lt;&gt;0,'Técnicas de Ki'!BW96,0)+IF($P201&lt;&gt;0,'Técnicas de Ki'!BX96,0)+IF($Q201&lt;&gt;0,'Técnicas de Ki'!BY96,0)+IF($R201&lt;&gt;0,'Técnicas de Ki'!BZ96,0)+IF($S201&lt;&gt;0,'Técnicas de Ki'!CA96,0)+IF($T201&lt;&gt;0,'Técnicas de Ki'!CB96,0)),0))</f>
        <v>0</v>
      </c>
      <c r="CL201" s="539">
        <f>IF('Técnicas de Ki'!BM96=0,0,IF('Técnicas de Ki'!BT96=TS!CL$119,'Técnicas de Ki'!BN96-(IF($O201&lt;&gt;0,'Técnicas de Ki'!BW96,0)+IF($P201&lt;&gt;0,'Técnicas de Ki'!BX96,0)+IF($Q201&lt;&gt;0,'Técnicas de Ki'!BY96,0)+IF($R201&lt;&gt;0,'Técnicas de Ki'!BZ96,0)+IF($S201&lt;&gt;0,'Técnicas de Ki'!CA96,0)+IF($T201&lt;&gt;0,'Técnicas de Ki'!CB96,0)),0))</f>
        <v>0</v>
      </c>
      <c r="CM201" s="538">
        <f>IF('Técnicas de Ki'!BM96=0,0,IFERROR(IF('Técnicas de Ki'!BW96&lt;&gt;0,'Técnicas de Ki'!BW96+TS!$O201,0)*$O201/$O201,0))</f>
        <v>0</v>
      </c>
      <c r="CN201" s="538">
        <f>IF('Técnicas de Ki'!BM96=0,0,IFERROR(IF('Técnicas de Ki'!BX96&lt;&gt;0,'Técnicas de Ki'!BX96+TS!$P201,0)*$P201/$P201,0))</f>
        <v>0</v>
      </c>
      <c r="CO201" s="538">
        <f>IF('Técnicas de Ki'!BM96=0,0,IFERROR(IF('Técnicas de Ki'!BY96&lt;&gt;0,'Técnicas de Ki'!BY96+TS!$Q201,0)*$Q201/$Q201,0))</f>
        <v>0</v>
      </c>
      <c r="CP201" s="538">
        <f>IF('Técnicas de Ki'!BM96=0,0,IFERROR(IF('Técnicas de Ki'!BZ96&lt;&gt;0,'Técnicas de Ki'!BZ96+TS!$R201,0)*$R201/$R201,0))</f>
        <v>0</v>
      </c>
      <c r="CQ201" s="538">
        <f>IF('Técnicas de Ki'!BM96=0,0,IFERROR(IF('Técnicas de Ki'!CA96&lt;&gt;0,'Técnicas de Ki'!CA96+TS!$S201,0)*$S201/$S201,0))</f>
        <v>0</v>
      </c>
      <c r="CR201" s="539">
        <f>IF('Técnicas de Ki'!BM96=0,0,IFERROR(IF('Técnicas de Ki'!CB96&lt;&gt;0,'Técnicas de Ki'!CB96+TS!$T201,0)*$T201/$T201,0))</f>
        <v>0</v>
      </c>
      <c r="CT201" s="571" t="str">
        <f>IF('Técnicas de Ki'!BM104&lt;&gt;0,'Técnicas de Ki'!BL104&amp;" "&amp;'Técnicas de Ki'!BM104,"")</f>
        <v/>
      </c>
      <c r="CU201" s="302" t="b">
        <f t="shared" si="36"/>
        <v>0</v>
      </c>
      <c r="CV201" s="302" t="str">
        <f t="shared" si="40"/>
        <v/>
      </c>
    </row>
    <row r="202" spans="1:100" x14ac:dyDescent="0.2">
      <c r="A202" s="302" t="s">
        <v>6869</v>
      </c>
      <c r="B202" s="301" t="s">
        <v>6802</v>
      </c>
      <c r="C202" s="301" t="str">
        <f t="shared" si="42"/>
        <v>Accion Adicional+3</v>
      </c>
      <c r="D202" s="302">
        <v>3</v>
      </c>
      <c r="E202" s="302">
        <v>5</v>
      </c>
      <c r="F202" s="302">
        <v>10</v>
      </c>
      <c r="G202" s="302">
        <v>3</v>
      </c>
      <c r="H202" s="302">
        <v>6</v>
      </c>
      <c r="I202" s="302">
        <v>11</v>
      </c>
      <c r="J202" s="302">
        <v>1</v>
      </c>
      <c r="N202" t="s">
        <v>6978</v>
      </c>
      <c r="P202" s="302">
        <v>2</v>
      </c>
      <c r="Q202" s="302">
        <v>3</v>
      </c>
      <c r="R202" s="302">
        <v>3</v>
      </c>
      <c r="T202" s="302">
        <v>1</v>
      </c>
      <c r="V202" s="537">
        <f>IF('Técnicas de Ki'!B97=0,0,IF('Técnicas de Ki'!I97=TS!V$119,'Técnicas de Ki'!C97-(IF($O202&lt;&gt;0,'Técnicas de Ki'!L97,0)+IF($P202&lt;&gt;0,'Técnicas de Ki'!M97,0)+IF($Q202&lt;&gt;0,'Técnicas de Ki'!N97,0)+IF($R202&lt;&gt;0,'Técnicas de Ki'!O97,0)+IF($S202&lt;&gt;0,'Técnicas de Ki'!P97,0)+IF($T202&lt;&gt;0,'Técnicas de Ki'!Q97,0)),0))</f>
        <v>0</v>
      </c>
      <c r="W202" s="538">
        <f>IF('Técnicas de Ki'!B97=0,0,IF('Técnicas de Ki'!I97=TS!W$119,'Técnicas de Ki'!C97-(IF($O202&lt;&gt;0,'Técnicas de Ki'!L97,0)+IF($P202&lt;&gt;0,'Técnicas de Ki'!M97,0)+IF($Q202&lt;&gt;0,'Técnicas de Ki'!N97,0)+IF($R202&lt;&gt;0,'Técnicas de Ki'!O97,0)+IF($S202&lt;&gt;0,'Técnicas de Ki'!P97,0)+IF($T202&lt;&gt;0,'Técnicas de Ki'!Q97,0)),0))</f>
        <v>0</v>
      </c>
      <c r="X202" s="538">
        <f>IF('Técnicas de Ki'!B97=0,0,IF('Técnicas de Ki'!I97=TS!X$119,'Técnicas de Ki'!C97-(IF($O202&lt;&gt;0,'Técnicas de Ki'!L97,0)+IF($P202&lt;&gt;0,'Técnicas de Ki'!M97,0)+IF($Q202&lt;&gt;0,'Técnicas de Ki'!N97,0)+IF($R202&lt;&gt;0,'Técnicas de Ki'!O97,0)+IF($S202&lt;&gt;0,'Técnicas de Ki'!P97,0)+IF($T202&lt;&gt;0,'Técnicas de Ki'!Q97,0)),0))</f>
        <v>0</v>
      </c>
      <c r="Y202" s="538">
        <f>IF('Técnicas de Ki'!B97=0,0,IF('Técnicas de Ki'!I97=TS!Y$119,'Técnicas de Ki'!C97-(IF($O202&lt;&gt;0,'Técnicas de Ki'!L97,0)+IF($P202&lt;&gt;0,'Técnicas de Ki'!M97,0)+IF($Q202&lt;&gt;0,'Técnicas de Ki'!N97,0)+IF($R202&lt;&gt;0,'Técnicas de Ki'!O97,0)+IF($S202&lt;&gt;0,'Técnicas de Ki'!P97,0)+IF($T202&lt;&gt;0,'Técnicas de Ki'!Q97,0)),0))</f>
        <v>0</v>
      </c>
      <c r="Z202" s="538">
        <f>IF('Técnicas de Ki'!B97=0,0,IF('Técnicas de Ki'!I97=TS!Z$119,'Técnicas de Ki'!C97-(IF($O202&lt;&gt;0,'Técnicas de Ki'!L97,0)+IF($P202&lt;&gt;0,'Técnicas de Ki'!M97,0)+IF($Q202&lt;&gt;0,'Técnicas de Ki'!N97,0)+IF($R202&lt;&gt;0,'Técnicas de Ki'!O97,0)+IF($S202&lt;&gt;0,'Técnicas de Ki'!P97,0)+IF($T202&lt;&gt;0,'Técnicas de Ki'!Q97,0)),0))</f>
        <v>0</v>
      </c>
      <c r="AA202" s="539">
        <f>IF('Técnicas de Ki'!B97=0,0,IF('Técnicas de Ki'!I97=TS!AA$119,'Técnicas de Ki'!C97-(IF($O202&lt;&gt;0,'Técnicas de Ki'!L97,0)+IF($P202&lt;&gt;0,'Técnicas de Ki'!M97,0)+IF($Q202&lt;&gt;0,'Técnicas de Ki'!N97,0)+IF($R202&lt;&gt;0,'Técnicas de Ki'!O97,0)+IF($S202&lt;&gt;0,'Técnicas de Ki'!P97,0)+IF($T202&lt;&gt;0,'Técnicas de Ki'!Q97,0)),0))</f>
        <v>0</v>
      </c>
      <c r="AB202" s="538">
        <f>IF('Técnicas de Ki'!B97=0,0,IFERROR(IF('Técnicas de Ki'!L97&lt;&gt;0,'Técnicas de Ki'!L97+TS!$O202,0)*$O202/$O202,0))</f>
        <v>0</v>
      </c>
      <c r="AC202" s="538">
        <f>IF('Técnicas de Ki'!B97=0,0,IFERROR(IF('Técnicas de Ki'!M97&lt;&gt;0,'Técnicas de Ki'!M97+TS!$P202,0)*$P202/$P202,0))</f>
        <v>0</v>
      </c>
      <c r="AD202" s="538">
        <f>IF('Técnicas de Ki'!B97=0,0,IFERROR(IF('Técnicas de Ki'!N97&lt;&gt;0,'Técnicas de Ki'!N97+TS!$Q202,0)*$Q202/$Q202,0))</f>
        <v>0</v>
      </c>
      <c r="AE202" s="538">
        <f>IF('Técnicas de Ki'!B97=0,0,IFERROR(IF('Técnicas de Ki'!O97&lt;&gt;0,'Técnicas de Ki'!O97+TS!$R202,0)*$R202/$R202,0))</f>
        <v>0</v>
      </c>
      <c r="AF202" s="538">
        <f>IF('Técnicas de Ki'!B97=0,0,IFERROR(IF('Técnicas de Ki'!P97&lt;&gt;0,'Técnicas de Ki'!P97+TS!$S202,0)*$S202/$S202,0))</f>
        <v>0</v>
      </c>
      <c r="AG202" s="539">
        <f>IF('Técnicas de Ki'!B97=0,0,IFERROR(IF('Técnicas de Ki'!Q97&lt;&gt;0,'Técnicas de Ki'!Q97+TS!$T202,0)*$T202/$T202,0))</f>
        <v>0</v>
      </c>
      <c r="AI202" s="571" t="str">
        <f>IF('Técnicas de Ki'!B105&lt;&gt;0,'Técnicas de Ki'!A105&amp;" "&amp;'Técnicas de Ki'!B105,"")</f>
        <v/>
      </c>
      <c r="AJ202" s="302" t="b">
        <f t="shared" si="41"/>
        <v>0</v>
      </c>
      <c r="AK202" s="302" t="str">
        <f t="shared" si="37"/>
        <v/>
      </c>
      <c r="AQ202" s="537">
        <f>IF('Técnicas de Ki'!W97=0,0,IF('Técnicas de Ki'!AD97=TS!AQ$119,'Técnicas de Ki'!X97-(IF($O202&lt;&gt;0,'Técnicas de Ki'!AG97,0)+IF($P202&lt;&gt;0,'Técnicas de Ki'!AH97,0)+IF($Q202&lt;&gt;0,'Técnicas de Ki'!AI97,0)+IF($R202&lt;&gt;0,'Técnicas de Ki'!AJ97,0)+IF($S202&lt;&gt;0,'Técnicas de Ki'!AK97,0)+IF($T202&lt;&gt;0,'Técnicas de Ki'!AL97,0)),0))</f>
        <v>0</v>
      </c>
      <c r="AR202" s="538">
        <f>IF('Técnicas de Ki'!W97=0,0,IF('Técnicas de Ki'!AD97=TS!AR$119,'Técnicas de Ki'!X97-(IF($O202&lt;&gt;0,'Técnicas de Ki'!AG97,0)+IF($P202&lt;&gt;0,'Técnicas de Ki'!AH97,0)+IF($Q202&lt;&gt;0,'Técnicas de Ki'!AI97,0)+IF($R202&lt;&gt;0,'Técnicas de Ki'!AJ97,0)+IF($S202&lt;&gt;0,'Técnicas de Ki'!AK97,0)+IF($T202&lt;&gt;0,'Técnicas de Ki'!AL97,0)),0))</f>
        <v>0</v>
      </c>
      <c r="AS202" s="538">
        <f>IF('Técnicas de Ki'!W97=0,0,IF('Técnicas de Ki'!AD97=TS!AS$119,'Técnicas de Ki'!X97-(IF($O202&lt;&gt;0,'Técnicas de Ki'!AG97,0)+IF($P202&lt;&gt;0,'Técnicas de Ki'!AH97,0)+IF($Q202&lt;&gt;0,'Técnicas de Ki'!AI97,0)+IF($R202&lt;&gt;0,'Técnicas de Ki'!AJ97,0)+IF($S202&lt;&gt;0,'Técnicas de Ki'!AK97,0)+IF($T202&lt;&gt;0,'Técnicas de Ki'!AL97,0)),0))</f>
        <v>0</v>
      </c>
      <c r="AT202" s="538">
        <f>IF('Técnicas de Ki'!W97=0,0,IF('Técnicas de Ki'!AD97=TS!AT$119,'Técnicas de Ki'!X97-(IF($O202&lt;&gt;0,'Técnicas de Ki'!AG97,0)+IF($P202&lt;&gt;0,'Técnicas de Ki'!AH97,0)+IF($Q202&lt;&gt;0,'Técnicas de Ki'!AI97,0)+IF($R202&lt;&gt;0,'Técnicas de Ki'!AJ97,0)+IF($S202&lt;&gt;0,'Técnicas de Ki'!AK97,0)+IF($T202&lt;&gt;0,'Técnicas de Ki'!AL97,0)),0))</f>
        <v>0</v>
      </c>
      <c r="AU202" s="538">
        <f>IF('Técnicas de Ki'!W97=0,0,IF('Técnicas de Ki'!AD97=TS!AU$119,'Técnicas de Ki'!X97-(IF($O202&lt;&gt;0,'Técnicas de Ki'!AG97,0)+IF($P202&lt;&gt;0,'Técnicas de Ki'!AH97,0)+IF($Q202&lt;&gt;0,'Técnicas de Ki'!AI97,0)+IF($R202&lt;&gt;0,'Técnicas de Ki'!AJ97,0)+IF($S202&lt;&gt;0,'Técnicas de Ki'!AK97,0)+IF($T202&lt;&gt;0,'Técnicas de Ki'!AL97,0)),0))</f>
        <v>0</v>
      </c>
      <c r="AV202" s="539">
        <f>IF('Técnicas de Ki'!W97=0,0,IF('Técnicas de Ki'!AD97=TS!AV$119,'Técnicas de Ki'!X97-(IF($O202&lt;&gt;0,'Técnicas de Ki'!AG97,0)+IF($P202&lt;&gt;0,'Técnicas de Ki'!AH97,0)+IF($Q202&lt;&gt;0,'Técnicas de Ki'!AI97,0)+IF($R202&lt;&gt;0,'Técnicas de Ki'!AJ97,0)+IF($S202&lt;&gt;0,'Técnicas de Ki'!AK97,0)+IF($T202&lt;&gt;0,'Técnicas de Ki'!AL97,0)),0))</f>
        <v>0</v>
      </c>
      <c r="AW202" s="538">
        <f>IF('Técnicas de Ki'!W97=0,0,IFERROR(IF('Técnicas de Ki'!AG97&lt;&gt;0,'Técnicas de Ki'!AG97+TS!$O202,0)*$O202/$O202,0))</f>
        <v>0</v>
      </c>
      <c r="AX202" s="538">
        <f>IF('Técnicas de Ki'!W97=0,0,IFERROR(IF('Técnicas de Ki'!AH97&lt;&gt;0,'Técnicas de Ki'!AH97+TS!$P202,0)*$P202/$P202,0))</f>
        <v>0</v>
      </c>
      <c r="AY202" s="538">
        <f>IF('Técnicas de Ki'!W97=0,0,IFERROR(IF('Técnicas de Ki'!AI97&lt;&gt;0,'Técnicas de Ki'!AI97+TS!$Q202,0)*$Q202/$Q202,0))</f>
        <v>0</v>
      </c>
      <c r="AZ202" s="538">
        <f>IF('Técnicas de Ki'!W97=0,0,IFERROR(IF('Técnicas de Ki'!AJ97&lt;&gt;0,'Técnicas de Ki'!AJ97+TS!$R202,0)*$R202/$R202,0))</f>
        <v>0</v>
      </c>
      <c r="BA202" s="538">
        <f>IF('Técnicas de Ki'!W97=0,0,IFERROR(IF('Técnicas de Ki'!AK97&lt;&gt;0,'Técnicas de Ki'!AK97+TS!$S202,0)*$S202/$S202,0))</f>
        <v>0</v>
      </c>
      <c r="BB202" s="539">
        <f>IF('Técnicas de Ki'!W97=0,0,IFERROR(IF('Técnicas de Ki'!AL97&lt;&gt;0,'Técnicas de Ki'!AL97+TS!$T202,0)*$T202/$T202,0))</f>
        <v>0</v>
      </c>
      <c r="BD202" s="571" t="str">
        <f>IF('Técnicas de Ki'!W105&lt;&gt;0,'Técnicas de Ki'!V105&amp;" "&amp;'Técnicas de Ki'!W105,"")</f>
        <v/>
      </c>
      <c r="BE202" s="302" t="b">
        <f t="shared" si="34"/>
        <v>0</v>
      </c>
      <c r="BF202" s="302" t="str">
        <f t="shared" si="38"/>
        <v/>
      </c>
      <c r="BL202" s="537">
        <f>IF('Técnicas de Ki'!AR97=0,0,IF('Técnicas de Ki'!AY97=TS!BL$119,'Técnicas de Ki'!AS97-(IF($O202&lt;&gt;0,'Técnicas de Ki'!BB97,0)+IF($P202&lt;&gt;0,'Técnicas de Ki'!BC97,0)+IF($Q202&lt;&gt;0,'Técnicas de Ki'!BD97,0)+IF($R202&lt;&gt;0,'Técnicas de Ki'!BE97,0)+IF($S202&lt;&gt;0,'Técnicas de Ki'!BF97,0)+IF($T202&lt;&gt;0,'Técnicas de Ki'!BG97,0)),0))</f>
        <v>0</v>
      </c>
      <c r="BM202" s="538">
        <f>IF('Técnicas de Ki'!AR97=0,0,IF('Técnicas de Ki'!AY97=TS!BM$119,'Técnicas de Ki'!AS97-(IF($O202&lt;&gt;0,'Técnicas de Ki'!BB97,0)+IF($P202&lt;&gt;0,'Técnicas de Ki'!BC97,0)+IF($Q202&lt;&gt;0,'Técnicas de Ki'!BD97,0)+IF($R202&lt;&gt;0,'Técnicas de Ki'!BE97,0)+IF($S202&lt;&gt;0,'Técnicas de Ki'!BF97,0)+IF($T202&lt;&gt;0,'Técnicas de Ki'!BG97,0)),0))</f>
        <v>0</v>
      </c>
      <c r="BN202" s="538">
        <f>IF('Técnicas de Ki'!AR97=0,0,IF('Técnicas de Ki'!AY97=TS!BN$119,'Técnicas de Ki'!AS97-(IF($O202&lt;&gt;0,'Técnicas de Ki'!BB97,0)+IF($P202&lt;&gt;0,'Técnicas de Ki'!BC97,0)+IF($Q202&lt;&gt;0,'Técnicas de Ki'!BD97,0)+IF($R202&lt;&gt;0,'Técnicas de Ki'!BE97,0)+IF($S202&lt;&gt;0,'Técnicas de Ki'!BF97,0)+IF($T202&lt;&gt;0,'Técnicas de Ki'!BG97,0)),0))</f>
        <v>0</v>
      </c>
      <c r="BO202" s="538">
        <f>IF('Técnicas de Ki'!AR97=0,0,IF('Técnicas de Ki'!AY97=TS!BO$119,'Técnicas de Ki'!AS97-(IF($O202&lt;&gt;0,'Técnicas de Ki'!BB97,0)+IF($P202&lt;&gt;0,'Técnicas de Ki'!BC97,0)+IF($Q202&lt;&gt;0,'Técnicas de Ki'!BD97,0)+IF($R202&lt;&gt;0,'Técnicas de Ki'!BE97,0)+IF($S202&lt;&gt;0,'Técnicas de Ki'!BF97,0)+IF($T202&lt;&gt;0,'Técnicas de Ki'!BG97,0)),0))</f>
        <v>0</v>
      </c>
      <c r="BP202" s="538">
        <f>IF('Técnicas de Ki'!AR97=0,0,IF('Técnicas de Ki'!AY97=TS!BP$119,'Técnicas de Ki'!AS97-(IF($O202&lt;&gt;0,'Técnicas de Ki'!BB97,0)+IF($P202&lt;&gt;0,'Técnicas de Ki'!BC97,0)+IF($Q202&lt;&gt;0,'Técnicas de Ki'!BD97,0)+IF($R202&lt;&gt;0,'Técnicas de Ki'!BE97,0)+IF($S202&lt;&gt;0,'Técnicas de Ki'!BF97,0)+IF($T202&lt;&gt;0,'Técnicas de Ki'!BG97,0)),0))</f>
        <v>0</v>
      </c>
      <c r="BQ202" s="539">
        <f>IF('Técnicas de Ki'!AR97=0,0,IF('Técnicas de Ki'!AY97=TS!BQ$119,'Técnicas de Ki'!AS97-(IF($O202&lt;&gt;0,'Técnicas de Ki'!BB97,0)+IF($P202&lt;&gt;0,'Técnicas de Ki'!BC97,0)+IF($Q202&lt;&gt;0,'Técnicas de Ki'!BD97,0)+IF($R202&lt;&gt;0,'Técnicas de Ki'!BE97,0)+IF($S202&lt;&gt;0,'Técnicas de Ki'!BF97,0)+IF($T202&lt;&gt;0,'Técnicas de Ki'!BG97,0)),0))</f>
        <v>0</v>
      </c>
      <c r="BR202" s="538">
        <f>IF('Técnicas de Ki'!AR97=0,0,IFERROR(IF('Técnicas de Ki'!BB97&lt;&gt;0,'Técnicas de Ki'!BB97+TS!$O202,0)*$O202/$O202,0))</f>
        <v>0</v>
      </c>
      <c r="BS202" s="538">
        <f>IF('Técnicas de Ki'!AR97=0,0,IFERROR(IF('Técnicas de Ki'!BC97&lt;&gt;0,'Técnicas de Ki'!BC97+TS!$P202,0)*$P202/$P202,0))</f>
        <v>0</v>
      </c>
      <c r="BT202" s="538">
        <f>IF('Técnicas de Ki'!AR97=0,0,IFERROR(IF('Técnicas de Ki'!BD97&lt;&gt;0,'Técnicas de Ki'!BD97+TS!$Q202,0)*$Q202/$Q202,0))</f>
        <v>0</v>
      </c>
      <c r="BU202" s="538">
        <f>IF('Técnicas de Ki'!AR97=0,0,IFERROR(IF('Técnicas de Ki'!BE97&lt;&gt;0,'Técnicas de Ki'!BE97+TS!$R202,0)*$R202/$R202,0))</f>
        <v>0</v>
      </c>
      <c r="BV202" s="538">
        <f>IF('Técnicas de Ki'!AR97=0,0,IFERROR(IF('Técnicas de Ki'!BF97&lt;&gt;0,'Técnicas de Ki'!BF97+TS!$S202,0)*$S202/$S202,0))</f>
        <v>0</v>
      </c>
      <c r="BW202" s="539">
        <f>IF('Técnicas de Ki'!AR97=0,0,IFERROR(IF('Técnicas de Ki'!BG97&lt;&gt;0,'Técnicas de Ki'!BG97+TS!$T202,0)*$T202/$T202,0))</f>
        <v>0</v>
      </c>
      <c r="BY202" s="571" t="str">
        <f>IF('Técnicas de Ki'!AR105&lt;&gt;0,'Técnicas de Ki'!AQ105&amp;" "&amp;'Técnicas de Ki'!AR105,"")</f>
        <v/>
      </c>
      <c r="BZ202" s="302" t="b">
        <f t="shared" si="35"/>
        <v>0</v>
      </c>
      <c r="CA202" s="302" t="str">
        <f t="shared" si="39"/>
        <v/>
      </c>
      <c r="CG202" s="537">
        <f>IF('Técnicas de Ki'!BM97=0,0,IF('Técnicas de Ki'!BT97=TS!CG$119,'Técnicas de Ki'!BN97-(IF($O202&lt;&gt;0,'Técnicas de Ki'!BW97,0)+IF($P202&lt;&gt;0,'Técnicas de Ki'!BX97,0)+IF($Q202&lt;&gt;0,'Técnicas de Ki'!BY97,0)+IF($R202&lt;&gt;0,'Técnicas de Ki'!BZ97,0)+IF($S202&lt;&gt;0,'Técnicas de Ki'!CA97,0)+IF($T202&lt;&gt;0,'Técnicas de Ki'!CB97,0)),0))</f>
        <v>0</v>
      </c>
      <c r="CH202" s="538">
        <f>IF('Técnicas de Ki'!BM97=0,0,IF('Técnicas de Ki'!BT97=TS!CH$119,'Técnicas de Ki'!BN97-(IF($O202&lt;&gt;0,'Técnicas de Ki'!BW97,0)+IF($P202&lt;&gt;0,'Técnicas de Ki'!BX97,0)+IF($Q202&lt;&gt;0,'Técnicas de Ki'!BY97,0)+IF($R202&lt;&gt;0,'Técnicas de Ki'!BZ97,0)+IF($S202&lt;&gt;0,'Técnicas de Ki'!CA97,0)+IF($T202&lt;&gt;0,'Técnicas de Ki'!CB97,0)),0))</f>
        <v>0</v>
      </c>
      <c r="CI202" s="538">
        <f>IF('Técnicas de Ki'!BM97=0,0,IF('Técnicas de Ki'!BT97=TS!CI$119,'Técnicas de Ki'!BN97-(IF($O202&lt;&gt;0,'Técnicas de Ki'!BW97,0)+IF($P202&lt;&gt;0,'Técnicas de Ki'!BX97,0)+IF($Q202&lt;&gt;0,'Técnicas de Ki'!BY97,0)+IF($R202&lt;&gt;0,'Técnicas de Ki'!BZ97,0)+IF($S202&lt;&gt;0,'Técnicas de Ki'!CA97,0)+IF($T202&lt;&gt;0,'Técnicas de Ki'!CB97,0)),0))</f>
        <v>0</v>
      </c>
      <c r="CJ202" s="538">
        <f>IF('Técnicas de Ki'!BM97=0,0,IF('Técnicas de Ki'!BT97=TS!CJ$119,'Técnicas de Ki'!BN97-(IF($O202&lt;&gt;0,'Técnicas de Ki'!BW97,0)+IF($P202&lt;&gt;0,'Técnicas de Ki'!BX97,0)+IF($Q202&lt;&gt;0,'Técnicas de Ki'!BY97,0)+IF($R202&lt;&gt;0,'Técnicas de Ki'!BZ97,0)+IF($S202&lt;&gt;0,'Técnicas de Ki'!CA97,0)+IF($T202&lt;&gt;0,'Técnicas de Ki'!CB97,0)),0))</f>
        <v>0</v>
      </c>
      <c r="CK202" s="538">
        <f>IF('Técnicas de Ki'!BM97=0,0,IF('Técnicas de Ki'!BT97=TS!CK$119,'Técnicas de Ki'!BN97-(IF($O202&lt;&gt;0,'Técnicas de Ki'!BW97,0)+IF($P202&lt;&gt;0,'Técnicas de Ki'!BX97,0)+IF($Q202&lt;&gt;0,'Técnicas de Ki'!BY97,0)+IF($R202&lt;&gt;0,'Técnicas de Ki'!BZ97,0)+IF($S202&lt;&gt;0,'Técnicas de Ki'!CA97,0)+IF($T202&lt;&gt;0,'Técnicas de Ki'!CB97,0)),0))</f>
        <v>0</v>
      </c>
      <c r="CL202" s="539">
        <f>IF('Técnicas de Ki'!BM97=0,0,IF('Técnicas de Ki'!BT97=TS!CL$119,'Técnicas de Ki'!BN97-(IF($O202&lt;&gt;0,'Técnicas de Ki'!BW97,0)+IF($P202&lt;&gt;0,'Técnicas de Ki'!BX97,0)+IF($Q202&lt;&gt;0,'Técnicas de Ki'!BY97,0)+IF($R202&lt;&gt;0,'Técnicas de Ki'!BZ97,0)+IF($S202&lt;&gt;0,'Técnicas de Ki'!CA97,0)+IF($T202&lt;&gt;0,'Técnicas de Ki'!CB97,0)),0))</f>
        <v>0</v>
      </c>
      <c r="CM202" s="538">
        <f>IF('Técnicas de Ki'!BM97=0,0,IFERROR(IF('Técnicas de Ki'!BW97&lt;&gt;0,'Técnicas de Ki'!BW97+TS!$O202,0)*$O202/$O202,0))</f>
        <v>0</v>
      </c>
      <c r="CN202" s="538">
        <f>IF('Técnicas de Ki'!BM97=0,0,IFERROR(IF('Técnicas de Ki'!BX97&lt;&gt;0,'Técnicas de Ki'!BX97+TS!$P202,0)*$P202/$P202,0))</f>
        <v>0</v>
      </c>
      <c r="CO202" s="538">
        <f>IF('Técnicas de Ki'!BM97=0,0,IFERROR(IF('Técnicas de Ki'!BY97&lt;&gt;0,'Técnicas de Ki'!BY97+TS!$Q202,0)*$Q202/$Q202,0))</f>
        <v>0</v>
      </c>
      <c r="CP202" s="538">
        <f>IF('Técnicas de Ki'!BM97=0,0,IFERROR(IF('Técnicas de Ki'!BZ97&lt;&gt;0,'Técnicas de Ki'!BZ97+TS!$R202,0)*$R202/$R202,0))</f>
        <v>0</v>
      </c>
      <c r="CQ202" s="538">
        <f>IF('Técnicas de Ki'!BM97=0,0,IFERROR(IF('Técnicas de Ki'!CA97&lt;&gt;0,'Técnicas de Ki'!CA97+TS!$S202,0)*$S202/$S202,0))</f>
        <v>0</v>
      </c>
      <c r="CR202" s="539">
        <f>IF('Técnicas de Ki'!BM97=0,0,IFERROR(IF('Técnicas de Ki'!CB97&lt;&gt;0,'Técnicas de Ki'!CB97+TS!$T202,0)*$T202/$T202,0))</f>
        <v>0</v>
      </c>
      <c r="CT202" s="571" t="str">
        <f>IF('Técnicas de Ki'!BM105&lt;&gt;0,'Técnicas de Ki'!BL105&amp;" "&amp;'Técnicas de Ki'!BM105,"")</f>
        <v/>
      </c>
      <c r="CU202" s="302" t="b">
        <f t="shared" si="36"/>
        <v>0</v>
      </c>
      <c r="CV202" s="302" t="str">
        <f t="shared" si="40"/>
        <v/>
      </c>
    </row>
    <row r="203" spans="1:100" x14ac:dyDescent="0.2">
      <c r="A203" s="302" t="s">
        <v>6869</v>
      </c>
      <c r="B203" s="301" t="s">
        <v>6871</v>
      </c>
      <c r="C203" s="301" t="str">
        <f t="shared" si="42"/>
        <v>Accion Adicional+4</v>
      </c>
      <c r="D203" s="302">
        <v>4</v>
      </c>
      <c r="E203" s="302">
        <v>6</v>
      </c>
      <c r="F203" s="302">
        <v>15</v>
      </c>
      <c r="G203" s="302">
        <v>4</v>
      </c>
      <c r="H203" s="302">
        <v>8</v>
      </c>
      <c r="I203" s="302">
        <v>14</v>
      </c>
      <c r="J203" s="302">
        <v>1</v>
      </c>
      <c r="N203" t="s">
        <v>6979</v>
      </c>
      <c r="P203" s="302">
        <v>2</v>
      </c>
      <c r="Q203" s="302">
        <v>3</v>
      </c>
      <c r="R203" s="302">
        <v>3</v>
      </c>
      <c r="T203" s="302">
        <v>1</v>
      </c>
      <c r="V203" s="537">
        <f>IF('Técnicas de Ki'!B98=0,0,IF('Técnicas de Ki'!I98=TS!V$119,'Técnicas de Ki'!C98-(IF($O203&lt;&gt;0,'Técnicas de Ki'!L98,0)+IF($P203&lt;&gt;0,'Técnicas de Ki'!M98,0)+IF($Q203&lt;&gt;0,'Técnicas de Ki'!N98,0)+IF($R203&lt;&gt;0,'Técnicas de Ki'!O98,0)+IF($S203&lt;&gt;0,'Técnicas de Ki'!P98,0)+IF($T203&lt;&gt;0,'Técnicas de Ki'!Q98,0)),0))</f>
        <v>0</v>
      </c>
      <c r="W203" s="538">
        <f>IF('Técnicas de Ki'!B98=0,0,IF('Técnicas de Ki'!I98=TS!W$119,'Técnicas de Ki'!C98-(IF($O203&lt;&gt;0,'Técnicas de Ki'!L98,0)+IF($P203&lt;&gt;0,'Técnicas de Ki'!M98,0)+IF($Q203&lt;&gt;0,'Técnicas de Ki'!N98,0)+IF($R203&lt;&gt;0,'Técnicas de Ki'!O98,0)+IF($S203&lt;&gt;0,'Técnicas de Ki'!P98,0)+IF($T203&lt;&gt;0,'Técnicas de Ki'!Q98,0)),0))</f>
        <v>0</v>
      </c>
      <c r="X203" s="538">
        <f>IF('Técnicas de Ki'!B98=0,0,IF('Técnicas de Ki'!I98=TS!X$119,'Técnicas de Ki'!C98-(IF($O203&lt;&gt;0,'Técnicas de Ki'!L98,0)+IF($P203&lt;&gt;0,'Técnicas de Ki'!M98,0)+IF($Q203&lt;&gt;0,'Técnicas de Ki'!N98,0)+IF($R203&lt;&gt;0,'Técnicas de Ki'!O98,0)+IF($S203&lt;&gt;0,'Técnicas de Ki'!P98,0)+IF($T203&lt;&gt;0,'Técnicas de Ki'!Q98,0)),0))</f>
        <v>0</v>
      </c>
      <c r="Y203" s="538">
        <f>IF('Técnicas de Ki'!B98=0,0,IF('Técnicas de Ki'!I98=TS!Y$119,'Técnicas de Ki'!C98-(IF($O203&lt;&gt;0,'Técnicas de Ki'!L98,0)+IF($P203&lt;&gt;0,'Técnicas de Ki'!M98,0)+IF($Q203&lt;&gt;0,'Técnicas de Ki'!N98,0)+IF($R203&lt;&gt;0,'Técnicas de Ki'!O98,0)+IF($S203&lt;&gt;0,'Técnicas de Ki'!P98,0)+IF($T203&lt;&gt;0,'Técnicas de Ki'!Q98,0)),0))</f>
        <v>0</v>
      </c>
      <c r="Z203" s="538">
        <f>IF('Técnicas de Ki'!B98=0,0,IF('Técnicas de Ki'!I98=TS!Z$119,'Técnicas de Ki'!C98-(IF($O203&lt;&gt;0,'Técnicas de Ki'!L98,0)+IF($P203&lt;&gt;0,'Técnicas de Ki'!M98,0)+IF($Q203&lt;&gt;0,'Técnicas de Ki'!N98,0)+IF($R203&lt;&gt;0,'Técnicas de Ki'!O98,0)+IF($S203&lt;&gt;0,'Técnicas de Ki'!P98,0)+IF($T203&lt;&gt;0,'Técnicas de Ki'!Q98,0)),0))</f>
        <v>0</v>
      </c>
      <c r="AA203" s="539">
        <f>IF('Técnicas de Ki'!B98=0,0,IF('Técnicas de Ki'!I98=TS!AA$119,'Técnicas de Ki'!C98-(IF($O203&lt;&gt;0,'Técnicas de Ki'!L98,0)+IF($P203&lt;&gt;0,'Técnicas de Ki'!M98,0)+IF($Q203&lt;&gt;0,'Técnicas de Ki'!N98,0)+IF($R203&lt;&gt;0,'Técnicas de Ki'!O98,0)+IF($S203&lt;&gt;0,'Técnicas de Ki'!P98,0)+IF($T203&lt;&gt;0,'Técnicas de Ki'!Q98,0)),0))</f>
        <v>0</v>
      </c>
      <c r="AB203" s="538">
        <f>IF('Técnicas de Ki'!B98=0,0,IFERROR(IF('Técnicas de Ki'!L98&lt;&gt;0,'Técnicas de Ki'!L98+TS!$O203,0)*$O203/$O203,0))</f>
        <v>0</v>
      </c>
      <c r="AC203" s="538">
        <f>IF('Técnicas de Ki'!B98=0,0,IFERROR(IF('Técnicas de Ki'!M98&lt;&gt;0,'Técnicas de Ki'!M98+TS!$P203,0)*$P203/$P203,0))</f>
        <v>0</v>
      </c>
      <c r="AD203" s="538">
        <f>IF('Técnicas de Ki'!B98=0,0,IFERROR(IF('Técnicas de Ki'!N98&lt;&gt;0,'Técnicas de Ki'!N98+TS!$Q203,0)*$Q203/$Q203,0))</f>
        <v>0</v>
      </c>
      <c r="AE203" s="538">
        <f>IF('Técnicas de Ki'!B98=0,0,IFERROR(IF('Técnicas de Ki'!O98&lt;&gt;0,'Técnicas de Ki'!O98+TS!$R203,0)*$R203/$R203,0))</f>
        <v>0</v>
      </c>
      <c r="AF203" s="538">
        <f>IF('Técnicas de Ki'!B98=0,0,IFERROR(IF('Técnicas de Ki'!P98&lt;&gt;0,'Técnicas de Ki'!P98+TS!$S203,0)*$S203/$S203,0))</f>
        <v>0</v>
      </c>
      <c r="AG203" s="539">
        <f>IF('Técnicas de Ki'!B98=0,0,IFERROR(IF('Técnicas de Ki'!Q98&lt;&gt;0,'Técnicas de Ki'!Q98+TS!$T203,0)*$T203/$T203,0))</f>
        <v>0</v>
      </c>
      <c r="AI203" s="571" t="str">
        <f>IF('Técnicas de Ki'!B106&lt;&gt;0,'Técnicas de Ki'!A106&amp;" "&amp;'Técnicas de Ki'!B106,"")</f>
        <v/>
      </c>
      <c r="AJ203" s="302" t="b">
        <f t="shared" si="41"/>
        <v>0</v>
      </c>
      <c r="AK203" s="302" t="str">
        <f t="shared" si="37"/>
        <v/>
      </c>
      <c r="AQ203" s="537">
        <f>IF('Técnicas de Ki'!W98=0,0,IF('Técnicas de Ki'!AD98=TS!AQ$119,'Técnicas de Ki'!X98-(IF($O203&lt;&gt;0,'Técnicas de Ki'!AG98,0)+IF($P203&lt;&gt;0,'Técnicas de Ki'!AH98,0)+IF($Q203&lt;&gt;0,'Técnicas de Ki'!AI98,0)+IF($R203&lt;&gt;0,'Técnicas de Ki'!AJ98,0)+IF($S203&lt;&gt;0,'Técnicas de Ki'!AK98,0)+IF($T203&lt;&gt;0,'Técnicas de Ki'!AL98,0)),0))</f>
        <v>0</v>
      </c>
      <c r="AR203" s="538">
        <f>IF('Técnicas de Ki'!W98=0,0,IF('Técnicas de Ki'!AD98=TS!AR$119,'Técnicas de Ki'!X98-(IF($O203&lt;&gt;0,'Técnicas de Ki'!AG98,0)+IF($P203&lt;&gt;0,'Técnicas de Ki'!AH98,0)+IF($Q203&lt;&gt;0,'Técnicas de Ki'!AI98,0)+IF($R203&lt;&gt;0,'Técnicas de Ki'!AJ98,0)+IF($S203&lt;&gt;0,'Técnicas de Ki'!AK98,0)+IF($T203&lt;&gt;0,'Técnicas de Ki'!AL98,0)),0))</f>
        <v>0</v>
      </c>
      <c r="AS203" s="538">
        <f>IF('Técnicas de Ki'!W98=0,0,IF('Técnicas de Ki'!AD98=TS!AS$119,'Técnicas de Ki'!X98-(IF($O203&lt;&gt;0,'Técnicas de Ki'!AG98,0)+IF($P203&lt;&gt;0,'Técnicas de Ki'!AH98,0)+IF($Q203&lt;&gt;0,'Técnicas de Ki'!AI98,0)+IF($R203&lt;&gt;0,'Técnicas de Ki'!AJ98,0)+IF($S203&lt;&gt;0,'Técnicas de Ki'!AK98,0)+IF($T203&lt;&gt;0,'Técnicas de Ki'!AL98,0)),0))</f>
        <v>0</v>
      </c>
      <c r="AT203" s="538">
        <f>IF('Técnicas de Ki'!W98=0,0,IF('Técnicas de Ki'!AD98=TS!AT$119,'Técnicas de Ki'!X98-(IF($O203&lt;&gt;0,'Técnicas de Ki'!AG98,0)+IF($P203&lt;&gt;0,'Técnicas de Ki'!AH98,0)+IF($Q203&lt;&gt;0,'Técnicas de Ki'!AI98,0)+IF($R203&lt;&gt;0,'Técnicas de Ki'!AJ98,0)+IF($S203&lt;&gt;0,'Técnicas de Ki'!AK98,0)+IF($T203&lt;&gt;0,'Técnicas de Ki'!AL98,0)),0))</f>
        <v>0</v>
      </c>
      <c r="AU203" s="538">
        <f>IF('Técnicas de Ki'!W98=0,0,IF('Técnicas de Ki'!AD98=TS!AU$119,'Técnicas de Ki'!X98-(IF($O203&lt;&gt;0,'Técnicas de Ki'!AG98,0)+IF($P203&lt;&gt;0,'Técnicas de Ki'!AH98,0)+IF($Q203&lt;&gt;0,'Técnicas de Ki'!AI98,0)+IF($R203&lt;&gt;0,'Técnicas de Ki'!AJ98,0)+IF($S203&lt;&gt;0,'Técnicas de Ki'!AK98,0)+IF($T203&lt;&gt;0,'Técnicas de Ki'!AL98,0)),0))</f>
        <v>0</v>
      </c>
      <c r="AV203" s="539">
        <f>IF('Técnicas de Ki'!W98=0,0,IF('Técnicas de Ki'!AD98=TS!AV$119,'Técnicas de Ki'!X98-(IF($O203&lt;&gt;0,'Técnicas de Ki'!AG98,0)+IF($P203&lt;&gt;0,'Técnicas de Ki'!AH98,0)+IF($Q203&lt;&gt;0,'Técnicas de Ki'!AI98,0)+IF($R203&lt;&gt;0,'Técnicas de Ki'!AJ98,0)+IF($S203&lt;&gt;0,'Técnicas de Ki'!AK98,0)+IF($T203&lt;&gt;0,'Técnicas de Ki'!AL98,0)),0))</f>
        <v>0</v>
      </c>
      <c r="AW203" s="538">
        <f>IF('Técnicas de Ki'!W98=0,0,IFERROR(IF('Técnicas de Ki'!AG98&lt;&gt;0,'Técnicas de Ki'!AG98+TS!$O203,0)*$O203/$O203,0))</f>
        <v>0</v>
      </c>
      <c r="AX203" s="538">
        <f>IF('Técnicas de Ki'!W98=0,0,IFERROR(IF('Técnicas de Ki'!AH98&lt;&gt;0,'Técnicas de Ki'!AH98+TS!$P203,0)*$P203/$P203,0))</f>
        <v>0</v>
      </c>
      <c r="AY203" s="538">
        <f>IF('Técnicas de Ki'!W98=0,0,IFERROR(IF('Técnicas de Ki'!AI98&lt;&gt;0,'Técnicas de Ki'!AI98+TS!$Q203,0)*$Q203/$Q203,0))</f>
        <v>0</v>
      </c>
      <c r="AZ203" s="538">
        <f>IF('Técnicas de Ki'!W98=0,0,IFERROR(IF('Técnicas de Ki'!AJ98&lt;&gt;0,'Técnicas de Ki'!AJ98+TS!$R203,0)*$R203/$R203,0))</f>
        <v>0</v>
      </c>
      <c r="BA203" s="538">
        <f>IF('Técnicas de Ki'!W98=0,0,IFERROR(IF('Técnicas de Ki'!AK98&lt;&gt;0,'Técnicas de Ki'!AK98+TS!$S203,0)*$S203/$S203,0))</f>
        <v>0</v>
      </c>
      <c r="BB203" s="539">
        <f>IF('Técnicas de Ki'!W98=0,0,IFERROR(IF('Técnicas de Ki'!AL98&lt;&gt;0,'Técnicas de Ki'!AL98+TS!$T203,0)*$T203/$T203,0))</f>
        <v>0</v>
      </c>
      <c r="BD203" s="571" t="str">
        <f>IF('Técnicas de Ki'!W106&lt;&gt;0,'Técnicas de Ki'!V106&amp;" "&amp;'Técnicas de Ki'!W106,"")</f>
        <v/>
      </c>
      <c r="BE203" s="302" t="b">
        <f t="shared" si="34"/>
        <v>0</v>
      </c>
      <c r="BF203" s="302" t="str">
        <f t="shared" si="38"/>
        <v/>
      </c>
      <c r="BL203" s="537">
        <f>IF('Técnicas de Ki'!AR98=0,0,IF('Técnicas de Ki'!AY98=TS!BL$119,'Técnicas de Ki'!AS98-(IF($O203&lt;&gt;0,'Técnicas de Ki'!BB98,0)+IF($P203&lt;&gt;0,'Técnicas de Ki'!BC98,0)+IF($Q203&lt;&gt;0,'Técnicas de Ki'!BD98,0)+IF($R203&lt;&gt;0,'Técnicas de Ki'!BE98,0)+IF($S203&lt;&gt;0,'Técnicas de Ki'!BF98,0)+IF($T203&lt;&gt;0,'Técnicas de Ki'!BG98,0)),0))</f>
        <v>0</v>
      </c>
      <c r="BM203" s="538">
        <f>IF('Técnicas de Ki'!AR98=0,0,IF('Técnicas de Ki'!AY98=TS!BM$119,'Técnicas de Ki'!AS98-(IF($O203&lt;&gt;0,'Técnicas de Ki'!BB98,0)+IF($P203&lt;&gt;0,'Técnicas de Ki'!BC98,0)+IF($Q203&lt;&gt;0,'Técnicas de Ki'!BD98,0)+IF($R203&lt;&gt;0,'Técnicas de Ki'!BE98,0)+IF($S203&lt;&gt;0,'Técnicas de Ki'!BF98,0)+IF($T203&lt;&gt;0,'Técnicas de Ki'!BG98,0)),0))</f>
        <v>0</v>
      </c>
      <c r="BN203" s="538">
        <f>IF('Técnicas de Ki'!AR98=0,0,IF('Técnicas de Ki'!AY98=TS!BN$119,'Técnicas de Ki'!AS98-(IF($O203&lt;&gt;0,'Técnicas de Ki'!BB98,0)+IF($P203&lt;&gt;0,'Técnicas de Ki'!BC98,0)+IF($Q203&lt;&gt;0,'Técnicas de Ki'!BD98,0)+IF($R203&lt;&gt;0,'Técnicas de Ki'!BE98,0)+IF($S203&lt;&gt;0,'Técnicas de Ki'!BF98,0)+IF($T203&lt;&gt;0,'Técnicas de Ki'!BG98,0)),0))</f>
        <v>0</v>
      </c>
      <c r="BO203" s="538">
        <f>IF('Técnicas de Ki'!AR98=0,0,IF('Técnicas de Ki'!AY98=TS!BO$119,'Técnicas de Ki'!AS98-(IF($O203&lt;&gt;0,'Técnicas de Ki'!BB98,0)+IF($P203&lt;&gt;0,'Técnicas de Ki'!BC98,0)+IF($Q203&lt;&gt;0,'Técnicas de Ki'!BD98,0)+IF($R203&lt;&gt;0,'Técnicas de Ki'!BE98,0)+IF($S203&lt;&gt;0,'Técnicas de Ki'!BF98,0)+IF($T203&lt;&gt;0,'Técnicas de Ki'!BG98,0)),0))</f>
        <v>0</v>
      </c>
      <c r="BP203" s="538">
        <f>IF('Técnicas de Ki'!AR98=0,0,IF('Técnicas de Ki'!AY98=TS!BP$119,'Técnicas de Ki'!AS98-(IF($O203&lt;&gt;0,'Técnicas de Ki'!BB98,0)+IF($P203&lt;&gt;0,'Técnicas de Ki'!BC98,0)+IF($Q203&lt;&gt;0,'Técnicas de Ki'!BD98,0)+IF($R203&lt;&gt;0,'Técnicas de Ki'!BE98,0)+IF($S203&lt;&gt;0,'Técnicas de Ki'!BF98,0)+IF($T203&lt;&gt;0,'Técnicas de Ki'!BG98,0)),0))</f>
        <v>0</v>
      </c>
      <c r="BQ203" s="539">
        <f>IF('Técnicas de Ki'!AR98=0,0,IF('Técnicas de Ki'!AY98=TS!BQ$119,'Técnicas de Ki'!AS98-(IF($O203&lt;&gt;0,'Técnicas de Ki'!BB98,0)+IF($P203&lt;&gt;0,'Técnicas de Ki'!BC98,0)+IF($Q203&lt;&gt;0,'Técnicas de Ki'!BD98,0)+IF($R203&lt;&gt;0,'Técnicas de Ki'!BE98,0)+IF($S203&lt;&gt;0,'Técnicas de Ki'!BF98,0)+IF($T203&lt;&gt;0,'Técnicas de Ki'!BG98,0)),0))</f>
        <v>0</v>
      </c>
      <c r="BR203" s="538">
        <f>IF('Técnicas de Ki'!AR98=0,0,IFERROR(IF('Técnicas de Ki'!BB98&lt;&gt;0,'Técnicas de Ki'!BB98+TS!$O203,0)*$O203/$O203,0))</f>
        <v>0</v>
      </c>
      <c r="BS203" s="538">
        <f>IF('Técnicas de Ki'!AR98=0,0,IFERROR(IF('Técnicas de Ki'!BC98&lt;&gt;0,'Técnicas de Ki'!BC98+TS!$P203,0)*$P203/$P203,0))</f>
        <v>0</v>
      </c>
      <c r="BT203" s="538">
        <f>IF('Técnicas de Ki'!AR98=0,0,IFERROR(IF('Técnicas de Ki'!BD98&lt;&gt;0,'Técnicas de Ki'!BD98+TS!$Q203,0)*$Q203/$Q203,0))</f>
        <v>0</v>
      </c>
      <c r="BU203" s="538">
        <f>IF('Técnicas de Ki'!AR98=0,0,IFERROR(IF('Técnicas de Ki'!BE98&lt;&gt;0,'Técnicas de Ki'!BE98+TS!$R203,0)*$R203/$R203,0))</f>
        <v>0</v>
      </c>
      <c r="BV203" s="538">
        <f>IF('Técnicas de Ki'!AR98=0,0,IFERROR(IF('Técnicas de Ki'!BF98&lt;&gt;0,'Técnicas de Ki'!BF98+TS!$S203,0)*$S203/$S203,0))</f>
        <v>0</v>
      </c>
      <c r="BW203" s="539">
        <f>IF('Técnicas de Ki'!AR98=0,0,IFERROR(IF('Técnicas de Ki'!BG98&lt;&gt;0,'Técnicas de Ki'!BG98+TS!$T203,0)*$T203/$T203,0))</f>
        <v>0</v>
      </c>
      <c r="BY203" s="571" t="str">
        <f>IF('Técnicas de Ki'!AR106&lt;&gt;0,'Técnicas de Ki'!AQ106&amp;" "&amp;'Técnicas de Ki'!AR106,"")</f>
        <v/>
      </c>
      <c r="BZ203" s="302" t="b">
        <f t="shared" si="35"/>
        <v>0</v>
      </c>
      <c r="CA203" s="302" t="str">
        <f t="shared" si="39"/>
        <v/>
      </c>
      <c r="CG203" s="537">
        <f>IF('Técnicas de Ki'!BM98=0,0,IF('Técnicas de Ki'!BT98=TS!CG$119,'Técnicas de Ki'!BN98-(IF($O203&lt;&gt;0,'Técnicas de Ki'!BW98,0)+IF($P203&lt;&gt;0,'Técnicas de Ki'!BX98,0)+IF($Q203&lt;&gt;0,'Técnicas de Ki'!BY98,0)+IF($R203&lt;&gt;0,'Técnicas de Ki'!BZ98,0)+IF($S203&lt;&gt;0,'Técnicas de Ki'!CA98,0)+IF($T203&lt;&gt;0,'Técnicas de Ki'!CB98,0)),0))</f>
        <v>0</v>
      </c>
      <c r="CH203" s="538">
        <f>IF('Técnicas de Ki'!BM98=0,0,IF('Técnicas de Ki'!BT98=TS!CH$119,'Técnicas de Ki'!BN98-(IF($O203&lt;&gt;0,'Técnicas de Ki'!BW98,0)+IF($P203&lt;&gt;0,'Técnicas de Ki'!BX98,0)+IF($Q203&lt;&gt;0,'Técnicas de Ki'!BY98,0)+IF($R203&lt;&gt;0,'Técnicas de Ki'!BZ98,0)+IF($S203&lt;&gt;0,'Técnicas de Ki'!CA98,0)+IF($T203&lt;&gt;0,'Técnicas de Ki'!CB98,0)),0))</f>
        <v>0</v>
      </c>
      <c r="CI203" s="538">
        <f>IF('Técnicas de Ki'!BM98=0,0,IF('Técnicas de Ki'!BT98=TS!CI$119,'Técnicas de Ki'!BN98-(IF($O203&lt;&gt;0,'Técnicas de Ki'!BW98,0)+IF($P203&lt;&gt;0,'Técnicas de Ki'!BX98,0)+IF($Q203&lt;&gt;0,'Técnicas de Ki'!BY98,0)+IF($R203&lt;&gt;0,'Técnicas de Ki'!BZ98,0)+IF($S203&lt;&gt;0,'Técnicas de Ki'!CA98,0)+IF($T203&lt;&gt;0,'Técnicas de Ki'!CB98,0)),0))</f>
        <v>0</v>
      </c>
      <c r="CJ203" s="538">
        <f>IF('Técnicas de Ki'!BM98=0,0,IF('Técnicas de Ki'!BT98=TS!CJ$119,'Técnicas de Ki'!BN98-(IF($O203&lt;&gt;0,'Técnicas de Ki'!BW98,0)+IF($P203&lt;&gt;0,'Técnicas de Ki'!BX98,0)+IF($Q203&lt;&gt;0,'Técnicas de Ki'!BY98,0)+IF($R203&lt;&gt;0,'Técnicas de Ki'!BZ98,0)+IF($S203&lt;&gt;0,'Técnicas de Ki'!CA98,0)+IF($T203&lt;&gt;0,'Técnicas de Ki'!CB98,0)),0))</f>
        <v>0</v>
      </c>
      <c r="CK203" s="538">
        <f>IF('Técnicas de Ki'!BM98=0,0,IF('Técnicas de Ki'!BT98=TS!CK$119,'Técnicas de Ki'!BN98-(IF($O203&lt;&gt;0,'Técnicas de Ki'!BW98,0)+IF($P203&lt;&gt;0,'Técnicas de Ki'!BX98,0)+IF($Q203&lt;&gt;0,'Técnicas de Ki'!BY98,0)+IF($R203&lt;&gt;0,'Técnicas de Ki'!BZ98,0)+IF($S203&lt;&gt;0,'Técnicas de Ki'!CA98,0)+IF($T203&lt;&gt;0,'Técnicas de Ki'!CB98,0)),0))</f>
        <v>0</v>
      </c>
      <c r="CL203" s="539">
        <f>IF('Técnicas de Ki'!BM98=0,0,IF('Técnicas de Ki'!BT98=TS!CL$119,'Técnicas de Ki'!BN98-(IF($O203&lt;&gt;0,'Técnicas de Ki'!BW98,0)+IF($P203&lt;&gt;0,'Técnicas de Ki'!BX98,0)+IF($Q203&lt;&gt;0,'Técnicas de Ki'!BY98,0)+IF($R203&lt;&gt;0,'Técnicas de Ki'!BZ98,0)+IF($S203&lt;&gt;0,'Técnicas de Ki'!CA98,0)+IF($T203&lt;&gt;0,'Técnicas de Ki'!CB98,0)),0))</f>
        <v>0</v>
      </c>
      <c r="CM203" s="538">
        <f>IF('Técnicas de Ki'!BM98=0,0,IFERROR(IF('Técnicas de Ki'!BW98&lt;&gt;0,'Técnicas de Ki'!BW98+TS!$O203,0)*$O203/$O203,0))</f>
        <v>0</v>
      </c>
      <c r="CN203" s="538">
        <f>IF('Técnicas de Ki'!BM98=0,0,IFERROR(IF('Técnicas de Ki'!BX98&lt;&gt;0,'Técnicas de Ki'!BX98+TS!$P203,0)*$P203/$P203,0))</f>
        <v>0</v>
      </c>
      <c r="CO203" s="538">
        <f>IF('Técnicas de Ki'!BM98=0,0,IFERROR(IF('Técnicas de Ki'!BY98&lt;&gt;0,'Técnicas de Ki'!BY98+TS!$Q203,0)*$Q203/$Q203,0))</f>
        <v>0</v>
      </c>
      <c r="CP203" s="538">
        <f>IF('Técnicas de Ki'!BM98=0,0,IFERROR(IF('Técnicas de Ki'!BZ98&lt;&gt;0,'Técnicas de Ki'!BZ98+TS!$R203,0)*$R203/$R203,0))</f>
        <v>0</v>
      </c>
      <c r="CQ203" s="538">
        <f>IF('Técnicas de Ki'!BM98=0,0,IFERROR(IF('Técnicas de Ki'!CA98&lt;&gt;0,'Técnicas de Ki'!CA98+TS!$S203,0)*$S203/$S203,0))</f>
        <v>0</v>
      </c>
      <c r="CR203" s="539">
        <f>IF('Técnicas de Ki'!BM98=0,0,IFERROR(IF('Técnicas de Ki'!CB98&lt;&gt;0,'Técnicas de Ki'!CB98+TS!$T203,0)*$T203/$T203,0))</f>
        <v>0</v>
      </c>
      <c r="CT203" s="571" t="str">
        <f>IF('Técnicas de Ki'!BM106&lt;&gt;0,'Técnicas de Ki'!BL106&amp;" "&amp;'Técnicas de Ki'!BM106,"")</f>
        <v/>
      </c>
      <c r="CU203" s="302" t="b">
        <f t="shared" si="36"/>
        <v>0</v>
      </c>
      <c r="CV203" s="302" t="str">
        <f t="shared" si="40"/>
        <v/>
      </c>
    </row>
    <row r="204" spans="1:100" x14ac:dyDescent="0.2">
      <c r="A204" s="302" t="s">
        <v>6869</v>
      </c>
      <c r="B204" s="301" t="s">
        <v>6777</v>
      </c>
      <c r="C204" s="301" t="str">
        <f t="shared" si="42"/>
        <v>Accion Adicional+5</v>
      </c>
      <c r="D204" s="302">
        <v>5</v>
      </c>
      <c r="E204" s="302">
        <v>8</v>
      </c>
      <c r="F204" s="302">
        <v>20</v>
      </c>
      <c r="G204" s="302">
        <v>6</v>
      </c>
      <c r="H204" s="302">
        <v>12</v>
      </c>
      <c r="I204" s="302">
        <v>21</v>
      </c>
      <c r="J204" s="302">
        <v>1</v>
      </c>
      <c r="N204" t="s">
        <v>6980</v>
      </c>
      <c r="P204" s="302">
        <v>2</v>
      </c>
      <c r="Q204" s="302">
        <v>3</v>
      </c>
      <c r="R204" s="302">
        <v>3</v>
      </c>
      <c r="T204" s="302">
        <v>1</v>
      </c>
      <c r="V204" s="537">
        <f>IF('Técnicas de Ki'!B99=0,0,IF('Técnicas de Ki'!I99=TS!V$119,'Técnicas de Ki'!C99-(IF($O204&lt;&gt;0,'Técnicas de Ki'!L99,0)+IF($P204&lt;&gt;0,'Técnicas de Ki'!M99,0)+IF($Q204&lt;&gt;0,'Técnicas de Ki'!N99,0)+IF($R204&lt;&gt;0,'Técnicas de Ki'!O99,0)+IF($S204&lt;&gt;0,'Técnicas de Ki'!P99,0)+IF($T204&lt;&gt;0,'Técnicas de Ki'!Q99,0)),0))</f>
        <v>0</v>
      </c>
      <c r="W204" s="538">
        <f>IF('Técnicas de Ki'!B99=0,0,IF('Técnicas de Ki'!I99=TS!W$119,'Técnicas de Ki'!C99-(IF($O204&lt;&gt;0,'Técnicas de Ki'!L99,0)+IF($P204&lt;&gt;0,'Técnicas de Ki'!M99,0)+IF($Q204&lt;&gt;0,'Técnicas de Ki'!N99,0)+IF($R204&lt;&gt;0,'Técnicas de Ki'!O99,0)+IF($S204&lt;&gt;0,'Técnicas de Ki'!P99,0)+IF($T204&lt;&gt;0,'Técnicas de Ki'!Q99,0)),0))</f>
        <v>0</v>
      </c>
      <c r="X204" s="538">
        <f>IF('Técnicas de Ki'!B99=0,0,IF('Técnicas de Ki'!I99=TS!X$119,'Técnicas de Ki'!C99-(IF($O204&lt;&gt;0,'Técnicas de Ki'!L99,0)+IF($P204&lt;&gt;0,'Técnicas de Ki'!M99,0)+IF($Q204&lt;&gt;0,'Técnicas de Ki'!N99,0)+IF($R204&lt;&gt;0,'Técnicas de Ki'!O99,0)+IF($S204&lt;&gt;0,'Técnicas de Ki'!P99,0)+IF($T204&lt;&gt;0,'Técnicas de Ki'!Q99,0)),0))</f>
        <v>0</v>
      </c>
      <c r="Y204" s="538">
        <f>IF('Técnicas de Ki'!B99=0,0,IF('Técnicas de Ki'!I99=TS!Y$119,'Técnicas de Ki'!C99-(IF($O204&lt;&gt;0,'Técnicas de Ki'!L99,0)+IF($P204&lt;&gt;0,'Técnicas de Ki'!M99,0)+IF($Q204&lt;&gt;0,'Técnicas de Ki'!N99,0)+IF($R204&lt;&gt;0,'Técnicas de Ki'!O99,0)+IF($S204&lt;&gt;0,'Técnicas de Ki'!P99,0)+IF($T204&lt;&gt;0,'Técnicas de Ki'!Q99,0)),0))</f>
        <v>0</v>
      </c>
      <c r="Z204" s="538">
        <f>IF('Técnicas de Ki'!B99=0,0,IF('Técnicas de Ki'!I99=TS!Z$119,'Técnicas de Ki'!C99-(IF($O204&lt;&gt;0,'Técnicas de Ki'!L99,0)+IF($P204&lt;&gt;0,'Técnicas de Ki'!M99,0)+IF($Q204&lt;&gt;0,'Técnicas de Ki'!N99,0)+IF($R204&lt;&gt;0,'Técnicas de Ki'!O99,0)+IF($S204&lt;&gt;0,'Técnicas de Ki'!P99,0)+IF($T204&lt;&gt;0,'Técnicas de Ki'!Q99,0)),0))</f>
        <v>0</v>
      </c>
      <c r="AA204" s="539">
        <f>IF('Técnicas de Ki'!B99=0,0,IF('Técnicas de Ki'!I99=TS!AA$119,'Técnicas de Ki'!C99-(IF($O204&lt;&gt;0,'Técnicas de Ki'!L99,0)+IF($P204&lt;&gt;0,'Técnicas de Ki'!M99,0)+IF($Q204&lt;&gt;0,'Técnicas de Ki'!N99,0)+IF($R204&lt;&gt;0,'Técnicas de Ki'!O99,0)+IF($S204&lt;&gt;0,'Técnicas de Ki'!P99,0)+IF($T204&lt;&gt;0,'Técnicas de Ki'!Q99,0)),0))</f>
        <v>0</v>
      </c>
      <c r="AB204" s="538">
        <f>IF('Técnicas de Ki'!B99=0,0,IFERROR(IF('Técnicas de Ki'!L99&lt;&gt;0,'Técnicas de Ki'!L99+TS!$O204,0)*$O204/$O204,0))</f>
        <v>0</v>
      </c>
      <c r="AC204" s="538">
        <f>IF('Técnicas de Ki'!B99=0,0,IFERROR(IF('Técnicas de Ki'!M99&lt;&gt;0,'Técnicas de Ki'!M99+TS!$P204,0)*$P204/$P204,0))</f>
        <v>0</v>
      </c>
      <c r="AD204" s="538">
        <f>IF('Técnicas de Ki'!B99=0,0,IFERROR(IF('Técnicas de Ki'!N99&lt;&gt;0,'Técnicas de Ki'!N99+TS!$Q204,0)*$Q204/$Q204,0))</f>
        <v>0</v>
      </c>
      <c r="AE204" s="538">
        <f>IF('Técnicas de Ki'!B99=0,0,IFERROR(IF('Técnicas de Ki'!O99&lt;&gt;0,'Técnicas de Ki'!O99+TS!$R204,0)*$R204/$R204,0))</f>
        <v>0</v>
      </c>
      <c r="AF204" s="538">
        <f>IF('Técnicas de Ki'!B99=0,0,IFERROR(IF('Técnicas de Ki'!P99&lt;&gt;0,'Técnicas de Ki'!P99+TS!$S204,0)*$S204/$S204,0))</f>
        <v>0</v>
      </c>
      <c r="AG204" s="539">
        <f>IF('Técnicas de Ki'!B99=0,0,IFERROR(IF('Técnicas de Ki'!Q99&lt;&gt;0,'Técnicas de Ki'!Q99+TS!$T204,0)*$T204/$T204,0))</f>
        <v>0</v>
      </c>
      <c r="AI204" s="571" t="str">
        <f>IF('Técnicas de Ki'!B107&lt;&gt;0,'Técnicas de Ki'!A107&amp;" "&amp;'Técnicas de Ki'!B107,"")</f>
        <v/>
      </c>
      <c r="AJ204" s="302" t="b">
        <f t="shared" si="41"/>
        <v>0</v>
      </c>
      <c r="AK204" s="302" t="str">
        <f t="shared" si="37"/>
        <v/>
      </c>
      <c r="AQ204" s="537">
        <f>IF('Técnicas de Ki'!W99=0,0,IF('Técnicas de Ki'!AD99=TS!AQ$119,'Técnicas de Ki'!X99-(IF($O204&lt;&gt;0,'Técnicas de Ki'!AG99,0)+IF($P204&lt;&gt;0,'Técnicas de Ki'!AH99,0)+IF($Q204&lt;&gt;0,'Técnicas de Ki'!AI99,0)+IF($R204&lt;&gt;0,'Técnicas de Ki'!AJ99,0)+IF($S204&lt;&gt;0,'Técnicas de Ki'!AK99,0)+IF($T204&lt;&gt;0,'Técnicas de Ki'!AL99,0)),0))</f>
        <v>0</v>
      </c>
      <c r="AR204" s="538">
        <f>IF('Técnicas de Ki'!W99=0,0,IF('Técnicas de Ki'!AD99=TS!AR$119,'Técnicas de Ki'!X99-(IF($O204&lt;&gt;0,'Técnicas de Ki'!AG99,0)+IF($P204&lt;&gt;0,'Técnicas de Ki'!AH99,0)+IF($Q204&lt;&gt;0,'Técnicas de Ki'!AI99,0)+IF($R204&lt;&gt;0,'Técnicas de Ki'!AJ99,0)+IF($S204&lt;&gt;0,'Técnicas de Ki'!AK99,0)+IF($T204&lt;&gt;0,'Técnicas de Ki'!AL99,0)),0))</f>
        <v>0</v>
      </c>
      <c r="AS204" s="538">
        <f>IF('Técnicas de Ki'!W99=0,0,IF('Técnicas de Ki'!AD99=TS!AS$119,'Técnicas de Ki'!X99-(IF($O204&lt;&gt;0,'Técnicas de Ki'!AG99,0)+IF($P204&lt;&gt;0,'Técnicas de Ki'!AH99,0)+IF($Q204&lt;&gt;0,'Técnicas de Ki'!AI99,0)+IF($R204&lt;&gt;0,'Técnicas de Ki'!AJ99,0)+IF($S204&lt;&gt;0,'Técnicas de Ki'!AK99,0)+IF($T204&lt;&gt;0,'Técnicas de Ki'!AL99,0)),0))</f>
        <v>0</v>
      </c>
      <c r="AT204" s="538">
        <f>IF('Técnicas de Ki'!W99=0,0,IF('Técnicas de Ki'!AD99=TS!AT$119,'Técnicas de Ki'!X99-(IF($O204&lt;&gt;0,'Técnicas de Ki'!AG99,0)+IF($P204&lt;&gt;0,'Técnicas de Ki'!AH99,0)+IF($Q204&lt;&gt;0,'Técnicas de Ki'!AI99,0)+IF($R204&lt;&gt;0,'Técnicas de Ki'!AJ99,0)+IF($S204&lt;&gt;0,'Técnicas de Ki'!AK99,0)+IF($T204&lt;&gt;0,'Técnicas de Ki'!AL99,0)),0))</f>
        <v>0</v>
      </c>
      <c r="AU204" s="538">
        <f>IF('Técnicas de Ki'!W99=0,0,IF('Técnicas de Ki'!AD99=TS!AU$119,'Técnicas de Ki'!X99-(IF($O204&lt;&gt;0,'Técnicas de Ki'!AG99,0)+IF($P204&lt;&gt;0,'Técnicas de Ki'!AH99,0)+IF($Q204&lt;&gt;0,'Técnicas de Ki'!AI99,0)+IF($R204&lt;&gt;0,'Técnicas de Ki'!AJ99,0)+IF($S204&lt;&gt;0,'Técnicas de Ki'!AK99,0)+IF($T204&lt;&gt;0,'Técnicas de Ki'!AL99,0)),0))</f>
        <v>0</v>
      </c>
      <c r="AV204" s="539">
        <f>IF('Técnicas de Ki'!W99=0,0,IF('Técnicas de Ki'!AD99=TS!AV$119,'Técnicas de Ki'!X99-(IF($O204&lt;&gt;0,'Técnicas de Ki'!AG99,0)+IF($P204&lt;&gt;0,'Técnicas de Ki'!AH99,0)+IF($Q204&lt;&gt;0,'Técnicas de Ki'!AI99,0)+IF($R204&lt;&gt;0,'Técnicas de Ki'!AJ99,0)+IF($S204&lt;&gt;0,'Técnicas de Ki'!AK99,0)+IF($T204&lt;&gt;0,'Técnicas de Ki'!AL99,0)),0))</f>
        <v>0</v>
      </c>
      <c r="AW204" s="538">
        <f>IF('Técnicas de Ki'!W99=0,0,IFERROR(IF('Técnicas de Ki'!AG99&lt;&gt;0,'Técnicas de Ki'!AG99+TS!$O204,0)*$O204/$O204,0))</f>
        <v>0</v>
      </c>
      <c r="AX204" s="538">
        <f>IF('Técnicas de Ki'!W99=0,0,IFERROR(IF('Técnicas de Ki'!AH99&lt;&gt;0,'Técnicas de Ki'!AH99+TS!$P204,0)*$P204/$P204,0))</f>
        <v>0</v>
      </c>
      <c r="AY204" s="538">
        <f>IF('Técnicas de Ki'!W99=0,0,IFERROR(IF('Técnicas de Ki'!AI99&lt;&gt;0,'Técnicas de Ki'!AI99+TS!$Q204,0)*$Q204/$Q204,0))</f>
        <v>0</v>
      </c>
      <c r="AZ204" s="538">
        <f>IF('Técnicas de Ki'!W99=0,0,IFERROR(IF('Técnicas de Ki'!AJ99&lt;&gt;0,'Técnicas de Ki'!AJ99+TS!$R204,0)*$R204/$R204,0))</f>
        <v>0</v>
      </c>
      <c r="BA204" s="538">
        <f>IF('Técnicas de Ki'!W99=0,0,IFERROR(IF('Técnicas de Ki'!AK99&lt;&gt;0,'Técnicas de Ki'!AK99+TS!$S204,0)*$S204/$S204,0))</f>
        <v>0</v>
      </c>
      <c r="BB204" s="539">
        <f>IF('Técnicas de Ki'!W99=0,0,IFERROR(IF('Técnicas de Ki'!AL99&lt;&gt;0,'Técnicas de Ki'!AL99+TS!$T204,0)*$T204/$T204,0))</f>
        <v>0</v>
      </c>
      <c r="BD204" s="571" t="str">
        <f>IF('Técnicas de Ki'!W107&lt;&gt;0,'Técnicas de Ki'!V107&amp;" "&amp;'Técnicas de Ki'!W107,"")</f>
        <v/>
      </c>
      <c r="BE204" s="302" t="b">
        <f t="shared" si="34"/>
        <v>0</v>
      </c>
      <c r="BF204" s="302" t="str">
        <f t="shared" si="38"/>
        <v/>
      </c>
      <c r="BL204" s="537">
        <f>IF('Técnicas de Ki'!AR99=0,0,IF('Técnicas de Ki'!AY99=TS!BL$119,'Técnicas de Ki'!AS99-(IF($O204&lt;&gt;0,'Técnicas de Ki'!BB99,0)+IF($P204&lt;&gt;0,'Técnicas de Ki'!BC99,0)+IF($Q204&lt;&gt;0,'Técnicas de Ki'!BD99,0)+IF($R204&lt;&gt;0,'Técnicas de Ki'!BE99,0)+IF($S204&lt;&gt;0,'Técnicas de Ki'!BF99,0)+IF($T204&lt;&gt;0,'Técnicas de Ki'!BG99,0)),0))</f>
        <v>0</v>
      </c>
      <c r="BM204" s="538">
        <f>IF('Técnicas de Ki'!AR99=0,0,IF('Técnicas de Ki'!AY99=TS!BM$119,'Técnicas de Ki'!AS99-(IF($O204&lt;&gt;0,'Técnicas de Ki'!BB99,0)+IF($P204&lt;&gt;0,'Técnicas de Ki'!BC99,0)+IF($Q204&lt;&gt;0,'Técnicas de Ki'!BD99,0)+IF($R204&lt;&gt;0,'Técnicas de Ki'!BE99,0)+IF($S204&lt;&gt;0,'Técnicas de Ki'!BF99,0)+IF($T204&lt;&gt;0,'Técnicas de Ki'!BG99,0)),0))</f>
        <v>0</v>
      </c>
      <c r="BN204" s="538">
        <f>IF('Técnicas de Ki'!AR99=0,0,IF('Técnicas de Ki'!AY99=TS!BN$119,'Técnicas de Ki'!AS99-(IF($O204&lt;&gt;0,'Técnicas de Ki'!BB99,0)+IF($P204&lt;&gt;0,'Técnicas de Ki'!BC99,0)+IF($Q204&lt;&gt;0,'Técnicas de Ki'!BD99,0)+IF($R204&lt;&gt;0,'Técnicas de Ki'!BE99,0)+IF($S204&lt;&gt;0,'Técnicas de Ki'!BF99,0)+IF($T204&lt;&gt;0,'Técnicas de Ki'!BG99,0)),0))</f>
        <v>0</v>
      </c>
      <c r="BO204" s="538">
        <f>IF('Técnicas de Ki'!AR99=0,0,IF('Técnicas de Ki'!AY99=TS!BO$119,'Técnicas de Ki'!AS99-(IF($O204&lt;&gt;0,'Técnicas de Ki'!BB99,0)+IF($P204&lt;&gt;0,'Técnicas de Ki'!BC99,0)+IF($Q204&lt;&gt;0,'Técnicas de Ki'!BD99,0)+IF($R204&lt;&gt;0,'Técnicas de Ki'!BE99,0)+IF($S204&lt;&gt;0,'Técnicas de Ki'!BF99,0)+IF($T204&lt;&gt;0,'Técnicas de Ki'!BG99,0)),0))</f>
        <v>0</v>
      </c>
      <c r="BP204" s="538">
        <f>IF('Técnicas de Ki'!AR99=0,0,IF('Técnicas de Ki'!AY99=TS!BP$119,'Técnicas de Ki'!AS99-(IF($O204&lt;&gt;0,'Técnicas de Ki'!BB99,0)+IF($P204&lt;&gt;0,'Técnicas de Ki'!BC99,0)+IF($Q204&lt;&gt;0,'Técnicas de Ki'!BD99,0)+IF($R204&lt;&gt;0,'Técnicas de Ki'!BE99,0)+IF($S204&lt;&gt;0,'Técnicas de Ki'!BF99,0)+IF($T204&lt;&gt;0,'Técnicas de Ki'!BG99,0)),0))</f>
        <v>0</v>
      </c>
      <c r="BQ204" s="539">
        <f>IF('Técnicas de Ki'!AR99=0,0,IF('Técnicas de Ki'!AY99=TS!BQ$119,'Técnicas de Ki'!AS99-(IF($O204&lt;&gt;0,'Técnicas de Ki'!BB99,0)+IF($P204&lt;&gt;0,'Técnicas de Ki'!BC99,0)+IF($Q204&lt;&gt;0,'Técnicas de Ki'!BD99,0)+IF($R204&lt;&gt;0,'Técnicas de Ki'!BE99,0)+IF($S204&lt;&gt;0,'Técnicas de Ki'!BF99,0)+IF($T204&lt;&gt;0,'Técnicas de Ki'!BG99,0)),0))</f>
        <v>0</v>
      </c>
      <c r="BR204" s="538">
        <f>IF('Técnicas de Ki'!AR99=0,0,IFERROR(IF('Técnicas de Ki'!BB99&lt;&gt;0,'Técnicas de Ki'!BB99+TS!$O204,0)*$O204/$O204,0))</f>
        <v>0</v>
      </c>
      <c r="BS204" s="538">
        <f>IF('Técnicas de Ki'!AR99=0,0,IFERROR(IF('Técnicas de Ki'!BC99&lt;&gt;0,'Técnicas de Ki'!BC99+TS!$P204,0)*$P204/$P204,0))</f>
        <v>0</v>
      </c>
      <c r="BT204" s="538">
        <f>IF('Técnicas de Ki'!AR99=0,0,IFERROR(IF('Técnicas de Ki'!BD99&lt;&gt;0,'Técnicas de Ki'!BD99+TS!$Q204,0)*$Q204/$Q204,0))</f>
        <v>0</v>
      </c>
      <c r="BU204" s="538">
        <f>IF('Técnicas de Ki'!AR99=0,0,IFERROR(IF('Técnicas de Ki'!BE99&lt;&gt;0,'Técnicas de Ki'!BE99+TS!$R204,0)*$R204/$R204,0))</f>
        <v>0</v>
      </c>
      <c r="BV204" s="538">
        <f>IF('Técnicas de Ki'!AR99=0,0,IFERROR(IF('Técnicas de Ki'!BF99&lt;&gt;0,'Técnicas de Ki'!BF99+TS!$S204,0)*$S204/$S204,0))</f>
        <v>0</v>
      </c>
      <c r="BW204" s="539">
        <f>IF('Técnicas de Ki'!AR99=0,0,IFERROR(IF('Técnicas de Ki'!BG99&lt;&gt;0,'Técnicas de Ki'!BG99+TS!$T204,0)*$T204/$T204,0))</f>
        <v>0</v>
      </c>
      <c r="BY204" s="571" t="str">
        <f>IF('Técnicas de Ki'!AR107&lt;&gt;0,'Técnicas de Ki'!AQ107&amp;" "&amp;'Técnicas de Ki'!AR107,"")</f>
        <v/>
      </c>
      <c r="BZ204" s="302" t="b">
        <f t="shared" si="35"/>
        <v>0</v>
      </c>
      <c r="CA204" s="302" t="str">
        <f t="shared" si="39"/>
        <v/>
      </c>
      <c r="CG204" s="537">
        <f>IF('Técnicas de Ki'!BM99=0,0,IF('Técnicas de Ki'!BT99=TS!CG$119,'Técnicas de Ki'!BN99-(IF($O204&lt;&gt;0,'Técnicas de Ki'!BW99,0)+IF($P204&lt;&gt;0,'Técnicas de Ki'!BX99,0)+IF($Q204&lt;&gt;0,'Técnicas de Ki'!BY99,0)+IF($R204&lt;&gt;0,'Técnicas de Ki'!BZ99,0)+IF($S204&lt;&gt;0,'Técnicas de Ki'!CA99,0)+IF($T204&lt;&gt;0,'Técnicas de Ki'!CB99,0)),0))</f>
        <v>0</v>
      </c>
      <c r="CH204" s="538">
        <f>IF('Técnicas de Ki'!BM99=0,0,IF('Técnicas de Ki'!BT99=TS!CH$119,'Técnicas de Ki'!BN99-(IF($O204&lt;&gt;0,'Técnicas de Ki'!BW99,0)+IF($P204&lt;&gt;0,'Técnicas de Ki'!BX99,0)+IF($Q204&lt;&gt;0,'Técnicas de Ki'!BY99,0)+IF($R204&lt;&gt;0,'Técnicas de Ki'!BZ99,0)+IF($S204&lt;&gt;0,'Técnicas de Ki'!CA99,0)+IF($T204&lt;&gt;0,'Técnicas de Ki'!CB99,0)),0))</f>
        <v>0</v>
      </c>
      <c r="CI204" s="538">
        <f>IF('Técnicas de Ki'!BM99=0,0,IF('Técnicas de Ki'!BT99=TS!CI$119,'Técnicas de Ki'!BN99-(IF($O204&lt;&gt;0,'Técnicas de Ki'!BW99,0)+IF($P204&lt;&gt;0,'Técnicas de Ki'!BX99,0)+IF($Q204&lt;&gt;0,'Técnicas de Ki'!BY99,0)+IF($R204&lt;&gt;0,'Técnicas de Ki'!BZ99,0)+IF($S204&lt;&gt;0,'Técnicas de Ki'!CA99,0)+IF($T204&lt;&gt;0,'Técnicas de Ki'!CB99,0)),0))</f>
        <v>0</v>
      </c>
      <c r="CJ204" s="538">
        <f>IF('Técnicas de Ki'!BM99=0,0,IF('Técnicas de Ki'!BT99=TS!CJ$119,'Técnicas de Ki'!BN99-(IF($O204&lt;&gt;0,'Técnicas de Ki'!BW99,0)+IF($P204&lt;&gt;0,'Técnicas de Ki'!BX99,0)+IF($Q204&lt;&gt;0,'Técnicas de Ki'!BY99,0)+IF($R204&lt;&gt;0,'Técnicas de Ki'!BZ99,0)+IF($S204&lt;&gt;0,'Técnicas de Ki'!CA99,0)+IF($T204&lt;&gt;0,'Técnicas de Ki'!CB99,0)),0))</f>
        <v>0</v>
      </c>
      <c r="CK204" s="538">
        <f>IF('Técnicas de Ki'!BM99=0,0,IF('Técnicas de Ki'!BT99=TS!CK$119,'Técnicas de Ki'!BN99-(IF($O204&lt;&gt;0,'Técnicas de Ki'!BW99,0)+IF($P204&lt;&gt;0,'Técnicas de Ki'!BX99,0)+IF($Q204&lt;&gt;0,'Técnicas de Ki'!BY99,0)+IF($R204&lt;&gt;0,'Técnicas de Ki'!BZ99,0)+IF($S204&lt;&gt;0,'Técnicas de Ki'!CA99,0)+IF($T204&lt;&gt;0,'Técnicas de Ki'!CB99,0)),0))</f>
        <v>0</v>
      </c>
      <c r="CL204" s="539">
        <f>IF('Técnicas de Ki'!BM99=0,0,IF('Técnicas de Ki'!BT99=TS!CL$119,'Técnicas de Ki'!BN99-(IF($O204&lt;&gt;0,'Técnicas de Ki'!BW99,0)+IF($P204&lt;&gt;0,'Técnicas de Ki'!BX99,0)+IF($Q204&lt;&gt;0,'Técnicas de Ki'!BY99,0)+IF($R204&lt;&gt;0,'Técnicas de Ki'!BZ99,0)+IF($S204&lt;&gt;0,'Técnicas de Ki'!CA99,0)+IF($T204&lt;&gt;0,'Técnicas de Ki'!CB99,0)),0))</f>
        <v>0</v>
      </c>
      <c r="CM204" s="538">
        <f>IF('Técnicas de Ki'!BM99=0,0,IFERROR(IF('Técnicas de Ki'!BW99&lt;&gt;0,'Técnicas de Ki'!BW99+TS!$O204,0)*$O204/$O204,0))</f>
        <v>0</v>
      </c>
      <c r="CN204" s="538">
        <f>IF('Técnicas de Ki'!BM99=0,0,IFERROR(IF('Técnicas de Ki'!BX99&lt;&gt;0,'Técnicas de Ki'!BX99+TS!$P204,0)*$P204/$P204,0))</f>
        <v>0</v>
      </c>
      <c r="CO204" s="538">
        <f>IF('Técnicas de Ki'!BM99=0,0,IFERROR(IF('Técnicas de Ki'!BY99&lt;&gt;0,'Técnicas de Ki'!BY99+TS!$Q204,0)*$Q204/$Q204,0))</f>
        <v>0</v>
      </c>
      <c r="CP204" s="538">
        <f>IF('Técnicas de Ki'!BM99=0,0,IFERROR(IF('Técnicas de Ki'!BZ99&lt;&gt;0,'Técnicas de Ki'!BZ99+TS!$R204,0)*$R204/$R204,0))</f>
        <v>0</v>
      </c>
      <c r="CQ204" s="538">
        <f>IF('Técnicas de Ki'!BM99=0,0,IFERROR(IF('Técnicas de Ki'!CA99&lt;&gt;0,'Técnicas de Ki'!CA99+TS!$S204,0)*$S204/$S204,0))</f>
        <v>0</v>
      </c>
      <c r="CR204" s="539">
        <f>IF('Técnicas de Ki'!BM99=0,0,IFERROR(IF('Técnicas de Ki'!CB99&lt;&gt;0,'Técnicas de Ki'!CB99+TS!$T204,0)*$T204/$T204,0))</f>
        <v>0</v>
      </c>
      <c r="CT204" s="571" t="str">
        <f>IF('Técnicas de Ki'!BM107&lt;&gt;0,'Técnicas de Ki'!BL107&amp;" "&amp;'Técnicas de Ki'!BM107,"")</f>
        <v/>
      </c>
      <c r="CU204" s="302" t="b">
        <f t="shared" si="36"/>
        <v>0</v>
      </c>
      <c r="CV204" s="302" t="str">
        <f t="shared" si="40"/>
        <v/>
      </c>
    </row>
    <row r="205" spans="1:100" x14ac:dyDescent="0.2">
      <c r="A205" s="302" t="s">
        <v>6869</v>
      </c>
      <c r="B205" s="301" t="s">
        <v>6875</v>
      </c>
      <c r="C205" s="301" t="str">
        <f t="shared" si="42"/>
        <v>Accion Adicional+6</v>
      </c>
      <c r="D205" s="302">
        <v>6</v>
      </c>
      <c r="E205" s="302">
        <v>9</v>
      </c>
      <c r="F205" s="302">
        <v>25</v>
      </c>
      <c r="G205" s="302">
        <v>8</v>
      </c>
      <c r="H205" s="302">
        <v>16</v>
      </c>
      <c r="I205" s="302">
        <v>28</v>
      </c>
      <c r="J205" s="302">
        <v>1</v>
      </c>
      <c r="N205" t="s">
        <v>6981</v>
      </c>
      <c r="P205" s="302">
        <v>2</v>
      </c>
      <c r="Q205" s="302">
        <v>3</v>
      </c>
      <c r="R205" s="302">
        <v>3</v>
      </c>
      <c r="T205" s="302">
        <v>1</v>
      </c>
      <c r="V205" s="537">
        <f>IF('Técnicas de Ki'!B100=0,0,IF('Técnicas de Ki'!I100=TS!V$119,'Técnicas de Ki'!C100-(IF($O205&lt;&gt;0,'Técnicas de Ki'!L100,0)+IF($P205&lt;&gt;0,'Técnicas de Ki'!M100,0)+IF($Q205&lt;&gt;0,'Técnicas de Ki'!N100,0)+IF($R205&lt;&gt;0,'Técnicas de Ki'!O100,0)+IF($S205&lt;&gt;0,'Técnicas de Ki'!P100,0)+IF($T205&lt;&gt;0,'Técnicas de Ki'!Q100,0)),0))</f>
        <v>0</v>
      </c>
      <c r="W205" s="538">
        <f>IF('Técnicas de Ki'!B100=0,0,IF('Técnicas de Ki'!I100=TS!W$119,'Técnicas de Ki'!C100-(IF($O205&lt;&gt;0,'Técnicas de Ki'!L100,0)+IF($P205&lt;&gt;0,'Técnicas de Ki'!M100,0)+IF($Q205&lt;&gt;0,'Técnicas de Ki'!N100,0)+IF($R205&lt;&gt;0,'Técnicas de Ki'!O100,0)+IF($S205&lt;&gt;0,'Técnicas de Ki'!P100,0)+IF($T205&lt;&gt;0,'Técnicas de Ki'!Q100,0)),0))</f>
        <v>0</v>
      </c>
      <c r="X205" s="538">
        <f>IF('Técnicas de Ki'!B100=0,0,IF('Técnicas de Ki'!I100=TS!X$119,'Técnicas de Ki'!C100-(IF($O205&lt;&gt;0,'Técnicas de Ki'!L100,0)+IF($P205&lt;&gt;0,'Técnicas de Ki'!M100,0)+IF($Q205&lt;&gt;0,'Técnicas de Ki'!N100,0)+IF($R205&lt;&gt;0,'Técnicas de Ki'!O100,0)+IF($S205&lt;&gt;0,'Técnicas de Ki'!P100,0)+IF($T205&lt;&gt;0,'Técnicas de Ki'!Q100,0)),0))</f>
        <v>0</v>
      </c>
      <c r="Y205" s="538">
        <f>IF('Técnicas de Ki'!B100=0,0,IF('Técnicas de Ki'!I100=TS!Y$119,'Técnicas de Ki'!C100-(IF($O205&lt;&gt;0,'Técnicas de Ki'!L100,0)+IF($P205&lt;&gt;0,'Técnicas de Ki'!M100,0)+IF($Q205&lt;&gt;0,'Técnicas de Ki'!N100,0)+IF($R205&lt;&gt;0,'Técnicas de Ki'!O100,0)+IF($S205&lt;&gt;0,'Técnicas de Ki'!P100,0)+IF($T205&lt;&gt;0,'Técnicas de Ki'!Q100,0)),0))</f>
        <v>0</v>
      </c>
      <c r="Z205" s="538">
        <f>IF('Técnicas de Ki'!B100=0,0,IF('Técnicas de Ki'!I100=TS!Z$119,'Técnicas de Ki'!C100-(IF($O205&lt;&gt;0,'Técnicas de Ki'!L100,0)+IF($P205&lt;&gt;0,'Técnicas de Ki'!M100,0)+IF($Q205&lt;&gt;0,'Técnicas de Ki'!N100,0)+IF($R205&lt;&gt;0,'Técnicas de Ki'!O100,0)+IF($S205&lt;&gt;0,'Técnicas de Ki'!P100,0)+IF($T205&lt;&gt;0,'Técnicas de Ki'!Q100,0)),0))</f>
        <v>0</v>
      </c>
      <c r="AA205" s="539">
        <f>IF('Técnicas de Ki'!B100=0,0,IF('Técnicas de Ki'!I100=TS!AA$119,'Técnicas de Ki'!C100-(IF($O205&lt;&gt;0,'Técnicas de Ki'!L100,0)+IF($P205&lt;&gt;0,'Técnicas de Ki'!M100,0)+IF($Q205&lt;&gt;0,'Técnicas de Ki'!N100,0)+IF($R205&lt;&gt;0,'Técnicas de Ki'!O100,0)+IF($S205&lt;&gt;0,'Técnicas de Ki'!P100,0)+IF($T205&lt;&gt;0,'Técnicas de Ki'!Q100,0)),0))</f>
        <v>0</v>
      </c>
      <c r="AB205" s="538">
        <f>IF('Técnicas de Ki'!B100=0,0,IFERROR(IF('Técnicas de Ki'!L100&lt;&gt;0,'Técnicas de Ki'!L100+TS!$O205,0)*$O205/$O205,0))</f>
        <v>0</v>
      </c>
      <c r="AC205" s="538">
        <f>IF('Técnicas de Ki'!B100=0,0,IFERROR(IF('Técnicas de Ki'!M100&lt;&gt;0,'Técnicas de Ki'!M100+TS!$P205,0)*$P205/$P205,0))</f>
        <v>0</v>
      </c>
      <c r="AD205" s="538">
        <f>IF('Técnicas de Ki'!B100=0,0,IFERROR(IF('Técnicas de Ki'!N100&lt;&gt;0,'Técnicas de Ki'!N100+TS!$Q205,0)*$Q205/$Q205,0))</f>
        <v>0</v>
      </c>
      <c r="AE205" s="538">
        <f>IF('Técnicas de Ki'!B100=0,0,IFERROR(IF('Técnicas de Ki'!O100&lt;&gt;0,'Técnicas de Ki'!O100+TS!$R205,0)*$R205/$R205,0))</f>
        <v>0</v>
      </c>
      <c r="AF205" s="538">
        <f>IF('Técnicas de Ki'!B100=0,0,IFERROR(IF('Técnicas de Ki'!P100&lt;&gt;0,'Técnicas de Ki'!P100+TS!$S205,0)*$S205/$S205,0))</f>
        <v>0</v>
      </c>
      <c r="AG205" s="539">
        <f>IF('Técnicas de Ki'!B100=0,0,IFERROR(IF('Técnicas de Ki'!Q100&lt;&gt;0,'Técnicas de Ki'!Q100+TS!$T205,0)*$T205/$T205,0))</f>
        <v>0</v>
      </c>
      <c r="AI205" s="571" t="str">
        <f>IF('Técnicas de Ki'!B108&lt;&gt;0,'Técnicas de Ki'!A108&amp;" "&amp;'Técnicas de Ki'!B108,"")</f>
        <v/>
      </c>
      <c r="AJ205" s="302" t="b">
        <f t="shared" si="41"/>
        <v>0</v>
      </c>
      <c r="AK205" s="302" t="str">
        <f t="shared" si="37"/>
        <v/>
      </c>
      <c r="AQ205" s="537">
        <f>IF('Técnicas de Ki'!W100=0,0,IF('Técnicas de Ki'!AD100=TS!AQ$119,'Técnicas de Ki'!X100-(IF($O205&lt;&gt;0,'Técnicas de Ki'!AG100,0)+IF($P205&lt;&gt;0,'Técnicas de Ki'!AH100,0)+IF($Q205&lt;&gt;0,'Técnicas de Ki'!AI100,0)+IF($R205&lt;&gt;0,'Técnicas de Ki'!AJ100,0)+IF($S205&lt;&gt;0,'Técnicas de Ki'!AK100,0)+IF($T205&lt;&gt;0,'Técnicas de Ki'!AL100,0)),0))</f>
        <v>0</v>
      </c>
      <c r="AR205" s="538">
        <f>IF('Técnicas de Ki'!W100=0,0,IF('Técnicas de Ki'!AD100=TS!AR$119,'Técnicas de Ki'!X100-(IF($O205&lt;&gt;0,'Técnicas de Ki'!AG100,0)+IF($P205&lt;&gt;0,'Técnicas de Ki'!AH100,0)+IF($Q205&lt;&gt;0,'Técnicas de Ki'!AI100,0)+IF($R205&lt;&gt;0,'Técnicas de Ki'!AJ100,0)+IF($S205&lt;&gt;0,'Técnicas de Ki'!AK100,0)+IF($T205&lt;&gt;0,'Técnicas de Ki'!AL100,0)),0))</f>
        <v>0</v>
      </c>
      <c r="AS205" s="538">
        <f>IF('Técnicas de Ki'!W100=0,0,IF('Técnicas de Ki'!AD100=TS!AS$119,'Técnicas de Ki'!X100-(IF($O205&lt;&gt;0,'Técnicas de Ki'!AG100,0)+IF($P205&lt;&gt;0,'Técnicas de Ki'!AH100,0)+IF($Q205&lt;&gt;0,'Técnicas de Ki'!AI100,0)+IF($R205&lt;&gt;0,'Técnicas de Ki'!AJ100,0)+IF($S205&lt;&gt;0,'Técnicas de Ki'!AK100,0)+IF($T205&lt;&gt;0,'Técnicas de Ki'!AL100,0)),0))</f>
        <v>0</v>
      </c>
      <c r="AT205" s="538">
        <f>IF('Técnicas de Ki'!W100=0,0,IF('Técnicas de Ki'!AD100=TS!AT$119,'Técnicas de Ki'!X100-(IF($O205&lt;&gt;0,'Técnicas de Ki'!AG100,0)+IF($P205&lt;&gt;0,'Técnicas de Ki'!AH100,0)+IF($Q205&lt;&gt;0,'Técnicas de Ki'!AI100,0)+IF($R205&lt;&gt;0,'Técnicas de Ki'!AJ100,0)+IF($S205&lt;&gt;0,'Técnicas de Ki'!AK100,0)+IF($T205&lt;&gt;0,'Técnicas de Ki'!AL100,0)),0))</f>
        <v>0</v>
      </c>
      <c r="AU205" s="538">
        <f>IF('Técnicas de Ki'!W100=0,0,IF('Técnicas de Ki'!AD100=TS!AU$119,'Técnicas de Ki'!X100-(IF($O205&lt;&gt;0,'Técnicas de Ki'!AG100,0)+IF($P205&lt;&gt;0,'Técnicas de Ki'!AH100,0)+IF($Q205&lt;&gt;0,'Técnicas de Ki'!AI100,0)+IF($R205&lt;&gt;0,'Técnicas de Ki'!AJ100,0)+IF($S205&lt;&gt;0,'Técnicas de Ki'!AK100,0)+IF($T205&lt;&gt;0,'Técnicas de Ki'!AL100,0)),0))</f>
        <v>0</v>
      </c>
      <c r="AV205" s="539">
        <f>IF('Técnicas de Ki'!W100=0,0,IF('Técnicas de Ki'!AD100=TS!AV$119,'Técnicas de Ki'!X100-(IF($O205&lt;&gt;0,'Técnicas de Ki'!AG100,0)+IF($P205&lt;&gt;0,'Técnicas de Ki'!AH100,0)+IF($Q205&lt;&gt;0,'Técnicas de Ki'!AI100,0)+IF($R205&lt;&gt;0,'Técnicas de Ki'!AJ100,0)+IF($S205&lt;&gt;0,'Técnicas de Ki'!AK100,0)+IF($T205&lt;&gt;0,'Técnicas de Ki'!AL100,0)),0))</f>
        <v>0</v>
      </c>
      <c r="AW205" s="538">
        <f>IF('Técnicas de Ki'!W100=0,0,IFERROR(IF('Técnicas de Ki'!AG100&lt;&gt;0,'Técnicas de Ki'!AG100+TS!$O205,0)*$O205/$O205,0))</f>
        <v>0</v>
      </c>
      <c r="AX205" s="538">
        <f>IF('Técnicas de Ki'!W100=0,0,IFERROR(IF('Técnicas de Ki'!AH100&lt;&gt;0,'Técnicas de Ki'!AH100+TS!$P205,0)*$P205/$P205,0))</f>
        <v>0</v>
      </c>
      <c r="AY205" s="538">
        <f>IF('Técnicas de Ki'!W100=0,0,IFERROR(IF('Técnicas de Ki'!AI100&lt;&gt;0,'Técnicas de Ki'!AI100+TS!$Q205,0)*$Q205/$Q205,0))</f>
        <v>0</v>
      </c>
      <c r="AZ205" s="538">
        <f>IF('Técnicas de Ki'!W100=0,0,IFERROR(IF('Técnicas de Ki'!AJ100&lt;&gt;0,'Técnicas de Ki'!AJ100+TS!$R205,0)*$R205/$R205,0))</f>
        <v>0</v>
      </c>
      <c r="BA205" s="538">
        <f>IF('Técnicas de Ki'!W100=0,0,IFERROR(IF('Técnicas de Ki'!AK100&lt;&gt;0,'Técnicas de Ki'!AK100+TS!$S205,0)*$S205/$S205,0))</f>
        <v>0</v>
      </c>
      <c r="BB205" s="539">
        <f>IF('Técnicas de Ki'!W100=0,0,IFERROR(IF('Técnicas de Ki'!AL100&lt;&gt;0,'Técnicas de Ki'!AL100+TS!$T205,0)*$T205/$T205,0))</f>
        <v>0</v>
      </c>
      <c r="BD205" s="571" t="str">
        <f>IF('Técnicas de Ki'!W108&lt;&gt;0,'Técnicas de Ki'!V108&amp;" "&amp;'Técnicas de Ki'!W108,"")</f>
        <v/>
      </c>
      <c r="BE205" s="302" t="b">
        <f t="shared" si="34"/>
        <v>0</v>
      </c>
      <c r="BF205" s="302" t="str">
        <f t="shared" si="38"/>
        <v/>
      </c>
      <c r="BL205" s="537">
        <f>IF('Técnicas de Ki'!AR100=0,0,IF('Técnicas de Ki'!AY100=TS!BL$119,'Técnicas de Ki'!AS100-(IF($O205&lt;&gt;0,'Técnicas de Ki'!BB100,0)+IF($P205&lt;&gt;0,'Técnicas de Ki'!BC100,0)+IF($Q205&lt;&gt;0,'Técnicas de Ki'!BD100,0)+IF($R205&lt;&gt;0,'Técnicas de Ki'!BE100,0)+IF($S205&lt;&gt;0,'Técnicas de Ki'!BF100,0)+IF($T205&lt;&gt;0,'Técnicas de Ki'!BG100,0)),0))</f>
        <v>0</v>
      </c>
      <c r="BM205" s="538">
        <f>IF('Técnicas de Ki'!AR100=0,0,IF('Técnicas de Ki'!AY100=TS!BM$119,'Técnicas de Ki'!AS100-(IF($O205&lt;&gt;0,'Técnicas de Ki'!BB100,0)+IF($P205&lt;&gt;0,'Técnicas de Ki'!BC100,0)+IF($Q205&lt;&gt;0,'Técnicas de Ki'!BD100,0)+IF($R205&lt;&gt;0,'Técnicas de Ki'!BE100,0)+IF($S205&lt;&gt;0,'Técnicas de Ki'!BF100,0)+IF($T205&lt;&gt;0,'Técnicas de Ki'!BG100,0)),0))</f>
        <v>0</v>
      </c>
      <c r="BN205" s="538">
        <f>IF('Técnicas de Ki'!AR100=0,0,IF('Técnicas de Ki'!AY100=TS!BN$119,'Técnicas de Ki'!AS100-(IF($O205&lt;&gt;0,'Técnicas de Ki'!BB100,0)+IF($P205&lt;&gt;0,'Técnicas de Ki'!BC100,0)+IF($Q205&lt;&gt;0,'Técnicas de Ki'!BD100,0)+IF($R205&lt;&gt;0,'Técnicas de Ki'!BE100,0)+IF($S205&lt;&gt;0,'Técnicas de Ki'!BF100,0)+IF($T205&lt;&gt;0,'Técnicas de Ki'!BG100,0)),0))</f>
        <v>0</v>
      </c>
      <c r="BO205" s="538">
        <f>IF('Técnicas de Ki'!AR100=0,0,IF('Técnicas de Ki'!AY100=TS!BO$119,'Técnicas de Ki'!AS100-(IF($O205&lt;&gt;0,'Técnicas de Ki'!BB100,0)+IF($P205&lt;&gt;0,'Técnicas de Ki'!BC100,0)+IF($Q205&lt;&gt;0,'Técnicas de Ki'!BD100,0)+IF($R205&lt;&gt;0,'Técnicas de Ki'!BE100,0)+IF($S205&lt;&gt;0,'Técnicas de Ki'!BF100,0)+IF($T205&lt;&gt;0,'Técnicas de Ki'!BG100,0)),0))</f>
        <v>0</v>
      </c>
      <c r="BP205" s="538">
        <f>IF('Técnicas de Ki'!AR100=0,0,IF('Técnicas de Ki'!AY100=TS!BP$119,'Técnicas de Ki'!AS100-(IF($O205&lt;&gt;0,'Técnicas de Ki'!BB100,0)+IF($P205&lt;&gt;0,'Técnicas de Ki'!BC100,0)+IF($Q205&lt;&gt;0,'Técnicas de Ki'!BD100,0)+IF($R205&lt;&gt;0,'Técnicas de Ki'!BE100,0)+IF($S205&lt;&gt;0,'Técnicas de Ki'!BF100,0)+IF($T205&lt;&gt;0,'Técnicas de Ki'!BG100,0)),0))</f>
        <v>0</v>
      </c>
      <c r="BQ205" s="539">
        <f>IF('Técnicas de Ki'!AR100=0,0,IF('Técnicas de Ki'!AY100=TS!BQ$119,'Técnicas de Ki'!AS100-(IF($O205&lt;&gt;0,'Técnicas de Ki'!BB100,0)+IF($P205&lt;&gt;0,'Técnicas de Ki'!BC100,0)+IF($Q205&lt;&gt;0,'Técnicas de Ki'!BD100,0)+IF($R205&lt;&gt;0,'Técnicas de Ki'!BE100,0)+IF($S205&lt;&gt;0,'Técnicas de Ki'!BF100,0)+IF($T205&lt;&gt;0,'Técnicas de Ki'!BG100,0)),0))</f>
        <v>0</v>
      </c>
      <c r="BR205" s="538">
        <f>IF('Técnicas de Ki'!AR100=0,0,IFERROR(IF('Técnicas de Ki'!BB100&lt;&gt;0,'Técnicas de Ki'!BB100+TS!$O205,0)*$O205/$O205,0))</f>
        <v>0</v>
      </c>
      <c r="BS205" s="538">
        <f>IF('Técnicas de Ki'!AR100=0,0,IFERROR(IF('Técnicas de Ki'!BC100&lt;&gt;0,'Técnicas de Ki'!BC100+TS!$P205,0)*$P205/$P205,0))</f>
        <v>0</v>
      </c>
      <c r="BT205" s="538">
        <f>IF('Técnicas de Ki'!AR100=0,0,IFERROR(IF('Técnicas de Ki'!BD100&lt;&gt;0,'Técnicas de Ki'!BD100+TS!$Q205,0)*$Q205/$Q205,0))</f>
        <v>0</v>
      </c>
      <c r="BU205" s="538">
        <f>IF('Técnicas de Ki'!AR100=0,0,IFERROR(IF('Técnicas de Ki'!BE100&lt;&gt;0,'Técnicas de Ki'!BE100+TS!$R205,0)*$R205/$R205,0))</f>
        <v>0</v>
      </c>
      <c r="BV205" s="538">
        <f>IF('Técnicas de Ki'!AR100=0,0,IFERROR(IF('Técnicas de Ki'!BF100&lt;&gt;0,'Técnicas de Ki'!BF100+TS!$S205,0)*$S205/$S205,0))</f>
        <v>0</v>
      </c>
      <c r="BW205" s="539">
        <f>IF('Técnicas de Ki'!AR100=0,0,IFERROR(IF('Técnicas de Ki'!BG100&lt;&gt;0,'Técnicas de Ki'!BG100+TS!$T205,0)*$T205/$T205,0))</f>
        <v>0</v>
      </c>
      <c r="BY205" s="571" t="str">
        <f>IF('Técnicas de Ki'!AR108&lt;&gt;0,'Técnicas de Ki'!AQ108&amp;" "&amp;'Técnicas de Ki'!AR108,"")</f>
        <v/>
      </c>
      <c r="BZ205" s="302" t="b">
        <f t="shared" si="35"/>
        <v>0</v>
      </c>
      <c r="CA205" s="302" t="str">
        <f t="shared" si="39"/>
        <v/>
      </c>
      <c r="CG205" s="537">
        <f>IF('Técnicas de Ki'!BM100=0,0,IF('Técnicas de Ki'!BT100=TS!CG$119,'Técnicas de Ki'!BN100-(IF($O205&lt;&gt;0,'Técnicas de Ki'!BW100,0)+IF($P205&lt;&gt;0,'Técnicas de Ki'!BX100,0)+IF($Q205&lt;&gt;0,'Técnicas de Ki'!BY100,0)+IF($R205&lt;&gt;0,'Técnicas de Ki'!BZ100,0)+IF($S205&lt;&gt;0,'Técnicas de Ki'!CA100,0)+IF($T205&lt;&gt;0,'Técnicas de Ki'!CB100,0)),0))</f>
        <v>0</v>
      </c>
      <c r="CH205" s="538">
        <f>IF('Técnicas de Ki'!BM100=0,0,IF('Técnicas de Ki'!BT100=TS!CH$119,'Técnicas de Ki'!BN100-(IF($O205&lt;&gt;0,'Técnicas de Ki'!BW100,0)+IF($P205&lt;&gt;0,'Técnicas de Ki'!BX100,0)+IF($Q205&lt;&gt;0,'Técnicas de Ki'!BY100,0)+IF($R205&lt;&gt;0,'Técnicas de Ki'!BZ100,0)+IF($S205&lt;&gt;0,'Técnicas de Ki'!CA100,0)+IF($T205&lt;&gt;0,'Técnicas de Ki'!CB100,0)),0))</f>
        <v>0</v>
      </c>
      <c r="CI205" s="538">
        <f>IF('Técnicas de Ki'!BM100=0,0,IF('Técnicas de Ki'!BT100=TS!CI$119,'Técnicas de Ki'!BN100-(IF($O205&lt;&gt;0,'Técnicas de Ki'!BW100,0)+IF($P205&lt;&gt;0,'Técnicas de Ki'!BX100,0)+IF($Q205&lt;&gt;0,'Técnicas de Ki'!BY100,0)+IF($R205&lt;&gt;0,'Técnicas de Ki'!BZ100,0)+IF($S205&lt;&gt;0,'Técnicas de Ki'!CA100,0)+IF($T205&lt;&gt;0,'Técnicas de Ki'!CB100,0)),0))</f>
        <v>0</v>
      </c>
      <c r="CJ205" s="538">
        <f>IF('Técnicas de Ki'!BM100=0,0,IF('Técnicas de Ki'!BT100=TS!CJ$119,'Técnicas de Ki'!BN100-(IF($O205&lt;&gt;0,'Técnicas de Ki'!BW100,0)+IF($P205&lt;&gt;0,'Técnicas de Ki'!BX100,0)+IF($Q205&lt;&gt;0,'Técnicas de Ki'!BY100,0)+IF($R205&lt;&gt;0,'Técnicas de Ki'!BZ100,0)+IF($S205&lt;&gt;0,'Técnicas de Ki'!CA100,0)+IF($T205&lt;&gt;0,'Técnicas de Ki'!CB100,0)),0))</f>
        <v>0</v>
      </c>
      <c r="CK205" s="538">
        <f>IF('Técnicas de Ki'!BM100=0,0,IF('Técnicas de Ki'!BT100=TS!CK$119,'Técnicas de Ki'!BN100-(IF($O205&lt;&gt;0,'Técnicas de Ki'!BW100,0)+IF($P205&lt;&gt;0,'Técnicas de Ki'!BX100,0)+IF($Q205&lt;&gt;0,'Técnicas de Ki'!BY100,0)+IF($R205&lt;&gt;0,'Técnicas de Ki'!BZ100,0)+IF($S205&lt;&gt;0,'Técnicas de Ki'!CA100,0)+IF($T205&lt;&gt;0,'Técnicas de Ki'!CB100,0)),0))</f>
        <v>0</v>
      </c>
      <c r="CL205" s="539">
        <f>IF('Técnicas de Ki'!BM100=0,0,IF('Técnicas de Ki'!BT100=TS!CL$119,'Técnicas de Ki'!BN100-(IF($O205&lt;&gt;0,'Técnicas de Ki'!BW100,0)+IF($P205&lt;&gt;0,'Técnicas de Ki'!BX100,0)+IF($Q205&lt;&gt;0,'Técnicas de Ki'!BY100,0)+IF($R205&lt;&gt;0,'Técnicas de Ki'!BZ100,0)+IF($S205&lt;&gt;0,'Técnicas de Ki'!CA100,0)+IF($T205&lt;&gt;0,'Técnicas de Ki'!CB100,0)),0))</f>
        <v>0</v>
      </c>
      <c r="CM205" s="538">
        <f>IF('Técnicas de Ki'!BM100=0,0,IFERROR(IF('Técnicas de Ki'!BW100&lt;&gt;0,'Técnicas de Ki'!BW100+TS!$O205,0)*$O205/$O205,0))</f>
        <v>0</v>
      </c>
      <c r="CN205" s="538">
        <f>IF('Técnicas de Ki'!BM100=0,0,IFERROR(IF('Técnicas de Ki'!BX100&lt;&gt;0,'Técnicas de Ki'!BX100+TS!$P205,0)*$P205/$P205,0))</f>
        <v>0</v>
      </c>
      <c r="CO205" s="538">
        <f>IF('Técnicas de Ki'!BM100=0,0,IFERROR(IF('Técnicas de Ki'!BY100&lt;&gt;0,'Técnicas de Ki'!BY100+TS!$Q205,0)*$Q205/$Q205,0))</f>
        <v>0</v>
      </c>
      <c r="CP205" s="538">
        <f>IF('Técnicas de Ki'!BM100=0,0,IFERROR(IF('Técnicas de Ki'!BZ100&lt;&gt;0,'Técnicas de Ki'!BZ100+TS!$R205,0)*$R205/$R205,0))</f>
        <v>0</v>
      </c>
      <c r="CQ205" s="538">
        <f>IF('Técnicas de Ki'!BM100=0,0,IFERROR(IF('Técnicas de Ki'!CA100&lt;&gt;0,'Técnicas de Ki'!CA100+TS!$S205,0)*$S205/$S205,0))</f>
        <v>0</v>
      </c>
      <c r="CR205" s="539">
        <f>IF('Técnicas de Ki'!BM100=0,0,IFERROR(IF('Técnicas de Ki'!CB100&lt;&gt;0,'Técnicas de Ki'!CB100+TS!$T205,0)*$T205/$T205,0))</f>
        <v>0</v>
      </c>
      <c r="CT205" s="571" t="str">
        <f>IF('Técnicas de Ki'!BM108&lt;&gt;0,'Técnicas de Ki'!BL108&amp;" "&amp;'Técnicas de Ki'!BM108,"")</f>
        <v/>
      </c>
      <c r="CU205" s="302" t="b">
        <f t="shared" si="36"/>
        <v>0</v>
      </c>
      <c r="CV205" s="302" t="str">
        <f t="shared" si="40"/>
        <v/>
      </c>
    </row>
    <row r="206" spans="1:100" x14ac:dyDescent="0.2">
      <c r="A206" s="302" t="s">
        <v>6869</v>
      </c>
      <c r="B206" s="301" t="s">
        <v>6876</v>
      </c>
      <c r="C206" s="301" t="str">
        <f t="shared" si="42"/>
        <v>Accion Adicional+8</v>
      </c>
      <c r="D206" s="302">
        <v>7</v>
      </c>
      <c r="E206" s="302">
        <v>10</v>
      </c>
      <c r="F206" s="302">
        <v>30</v>
      </c>
      <c r="G206" s="302">
        <v>10</v>
      </c>
      <c r="H206" s="302">
        <v>20</v>
      </c>
      <c r="I206" s="302">
        <v>35</v>
      </c>
      <c r="J206" s="302">
        <v>2</v>
      </c>
      <c r="N206" t="s">
        <v>4741</v>
      </c>
      <c r="O206" s="302">
        <v>2</v>
      </c>
      <c r="P206" s="302">
        <v>3</v>
      </c>
      <c r="Q206" s="302">
        <v>3</v>
      </c>
      <c r="R206" s="302">
        <v>2</v>
      </c>
      <c r="V206" s="537">
        <f>IF('Técnicas de Ki'!B101=0,0,IF('Técnicas de Ki'!I101=TS!V$119,'Técnicas de Ki'!C101-(IF($O206&lt;&gt;0,'Técnicas de Ki'!L101,0)+IF($P206&lt;&gt;0,'Técnicas de Ki'!M101,0)+IF($Q206&lt;&gt;0,'Técnicas de Ki'!N101,0)+IF($R206&lt;&gt;0,'Técnicas de Ki'!O101,0)+IF($S206&lt;&gt;0,'Técnicas de Ki'!P101,0)+IF($T206&lt;&gt;0,'Técnicas de Ki'!Q101,0)),0))</f>
        <v>0</v>
      </c>
      <c r="W206" s="538">
        <f>IF('Técnicas de Ki'!B101=0,0,IF('Técnicas de Ki'!I101=TS!W$119,'Técnicas de Ki'!C101-(IF($O206&lt;&gt;0,'Técnicas de Ki'!L101,0)+IF($P206&lt;&gt;0,'Técnicas de Ki'!M101,0)+IF($Q206&lt;&gt;0,'Técnicas de Ki'!N101,0)+IF($R206&lt;&gt;0,'Técnicas de Ki'!O101,0)+IF($S206&lt;&gt;0,'Técnicas de Ki'!P101,0)+IF($T206&lt;&gt;0,'Técnicas de Ki'!Q101,0)),0))</f>
        <v>0</v>
      </c>
      <c r="X206" s="538">
        <f>IF('Técnicas de Ki'!B101=0,0,IF('Técnicas de Ki'!I101=TS!X$119,'Técnicas de Ki'!C101-(IF($O206&lt;&gt;0,'Técnicas de Ki'!L101,0)+IF($P206&lt;&gt;0,'Técnicas de Ki'!M101,0)+IF($Q206&lt;&gt;0,'Técnicas de Ki'!N101,0)+IF($R206&lt;&gt;0,'Técnicas de Ki'!O101,0)+IF($S206&lt;&gt;0,'Técnicas de Ki'!P101,0)+IF($T206&lt;&gt;0,'Técnicas de Ki'!Q101,0)),0))</f>
        <v>0</v>
      </c>
      <c r="Y206" s="538">
        <f>IF('Técnicas de Ki'!B101=0,0,IF('Técnicas de Ki'!I101=TS!Y$119,'Técnicas de Ki'!C101-(IF($O206&lt;&gt;0,'Técnicas de Ki'!L101,0)+IF($P206&lt;&gt;0,'Técnicas de Ki'!M101,0)+IF($Q206&lt;&gt;0,'Técnicas de Ki'!N101,0)+IF($R206&lt;&gt;0,'Técnicas de Ki'!O101,0)+IF($S206&lt;&gt;0,'Técnicas de Ki'!P101,0)+IF($T206&lt;&gt;0,'Técnicas de Ki'!Q101,0)),0))</f>
        <v>0</v>
      </c>
      <c r="Z206" s="538">
        <f>IF('Técnicas de Ki'!B101=0,0,IF('Técnicas de Ki'!I101=TS!Z$119,'Técnicas de Ki'!C101-(IF($O206&lt;&gt;0,'Técnicas de Ki'!L101,0)+IF($P206&lt;&gt;0,'Técnicas de Ki'!M101,0)+IF($Q206&lt;&gt;0,'Técnicas de Ki'!N101,0)+IF($R206&lt;&gt;0,'Técnicas de Ki'!O101,0)+IF($S206&lt;&gt;0,'Técnicas de Ki'!P101,0)+IF($T206&lt;&gt;0,'Técnicas de Ki'!Q101,0)),0))</f>
        <v>0</v>
      </c>
      <c r="AA206" s="539">
        <f>IF('Técnicas de Ki'!B101=0,0,IF('Técnicas de Ki'!I101=TS!AA$119,'Técnicas de Ki'!C101-(IF($O206&lt;&gt;0,'Técnicas de Ki'!L101,0)+IF($P206&lt;&gt;0,'Técnicas de Ki'!M101,0)+IF($Q206&lt;&gt;0,'Técnicas de Ki'!N101,0)+IF($R206&lt;&gt;0,'Técnicas de Ki'!O101,0)+IF($S206&lt;&gt;0,'Técnicas de Ki'!P101,0)+IF($T206&lt;&gt;0,'Técnicas de Ki'!Q101,0)),0))</f>
        <v>0</v>
      </c>
      <c r="AB206" s="538">
        <f>IF('Técnicas de Ki'!B101=0,0,IFERROR(IF('Técnicas de Ki'!L101&lt;&gt;0,'Técnicas de Ki'!L101+TS!$O206,0)*$O206/$O206,0))</f>
        <v>0</v>
      </c>
      <c r="AC206" s="538">
        <f>IF('Técnicas de Ki'!B101=0,0,IFERROR(IF('Técnicas de Ki'!M101&lt;&gt;0,'Técnicas de Ki'!M101+TS!$P206,0)*$P206/$P206,0))</f>
        <v>0</v>
      </c>
      <c r="AD206" s="538">
        <f>IF('Técnicas de Ki'!B101=0,0,IFERROR(IF('Técnicas de Ki'!N101&lt;&gt;0,'Técnicas de Ki'!N101+TS!$Q206,0)*$Q206/$Q206,0))</f>
        <v>0</v>
      </c>
      <c r="AE206" s="538">
        <f>IF('Técnicas de Ki'!B101=0,0,IFERROR(IF('Técnicas de Ki'!O101&lt;&gt;0,'Técnicas de Ki'!O101+TS!$R206,0)*$R206/$R206,0))</f>
        <v>0</v>
      </c>
      <c r="AF206" s="538">
        <f>IF('Técnicas de Ki'!B101=0,0,IFERROR(IF('Técnicas de Ki'!P101&lt;&gt;0,'Técnicas de Ki'!P101+TS!$S206,0)*$S206/$S206,0))</f>
        <v>0</v>
      </c>
      <c r="AG206" s="539">
        <f>IF('Técnicas de Ki'!B101=0,0,IFERROR(IF('Técnicas de Ki'!Q101&lt;&gt;0,'Técnicas de Ki'!Q101+TS!$T206,0)*$T206/$T206,0))</f>
        <v>0</v>
      </c>
      <c r="AI206" s="571" t="str">
        <f>IF('Técnicas de Ki'!B109&lt;&gt;0,'Técnicas de Ki'!A109&amp;" "&amp;'Técnicas de Ki'!B109,"")</f>
        <v/>
      </c>
      <c r="AJ206" s="302" t="b">
        <f t="shared" si="41"/>
        <v>0</v>
      </c>
      <c r="AK206" s="302" t="str">
        <f t="shared" si="37"/>
        <v/>
      </c>
      <c r="AQ206" s="537">
        <f>IF('Técnicas de Ki'!W101=0,0,IF('Técnicas de Ki'!AD101=TS!AQ$119,'Técnicas de Ki'!X101-(IF($O206&lt;&gt;0,'Técnicas de Ki'!AG101,0)+IF($P206&lt;&gt;0,'Técnicas de Ki'!AH101,0)+IF($Q206&lt;&gt;0,'Técnicas de Ki'!AI101,0)+IF($R206&lt;&gt;0,'Técnicas de Ki'!AJ101,0)+IF($S206&lt;&gt;0,'Técnicas de Ki'!AK101,0)+IF($T206&lt;&gt;0,'Técnicas de Ki'!AL101,0)),0))</f>
        <v>0</v>
      </c>
      <c r="AR206" s="538">
        <f>IF('Técnicas de Ki'!W101=0,0,IF('Técnicas de Ki'!AD101=TS!AR$119,'Técnicas de Ki'!X101-(IF($O206&lt;&gt;0,'Técnicas de Ki'!AG101,0)+IF($P206&lt;&gt;0,'Técnicas de Ki'!AH101,0)+IF($Q206&lt;&gt;0,'Técnicas de Ki'!AI101,0)+IF($R206&lt;&gt;0,'Técnicas de Ki'!AJ101,0)+IF($S206&lt;&gt;0,'Técnicas de Ki'!AK101,0)+IF($T206&lt;&gt;0,'Técnicas de Ki'!AL101,0)),0))</f>
        <v>0</v>
      </c>
      <c r="AS206" s="538">
        <f>IF('Técnicas de Ki'!W101=0,0,IF('Técnicas de Ki'!AD101=TS!AS$119,'Técnicas de Ki'!X101-(IF($O206&lt;&gt;0,'Técnicas de Ki'!AG101,0)+IF($P206&lt;&gt;0,'Técnicas de Ki'!AH101,0)+IF($Q206&lt;&gt;0,'Técnicas de Ki'!AI101,0)+IF($R206&lt;&gt;0,'Técnicas de Ki'!AJ101,0)+IF($S206&lt;&gt;0,'Técnicas de Ki'!AK101,0)+IF($T206&lt;&gt;0,'Técnicas de Ki'!AL101,0)),0))</f>
        <v>0</v>
      </c>
      <c r="AT206" s="538">
        <f>IF('Técnicas de Ki'!W101=0,0,IF('Técnicas de Ki'!AD101=TS!AT$119,'Técnicas de Ki'!X101-(IF($O206&lt;&gt;0,'Técnicas de Ki'!AG101,0)+IF($P206&lt;&gt;0,'Técnicas de Ki'!AH101,0)+IF($Q206&lt;&gt;0,'Técnicas de Ki'!AI101,0)+IF($R206&lt;&gt;0,'Técnicas de Ki'!AJ101,0)+IF($S206&lt;&gt;0,'Técnicas de Ki'!AK101,0)+IF($T206&lt;&gt;0,'Técnicas de Ki'!AL101,0)),0))</f>
        <v>0</v>
      </c>
      <c r="AU206" s="538">
        <f>IF('Técnicas de Ki'!W101=0,0,IF('Técnicas de Ki'!AD101=TS!AU$119,'Técnicas de Ki'!X101-(IF($O206&lt;&gt;0,'Técnicas de Ki'!AG101,0)+IF($P206&lt;&gt;0,'Técnicas de Ki'!AH101,0)+IF($Q206&lt;&gt;0,'Técnicas de Ki'!AI101,0)+IF($R206&lt;&gt;0,'Técnicas de Ki'!AJ101,0)+IF($S206&lt;&gt;0,'Técnicas de Ki'!AK101,0)+IF($T206&lt;&gt;0,'Técnicas de Ki'!AL101,0)),0))</f>
        <v>0</v>
      </c>
      <c r="AV206" s="539">
        <f>IF('Técnicas de Ki'!W101=0,0,IF('Técnicas de Ki'!AD101=TS!AV$119,'Técnicas de Ki'!X101-(IF($O206&lt;&gt;0,'Técnicas de Ki'!AG101,0)+IF($P206&lt;&gt;0,'Técnicas de Ki'!AH101,0)+IF($Q206&lt;&gt;0,'Técnicas de Ki'!AI101,0)+IF($R206&lt;&gt;0,'Técnicas de Ki'!AJ101,0)+IF($S206&lt;&gt;0,'Técnicas de Ki'!AK101,0)+IF($T206&lt;&gt;0,'Técnicas de Ki'!AL101,0)),0))</f>
        <v>0</v>
      </c>
      <c r="AW206" s="538">
        <f>IF('Técnicas de Ki'!W101=0,0,IFERROR(IF('Técnicas de Ki'!AG101&lt;&gt;0,'Técnicas de Ki'!AG101+TS!$O206,0)*$O206/$O206,0))</f>
        <v>0</v>
      </c>
      <c r="AX206" s="538">
        <f>IF('Técnicas de Ki'!W101=0,0,IFERROR(IF('Técnicas de Ki'!AH101&lt;&gt;0,'Técnicas de Ki'!AH101+TS!$P206,0)*$P206/$P206,0))</f>
        <v>0</v>
      </c>
      <c r="AY206" s="538">
        <f>IF('Técnicas de Ki'!W101=0,0,IFERROR(IF('Técnicas de Ki'!AI101&lt;&gt;0,'Técnicas de Ki'!AI101+TS!$Q206,0)*$Q206/$Q206,0))</f>
        <v>0</v>
      </c>
      <c r="AZ206" s="538">
        <f>IF('Técnicas de Ki'!W101=0,0,IFERROR(IF('Técnicas de Ki'!AJ101&lt;&gt;0,'Técnicas de Ki'!AJ101+TS!$R206,0)*$R206/$R206,0))</f>
        <v>0</v>
      </c>
      <c r="BA206" s="538">
        <f>IF('Técnicas de Ki'!W101=0,0,IFERROR(IF('Técnicas de Ki'!AK101&lt;&gt;0,'Técnicas de Ki'!AK101+TS!$S206,0)*$S206/$S206,0))</f>
        <v>0</v>
      </c>
      <c r="BB206" s="539">
        <f>IF('Técnicas de Ki'!W101=0,0,IFERROR(IF('Técnicas de Ki'!AL101&lt;&gt;0,'Técnicas de Ki'!AL101+TS!$T206,0)*$T206/$T206,0))</f>
        <v>0</v>
      </c>
      <c r="BD206" s="571" t="str">
        <f>IF('Técnicas de Ki'!W109&lt;&gt;0,'Técnicas de Ki'!V109&amp;" "&amp;'Técnicas de Ki'!W109,"")</f>
        <v/>
      </c>
      <c r="BE206" s="302" t="b">
        <f t="shared" si="34"/>
        <v>0</v>
      </c>
      <c r="BF206" s="302" t="str">
        <f t="shared" si="38"/>
        <v/>
      </c>
      <c r="BL206" s="537">
        <f>IF('Técnicas de Ki'!AR101=0,0,IF('Técnicas de Ki'!AY101=TS!BL$119,'Técnicas de Ki'!AS101-(IF($O206&lt;&gt;0,'Técnicas de Ki'!BB101,0)+IF($P206&lt;&gt;0,'Técnicas de Ki'!BC101,0)+IF($Q206&lt;&gt;0,'Técnicas de Ki'!BD101,0)+IF($R206&lt;&gt;0,'Técnicas de Ki'!BE101,0)+IF($S206&lt;&gt;0,'Técnicas de Ki'!BF101,0)+IF($T206&lt;&gt;0,'Técnicas de Ki'!BG101,0)),0))</f>
        <v>0</v>
      </c>
      <c r="BM206" s="538">
        <f>IF('Técnicas de Ki'!AR101=0,0,IF('Técnicas de Ki'!AY101=TS!BM$119,'Técnicas de Ki'!AS101-(IF($O206&lt;&gt;0,'Técnicas de Ki'!BB101,0)+IF($P206&lt;&gt;0,'Técnicas de Ki'!BC101,0)+IF($Q206&lt;&gt;0,'Técnicas de Ki'!BD101,0)+IF($R206&lt;&gt;0,'Técnicas de Ki'!BE101,0)+IF($S206&lt;&gt;0,'Técnicas de Ki'!BF101,0)+IF($T206&lt;&gt;0,'Técnicas de Ki'!BG101,0)),0))</f>
        <v>0</v>
      </c>
      <c r="BN206" s="538">
        <f>IF('Técnicas de Ki'!AR101=0,0,IF('Técnicas de Ki'!AY101=TS!BN$119,'Técnicas de Ki'!AS101-(IF($O206&lt;&gt;0,'Técnicas de Ki'!BB101,0)+IF($P206&lt;&gt;0,'Técnicas de Ki'!BC101,0)+IF($Q206&lt;&gt;0,'Técnicas de Ki'!BD101,0)+IF($R206&lt;&gt;0,'Técnicas de Ki'!BE101,0)+IF($S206&lt;&gt;0,'Técnicas de Ki'!BF101,0)+IF($T206&lt;&gt;0,'Técnicas de Ki'!BG101,0)),0))</f>
        <v>0</v>
      </c>
      <c r="BO206" s="538">
        <f>IF('Técnicas de Ki'!AR101=0,0,IF('Técnicas de Ki'!AY101=TS!BO$119,'Técnicas de Ki'!AS101-(IF($O206&lt;&gt;0,'Técnicas de Ki'!BB101,0)+IF($P206&lt;&gt;0,'Técnicas de Ki'!BC101,0)+IF($Q206&lt;&gt;0,'Técnicas de Ki'!BD101,0)+IF($R206&lt;&gt;0,'Técnicas de Ki'!BE101,0)+IF($S206&lt;&gt;0,'Técnicas de Ki'!BF101,0)+IF($T206&lt;&gt;0,'Técnicas de Ki'!BG101,0)),0))</f>
        <v>0</v>
      </c>
      <c r="BP206" s="538">
        <f>IF('Técnicas de Ki'!AR101=0,0,IF('Técnicas de Ki'!AY101=TS!BP$119,'Técnicas de Ki'!AS101-(IF($O206&lt;&gt;0,'Técnicas de Ki'!BB101,0)+IF($P206&lt;&gt;0,'Técnicas de Ki'!BC101,0)+IF($Q206&lt;&gt;0,'Técnicas de Ki'!BD101,0)+IF($R206&lt;&gt;0,'Técnicas de Ki'!BE101,0)+IF($S206&lt;&gt;0,'Técnicas de Ki'!BF101,0)+IF($T206&lt;&gt;0,'Técnicas de Ki'!BG101,0)),0))</f>
        <v>0</v>
      </c>
      <c r="BQ206" s="539">
        <f>IF('Técnicas de Ki'!AR101=0,0,IF('Técnicas de Ki'!AY101=TS!BQ$119,'Técnicas de Ki'!AS101-(IF($O206&lt;&gt;0,'Técnicas de Ki'!BB101,0)+IF($P206&lt;&gt;0,'Técnicas de Ki'!BC101,0)+IF($Q206&lt;&gt;0,'Técnicas de Ki'!BD101,0)+IF($R206&lt;&gt;0,'Técnicas de Ki'!BE101,0)+IF($S206&lt;&gt;0,'Técnicas de Ki'!BF101,0)+IF($T206&lt;&gt;0,'Técnicas de Ki'!BG101,0)),0))</f>
        <v>0</v>
      </c>
      <c r="BR206" s="538">
        <f>IF('Técnicas de Ki'!AR101=0,0,IFERROR(IF('Técnicas de Ki'!BB101&lt;&gt;0,'Técnicas de Ki'!BB101+TS!$O206,0)*$O206/$O206,0))</f>
        <v>0</v>
      </c>
      <c r="BS206" s="538">
        <f>IF('Técnicas de Ki'!AR101=0,0,IFERROR(IF('Técnicas de Ki'!BC101&lt;&gt;0,'Técnicas de Ki'!BC101+TS!$P206,0)*$P206/$P206,0))</f>
        <v>0</v>
      </c>
      <c r="BT206" s="538">
        <f>IF('Técnicas de Ki'!AR101=0,0,IFERROR(IF('Técnicas de Ki'!BD101&lt;&gt;0,'Técnicas de Ki'!BD101+TS!$Q206,0)*$Q206/$Q206,0))</f>
        <v>0</v>
      </c>
      <c r="BU206" s="538">
        <f>IF('Técnicas de Ki'!AR101=0,0,IFERROR(IF('Técnicas de Ki'!BE101&lt;&gt;0,'Técnicas de Ki'!BE101+TS!$R206,0)*$R206/$R206,0))</f>
        <v>0</v>
      </c>
      <c r="BV206" s="538">
        <f>IF('Técnicas de Ki'!AR101=0,0,IFERROR(IF('Técnicas de Ki'!BF101&lt;&gt;0,'Técnicas de Ki'!BF101+TS!$S206,0)*$S206/$S206,0))</f>
        <v>0</v>
      </c>
      <c r="BW206" s="539">
        <f>IF('Técnicas de Ki'!AR101=0,0,IFERROR(IF('Técnicas de Ki'!BG101&lt;&gt;0,'Técnicas de Ki'!BG101+TS!$T206,0)*$T206/$T206,0))</f>
        <v>0</v>
      </c>
      <c r="BY206" s="571" t="str">
        <f>IF('Técnicas de Ki'!AR109&lt;&gt;0,'Técnicas de Ki'!AQ109&amp;" "&amp;'Técnicas de Ki'!AR109,"")</f>
        <v/>
      </c>
      <c r="BZ206" s="302" t="b">
        <f t="shared" si="35"/>
        <v>0</v>
      </c>
      <c r="CA206" s="302" t="str">
        <f t="shared" si="39"/>
        <v/>
      </c>
      <c r="CG206" s="537">
        <f>IF('Técnicas de Ki'!BM101=0,0,IF('Técnicas de Ki'!BT101=TS!CG$119,'Técnicas de Ki'!BN101-(IF($O206&lt;&gt;0,'Técnicas de Ki'!BW101,0)+IF($P206&lt;&gt;0,'Técnicas de Ki'!BX101,0)+IF($Q206&lt;&gt;0,'Técnicas de Ki'!BY101,0)+IF($R206&lt;&gt;0,'Técnicas de Ki'!BZ101,0)+IF($S206&lt;&gt;0,'Técnicas de Ki'!CA101,0)+IF($T206&lt;&gt;0,'Técnicas de Ki'!CB101,0)),0))</f>
        <v>0</v>
      </c>
      <c r="CH206" s="538">
        <f>IF('Técnicas de Ki'!BM101=0,0,IF('Técnicas de Ki'!BT101=TS!CH$119,'Técnicas de Ki'!BN101-(IF($O206&lt;&gt;0,'Técnicas de Ki'!BW101,0)+IF($P206&lt;&gt;0,'Técnicas de Ki'!BX101,0)+IF($Q206&lt;&gt;0,'Técnicas de Ki'!BY101,0)+IF($R206&lt;&gt;0,'Técnicas de Ki'!BZ101,0)+IF($S206&lt;&gt;0,'Técnicas de Ki'!CA101,0)+IF($T206&lt;&gt;0,'Técnicas de Ki'!CB101,0)),0))</f>
        <v>0</v>
      </c>
      <c r="CI206" s="538">
        <f>IF('Técnicas de Ki'!BM101=0,0,IF('Técnicas de Ki'!BT101=TS!CI$119,'Técnicas de Ki'!BN101-(IF($O206&lt;&gt;0,'Técnicas de Ki'!BW101,0)+IF($P206&lt;&gt;0,'Técnicas de Ki'!BX101,0)+IF($Q206&lt;&gt;0,'Técnicas de Ki'!BY101,0)+IF($R206&lt;&gt;0,'Técnicas de Ki'!BZ101,0)+IF($S206&lt;&gt;0,'Técnicas de Ki'!CA101,0)+IF($T206&lt;&gt;0,'Técnicas de Ki'!CB101,0)),0))</f>
        <v>0</v>
      </c>
      <c r="CJ206" s="538">
        <f>IF('Técnicas de Ki'!BM101=0,0,IF('Técnicas de Ki'!BT101=TS!CJ$119,'Técnicas de Ki'!BN101-(IF($O206&lt;&gt;0,'Técnicas de Ki'!BW101,0)+IF($P206&lt;&gt;0,'Técnicas de Ki'!BX101,0)+IF($Q206&lt;&gt;0,'Técnicas de Ki'!BY101,0)+IF($R206&lt;&gt;0,'Técnicas de Ki'!BZ101,0)+IF($S206&lt;&gt;0,'Técnicas de Ki'!CA101,0)+IF($T206&lt;&gt;0,'Técnicas de Ki'!CB101,0)),0))</f>
        <v>0</v>
      </c>
      <c r="CK206" s="538">
        <f>IF('Técnicas de Ki'!BM101=0,0,IF('Técnicas de Ki'!BT101=TS!CK$119,'Técnicas de Ki'!BN101-(IF($O206&lt;&gt;0,'Técnicas de Ki'!BW101,0)+IF($P206&lt;&gt;0,'Técnicas de Ki'!BX101,0)+IF($Q206&lt;&gt;0,'Técnicas de Ki'!BY101,0)+IF($R206&lt;&gt;0,'Técnicas de Ki'!BZ101,0)+IF($S206&lt;&gt;0,'Técnicas de Ki'!CA101,0)+IF($T206&lt;&gt;0,'Técnicas de Ki'!CB101,0)),0))</f>
        <v>0</v>
      </c>
      <c r="CL206" s="539">
        <f>IF('Técnicas de Ki'!BM101=0,0,IF('Técnicas de Ki'!BT101=TS!CL$119,'Técnicas de Ki'!BN101-(IF($O206&lt;&gt;0,'Técnicas de Ki'!BW101,0)+IF($P206&lt;&gt;0,'Técnicas de Ki'!BX101,0)+IF($Q206&lt;&gt;0,'Técnicas de Ki'!BY101,0)+IF($R206&lt;&gt;0,'Técnicas de Ki'!BZ101,0)+IF($S206&lt;&gt;0,'Técnicas de Ki'!CA101,0)+IF($T206&lt;&gt;0,'Técnicas de Ki'!CB101,0)),0))</f>
        <v>0</v>
      </c>
      <c r="CM206" s="538">
        <f>IF('Técnicas de Ki'!BM101=0,0,IFERROR(IF('Técnicas de Ki'!BW101&lt;&gt;0,'Técnicas de Ki'!BW101+TS!$O206,0)*$O206/$O206,0))</f>
        <v>0</v>
      </c>
      <c r="CN206" s="538">
        <f>IF('Técnicas de Ki'!BM101=0,0,IFERROR(IF('Técnicas de Ki'!BX101&lt;&gt;0,'Técnicas de Ki'!BX101+TS!$P206,0)*$P206/$P206,0))</f>
        <v>0</v>
      </c>
      <c r="CO206" s="538">
        <f>IF('Técnicas de Ki'!BM101=0,0,IFERROR(IF('Técnicas de Ki'!BY101&lt;&gt;0,'Técnicas de Ki'!BY101+TS!$Q206,0)*$Q206/$Q206,0))</f>
        <v>0</v>
      </c>
      <c r="CP206" s="538">
        <f>IF('Técnicas de Ki'!BM101=0,0,IFERROR(IF('Técnicas de Ki'!BZ101&lt;&gt;0,'Técnicas de Ki'!BZ101+TS!$R206,0)*$R206/$R206,0))</f>
        <v>0</v>
      </c>
      <c r="CQ206" s="538">
        <f>IF('Técnicas de Ki'!BM101=0,0,IFERROR(IF('Técnicas de Ki'!CA101&lt;&gt;0,'Técnicas de Ki'!CA101+TS!$S206,0)*$S206/$S206,0))</f>
        <v>0</v>
      </c>
      <c r="CR206" s="539">
        <f>IF('Técnicas de Ki'!BM101=0,0,IFERROR(IF('Técnicas de Ki'!CB101&lt;&gt;0,'Técnicas de Ki'!CB101+TS!$T206,0)*$T206/$T206,0))</f>
        <v>0</v>
      </c>
      <c r="CT206" s="571" t="str">
        <f>IF('Técnicas de Ki'!BM109&lt;&gt;0,'Técnicas de Ki'!BL109&amp;" "&amp;'Técnicas de Ki'!BM109,"")</f>
        <v/>
      </c>
      <c r="CU206" s="302" t="b">
        <f t="shared" si="36"/>
        <v>0</v>
      </c>
      <c r="CV206" s="302" t="str">
        <f t="shared" si="40"/>
        <v/>
      </c>
    </row>
    <row r="207" spans="1:100" x14ac:dyDescent="0.2">
      <c r="A207" s="302" t="s">
        <v>6869</v>
      </c>
      <c r="B207" s="301" t="s">
        <v>6799</v>
      </c>
      <c r="C207" s="301" t="str">
        <f t="shared" si="42"/>
        <v>Accion Adicional+10</v>
      </c>
      <c r="D207" s="302">
        <v>8</v>
      </c>
      <c r="E207" s="302">
        <v>11</v>
      </c>
      <c r="F207" s="302">
        <v>35</v>
      </c>
      <c r="G207" s="302">
        <v>12</v>
      </c>
      <c r="H207" s="302">
        <v>24</v>
      </c>
      <c r="I207" s="302">
        <v>42</v>
      </c>
      <c r="J207" s="302">
        <v>3</v>
      </c>
      <c r="N207" t="s">
        <v>6977</v>
      </c>
      <c r="O207" s="302">
        <v>2</v>
      </c>
      <c r="P207" s="302">
        <v>3</v>
      </c>
      <c r="Q207" s="302">
        <v>3</v>
      </c>
      <c r="R207" s="302">
        <v>2</v>
      </c>
      <c r="V207" s="537">
        <f>IF('Técnicas de Ki'!B102=0,0,IF('Técnicas de Ki'!I102=TS!V$119,'Técnicas de Ki'!C102-(IF($O207&lt;&gt;0,'Técnicas de Ki'!L102,0)+IF($P207&lt;&gt;0,'Técnicas de Ki'!M102,0)+IF($Q207&lt;&gt;0,'Técnicas de Ki'!N102,0)+IF($R207&lt;&gt;0,'Técnicas de Ki'!O102,0)+IF($S207&lt;&gt;0,'Técnicas de Ki'!P102,0)+IF($T207&lt;&gt;0,'Técnicas de Ki'!Q102,0)),0))</f>
        <v>0</v>
      </c>
      <c r="W207" s="538">
        <f>IF('Técnicas de Ki'!B102=0,0,IF('Técnicas de Ki'!I102=TS!W$119,'Técnicas de Ki'!C102-(IF($O207&lt;&gt;0,'Técnicas de Ki'!L102,0)+IF($P207&lt;&gt;0,'Técnicas de Ki'!M102,0)+IF($Q207&lt;&gt;0,'Técnicas de Ki'!N102,0)+IF($R207&lt;&gt;0,'Técnicas de Ki'!O102,0)+IF($S207&lt;&gt;0,'Técnicas de Ki'!P102,0)+IF($T207&lt;&gt;0,'Técnicas de Ki'!Q102,0)),0))</f>
        <v>0</v>
      </c>
      <c r="X207" s="538">
        <f>IF('Técnicas de Ki'!B102=0,0,IF('Técnicas de Ki'!I102=TS!X$119,'Técnicas de Ki'!C102-(IF($O207&lt;&gt;0,'Técnicas de Ki'!L102,0)+IF($P207&lt;&gt;0,'Técnicas de Ki'!M102,0)+IF($Q207&lt;&gt;0,'Técnicas de Ki'!N102,0)+IF($R207&lt;&gt;0,'Técnicas de Ki'!O102,0)+IF($S207&lt;&gt;0,'Técnicas de Ki'!P102,0)+IF($T207&lt;&gt;0,'Técnicas de Ki'!Q102,0)),0))</f>
        <v>0</v>
      </c>
      <c r="Y207" s="538">
        <f>IF('Técnicas de Ki'!B102=0,0,IF('Técnicas de Ki'!I102=TS!Y$119,'Técnicas de Ki'!C102-(IF($O207&lt;&gt;0,'Técnicas de Ki'!L102,0)+IF($P207&lt;&gt;0,'Técnicas de Ki'!M102,0)+IF($Q207&lt;&gt;0,'Técnicas de Ki'!N102,0)+IF($R207&lt;&gt;0,'Técnicas de Ki'!O102,0)+IF($S207&lt;&gt;0,'Técnicas de Ki'!P102,0)+IF($T207&lt;&gt;0,'Técnicas de Ki'!Q102,0)),0))</f>
        <v>0</v>
      </c>
      <c r="Z207" s="538">
        <f>IF('Técnicas de Ki'!B102=0,0,IF('Técnicas de Ki'!I102=TS!Z$119,'Técnicas de Ki'!C102-(IF($O207&lt;&gt;0,'Técnicas de Ki'!L102,0)+IF($P207&lt;&gt;0,'Técnicas de Ki'!M102,0)+IF($Q207&lt;&gt;0,'Técnicas de Ki'!N102,0)+IF($R207&lt;&gt;0,'Técnicas de Ki'!O102,0)+IF($S207&lt;&gt;0,'Técnicas de Ki'!P102,0)+IF($T207&lt;&gt;0,'Técnicas de Ki'!Q102,0)),0))</f>
        <v>0</v>
      </c>
      <c r="AA207" s="539">
        <f>IF('Técnicas de Ki'!B102=0,0,IF('Técnicas de Ki'!I102=TS!AA$119,'Técnicas de Ki'!C102-(IF($O207&lt;&gt;0,'Técnicas de Ki'!L102,0)+IF($P207&lt;&gt;0,'Técnicas de Ki'!M102,0)+IF($Q207&lt;&gt;0,'Técnicas de Ki'!N102,0)+IF($R207&lt;&gt;0,'Técnicas de Ki'!O102,0)+IF($S207&lt;&gt;0,'Técnicas de Ki'!P102,0)+IF($T207&lt;&gt;0,'Técnicas de Ki'!Q102,0)),0))</f>
        <v>0</v>
      </c>
      <c r="AB207" s="538">
        <f>IF('Técnicas de Ki'!B102=0,0,IFERROR(IF('Técnicas de Ki'!L102&lt;&gt;0,'Técnicas de Ki'!L102+TS!$O207,0)*$O207/$O207,0))</f>
        <v>0</v>
      </c>
      <c r="AC207" s="538">
        <f>IF('Técnicas de Ki'!B102=0,0,IFERROR(IF('Técnicas de Ki'!M102&lt;&gt;0,'Técnicas de Ki'!M102+TS!$P207,0)*$P207/$P207,0))</f>
        <v>0</v>
      </c>
      <c r="AD207" s="538">
        <f>IF('Técnicas de Ki'!B102=0,0,IFERROR(IF('Técnicas de Ki'!N102&lt;&gt;0,'Técnicas de Ki'!N102+TS!$Q207,0)*$Q207/$Q207,0))</f>
        <v>0</v>
      </c>
      <c r="AE207" s="538">
        <f>IF('Técnicas de Ki'!B102=0,0,IFERROR(IF('Técnicas de Ki'!O102&lt;&gt;0,'Técnicas de Ki'!O102+TS!$R207,0)*$R207/$R207,0))</f>
        <v>0</v>
      </c>
      <c r="AF207" s="538">
        <f>IF('Técnicas de Ki'!B102=0,0,IFERROR(IF('Técnicas de Ki'!P102&lt;&gt;0,'Técnicas de Ki'!P102+TS!$S207,0)*$S207/$S207,0))</f>
        <v>0</v>
      </c>
      <c r="AG207" s="539">
        <f>IF('Técnicas de Ki'!B102=0,0,IFERROR(IF('Técnicas de Ki'!Q102&lt;&gt;0,'Técnicas de Ki'!Q102+TS!$T207,0)*$T207/$T207,0))</f>
        <v>0</v>
      </c>
      <c r="AI207" s="571" t="str">
        <f>IF('Técnicas de Ki'!B110&lt;&gt;0,'Técnicas de Ki'!A110&amp;" "&amp;'Técnicas de Ki'!B110,"")</f>
        <v/>
      </c>
      <c r="AJ207" s="302" t="b">
        <f t="shared" si="41"/>
        <v>0</v>
      </c>
      <c r="AK207" s="302" t="str">
        <f t="shared" si="37"/>
        <v/>
      </c>
      <c r="AQ207" s="537">
        <f>IF('Técnicas de Ki'!W102=0,0,IF('Técnicas de Ki'!AD102=TS!AQ$119,'Técnicas de Ki'!X102-(IF($O207&lt;&gt;0,'Técnicas de Ki'!AG102,0)+IF($P207&lt;&gt;0,'Técnicas de Ki'!AH102,0)+IF($Q207&lt;&gt;0,'Técnicas de Ki'!AI102,0)+IF($R207&lt;&gt;0,'Técnicas de Ki'!AJ102,0)+IF($S207&lt;&gt;0,'Técnicas de Ki'!AK102,0)+IF($T207&lt;&gt;0,'Técnicas de Ki'!AL102,0)),0))</f>
        <v>0</v>
      </c>
      <c r="AR207" s="538">
        <f>IF('Técnicas de Ki'!W102=0,0,IF('Técnicas de Ki'!AD102=TS!AR$119,'Técnicas de Ki'!X102-(IF($O207&lt;&gt;0,'Técnicas de Ki'!AG102,0)+IF($P207&lt;&gt;0,'Técnicas de Ki'!AH102,0)+IF($Q207&lt;&gt;0,'Técnicas de Ki'!AI102,0)+IF($R207&lt;&gt;0,'Técnicas de Ki'!AJ102,0)+IF($S207&lt;&gt;0,'Técnicas de Ki'!AK102,0)+IF($T207&lt;&gt;0,'Técnicas de Ki'!AL102,0)),0))</f>
        <v>0</v>
      </c>
      <c r="AS207" s="538">
        <f>IF('Técnicas de Ki'!W102=0,0,IF('Técnicas de Ki'!AD102=TS!AS$119,'Técnicas de Ki'!X102-(IF($O207&lt;&gt;0,'Técnicas de Ki'!AG102,0)+IF($P207&lt;&gt;0,'Técnicas de Ki'!AH102,0)+IF($Q207&lt;&gt;0,'Técnicas de Ki'!AI102,0)+IF($R207&lt;&gt;0,'Técnicas de Ki'!AJ102,0)+IF($S207&lt;&gt;0,'Técnicas de Ki'!AK102,0)+IF($T207&lt;&gt;0,'Técnicas de Ki'!AL102,0)),0))</f>
        <v>0</v>
      </c>
      <c r="AT207" s="538">
        <f>IF('Técnicas de Ki'!W102=0,0,IF('Técnicas de Ki'!AD102=TS!AT$119,'Técnicas de Ki'!X102-(IF($O207&lt;&gt;0,'Técnicas de Ki'!AG102,0)+IF($P207&lt;&gt;0,'Técnicas de Ki'!AH102,0)+IF($Q207&lt;&gt;0,'Técnicas de Ki'!AI102,0)+IF($R207&lt;&gt;0,'Técnicas de Ki'!AJ102,0)+IF($S207&lt;&gt;0,'Técnicas de Ki'!AK102,0)+IF($T207&lt;&gt;0,'Técnicas de Ki'!AL102,0)),0))</f>
        <v>0</v>
      </c>
      <c r="AU207" s="538">
        <f>IF('Técnicas de Ki'!W102=0,0,IF('Técnicas de Ki'!AD102=TS!AU$119,'Técnicas de Ki'!X102-(IF($O207&lt;&gt;0,'Técnicas de Ki'!AG102,0)+IF($P207&lt;&gt;0,'Técnicas de Ki'!AH102,0)+IF($Q207&lt;&gt;0,'Técnicas de Ki'!AI102,0)+IF($R207&lt;&gt;0,'Técnicas de Ki'!AJ102,0)+IF($S207&lt;&gt;0,'Técnicas de Ki'!AK102,0)+IF($T207&lt;&gt;0,'Técnicas de Ki'!AL102,0)),0))</f>
        <v>0</v>
      </c>
      <c r="AV207" s="539">
        <f>IF('Técnicas de Ki'!W102=0,0,IF('Técnicas de Ki'!AD102=TS!AV$119,'Técnicas de Ki'!X102-(IF($O207&lt;&gt;0,'Técnicas de Ki'!AG102,0)+IF($P207&lt;&gt;0,'Técnicas de Ki'!AH102,0)+IF($Q207&lt;&gt;0,'Técnicas de Ki'!AI102,0)+IF($R207&lt;&gt;0,'Técnicas de Ki'!AJ102,0)+IF($S207&lt;&gt;0,'Técnicas de Ki'!AK102,0)+IF($T207&lt;&gt;0,'Técnicas de Ki'!AL102,0)),0))</f>
        <v>0</v>
      </c>
      <c r="AW207" s="538">
        <f>IF('Técnicas de Ki'!W102=0,0,IFERROR(IF('Técnicas de Ki'!AG102&lt;&gt;0,'Técnicas de Ki'!AG102+TS!$O207,0)*$O207/$O207,0))</f>
        <v>0</v>
      </c>
      <c r="AX207" s="538">
        <f>IF('Técnicas de Ki'!W102=0,0,IFERROR(IF('Técnicas de Ki'!AH102&lt;&gt;0,'Técnicas de Ki'!AH102+TS!$P207,0)*$P207/$P207,0))</f>
        <v>0</v>
      </c>
      <c r="AY207" s="538">
        <f>IF('Técnicas de Ki'!W102=0,0,IFERROR(IF('Técnicas de Ki'!AI102&lt;&gt;0,'Técnicas de Ki'!AI102+TS!$Q207,0)*$Q207/$Q207,0))</f>
        <v>0</v>
      </c>
      <c r="AZ207" s="538">
        <f>IF('Técnicas de Ki'!W102=0,0,IFERROR(IF('Técnicas de Ki'!AJ102&lt;&gt;0,'Técnicas de Ki'!AJ102+TS!$R207,0)*$R207/$R207,0))</f>
        <v>0</v>
      </c>
      <c r="BA207" s="538">
        <f>IF('Técnicas de Ki'!W102=0,0,IFERROR(IF('Técnicas de Ki'!AK102&lt;&gt;0,'Técnicas de Ki'!AK102+TS!$S207,0)*$S207/$S207,0))</f>
        <v>0</v>
      </c>
      <c r="BB207" s="539">
        <f>IF('Técnicas de Ki'!W102=0,0,IFERROR(IF('Técnicas de Ki'!AL102&lt;&gt;0,'Técnicas de Ki'!AL102+TS!$T207,0)*$T207/$T207,0))</f>
        <v>0</v>
      </c>
      <c r="BD207" s="571" t="str">
        <f>IF('Técnicas de Ki'!W110&lt;&gt;0,'Técnicas de Ki'!V110&amp;" "&amp;'Técnicas de Ki'!W110,"")</f>
        <v/>
      </c>
      <c r="BE207" s="302" t="b">
        <f t="shared" si="34"/>
        <v>0</v>
      </c>
      <c r="BF207" s="302" t="str">
        <f t="shared" si="38"/>
        <v/>
      </c>
      <c r="BL207" s="537">
        <f>IF('Técnicas de Ki'!AR102=0,0,IF('Técnicas de Ki'!AY102=TS!BL$119,'Técnicas de Ki'!AS102-(IF($O207&lt;&gt;0,'Técnicas de Ki'!BB102,0)+IF($P207&lt;&gt;0,'Técnicas de Ki'!BC102,0)+IF($Q207&lt;&gt;0,'Técnicas de Ki'!BD102,0)+IF($R207&lt;&gt;0,'Técnicas de Ki'!BE102,0)+IF($S207&lt;&gt;0,'Técnicas de Ki'!BF102,0)+IF($T207&lt;&gt;0,'Técnicas de Ki'!BG102,0)),0))</f>
        <v>0</v>
      </c>
      <c r="BM207" s="538">
        <f>IF('Técnicas de Ki'!AR102=0,0,IF('Técnicas de Ki'!AY102=TS!BM$119,'Técnicas de Ki'!AS102-(IF($O207&lt;&gt;0,'Técnicas de Ki'!BB102,0)+IF($P207&lt;&gt;0,'Técnicas de Ki'!BC102,0)+IF($Q207&lt;&gt;0,'Técnicas de Ki'!BD102,0)+IF($R207&lt;&gt;0,'Técnicas de Ki'!BE102,0)+IF($S207&lt;&gt;0,'Técnicas de Ki'!BF102,0)+IF($T207&lt;&gt;0,'Técnicas de Ki'!BG102,0)),0))</f>
        <v>0</v>
      </c>
      <c r="BN207" s="538">
        <f>IF('Técnicas de Ki'!AR102=0,0,IF('Técnicas de Ki'!AY102=TS!BN$119,'Técnicas de Ki'!AS102-(IF($O207&lt;&gt;0,'Técnicas de Ki'!BB102,0)+IF($P207&lt;&gt;0,'Técnicas de Ki'!BC102,0)+IF($Q207&lt;&gt;0,'Técnicas de Ki'!BD102,0)+IF($R207&lt;&gt;0,'Técnicas de Ki'!BE102,0)+IF($S207&lt;&gt;0,'Técnicas de Ki'!BF102,0)+IF($T207&lt;&gt;0,'Técnicas de Ki'!BG102,0)),0))</f>
        <v>0</v>
      </c>
      <c r="BO207" s="538">
        <f>IF('Técnicas de Ki'!AR102=0,0,IF('Técnicas de Ki'!AY102=TS!BO$119,'Técnicas de Ki'!AS102-(IF($O207&lt;&gt;0,'Técnicas de Ki'!BB102,0)+IF($P207&lt;&gt;0,'Técnicas de Ki'!BC102,0)+IF($Q207&lt;&gt;0,'Técnicas de Ki'!BD102,0)+IF($R207&lt;&gt;0,'Técnicas de Ki'!BE102,0)+IF($S207&lt;&gt;0,'Técnicas de Ki'!BF102,0)+IF($T207&lt;&gt;0,'Técnicas de Ki'!BG102,0)),0))</f>
        <v>0</v>
      </c>
      <c r="BP207" s="538">
        <f>IF('Técnicas de Ki'!AR102=0,0,IF('Técnicas de Ki'!AY102=TS!BP$119,'Técnicas de Ki'!AS102-(IF($O207&lt;&gt;0,'Técnicas de Ki'!BB102,0)+IF($P207&lt;&gt;0,'Técnicas de Ki'!BC102,0)+IF($Q207&lt;&gt;0,'Técnicas de Ki'!BD102,0)+IF($R207&lt;&gt;0,'Técnicas de Ki'!BE102,0)+IF($S207&lt;&gt;0,'Técnicas de Ki'!BF102,0)+IF($T207&lt;&gt;0,'Técnicas de Ki'!BG102,0)),0))</f>
        <v>0</v>
      </c>
      <c r="BQ207" s="539">
        <f>IF('Técnicas de Ki'!AR102=0,0,IF('Técnicas de Ki'!AY102=TS!BQ$119,'Técnicas de Ki'!AS102-(IF($O207&lt;&gt;0,'Técnicas de Ki'!BB102,0)+IF($P207&lt;&gt;0,'Técnicas de Ki'!BC102,0)+IF($Q207&lt;&gt;0,'Técnicas de Ki'!BD102,0)+IF($R207&lt;&gt;0,'Técnicas de Ki'!BE102,0)+IF($S207&lt;&gt;0,'Técnicas de Ki'!BF102,0)+IF($T207&lt;&gt;0,'Técnicas de Ki'!BG102,0)),0))</f>
        <v>0</v>
      </c>
      <c r="BR207" s="538">
        <f>IF('Técnicas de Ki'!AR102=0,0,IFERROR(IF('Técnicas de Ki'!BB102&lt;&gt;0,'Técnicas de Ki'!BB102+TS!$O207,0)*$O207/$O207,0))</f>
        <v>0</v>
      </c>
      <c r="BS207" s="538">
        <f>IF('Técnicas de Ki'!AR102=0,0,IFERROR(IF('Técnicas de Ki'!BC102&lt;&gt;0,'Técnicas de Ki'!BC102+TS!$P207,0)*$P207/$P207,0))</f>
        <v>0</v>
      </c>
      <c r="BT207" s="538">
        <f>IF('Técnicas de Ki'!AR102=0,0,IFERROR(IF('Técnicas de Ki'!BD102&lt;&gt;0,'Técnicas de Ki'!BD102+TS!$Q207,0)*$Q207/$Q207,0))</f>
        <v>0</v>
      </c>
      <c r="BU207" s="538">
        <f>IF('Técnicas de Ki'!AR102=0,0,IFERROR(IF('Técnicas de Ki'!BE102&lt;&gt;0,'Técnicas de Ki'!BE102+TS!$R207,0)*$R207/$R207,0))</f>
        <v>0</v>
      </c>
      <c r="BV207" s="538">
        <f>IF('Técnicas de Ki'!AR102=0,0,IFERROR(IF('Técnicas de Ki'!BF102&lt;&gt;0,'Técnicas de Ki'!BF102+TS!$S207,0)*$S207/$S207,0))</f>
        <v>0</v>
      </c>
      <c r="BW207" s="539">
        <f>IF('Técnicas de Ki'!AR102=0,0,IFERROR(IF('Técnicas de Ki'!BG102&lt;&gt;0,'Técnicas de Ki'!BG102+TS!$T207,0)*$T207/$T207,0))</f>
        <v>0</v>
      </c>
      <c r="BY207" s="571" t="str">
        <f>IF('Técnicas de Ki'!AR110&lt;&gt;0,'Técnicas de Ki'!AQ110&amp;" "&amp;'Técnicas de Ki'!AR110,"")</f>
        <v/>
      </c>
      <c r="BZ207" s="302" t="b">
        <f t="shared" si="35"/>
        <v>0</v>
      </c>
      <c r="CA207" s="302" t="str">
        <f t="shared" si="39"/>
        <v/>
      </c>
      <c r="CG207" s="537">
        <f>IF('Técnicas de Ki'!BM102=0,0,IF('Técnicas de Ki'!BT102=TS!CG$119,'Técnicas de Ki'!BN102-(IF($O207&lt;&gt;0,'Técnicas de Ki'!BW102,0)+IF($P207&lt;&gt;0,'Técnicas de Ki'!BX102,0)+IF($Q207&lt;&gt;0,'Técnicas de Ki'!BY102,0)+IF($R207&lt;&gt;0,'Técnicas de Ki'!BZ102,0)+IF($S207&lt;&gt;0,'Técnicas de Ki'!CA102,0)+IF($T207&lt;&gt;0,'Técnicas de Ki'!CB102,0)),0))</f>
        <v>0</v>
      </c>
      <c r="CH207" s="538">
        <f>IF('Técnicas de Ki'!BM102=0,0,IF('Técnicas de Ki'!BT102=TS!CH$119,'Técnicas de Ki'!BN102-(IF($O207&lt;&gt;0,'Técnicas de Ki'!BW102,0)+IF($P207&lt;&gt;0,'Técnicas de Ki'!BX102,0)+IF($Q207&lt;&gt;0,'Técnicas de Ki'!BY102,0)+IF($R207&lt;&gt;0,'Técnicas de Ki'!BZ102,0)+IF($S207&lt;&gt;0,'Técnicas de Ki'!CA102,0)+IF($T207&lt;&gt;0,'Técnicas de Ki'!CB102,0)),0))</f>
        <v>0</v>
      </c>
      <c r="CI207" s="538">
        <f>IF('Técnicas de Ki'!BM102=0,0,IF('Técnicas de Ki'!BT102=TS!CI$119,'Técnicas de Ki'!BN102-(IF($O207&lt;&gt;0,'Técnicas de Ki'!BW102,0)+IF($P207&lt;&gt;0,'Técnicas de Ki'!BX102,0)+IF($Q207&lt;&gt;0,'Técnicas de Ki'!BY102,0)+IF($R207&lt;&gt;0,'Técnicas de Ki'!BZ102,0)+IF($S207&lt;&gt;0,'Técnicas de Ki'!CA102,0)+IF($T207&lt;&gt;0,'Técnicas de Ki'!CB102,0)),0))</f>
        <v>0</v>
      </c>
      <c r="CJ207" s="538">
        <f>IF('Técnicas de Ki'!BM102=0,0,IF('Técnicas de Ki'!BT102=TS!CJ$119,'Técnicas de Ki'!BN102-(IF($O207&lt;&gt;0,'Técnicas de Ki'!BW102,0)+IF($P207&lt;&gt;0,'Técnicas de Ki'!BX102,0)+IF($Q207&lt;&gt;0,'Técnicas de Ki'!BY102,0)+IF($R207&lt;&gt;0,'Técnicas de Ki'!BZ102,0)+IF($S207&lt;&gt;0,'Técnicas de Ki'!CA102,0)+IF($T207&lt;&gt;0,'Técnicas de Ki'!CB102,0)),0))</f>
        <v>0</v>
      </c>
      <c r="CK207" s="538">
        <f>IF('Técnicas de Ki'!BM102=0,0,IF('Técnicas de Ki'!BT102=TS!CK$119,'Técnicas de Ki'!BN102-(IF($O207&lt;&gt;0,'Técnicas de Ki'!BW102,0)+IF($P207&lt;&gt;0,'Técnicas de Ki'!BX102,0)+IF($Q207&lt;&gt;0,'Técnicas de Ki'!BY102,0)+IF($R207&lt;&gt;0,'Técnicas de Ki'!BZ102,0)+IF($S207&lt;&gt;0,'Técnicas de Ki'!CA102,0)+IF($T207&lt;&gt;0,'Técnicas de Ki'!CB102,0)),0))</f>
        <v>0</v>
      </c>
      <c r="CL207" s="539">
        <f>IF('Técnicas de Ki'!BM102=0,0,IF('Técnicas de Ki'!BT102=TS!CL$119,'Técnicas de Ki'!BN102-(IF($O207&lt;&gt;0,'Técnicas de Ki'!BW102,0)+IF($P207&lt;&gt;0,'Técnicas de Ki'!BX102,0)+IF($Q207&lt;&gt;0,'Técnicas de Ki'!BY102,0)+IF($R207&lt;&gt;0,'Técnicas de Ki'!BZ102,0)+IF($S207&lt;&gt;0,'Técnicas de Ki'!CA102,0)+IF($T207&lt;&gt;0,'Técnicas de Ki'!CB102,0)),0))</f>
        <v>0</v>
      </c>
      <c r="CM207" s="538">
        <f>IF('Técnicas de Ki'!BM102=0,0,IFERROR(IF('Técnicas de Ki'!BW102&lt;&gt;0,'Técnicas de Ki'!BW102+TS!$O207,0)*$O207/$O207,0))</f>
        <v>0</v>
      </c>
      <c r="CN207" s="538">
        <f>IF('Técnicas de Ki'!BM102=0,0,IFERROR(IF('Técnicas de Ki'!BX102&lt;&gt;0,'Técnicas de Ki'!BX102+TS!$P207,0)*$P207/$P207,0))</f>
        <v>0</v>
      </c>
      <c r="CO207" s="538">
        <f>IF('Técnicas de Ki'!BM102=0,0,IFERROR(IF('Técnicas de Ki'!BY102&lt;&gt;0,'Técnicas de Ki'!BY102+TS!$Q207,0)*$Q207/$Q207,0))</f>
        <v>0</v>
      </c>
      <c r="CP207" s="538">
        <f>IF('Técnicas de Ki'!BM102=0,0,IFERROR(IF('Técnicas de Ki'!BZ102&lt;&gt;0,'Técnicas de Ki'!BZ102+TS!$R207,0)*$R207/$R207,0))</f>
        <v>0</v>
      </c>
      <c r="CQ207" s="538">
        <f>IF('Técnicas de Ki'!BM102=0,0,IFERROR(IF('Técnicas de Ki'!CA102&lt;&gt;0,'Técnicas de Ki'!CA102+TS!$S207,0)*$S207/$S207,0))</f>
        <v>0</v>
      </c>
      <c r="CR207" s="539">
        <f>IF('Técnicas de Ki'!BM102=0,0,IFERROR(IF('Técnicas de Ki'!CB102&lt;&gt;0,'Técnicas de Ki'!CB102+TS!$T207,0)*$T207/$T207,0))</f>
        <v>0</v>
      </c>
      <c r="CT207" s="571" t="str">
        <f>IF('Técnicas de Ki'!BM110&lt;&gt;0,'Técnicas de Ki'!BL110&amp;" "&amp;'Técnicas de Ki'!BM110,"")</f>
        <v/>
      </c>
      <c r="CU207" s="302" t="b">
        <f t="shared" si="36"/>
        <v>0</v>
      </c>
      <c r="CV207" s="302" t="str">
        <f t="shared" si="40"/>
        <v/>
      </c>
    </row>
    <row r="208" spans="1:100" x14ac:dyDescent="0.2">
      <c r="A208" s="302" t="s">
        <v>6865</v>
      </c>
      <c r="B208" s="302" t="s">
        <v>6872</v>
      </c>
      <c r="C208" s="302" t="str">
        <f>A207&amp;A208&amp;B208</f>
        <v>Accion AdicionalVentaja opcional: Bono de cansancio añadidoBono de cansancio añadido</v>
      </c>
      <c r="D208" s="302">
        <v>6</v>
      </c>
      <c r="E208" s="302">
        <v>6</v>
      </c>
      <c r="F208" s="302">
        <v>20</v>
      </c>
      <c r="G208" s="302">
        <v>1</v>
      </c>
      <c r="H208" s="302">
        <v>2</v>
      </c>
      <c r="I208" s="302">
        <v>4</v>
      </c>
      <c r="J208" s="302">
        <v>1</v>
      </c>
      <c r="N208" t="s">
        <v>6982</v>
      </c>
      <c r="O208" s="302">
        <v>4</v>
      </c>
      <c r="Q208" s="302">
        <v>4</v>
      </c>
      <c r="R208" s="302">
        <v>4</v>
      </c>
      <c r="S208" s="302">
        <v>1</v>
      </c>
      <c r="V208" s="537">
        <f>IF('Técnicas de Ki'!B103=0,0,IF('Técnicas de Ki'!I103=TS!V$119,'Técnicas de Ki'!C103-(IF($O208&lt;&gt;0,'Técnicas de Ki'!L103,0)+IF($P208&lt;&gt;0,'Técnicas de Ki'!M103,0)+IF($Q208&lt;&gt;0,'Técnicas de Ki'!N103,0)+IF($R208&lt;&gt;0,'Técnicas de Ki'!O103,0)+IF($S208&lt;&gt;0,'Técnicas de Ki'!P103,0)+IF($T208&lt;&gt;0,'Técnicas de Ki'!Q103,0)),0))</f>
        <v>0</v>
      </c>
      <c r="W208" s="538">
        <f>IF('Técnicas de Ki'!B103=0,0,IF('Técnicas de Ki'!I103=TS!W$119,'Técnicas de Ki'!C103-(IF($O208&lt;&gt;0,'Técnicas de Ki'!L103,0)+IF($P208&lt;&gt;0,'Técnicas de Ki'!M103,0)+IF($Q208&lt;&gt;0,'Técnicas de Ki'!N103,0)+IF($R208&lt;&gt;0,'Técnicas de Ki'!O103,0)+IF($S208&lt;&gt;0,'Técnicas de Ki'!P103,0)+IF($T208&lt;&gt;0,'Técnicas de Ki'!Q103,0)),0))</f>
        <v>0</v>
      </c>
      <c r="X208" s="538">
        <f>IF('Técnicas de Ki'!B103=0,0,IF('Técnicas de Ki'!I103=TS!X$119,'Técnicas de Ki'!C103-(IF($O208&lt;&gt;0,'Técnicas de Ki'!L103,0)+IF($P208&lt;&gt;0,'Técnicas de Ki'!M103,0)+IF($Q208&lt;&gt;0,'Técnicas de Ki'!N103,0)+IF($R208&lt;&gt;0,'Técnicas de Ki'!O103,0)+IF($S208&lt;&gt;0,'Técnicas de Ki'!P103,0)+IF($T208&lt;&gt;0,'Técnicas de Ki'!Q103,0)),0))</f>
        <v>0</v>
      </c>
      <c r="Y208" s="538">
        <f>IF('Técnicas de Ki'!B103=0,0,IF('Técnicas de Ki'!I103=TS!Y$119,'Técnicas de Ki'!C103-(IF($O208&lt;&gt;0,'Técnicas de Ki'!L103,0)+IF($P208&lt;&gt;0,'Técnicas de Ki'!M103,0)+IF($Q208&lt;&gt;0,'Técnicas de Ki'!N103,0)+IF($R208&lt;&gt;0,'Técnicas de Ki'!O103,0)+IF($S208&lt;&gt;0,'Técnicas de Ki'!P103,0)+IF($T208&lt;&gt;0,'Técnicas de Ki'!Q103,0)),0))</f>
        <v>0</v>
      </c>
      <c r="Z208" s="538">
        <f>IF('Técnicas de Ki'!B103=0,0,IF('Técnicas de Ki'!I103=TS!Z$119,'Técnicas de Ki'!C103-(IF($O208&lt;&gt;0,'Técnicas de Ki'!L103,0)+IF($P208&lt;&gt;0,'Técnicas de Ki'!M103,0)+IF($Q208&lt;&gt;0,'Técnicas de Ki'!N103,0)+IF($R208&lt;&gt;0,'Técnicas de Ki'!O103,0)+IF($S208&lt;&gt;0,'Técnicas de Ki'!P103,0)+IF($T208&lt;&gt;0,'Técnicas de Ki'!Q103,0)),0))</f>
        <v>0</v>
      </c>
      <c r="AA208" s="539">
        <f>IF('Técnicas de Ki'!B103=0,0,IF('Técnicas de Ki'!I103=TS!AA$119,'Técnicas de Ki'!C103-(IF($O208&lt;&gt;0,'Técnicas de Ki'!L103,0)+IF($P208&lt;&gt;0,'Técnicas de Ki'!M103,0)+IF($Q208&lt;&gt;0,'Técnicas de Ki'!N103,0)+IF($R208&lt;&gt;0,'Técnicas de Ki'!O103,0)+IF($S208&lt;&gt;0,'Técnicas de Ki'!P103,0)+IF($T208&lt;&gt;0,'Técnicas de Ki'!Q103,0)),0))</f>
        <v>0</v>
      </c>
      <c r="AB208" s="538">
        <f>IF('Técnicas de Ki'!B103=0,0,IFERROR(IF('Técnicas de Ki'!L103&lt;&gt;0,'Técnicas de Ki'!L103+TS!$O208,0)*$O208/$O208,0))</f>
        <v>0</v>
      </c>
      <c r="AC208" s="538">
        <f>IF('Técnicas de Ki'!B103=0,0,IFERROR(IF('Técnicas de Ki'!M103&lt;&gt;0,'Técnicas de Ki'!M103+TS!$P208,0)*$P208/$P208,0))</f>
        <v>0</v>
      </c>
      <c r="AD208" s="538">
        <f>IF('Técnicas de Ki'!B103=0,0,IFERROR(IF('Técnicas de Ki'!N103&lt;&gt;0,'Técnicas de Ki'!N103+TS!$Q208,0)*$Q208/$Q208,0))</f>
        <v>0</v>
      </c>
      <c r="AE208" s="538">
        <f>IF('Técnicas de Ki'!B103=0,0,IFERROR(IF('Técnicas de Ki'!O103&lt;&gt;0,'Técnicas de Ki'!O103+TS!$R208,0)*$R208/$R208,0))</f>
        <v>0</v>
      </c>
      <c r="AF208" s="538">
        <f>IF('Técnicas de Ki'!B103=0,0,IFERROR(IF('Técnicas de Ki'!P103&lt;&gt;0,'Técnicas de Ki'!P103+TS!$S208,0)*$S208/$S208,0))</f>
        <v>0</v>
      </c>
      <c r="AG208" s="539">
        <f>IF('Técnicas de Ki'!B103=0,0,IFERROR(IF('Técnicas de Ki'!Q103&lt;&gt;0,'Técnicas de Ki'!Q103+TS!$T208,0)*$T208/$T208,0))</f>
        <v>0</v>
      </c>
      <c r="AI208" s="571" t="str">
        <f>IF('Técnicas de Ki'!B111&lt;&gt;0,'Técnicas de Ki'!A111&amp;" "&amp;'Técnicas de Ki'!B111,"")</f>
        <v/>
      </c>
      <c r="AJ208" s="302" t="b">
        <f t="shared" si="41"/>
        <v>0</v>
      </c>
      <c r="AK208" s="302" t="str">
        <f t="shared" si="37"/>
        <v/>
      </c>
      <c r="AQ208" s="537">
        <f>IF('Técnicas de Ki'!W103=0,0,IF('Técnicas de Ki'!AD103=TS!AQ$119,'Técnicas de Ki'!X103-(IF($O208&lt;&gt;0,'Técnicas de Ki'!AG103,0)+IF($P208&lt;&gt;0,'Técnicas de Ki'!AH103,0)+IF($Q208&lt;&gt;0,'Técnicas de Ki'!AI103,0)+IF($R208&lt;&gt;0,'Técnicas de Ki'!AJ103,0)+IF($S208&lt;&gt;0,'Técnicas de Ki'!AK103,0)+IF($T208&lt;&gt;0,'Técnicas de Ki'!AL103,0)),0))</f>
        <v>0</v>
      </c>
      <c r="AR208" s="538">
        <f>IF('Técnicas de Ki'!W103=0,0,IF('Técnicas de Ki'!AD103=TS!AR$119,'Técnicas de Ki'!X103-(IF($O208&lt;&gt;0,'Técnicas de Ki'!AG103,0)+IF($P208&lt;&gt;0,'Técnicas de Ki'!AH103,0)+IF($Q208&lt;&gt;0,'Técnicas de Ki'!AI103,0)+IF($R208&lt;&gt;0,'Técnicas de Ki'!AJ103,0)+IF($S208&lt;&gt;0,'Técnicas de Ki'!AK103,0)+IF($T208&lt;&gt;0,'Técnicas de Ki'!AL103,0)),0))</f>
        <v>0</v>
      </c>
      <c r="AS208" s="538">
        <f>IF('Técnicas de Ki'!W103=0,0,IF('Técnicas de Ki'!AD103=TS!AS$119,'Técnicas de Ki'!X103-(IF($O208&lt;&gt;0,'Técnicas de Ki'!AG103,0)+IF($P208&lt;&gt;0,'Técnicas de Ki'!AH103,0)+IF($Q208&lt;&gt;0,'Técnicas de Ki'!AI103,0)+IF($R208&lt;&gt;0,'Técnicas de Ki'!AJ103,0)+IF($S208&lt;&gt;0,'Técnicas de Ki'!AK103,0)+IF($T208&lt;&gt;0,'Técnicas de Ki'!AL103,0)),0))</f>
        <v>0</v>
      </c>
      <c r="AT208" s="538">
        <f>IF('Técnicas de Ki'!W103=0,0,IF('Técnicas de Ki'!AD103=TS!AT$119,'Técnicas de Ki'!X103-(IF($O208&lt;&gt;0,'Técnicas de Ki'!AG103,0)+IF($P208&lt;&gt;0,'Técnicas de Ki'!AH103,0)+IF($Q208&lt;&gt;0,'Técnicas de Ki'!AI103,0)+IF($R208&lt;&gt;0,'Técnicas de Ki'!AJ103,0)+IF($S208&lt;&gt;0,'Técnicas de Ki'!AK103,0)+IF($T208&lt;&gt;0,'Técnicas de Ki'!AL103,0)),0))</f>
        <v>0</v>
      </c>
      <c r="AU208" s="538">
        <f>IF('Técnicas de Ki'!W103=0,0,IF('Técnicas de Ki'!AD103=TS!AU$119,'Técnicas de Ki'!X103-(IF($O208&lt;&gt;0,'Técnicas de Ki'!AG103,0)+IF($P208&lt;&gt;0,'Técnicas de Ki'!AH103,0)+IF($Q208&lt;&gt;0,'Técnicas de Ki'!AI103,0)+IF($R208&lt;&gt;0,'Técnicas de Ki'!AJ103,0)+IF($S208&lt;&gt;0,'Técnicas de Ki'!AK103,0)+IF($T208&lt;&gt;0,'Técnicas de Ki'!AL103,0)),0))</f>
        <v>0</v>
      </c>
      <c r="AV208" s="539">
        <f>IF('Técnicas de Ki'!W103=0,0,IF('Técnicas de Ki'!AD103=TS!AV$119,'Técnicas de Ki'!X103-(IF($O208&lt;&gt;0,'Técnicas de Ki'!AG103,0)+IF($P208&lt;&gt;0,'Técnicas de Ki'!AH103,0)+IF($Q208&lt;&gt;0,'Técnicas de Ki'!AI103,0)+IF($R208&lt;&gt;0,'Técnicas de Ki'!AJ103,0)+IF($S208&lt;&gt;0,'Técnicas de Ki'!AK103,0)+IF($T208&lt;&gt;0,'Técnicas de Ki'!AL103,0)),0))</f>
        <v>0</v>
      </c>
      <c r="AW208" s="538">
        <f>IF('Técnicas de Ki'!W103=0,0,IFERROR(IF('Técnicas de Ki'!AG103&lt;&gt;0,'Técnicas de Ki'!AG103+TS!$O208,0)*$O208/$O208,0))</f>
        <v>0</v>
      </c>
      <c r="AX208" s="538">
        <f>IF('Técnicas de Ki'!W103=0,0,IFERROR(IF('Técnicas de Ki'!AH103&lt;&gt;0,'Técnicas de Ki'!AH103+TS!$P208,0)*$P208/$P208,0))</f>
        <v>0</v>
      </c>
      <c r="AY208" s="538">
        <f>IF('Técnicas de Ki'!W103=0,0,IFERROR(IF('Técnicas de Ki'!AI103&lt;&gt;0,'Técnicas de Ki'!AI103+TS!$Q208,0)*$Q208/$Q208,0))</f>
        <v>0</v>
      </c>
      <c r="AZ208" s="538">
        <f>IF('Técnicas de Ki'!W103=0,0,IFERROR(IF('Técnicas de Ki'!AJ103&lt;&gt;0,'Técnicas de Ki'!AJ103+TS!$R208,0)*$R208/$R208,0))</f>
        <v>0</v>
      </c>
      <c r="BA208" s="538">
        <f>IF('Técnicas de Ki'!W103=0,0,IFERROR(IF('Técnicas de Ki'!AK103&lt;&gt;0,'Técnicas de Ki'!AK103+TS!$S208,0)*$S208/$S208,0))</f>
        <v>0</v>
      </c>
      <c r="BB208" s="539">
        <f>IF('Técnicas de Ki'!W103=0,0,IFERROR(IF('Técnicas de Ki'!AL103&lt;&gt;0,'Técnicas de Ki'!AL103+TS!$T208,0)*$T208/$T208,0))</f>
        <v>0</v>
      </c>
      <c r="BD208" s="571" t="str">
        <f>IF('Técnicas de Ki'!W111&lt;&gt;0,'Técnicas de Ki'!V111&amp;" "&amp;'Técnicas de Ki'!W111,"")</f>
        <v/>
      </c>
      <c r="BE208" s="302" t="b">
        <f t="shared" si="34"/>
        <v>0</v>
      </c>
      <c r="BF208" s="302" t="str">
        <f t="shared" si="38"/>
        <v/>
      </c>
      <c r="BL208" s="537">
        <f>IF('Técnicas de Ki'!AR103=0,0,IF('Técnicas de Ki'!AY103=TS!BL$119,'Técnicas de Ki'!AS103-(IF($O208&lt;&gt;0,'Técnicas de Ki'!BB103,0)+IF($P208&lt;&gt;0,'Técnicas de Ki'!BC103,0)+IF($Q208&lt;&gt;0,'Técnicas de Ki'!BD103,0)+IF($R208&lt;&gt;0,'Técnicas de Ki'!BE103,0)+IF($S208&lt;&gt;0,'Técnicas de Ki'!BF103,0)+IF($T208&lt;&gt;0,'Técnicas de Ki'!BG103,0)),0))</f>
        <v>0</v>
      </c>
      <c r="BM208" s="538">
        <f>IF('Técnicas de Ki'!AR103=0,0,IF('Técnicas de Ki'!AY103=TS!BM$119,'Técnicas de Ki'!AS103-(IF($O208&lt;&gt;0,'Técnicas de Ki'!BB103,0)+IF($P208&lt;&gt;0,'Técnicas de Ki'!BC103,0)+IF($Q208&lt;&gt;0,'Técnicas de Ki'!BD103,0)+IF($R208&lt;&gt;0,'Técnicas de Ki'!BE103,0)+IF($S208&lt;&gt;0,'Técnicas de Ki'!BF103,0)+IF($T208&lt;&gt;0,'Técnicas de Ki'!BG103,0)),0))</f>
        <v>0</v>
      </c>
      <c r="BN208" s="538">
        <f>IF('Técnicas de Ki'!AR103=0,0,IF('Técnicas de Ki'!AY103=TS!BN$119,'Técnicas de Ki'!AS103-(IF($O208&lt;&gt;0,'Técnicas de Ki'!BB103,0)+IF($P208&lt;&gt;0,'Técnicas de Ki'!BC103,0)+IF($Q208&lt;&gt;0,'Técnicas de Ki'!BD103,0)+IF($R208&lt;&gt;0,'Técnicas de Ki'!BE103,0)+IF($S208&lt;&gt;0,'Técnicas de Ki'!BF103,0)+IF($T208&lt;&gt;0,'Técnicas de Ki'!BG103,0)),0))</f>
        <v>0</v>
      </c>
      <c r="BO208" s="538">
        <f>IF('Técnicas de Ki'!AR103=0,0,IF('Técnicas de Ki'!AY103=TS!BO$119,'Técnicas de Ki'!AS103-(IF($O208&lt;&gt;0,'Técnicas de Ki'!BB103,0)+IF($P208&lt;&gt;0,'Técnicas de Ki'!BC103,0)+IF($Q208&lt;&gt;0,'Técnicas de Ki'!BD103,0)+IF($R208&lt;&gt;0,'Técnicas de Ki'!BE103,0)+IF($S208&lt;&gt;0,'Técnicas de Ki'!BF103,0)+IF($T208&lt;&gt;0,'Técnicas de Ki'!BG103,0)),0))</f>
        <v>0</v>
      </c>
      <c r="BP208" s="538">
        <f>IF('Técnicas de Ki'!AR103=0,0,IF('Técnicas de Ki'!AY103=TS!BP$119,'Técnicas de Ki'!AS103-(IF($O208&lt;&gt;0,'Técnicas de Ki'!BB103,0)+IF($P208&lt;&gt;0,'Técnicas de Ki'!BC103,0)+IF($Q208&lt;&gt;0,'Técnicas de Ki'!BD103,0)+IF($R208&lt;&gt;0,'Técnicas de Ki'!BE103,0)+IF($S208&lt;&gt;0,'Técnicas de Ki'!BF103,0)+IF($T208&lt;&gt;0,'Técnicas de Ki'!BG103,0)),0))</f>
        <v>0</v>
      </c>
      <c r="BQ208" s="539">
        <f>IF('Técnicas de Ki'!AR103=0,0,IF('Técnicas de Ki'!AY103=TS!BQ$119,'Técnicas de Ki'!AS103-(IF($O208&lt;&gt;0,'Técnicas de Ki'!BB103,0)+IF($P208&lt;&gt;0,'Técnicas de Ki'!BC103,0)+IF($Q208&lt;&gt;0,'Técnicas de Ki'!BD103,0)+IF($R208&lt;&gt;0,'Técnicas de Ki'!BE103,0)+IF($S208&lt;&gt;0,'Técnicas de Ki'!BF103,0)+IF($T208&lt;&gt;0,'Técnicas de Ki'!BG103,0)),0))</f>
        <v>0</v>
      </c>
      <c r="BR208" s="538">
        <f>IF('Técnicas de Ki'!AR103=0,0,IFERROR(IF('Técnicas de Ki'!BB103&lt;&gt;0,'Técnicas de Ki'!BB103+TS!$O208,0)*$O208/$O208,0))</f>
        <v>0</v>
      </c>
      <c r="BS208" s="538">
        <f>IF('Técnicas de Ki'!AR103=0,0,IFERROR(IF('Técnicas de Ki'!BC103&lt;&gt;0,'Técnicas de Ki'!BC103+TS!$P208,0)*$P208/$P208,0))</f>
        <v>0</v>
      </c>
      <c r="BT208" s="538">
        <f>IF('Técnicas de Ki'!AR103=0,0,IFERROR(IF('Técnicas de Ki'!BD103&lt;&gt;0,'Técnicas de Ki'!BD103+TS!$Q208,0)*$Q208/$Q208,0))</f>
        <v>0</v>
      </c>
      <c r="BU208" s="538">
        <f>IF('Técnicas de Ki'!AR103=0,0,IFERROR(IF('Técnicas de Ki'!BE103&lt;&gt;0,'Técnicas de Ki'!BE103+TS!$R208,0)*$R208/$R208,0))</f>
        <v>0</v>
      </c>
      <c r="BV208" s="538">
        <f>IF('Técnicas de Ki'!AR103=0,0,IFERROR(IF('Técnicas de Ki'!BF103&lt;&gt;0,'Técnicas de Ki'!BF103+TS!$S208,0)*$S208/$S208,0))</f>
        <v>0</v>
      </c>
      <c r="BW208" s="539">
        <f>IF('Técnicas de Ki'!AR103=0,0,IFERROR(IF('Técnicas de Ki'!BG103&lt;&gt;0,'Técnicas de Ki'!BG103+TS!$T208,0)*$T208/$T208,0))</f>
        <v>0</v>
      </c>
      <c r="BY208" s="571" t="str">
        <f>IF('Técnicas de Ki'!AR111&lt;&gt;0,'Técnicas de Ki'!AQ111&amp;" "&amp;'Técnicas de Ki'!AR111,"")</f>
        <v/>
      </c>
      <c r="BZ208" s="302" t="b">
        <f t="shared" si="35"/>
        <v>0</v>
      </c>
      <c r="CA208" s="302" t="str">
        <f t="shared" si="39"/>
        <v/>
      </c>
      <c r="CG208" s="537">
        <f>IF('Técnicas de Ki'!BM103=0,0,IF('Técnicas de Ki'!BT103=TS!CG$119,'Técnicas de Ki'!BN103-(IF($O208&lt;&gt;0,'Técnicas de Ki'!BW103,0)+IF($P208&lt;&gt;0,'Técnicas de Ki'!BX103,0)+IF($Q208&lt;&gt;0,'Técnicas de Ki'!BY103,0)+IF($R208&lt;&gt;0,'Técnicas de Ki'!BZ103,0)+IF($S208&lt;&gt;0,'Técnicas de Ki'!CA103,0)+IF($T208&lt;&gt;0,'Técnicas de Ki'!CB103,0)),0))</f>
        <v>0</v>
      </c>
      <c r="CH208" s="538">
        <f>IF('Técnicas de Ki'!BM103=0,0,IF('Técnicas de Ki'!BT103=TS!CH$119,'Técnicas de Ki'!BN103-(IF($O208&lt;&gt;0,'Técnicas de Ki'!BW103,0)+IF($P208&lt;&gt;0,'Técnicas de Ki'!BX103,0)+IF($Q208&lt;&gt;0,'Técnicas de Ki'!BY103,0)+IF($R208&lt;&gt;0,'Técnicas de Ki'!BZ103,0)+IF($S208&lt;&gt;0,'Técnicas de Ki'!CA103,0)+IF($T208&lt;&gt;0,'Técnicas de Ki'!CB103,0)),0))</f>
        <v>0</v>
      </c>
      <c r="CI208" s="538">
        <f>IF('Técnicas de Ki'!BM103=0,0,IF('Técnicas de Ki'!BT103=TS!CI$119,'Técnicas de Ki'!BN103-(IF($O208&lt;&gt;0,'Técnicas de Ki'!BW103,0)+IF($P208&lt;&gt;0,'Técnicas de Ki'!BX103,0)+IF($Q208&lt;&gt;0,'Técnicas de Ki'!BY103,0)+IF($R208&lt;&gt;0,'Técnicas de Ki'!BZ103,0)+IF($S208&lt;&gt;0,'Técnicas de Ki'!CA103,0)+IF($T208&lt;&gt;0,'Técnicas de Ki'!CB103,0)),0))</f>
        <v>0</v>
      </c>
      <c r="CJ208" s="538">
        <f>IF('Técnicas de Ki'!BM103=0,0,IF('Técnicas de Ki'!BT103=TS!CJ$119,'Técnicas de Ki'!BN103-(IF($O208&lt;&gt;0,'Técnicas de Ki'!BW103,0)+IF($P208&lt;&gt;0,'Técnicas de Ki'!BX103,0)+IF($Q208&lt;&gt;0,'Técnicas de Ki'!BY103,0)+IF($R208&lt;&gt;0,'Técnicas de Ki'!BZ103,0)+IF($S208&lt;&gt;0,'Técnicas de Ki'!CA103,0)+IF($T208&lt;&gt;0,'Técnicas de Ki'!CB103,0)),0))</f>
        <v>0</v>
      </c>
      <c r="CK208" s="538">
        <f>IF('Técnicas de Ki'!BM103=0,0,IF('Técnicas de Ki'!BT103=TS!CK$119,'Técnicas de Ki'!BN103-(IF($O208&lt;&gt;0,'Técnicas de Ki'!BW103,0)+IF($P208&lt;&gt;0,'Técnicas de Ki'!BX103,0)+IF($Q208&lt;&gt;0,'Técnicas de Ki'!BY103,0)+IF($R208&lt;&gt;0,'Técnicas de Ki'!BZ103,0)+IF($S208&lt;&gt;0,'Técnicas de Ki'!CA103,0)+IF($T208&lt;&gt;0,'Técnicas de Ki'!CB103,0)),0))</f>
        <v>0</v>
      </c>
      <c r="CL208" s="539">
        <f>IF('Técnicas de Ki'!BM103=0,0,IF('Técnicas de Ki'!BT103=TS!CL$119,'Técnicas de Ki'!BN103-(IF($O208&lt;&gt;0,'Técnicas de Ki'!BW103,0)+IF($P208&lt;&gt;0,'Técnicas de Ki'!BX103,0)+IF($Q208&lt;&gt;0,'Técnicas de Ki'!BY103,0)+IF($R208&lt;&gt;0,'Técnicas de Ki'!BZ103,0)+IF($S208&lt;&gt;0,'Técnicas de Ki'!CA103,0)+IF($T208&lt;&gt;0,'Técnicas de Ki'!CB103,0)),0))</f>
        <v>0</v>
      </c>
      <c r="CM208" s="538">
        <f>IF('Técnicas de Ki'!BM103=0,0,IFERROR(IF('Técnicas de Ki'!BW103&lt;&gt;0,'Técnicas de Ki'!BW103+TS!$O208,0)*$O208/$O208,0))</f>
        <v>0</v>
      </c>
      <c r="CN208" s="538">
        <f>IF('Técnicas de Ki'!BM103=0,0,IFERROR(IF('Técnicas de Ki'!BX103&lt;&gt;0,'Técnicas de Ki'!BX103+TS!$P208,0)*$P208/$P208,0))</f>
        <v>0</v>
      </c>
      <c r="CO208" s="538">
        <f>IF('Técnicas de Ki'!BM103=0,0,IFERROR(IF('Técnicas de Ki'!BY103&lt;&gt;0,'Técnicas de Ki'!BY103+TS!$Q208,0)*$Q208/$Q208,0))</f>
        <v>0</v>
      </c>
      <c r="CP208" s="538">
        <f>IF('Técnicas de Ki'!BM103=0,0,IFERROR(IF('Técnicas de Ki'!BZ103&lt;&gt;0,'Técnicas de Ki'!BZ103+TS!$R208,0)*$R208/$R208,0))</f>
        <v>0</v>
      </c>
      <c r="CQ208" s="538">
        <f>IF('Técnicas de Ki'!BM103=0,0,IFERROR(IF('Técnicas de Ki'!CA103&lt;&gt;0,'Técnicas de Ki'!CA103+TS!$S208,0)*$S208/$S208,0))</f>
        <v>0</v>
      </c>
      <c r="CR208" s="539">
        <f>IF('Técnicas de Ki'!BM103=0,0,IFERROR(IF('Técnicas de Ki'!CB103&lt;&gt;0,'Técnicas de Ki'!CB103+TS!$T208,0)*$T208/$T208,0))</f>
        <v>0</v>
      </c>
      <c r="CT208" s="571" t="str">
        <f>IF('Técnicas de Ki'!BM111&lt;&gt;0,'Técnicas de Ki'!BL111&amp;" "&amp;'Técnicas de Ki'!BM111,"")</f>
        <v/>
      </c>
      <c r="CU208" s="302" t="b">
        <f t="shared" si="36"/>
        <v>0</v>
      </c>
      <c r="CV208" s="302" t="str">
        <f t="shared" si="40"/>
        <v/>
      </c>
    </row>
    <row r="209" spans="1:101" x14ac:dyDescent="0.2">
      <c r="A209" s="302" t="s">
        <v>6880</v>
      </c>
      <c r="B209" s="301" t="s">
        <v>6804</v>
      </c>
      <c r="C209" s="301" t="str">
        <f t="shared" si="42"/>
        <v>Incrementar turno+25</v>
      </c>
      <c r="D209" s="302">
        <v>1</v>
      </c>
      <c r="E209" s="302">
        <v>2</v>
      </c>
      <c r="F209" s="302">
        <v>5</v>
      </c>
      <c r="G209" s="302">
        <v>1</v>
      </c>
      <c r="H209" s="302">
        <v>2</v>
      </c>
      <c r="I209" s="302">
        <v>4</v>
      </c>
      <c r="J209" s="302">
        <v>1</v>
      </c>
      <c r="N209" t="s">
        <v>6983</v>
      </c>
      <c r="O209" s="302">
        <v>4</v>
      </c>
      <c r="Q209" s="302">
        <v>4</v>
      </c>
      <c r="R209" s="302">
        <v>4</v>
      </c>
      <c r="S209" s="302">
        <v>1</v>
      </c>
      <c r="V209" s="537">
        <f>IF('Técnicas de Ki'!B104=0,0,IF('Técnicas de Ki'!I104=TS!V$119,'Técnicas de Ki'!C104-(IF($O209&lt;&gt;0,'Técnicas de Ki'!L104,0)+IF($P209&lt;&gt;0,'Técnicas de Ki'!M104,0)+IF($Q209&lt;&gt;0,'Técnicas de Ki'!N104,0)+IF($R209&lt;&gt;0,'Técnicas de Ki'!O104,0)+IF($S209&lt;&gt;0,'Técnicas de Ki'!P104,0)+IF($T209&lt;&gt;0,'Técnicas de Ki'!Q104,0)),0))</f>
        <v>0</v>
      </c>
      <c r="W209" s="538">
        <f>IF('Técnicas de Ki'!B104=0,0,IF('Técnicas de Ki'!I104=TS!W$119,'Técnicas de Ki'!C104-(IF($O209&lt;&gt;0,'Técnicas de Ki'!L104,0)+IF($P209&lt;&gt;0,'Técnicas de Ki'!M104,0)+IF($Q209&lt;&gt;0,'Técnicas de Ki'!N104,0)+IF($R209&lt;&gt;0,'Técnicas de Ki'!O104,0)+IF($S209&lt;&gt;0,'Técnicas de Ki'!P104,0)+IF($T209&lt;&gt;0,'Técnicas de Ki'!Q104,0)),0))</f>
        <v>0</v>
      </c>
      <c r="X209" s="538">
        <f>IF('Técnicas de Ki'!B104=0,0,IF('Técnicas de Ki'!I104=TS!X$119,'Técnicas de Ki'!C104-(IF($O209&lt;&gt;0,'Técnicas de Ki'!L104,0)+IF($P209&lt;&gt;0,'Técnicas de Ki'!M104,0)+IF($Q209&lt;&gt;0,'Técnicas de Ki'!N104,0)+IF($R209&lt;&gt;0,'Técnicas de Ki'!O104,0)+IF($S209&lt;&gt;0,'Técnicas de Ki'!P104,0)+IF($T209&lt;&gt;0,'Técnicas de Ki'!Q104,0)),0))</f>
        <v>0</v>
      </c>
      <c r="Y209" s="538">
        <f>IF('Técnicas de Ki'!B104=0,0,IF('Técnicas de Ki'!I104=TS!Y$119,'Técnicas de Ki'!C104-(IF($O209&lt;&gt;0,'Técnicas de Ki'!L104,0)+IF($P209&lt;&gt;0,'Técnicas de Ki'!M104,0)+IF($Q209&lt;&gt;0,'Técnicas de Ki'!N104,0)+IF($R209&lt;&gt;0,'Técnicas de Ki'!O104,0)+IF($S209&lt;&gt;0,'Técnicas de Ki'!P104,0)+IF($T209&lt;&gt;0,'Técnicas de Ki'!Q104,0)),0))</f>
        <v>0</v>
      </c>
      <c r="Z209" s="538">
        <f>IF('Técnicas de Ki'!B104=0,0,IF('Técnicas de Ki'!I104=TS!Z$119,'Técnicas de Ki'!C104-(IF($O209&lt;&gt;0,'Técnicas de Ki'!L104,0)+IF($P209&lt;&gt;0,'Técnicas de Ki'!M104,0)+IF($Q209&lt;&gt;0,'Técnicas de Ki'!N104,0)+IF($R209&lt;&gt;0,'Técnicas de Ki'!O104,0)+IF($S209&lt;&gt;0,'Técnicas de Ki'!P104,0)+IF($T209&lt;&gt;0,'Técnicas de Ki'!Q104,0)),0))</f>
        <v>0</v>
      </c>
      <c r="AA209" s="539">
        <f>IF('Técnicas de Ki'!B104=0,0,IF('Técnicas de Ki'!I104=TS!AA$119,'Técnicas de Ki'!C104-(IF($O209&lt;&gt;0,'Técnicas de Ki'!L104,0)+IF($P209&lt;&gt;0,'Técnicas de Ki'!M104,0)+IF($Q209&lt;&gt;0,'Técnicas de Ki'!N104,0)+IF($R209&lt;&gt;0,'Técnicas de Ki'!O104,0)+IF($S209&lt;&gt;0,'Técnicas de Ki'!P104,0)+IF($T209&lt;&gt;0,'Técnicas de Ki'!Q104,0)),0))</f>
        <v>0</v>
      </c>
      <c r="AB209" s="538">
        <f>IF('Técnicas de Ki'!B104=0,0,IFERROR(IF('Técnicas de Ki'!L104&lt;&gt;0,'Técnicas de Ki'!L104+TS!$O209,0)*$O209/$O209,0))</f>
        <v>0</v>
      </c>
      <c r="AC209" s="538">
        <f>IF('Técnicas de Ki'!B104=0,0,IFERROR(IF('Técnicas de Ki'!M104&lt;&gt;0,'Técnicas de Ki'!M104+TS!$P209,0)*$P209/$P209,0))</f>
        <v>0</v>
      </c>
      <c r="AD209" s="538">
        <f>IF('Técnicas de Ki'!B104=0,0,IFERROR(IF('Técnicas de Ki'!N104&lt;&gt;0,'Técnicas de Ki'!N104+TS!$Q209,0)*$Q209/$Q209,0))</f>
        <v>0</v>
      </c>
      <c r="AE209" s="538">
        <f>IF('Técnicas de Ki'!B104=0,0,IFERROR(IF('Técnicas de Ki'!O104&lt;&gt;0,'Técnicas de Ki'!O104+TS!$R209,0)*$R209/$R209,0))</f>
        <v>0</v>
      </c>
      <c r="AF209" s="538">
        <f>IF('Técnicas de Ki'!B104=0,0,IFERROR(IF('Técnicas de Ki'!P104&lt;&gt;0,'Técnicas de Ki'!P104+TS!$S209,0)*$S209/$S209,0))</f>
        <v>0</v>
      </c>
      <c r="AG209" s="539">
        <f>IF('Técnicas de Ki'!B104=0,0,IFERROR(IF('Técnicas de Ki'!Q104&lt;&gt;0,'Técnicas de Ki'!Q104+TS!$T209,0)*$T209/$T209,0))</f>
        <v>0</v>
      </c>
      <c r="AI209" s="571" t="str">
        <f>IF('Técnicas de Ki'!B112&lt;&gt;0,'Técnicas de Ki'!A112&amp;" "&amp;'Técnicas de Ki'!B112,"")</f>
        <v/>
      </c>
      <c r="AJ209" s="302" t="b">
        <f t="shared" si="41"/>
        <v>0</v>
      </c>
      <c r="AK209" s="302" t="str">
        <f t="shared" si="37"/>
        <v/>
      </c>
      <c r="AQ209" s="537">
        <f>IF('Técnicas de Ki'!W104=0,0,IF('Técnicas de Ki'!AD104=TS!AQ$119,'Técnicas de Ki'!X104-(IF($O209&lt;&gt;0,'Técnicas de Ki'!AG104,0)+IF($P209&lt;&gt;0,'Técnicas de Ki'!AH104,0)+IF($Q209&lt;&gt;0,'Técnicas de Ki'!AI104,0)+IF($R209&lt;&gt;0,'Técnicas de Ki'!AJ104,0)+IF($S209&lt;&gt;0,'Técnicas de Ki'!AK104,0)+IF($T209&lt;&gt;0,'Técnicas de Ki'!AL104,0)),0))</f>
        <v>0</v>
      </c>
      <c r="AR209" s="538">
        <f>IF('Técnicas de Ki'!W104=0,0,IF('Técnicas de Ki'!AD104=TS!AR$119,'Técnicas de Ki'!X104-(IF($O209&lt;&gt;0,'Técnicas de Ki'!AG104,0)+IF($P209&lt;&gt;0,'Técnicas de Ki'!AH104,0)+IF($Q209&lt;&gt;0,'Técnicas de Ki'!AI104,0)+IF($R209&lt;&gt;0,'Técnicas de Ki'!AJ104,0)+IF($S209&lt;&gt;0,'Técnicas de Ki'!AK104,0)+IF($T209&lt;&gt;0,'Técnicas de Ki'!AL104,0)),0))</f>
        <v>0</v>
      </c>
      <c r="AS209" s="538">
        <f>IF('Técnicas de Ki'!W104=0,0,IF('Técnicas de Ki'!AD104=TS!AS$119,'Técnicas de Ki'!X104-(IF($O209&lt;&gt;0,'Técnicas de Ki'!AG104,0)+IF($P209&lt;&gt;0,'Técnicas de Ki'!AH104,0)+IF($Q209&lt;&gt;0,'Técnicas de Ki'!AI104,0)+IF($R209&lt;&gt;0,'Técnicas de Ki'!AJ104,0)+IF($S209&lt;&gt;0,'Técnicas de Ki'!AK104,0)+IF($T209&lt;&gt;0,'Técnicas de Ki'!AL104,0)),0))</f>
        <v>0</v>
      </c>
      <c r="AT209" s="538">
        <f>IF('Técnicas de Ki'!W104=0,0,IF('Técnicas de Ki'!AD104=TS!AT$119,'Técnicas de Ki'!X104-(IF($O209&lt;&gt;0,'Técnicas de Ki'!AG104,0)+IF($P209&lt;&gt;0,'Técnicas de Ki'!AH104,0)+IF($Q209&lt;&gt;0,'Técnicas de Ki'!AI104,0)+IF($R209&lt;&gt;0,'Técnicas de Ki'!AJ104,0)+IF($S209&lt;&gt;0,'Técnicas de Ki'!AK104,0)+IF($T209&lt;&gt;0,'Técnicas de Ki'!AL104,0)),0))</f>
        <v>0</v>
      </c>
      <c r="AU209" s="538">
        <f>IF('Técnicas de Ki'!W104=0,0,IF('Técnicas de Ki'!AD104=TS!AU$119,'Técnicas de Ki'!X104-(IF($O209&lt;&gt;0,'Técnicas de Ki'!AG104,0)+IF($P209&lt;&gt;0,'Técnicas de Ki'!AH104,0)+IF($Q209&lt;&gt;0,'Técnicas de Ki'!AI104,0)+IF($R209&lt;&gt;0,'Técnicas de Ki'!AJ104,0)+IF($S209&lt;&gt;0,'Técnicas de Ki'!AK104,0)+IF($T209&lt;&gt;0,'Técnicas de Ki'!AL104,0)),0))</f>
        <v>0</v>
      </c>
      <c r="AV209" s="539">
        <f>IF('Técnicas de Ki'!W104=0,0,IF('Técnicas de Ki'!AD104=TS!AV$119,'Técnicas de Ki'!X104-(IF($O209&lt;&gt;0,'Técnicas de Ki'!AG104,0)+IF($P209&lt;&gt;0,'Técnicas de Ki'!AH104,0)+IF($Q209&lt;&gt;0,'Técnicas de Ki'!AI104,0)+IF($R209&lt;&gt;0,'Técnicas de Ki'!AJ104,0)+IF($S209&lt;&gt;0,'Técnicas de Ki'!AK104,0)+IF($T209&lt;&gt;0,'Técnicas de Ki'!AL104,0)),0))</f>
        <v>0</v>
      </c>
      <c r="AW209" s="538">
        <f>IF('Técnicas de Ki'!W104=0,0,IFERROR(IF('Técnicas de Ki'!AG104&lt;&gt;0,'Técnicas de Ki'!AG104+TS!$O209,0)*$O209/$O209,0))</f>
        <v>0</v>
      </c>
      <c r="AX209" s="538">
        <f>IF('Técnicas de Ki'!W104=0,0,IFERROR(IF('Técnicas de Ki'!AH104&lt;&gt;0,'Técnicas de Ki'!AH104+TS!$P209,0)*$P209/$P209,0))</f>
        <v>0</v>
      </c>
      <c r="AY209" s="538">
        <f>IF('Técnicas de Ki'!W104=0,0,IFERROR(IF('Técnicas de Ki'!AI104&lt;&gt;0,'Técnicas de Ki'!AI104+TS!$Q209,0)*$Q209/$Q209,0))</f>
        <v>0</v>
      </c>
      <c r="AZ209" s="538">
        <f>IF('Técnicas de Ki'!W104=0,0,IFERROR(IF('Técnicas de Ki'!AJ104&lt;&gt;0,'Técnicas de Ki'!AJ104+TS!$R209,0)*$R209/$R209,0))</f>
        <v>0</v>
      </c>
      <c r="BA209" s="538">
        <f>IF('Técnicas de Ki'!W104=0,0,IFERROR(IF('Técnicas de Ki'!AK104&lt;&gt;0,'Técnicas de Ki'!AK104+TS!$S209,0)*$S209/$S209,0))</f>
        <v>0</v>
      </c>
      <c r="BB209" s="539">
        <f>IF('Técnicas de Ki'!W104=0,0,IFERROR(IF('Técnicas de Ki'!AL104&lt;&gt;0,'Técnicas de Ki'!AL104+TS!$T209,0)*$T209/$T209,0))</f>
        <v>0</v>
      </c>
      <c r="BD209" s="571" t="str">
        <f>IF('Técnicas de Ki'!W112&lt;&gt;0,'Técnicas de Ki'!V112&amp;" "&amp;'Técnicas de Ki'!W112,"")</f>
        <v/>
      </c>
      <c r="BE209" s="302" t="b">
        <f t="shared" si="34"/>
        <v>0</v>
      </c>
      <c r="BF209" s="302" t="str">
        <f t="shared" si="38"/>
        <v/>
      </c>
      <c r="BL209" s="537">
        <f>IF('Técnicas de Ki'!AR104=0,0,IF('Técnicas de Ki'!AY104=TS!BL$119,'Técnicas de Ki'!AS104-(IF($O209&lt;&gt;0,'Técnicas de Ki'!BB104,0)+IF($P209&lt;&gt;0,'Técnicas de Ki'!BC104,0)+IF($Q209&lt;&gt;0,'Técnicas de Ki'!BD104,0)+IF($R209&lt;&gt;0,'Técnicas de Ki'!BE104,0)+IF($S209&lt;&gt;0,'Técnicas de Ki'!BF104,0)+IF($T209&lt;&gt;0,'Técnicas de Ki'!BG104,0)),0))</f>
        <v>0</v>
      </c>
      <c r="BM209" s="538">
        <f>IF('Técnicas de Ki'!AR104=0,0,IF('Técnicas de Ki'!AY104=TS!BM$119,'Técnicas de Ki'!AS104-(IF($O209&lt;&gt;0,'Técnicas de Ki'!BB104,0)+IF($P209&lt;&gt;0,'Técnicas de Ki'!BC104,0)+IF($Q209&lt;&gt;0,'Técnicas de Ki'!BD104,0)+IF($R209&lt;&gt;0,'Técnicas de Ki'!BE104,0)+IF($S209&lt;&gt;0,'Técnicas de Ki'!BF104,0)+IF($T209&lt;&gt;0,'Técnicas de Ki'!BG104,0)),0))</f>
        <v>0</v>
      </c>
      <c r="BN209" s="538">
        <f>IF('Técnicas de Ki'!AR104=0,0,IF('Técnicas de Ki'!AY104=TS!BN$119,'Técnicas de Ki'!AS104-(IF($O209&lt;&gt;0,'Técnicas de Ki'!BB104,0)+IF($P209&lt;&gt;0,'Técnicas de Ki'!BC104,0)+IF($Q209&lt;&gt;0,'Técnicas de Ki'!BD104,0)+IF($R209&lt;&gt;0,'Técnicas de Ki'!BE104,0)+IF($S209&lt;&gt;0,'Técnicas de Ki'!BF104,0)+IF($T209&lt;&gt;0,'Técnicas de Ki'!BG104,0)),0))</f>
        <v>0</v>
      </c>
      <c r="BO209" s="538">
        <f>IF('Técnicas de Ki'!AR104=0,0,IF('Técnicas de Ki'!AY104=TS!BO$119,'Técnicas de Ki'!AS104-(IF($O209&lt;&gt;0,'Técnicas de Ki'!BB104,0)+IF($P209&lt;&gt;0,'Técnicas de Ki'!BC104,0)+IF($Q209&lt;&gt;0,'Técnicas de Ki'!BD104,0)+IF($R209&lt;&gt;0,'Técnicas de Ki'!BE104,0)+IF($S209&lt;&gt;0,'Técnicas de Ki'!BF104,0)+IF($T209&lt;&gt;0,'Técnicas de Ki'!BG104,0)),0))</f>
        <v>0</v>
      </c>
      <c r="BP209" s="538">
        <f>IF('Técnicas de Ki'!AR104=0,0,IF('Técnicas de Ki'!AY104=TS!BP$119,'Técnicas de Ki'!AS104-(IF($O209&lt;&gt;0,'Técnicas de Ki'!BB104,0)+IF($P209&lt;&gt;0,'Técnicas de Ki'!BC104,0)+IF($Q209&lt;&gt;0,'Técnicas de Ki'!BD104,0)+IF($R209&lt;&gt;0,'Técnicas de Ki'!BE104,0)+IF($S209&lt;&gt;0,'Técnicas de Ki'!BF104,0)+IF($T209&lt;&gt;0,'Técnicas de Ki'!BG104,0)),0))</f>
        <v>0</v>
      </c>
      <c r="BQ209" s="539">
        <f>IF('Técnicas de Ki'!AR104=0,0,IF('Técnicas de Ki'!AY104=TS!BQ$119,'Técnicas de Ki'!AS104-(IF($O209&lt;&gt;0,'Técnicas de Ki'!BB104,0)+IF($P209&lt;&gt;0,'Técnicas de Ki'!BC104,0)+IF($Q209&lt;&gt;0,'Técnicas de Ki'!BD104,0)+IF($R209&lt;&gt;0,'Técnicas de Ki'!BE104,0)+IF($S209&lt;&gt;0,'Técnicas de Ki'!BF104,0)+IF($T209&lt;&gt;0,'Técnicas de Ki'!BG104,0)),0))</f>
        <v>0</v>
      </c>
      <c r="BR209" s="538">
        <f>IF('Técnicas de Ki'!AR104=0,0,IFERROR(IF('Técnicas de Ki'!BB104&lt;&gt;0,'Técnicas de Ki'!BB104+TS!$O209,0)*$O209/$O209,0))</f>
        <v>0</v>
      </c>
      <c r="BS209" s="538">
        <f>IF('Técnicas de Ki'!AR104=0,0,IFERROR(IF('Técnicas de Ki'!BC104&lt;&gt;0,'Técnicas de Ki'!BC104+TS!$P209,0)*$P209/$P209,0))</f>
        <v>0</v>
      </c>
      <c r="BT209" s="538">
        <f>IF('Técnicas de Ki'!AR104=0,0,IFERROR(IF('Técnicas de Ki'!BD104&lt;&gt;0,'Técnicas de Ki'!BD104+TS!$Q209,0)*$Q209/$Q209,0))</f>
        <v>0</v>
      </c>
      <c r="BU209" s="538">
        <f>IF('Técnicas de Ki'!AR104=0,0,IFERROR(IF('Técnicas de Ki'!BE104&lt;&gt;0,'Técnicas de Ki'!BE104+TS!$R209,0)*$R209/$R209,0))</f>
        <v>0</v>
      </c>
      <c r="BV209" s="538">
        <f>IF('Técnicas de Ki'!AR104=0,0,IFERROR(IF('Técnicas de Ki'!BF104&lt;&gt;0,'Técnicas de Ki'!BF104+TS!$S209,0)*$S209/$S209,0))</f>
        <v>0</v>
      </c>
      <c r="BW209" s="539">
        <f>IF('Técnicas de Ki'!AR104=0,0,IFERROR(IF('Técnicas de Ki'!BG104&lt;&gt;0,'Técnicas de Ki'!BG104+TS!$T209,0)*$T209/$T209,0))</f>
        <v>0</v>
      </c>
      <c r="BY209" s="571" t="str">
        <f>IF('Técnicas de Ki'!AR112&lt;&gt;0,'Técnicas de Ki'!AQ112&amp;" "&amp;'Técnicas de Ki'!AR112,"")</f>
        <v/>
      </c>
      <c r="BZ209" s="302" t="b">
        <f t="shared" si="35"/>
        <v>0</v>
      </c>
      <c r="CA209" s="302" t="str">
        <f t="shared" si="39"/>
        <v/>
      </c>
      <c r="CG209" s="537">
        <f>IF('Técnicas de Ki'!BM104=0,0,IF('Técnicas de Ki'!BT104=TS!CG$119,'Técnicas de Ki'!BN104-(IF($O209&lt;&gt;0,'Técnicas de Ki'!BW104,0)+IF($P209&lt;&gt;0,'Técnicas de Ki'!BX104,0)+IF($Q209&lt;&gt;0,'Técnicas de Ki'!BY104,0)+IF($R209&lt;&gt;0,'Técnicas de Ki'!BZ104,0)+IF($S209&lt;&gt;0,'Técnicas de Ki'!CA104,0)+IF($T209&lt;&gt;0,'Técnicas de Ki'!CB104,0)),0))</f>
        <v>0</v>
      </c>
      <c r="CH209" s="538">
        <f>IF('Técnicas de Ki'!BM104=0,0,IF('Técnicas de Ki'!BT104=TS!CH$119,'Técnicas de Ki'!BN104-(IF($O209&lt;&gt;0,'Técnicas de Ki'!BW104,0)+IF($P209&lt;&gt;0,'Técnicas de Ki'!BX104,0)+IF($Q209&lt;&gt;0,'Técnicas de Ki'!BY104,0)+IF($R209&lt;&gt;0,'Técnicas de Ki'!BZ104,0)+IF($S209&lt;&gt;0,'Técnicas de Ki'!CA104,0)+IF($T209&lt;&gt;0,'Técnicas de Ki'!CB104,0)),0))</f>
        <v>0</v>
      </c>
      <c r="CI209" s="538">
        <f>IF('Técnicas de Ki'!BM104=0,0,IF('Técnicas de Ki'!BT104=TS!CI$119,'Técnicas de Ki'!BN104-(IF($O209&lt;&gt;0,'Técnicas de Ki'!BW104,0)+IF($P209&lt;&gt;0,'Técnicas de Ki'!BX104,0)+IF($Q209&lt;&gt;0,'Técnicas de Ki'!BY104,0)+IF($R209&lt;&gt;0,'Técnicas de Ki'!BZ104,0)+IF($S209&lt;&gt;0,'Técnicas de Ki'!CA104,0)+IF($T209&lt;&gt;0,'Técnicas de Ki'!CB104,0)),0))</f>
        <v>0</v>
      </c>
      <c r="CJ209" s="538">
        <f>IF('Técnicas de Ki'!BM104=0,0,IF('Técnicas de Ki'!BT104=TS!CJ$119,'Técnicas de Ki'!BN104-(IF($O209&lt;&gt;0,'Técnicas de Ki'!BW104,0)+IF($P209&lt;&gt;0,'Técnicas de Ki'!BX104,0)+IF($Q209&lt;&gt;0,'Técnicas de Ki'!BY104,0)+IF($R209&lt;&gt;0,'Técnicas de Ki'!BZ104,0)+IF($S209&lt;&gt;0,'Técnicas de Ki'!CA104,0)+IF($T209&lt;&gt;0,'Técnicas de Ki'!CB104,0)),0))</f>
        <v>0</v>
      </c>
      <c r="CK209" s="538">
        <f>IF('Técnicas de Ki'!BM104=0,0,IF('Técnicas de Ki'!BT104=TS!CK$119,'Técnicas de Ki'!BN104-(IF($O209&lt;&gt;0,'Técnicas de Ki'!BW104,0)+IF($P209&lt;&gt;0,'Técnicas de Ki'!BX104,0)+IF($Q209&lt;&gt;0,'Técnicas de Ki'!BY104,0)+IF($R209&lt;&gt;0,'Técnicas de Ki'!BZ104,0)+IF($S209&lt;&gt;0,'Técnicas de Ki'!CA104,0)+IF($T209&lt;&gt;0,'Técnicas de Ki'!CB104,0)),0))</f>
        <v>0</v>
      </c>
      <c r="CL209" s="539">
        <f>IF('Técnicas de Ki'!BM104=0,0,IF('Técnicas de Ki'!BT104=TS!CL$119,'Técnicas de Ki'!BN104-(IF($O209&lt;&gt;0,'Técnicas de Ki'!BW104,0)+IF($P209&lt;&gt;0,'Técnicas de Ki'!BX104,0)+IF($Q209&lt;&gt;0,'Técnicas de Ki'!BY104,0)+IF($R209&lt;&gt;0,'Técnicas de Ki'!BZ104,0)+IF($S209&lt;&gt;0,'Técnicas de Ki'!CA104,0)+IF($T209&lt;&gt;0,'Técnicas de Ki'!CB104,0)),0))</f>
        <v>0</v>
      </c>
      <c r="CM209" s="538">
        <f>IF('Técnicas de Ki'!BM104=0,0,IFERROR(IF('Técnicas de Ki'!BW104&lt;&gt;0,'Técnicas de Ki'!BW104+TS!$O209,0)*$O209/$O209,0))</f>
        <v>0</v>
      </c>
      <c r="CN209" s="538">
        <f>IF('Técnicas de Ki'!BM104=0,0,IFERROR(IF('Técnicas de Ki'!BX104&lt;&gt;0,'Técnicas de Ki'!BX104+TS!$P209,0)*$P209/$P209,0))</f>
        <v>0</v>
      </c>
      <c r="CO209" s="538">
        <f>IF('Técnicas de Ki'!BM104=0,0,IFERROR(IF('Técnicas de Ki'!BY104&lt;&gt;0,'Técnicas de Ki'!BY104+TS!$Q209,0)*$Q209/$Q209,0))</f>
        <v>0</v>
      </c>
      <c r="CP209" s="538">
        <f>IF('Técnicas de Ki'!BM104=0,0,IFERROR(IF('Técnicas de Ki'!BZ104&lt;&gt;0,'Técnicas de Ki'!BZ104+TS!$R209,0)*$R209/$R209,0))</f>
        <v>0</v>
      </c>
      <c r="CQ209" s="538">
        <f>IF('Técnicas de Ki'!BM104=0,0,IFERROR(IF('Técnicas de Ki'!CA104&lt;&gt;0,'Técnicas de Ki'!CA104+TS!$S209,0)*$S209/$S209,0))</f>
        <v>0</v>
      </c>
      <c r="CR209" s="539">
        <f>IF('Técnicas de Ki'!BM104=0,0,IFERROR(IF('Técnicas de Ki'!CB104&lt;&gt;0,'Técnicas de Ki'!CB104+TS!$T209,0)*$T209/$T209,0))</f>
        <v>0</v>
      </c>
      <c r="CT209" s="571" t="str">
        <f>IF('Técnicas de Ki'!BM112&lt;&gt;0,'Técnicas de Ki'!BL112&amp;" "&amp;'Técnicas de Ki'!BM112,"")</f>
        <v/>
      </c>
      <c r="CU209" s="302" t="b">
        <f t="shared" si="36"/>
        <v>0</v>
      </c>
      <c r="CV209" s="302" t="str">
        <f t="shared" si="40"/>
        <v/>
      </c>
    </row>
    <row r="210" spans="1:101" x14ac:dyDescent="0.2">
      <c r="A210" s="302" t="s">
        <v>6880</v>
      </c>
      <c r="B210" s="301" t="s">
        <v>6806</v>
      </c>
      <c r="C210" s="301" t="str">
        <f t="shared" si="42"/>
        <v>Incrementar turno+50</v>
      </c>
      <c r="D210" s="302">
        <v>2</v>
      </c>
      <c r="E210" s="302">
        <v>4</v>
      </c>
      <c r="F210" s="302">
        <v>10</v>
      </c>
      <c r="G210" s="302">
        <v>1</v>
      </c>
      <c r="H210" s="302">
        <v>2</v>
      </c>
      <c r="I210" s="302">
        <v>4</v>
      </c>
      <c r="J210" s="302">
        <v>1</v>
      </c>
      <c r="N210" t="s">
        <v>6984</v>
      </c>
      <c r="O210" s="302">
        <v>4</v>
      </c>
      <c r="Q210" s="302">
        <v>4</v>
      </c>
      <c r="R210" s="302">
        <v>4</v>
      </c>
      <c r="S210" s="302">
        <v>1</v>
      </c>
      <c r="V210" s="537">
        <f>IF('Técnicas de Ki'!B105=0,0,IF('Técnicas de Ki'!I105=TS!V$119,'Técnicas de Ki'!C105-(IF($O210&lt;&gt;0,'Técnicas de Ki'!L105,0)+IF($P210&lt;&gt;0,'Técnicas de Ki'!M105,0)+IF($Q210&lt;&gt;0,'Técnicas de Ki'!N105,0)+IF($R210&lt;&gt;0,'Técnicas de Ki'!O105,0)+IF($S210&lt;&gt;0,'Técnicas de Ki'!P105,0)+IF($T210&lt;&gt;0,'Técnicas de Ki'!Q105,0)),0))</f>
        <v>0</v>
      </c>
      <c r="W210" s="538">
        <f>IF('Técnicas de Ki'!B105=0,0,IF('Técnicas de Ki'!I105=TS!W$119,'Técnicas de Ki'!C105-(IF($O210&lt;&gt;0,'Técnicas de Ki'!L105,0)+IF($P210&lt;&gt;0,'Técnicas de Ki'!M105,0)+IF($Q210&lt;&gt;0,'Técnicas de Ki'!N105,0)+IF($R210&lt;&gt;0,'Técnicas de Ki'!O105,0)+IF($S210&lt;&gt;0,'Técnicas de Ki'!P105,0)+IF($T210&lt;&gt;0,'Técnicas de Ki'!Q105,0)),0))</f>
        <v>0</v>
      </c>
      <c r="X210" s="538">
        <f>IF('Técnicas de Ki'!B105=0,0,IF('Técnicas de Ki'!I105=TS!X$119,'Técnicas de Ki'!C105-(IF($O210&lt;&gt;0,'Técnicas de Ki'!L105,0)+IF($P210&lt;&gt;0,'Técnicas de Ki'!M105,0)+IF($Q210&lt;&gt;0,'Técnicas de Ki'!N105,0)+IF($R210&lt;&gt;0,'Técnicas de Ki'!O105,0)+IF($S210&lt;&gt;0,'Técnicas de Ki'!P105,0)+IF($T210&lt;&gt;0,'Técnicas de Ki'!Q105,0)),0))</f>
        <v>0</v>
      </c>
      <c r="Y210" s="538">
        <f>IF('Técnicas de Ki'!B105=0,0,IF('Técnicas de Ki'!I105=TS!Y$119,'Técnicas de Ki'!C105-(IF($O210&lt;&gt;0,'Técnicas de Ki'!L105,0)+IF($P210&lt;&gt;0,'Técnicas de Ki'!M105,0)+IF($Q210&lt;&gt;0,'Técnicas de Ki'!N105,0)+IF($R210&lt;&gt;0,'Técnicas de Ki'!O105,0)+IF($S210&lt;&gt;0,'Técnicas de Ki'!P105,0)+IF($T210&lt;&gt;0,'Técnicas de Ki'!Q105,0)),0))</f>
        <v>0</v>
      </c>
      <c r="Z210" s="538">
        <f>IF('Técnicas de Ki'!B105=0,0,IF('Técnicas de Ki'!I105=TS!Z$119,'Técnicas de Ki'!C105-(IF($O210&lt;&gt;0,'Técnicas de Ki'!L105,0)+IF($P210&lt;&gt;0,'Técnicas de Ki'!M105,0)+IF($Q210&lt;&gt;0,'Técnicas de Ki'!N105,0)+IF($R210&lt;&gt;0,'Técnicas de Ki'!O105,0)+IF($S210&lt;&gt;0,'Técnicas de Ki'!P105,0)+IF($T210&lt;&gt;0,'Técnicas de Ki'!Q105,0)),0))</f>
        <v>0</v>
      </c>
      <c r="AA210" s="539">
        <f>IF('Técnicas de Ki'!B105=0,0,IF('Técnicas de Ki'!I105=TS!AA$119,'Técnicas de Ki'!C105-(IF($O210&lt;&gt;0,'Técnicas de Ki'!L105,0)+IF($P210&lt;&gt;0,'Técnicas de Ki'!M105,0)+IF($Q210&lt;&gt;0,'Técnicas de Ki'!N105,0)+IF($R210&lt;&gt;0,'Técnicas de Ki'!O105,0)+IF($S210&lt;&gt;0,'Técnicas de Ki'!P105,0)+IF($T210&lt;&gt;0,'Técnicas de Ki'!Q105,0)),0))</f>
        <v>0</v>
      </c>
      <c r="AB210" s="538">
        <f>IF('Técnicas de Ki'!B105=0,0,IFERROR(IF('Técnicas de Ki'!L105&lt;&gt;0,'Técnicas de Ki'!L105+TS!$O210,0)*$O210/$O210,0))</f>
        <v>0</v>
      </c>
      <c r="AC210" s="538">
        <f>IF('Técnicas de Ki'!B105=0,0,IFERROR(IF('Técnicas de Ki'!M105&lt;&gt;0,'Técnicas de Ki'!M105+TS!$P210,0)*$P210/$P210,0))</f>
        <v>0</v>
      </c>
      <c r="AD210" s="538">
        <f>IF('Técnicas de Ki'!B105=0,0,IFERROR(IF('Técnicas de Ki'!N105&lt;&gt;0,'Técnicas de Ki'!N105+TS!$Q210,0)*$Q210/$Q210,0))</f>
        <v>0</v>
      </c>
      <c r="AE210" s="538">
        <f>IF('Técnicas de Ki'!B105=0,0,IFERROR(IF('Técnicas de Ki'!O105&lt;&gt;0,'Técnicas de Ki'!O105+TS!$R210,0)*$R210/$R210,0))</f>
        <v>0</v>
      </c>
      <c r="AF210" s="538">
        <f>IF('Técnicas de Ki'!B105=0,0,IFERROR(IF('Técnicas de Ki'!P105&lt;&gt;0,'Técnicas de Ki'!P105+TS!$S210,0)*$S210/$S210,0))</f>
        <v>0</v>
      </c>
      <c r="AG210" s="539">
        <f>IF('Técnicas de Ki'!B105=0,0,IFERROR(IF('Técnicas de Ki'!Q105&lt;&gt;0,'Técnicas de Ki'!Q105+TS!$T210,0)*$T210/$T210,0))</f>
        <v>0</v>
      </c>
      <c r="AI210" s="571" t="str">
        <f>IF('Técnicas de Ki'!B113&lt;&gt;0,'Técnicas de Ki'!A113&amp;" "&amp;'Técnicas de Ki'!B113,"")</f>
        <v/>
      </c>
      <c r="AJ210" s="302" t="b">
        <f t="shared" si="41"/>
        <v>0</v>
      </c>
      <c r="AK210" s="302" t="str">
        <f t="shared" si="37"/>
        <v/>
      </c>
      <c r="AQ210" s="537">
        <f>IF('Técnicas de Ki'!W105=0,0,IF('Técnicas de Ki'!AD105=TS!AQ$119,'Técnicas de Ki'!X105-(IF($O210&lt;&gt;0,'Técnicas de Ki'!AG105,0)+IF($P210&lt;&gt;0,'Técnicas de Ki'!AH105,0)+IF($Q210&lt;&gt;0,'Técnicas de Ki'!AI105,0)+IF($R210&lt;&gt;0,'Técnicas de Ki'!AJ105,0)+IF($S210&lt;&gt;0,'Técnicas de Ki'!AK105,0)+IF($T210&lt;&gt;0,'Técnicas de Ki'!AL105,0)),0))</f>
        <v>0</v>
      </c>
      <c r="AR210" s="538">
        <f>IF('Técnicas de Ki'!W105=0,0,IF('Técnicas de Ki'!AD105=TS!AR$119,'Técnicas de Ki'!X105-(IF($O210&lt;&gt;0,'Técnicas de Ki'!AG105,0)+IF($P210&lt;&gt;0,'Técnicas de Ki'!AH105,0)+IF($Q210&lt;&gt;0,'Técnicas de Ki'!AI105,0)+IF($R210&lt;&gt;0,'Técnicas de Ki'!AJ105,0)+IF($S210&lt;&gt;0,'Técnicas de Ki'!AK105,0)+IF($T210&lt;&gt;0,'Técnicas de Ki'!AL105,0)),0))</f>
        <v>0</v>
      </c>
      <c r="AS210" s="538">
        <f>IF('Técnicas de Ki'!W105=0,0,IF('Técnicas de Ki'!AD105=TS!AS$119,'Técnicas de Ki'!X105-(IF($O210&lt;&gt;0,'Técnicas de Ki'!AG105,0)+IF($P210&lt;&gt;0,'Técnicas de Ki'!AH105,0)+IF($Q210&lt;&gt;0,'Técnicas de Ki'!AI105,0)+IF($R210&lt;&gt;0,'Técnicas de Ki'!AJ105,0)+IF($S210&lt;&gt;0,'Técnicas de Ki'!AK105,0)+IF($T210&lt;&gt;0,'Técnicas de Ki'!AL105,0)),0))</f>
        <v>0</v>
      </c>
      <c r="AT210" s="538">
        <f>IF('Técnicas de Ki'!W105=0,0,IF('Técnicas de Ki'!AD105=TS!AT$119,'Técnicas de Ki'!X105-(IF($O210&lt;&gt;0,'Técnicas de Ki'!AG105,0)+IF($P210&lt;&gt;0,'Técnicas de Ki'!AH105,0)+IF($Q210&lt;&gt;0,'Técnicas de Ki'!AI105,0)+IF($R210&lt;&gt;0,'Técnicas de Ki'!AJ105,0)+IF($S210&lt;&gt;0,'Técnicas de Ki'!AK105,0)+IF($T210&lt;&gt;0,'Técnicas de Ki'!AL105,0)),0))</f>
        <v>0</v>
      </c>
      <c r="AU210" s="538">
        <f>IF('Técnicas de Ki'!W105=0,0,IF('Técnicas de Ki'!AD105=TS!AU$119,'Técnicas de Ki'!X105-(IF($O210&lt;&gt;0,'Técnicas de Ki'!AG105,0)+IF($P210&lt;&gt;0,'Técnicas de Ki'!AH105,0)+IF($Q210&lt;&gt;0,'Técnicas de Ki'!AI105,0)+IF($R210&lt;&gt;0,'Técnicas de Ki'!AJ105,0)+IF($S210&lt;&gt;0,'Técnicas de Ki'!AK105,0)+IF($T210&lt;&gt;0,'Técnicas de Ki'!AL105,0)),0))</f>
        <v>0</v>
      </c>
      <c r="AV210" s="539">
        <f>IF('Técnicas de Ki'!W105=0,0,IF('Técnicas de Ki'!AD105=TS!AV$119,'Técnicas de Ki'!X105-(IF($O210&lt;&gt;0,'Técnicas de Ki'!AG105,0)+IF($P210&lt;&gt;0,'Técnicas de Ki'!AH105,0)+IF($Q210&lt;&gt;0,'Técnicas de Ki'!AI105,0)+IF($R210&lt;&gt;0,'Técnicas de Ki'!AJ105,0)+IF($S210&lt;&gt;0,'Técnicas de Ki'!AK105,0)+IF($T210&lt;&gt;0,'Técnicas de Ki'!AL105,0)),0))</f>
        <v>0</v>
      </c>
      <c r="AW210" s="538">
        <f>IF('Técnicas de Ki'!W105=0,0,IFERROR(IF('Técnicas de Ki'!AG105&lt;&gt;0,'Técnicas de Ki'!AG105+TS!$O210,0)*$O210/$O210,0))</f>
        <v>0</v>
      </c>
      <c r="AX210" s="538">
        <f>IF('Técnicas de Ki'!W105=0,0,IFERROR(IF('Técnicas de Ki'!AH105&lt;&gt;0,'Técnicas de Ki'!AH105+TS!$P210,0)*$P210/$P210,0))</f>
        <v>0</v>
      </c>
      <c r="AY210" s="538">
        <f>IF('Técnicas de Ki'!W105=0,0,IFERROR(IF('Técnicas de Ki'!AI105&lt;&gt;0,'Técnicas de Ki'!AI105+TS!$Q210,0)*$Q210/$Q210,0))</f>
        <v>0</v>
      </c>
      <c r="AZ210" s="538">
        <f>IF('Técnicas de Ki'!W105=0,0,IFERROR(IF('Técnicas de Ki'!AJ105&lt;&gt;0,'Técnicas de Ki'!AJ105+TS!$R210,0)*$R210/$R210,0))</f>
        <v>0</v>
      </c>
      <c r="BA210" s="538">
        <f>IF('Técnicas de Ki'!W105=0,0,IFERROR(IF('Técnicas de Ki'!AK105&lt;&gt;0,'Técnicas de Ki'!AK105+TS!$S210,0)*$S210/$S210,0))</f>
        <v>0</v>
      </c>
      <c r="BB210" s="539">
        <f>IF('Técnicas de Ki'!W105=0,0,IFERROR(IF('Técnicas de Ki'!AL105&lt;&gt;0,'Técnicas de Ki'!AL105+TS!$T210,0)*$T210/$T210,0))</f>
        <v>0</v>
      </c>
      <c r="BD210" s="571" t="str">
        <f>IF('Técnicas de Ki'!W113&lt;&gt;0,'Técnicas de Ki'!V113&amp;" "&amp;'Técnicas de Ki'!W113,"")</f>
        <v/>
      </c>
      <c r="BE210" s="302" t="b">
        <f t="shared" si="34"/>
        <v>0</v>
      </c>
      <c r="BF210" s="302" t="str">
        <f t="shared" si="38"/>
        <v/>
      </c>
      <c r="BL210" s="537">
        <f>IF('Técnicas de Ki'!AR105=0,0,IF('Técnicas de Ki'!AY105=TS!BL$119,'Técnicas de Ki'!AS105-(IF($O210&lt;&gt;0,'Técnicas de Ki'!BB105,0)+IF($P210&lt;&gt;0,'Técnicas de Ki'!BC105,0)+IF($Q210&lt;&gt;0,'Técnicas de Ki'!BD105,0)+IF($R210&lt;&gt;0,'Técnicas de Ki'!BE105,0)+IF($S210&lt;&gt;0,'Técnicas de Ki'!BF105,0)+IF($T210&lt;&gt;0,'Técnicas de Ki'!BG105,0)),0))</f>
        <v>0</v>
      </c>
      <c r="BM210" s="538">
        <f>IF('Técnicas de Ki'!AR105=0,0,IF('Técnicas de Ki'!AY105=TS!BM$119,'Técnicas de Ki'!AS105-(IF($O210&lt;&gt;0,'Técnicas de Ki'!BB105,0)+IF($P210&lt;&gt;0,'Técnicas de Ki'!BC105,0)+IF($Q210&lt;&gt;0,'Técnicas de Ki'!BD105,0)+IF($R210&lt;&gt;0,'Técnicas de Ki'!BE105,0)+IF($S210&lt;&gt;0,'Técnicas de Ki'!BF105,0)+IF($T210&lt;&gt;0,'Técnicas de Ki'!BG105,0)),0))</f>
        <v>0</v>
      </c>
      <c r="BN210" s="538">
        <f>IF('Técnicas de Ki'!AR105=0,0,IF('Técnicas de Ki'!AY105=TS!BN$119,'Técnicas de Ki'!AS105-(IF($O210&lt;&gt;0,'Técnicas de Ki'!BB105,0)+IF($P210&lt;&gt;0,'Técnicas de Ki'!BC105,0)+IF($Q210&lt;&gt;0,'Técnicas de Ki'!BD105,0)+IF($R210&lt;&gt;0,'Técnicas de Ki'!BE105,0)+IF($S210&lt;&gt;0,'Técnicas de Ki'!BF105,0)+IF($T210&lt;&gt;0,'Técnicas de Ki'!BG105,0)),0))</f>
        <v>0</v>
      </c>
      <c r="BO210" s="538">
        <f>IF('Técnicas de Ki'!AR105=0,0,IF('Técnicas de Ki'!AY105=TS!BO$119,'Técnicas de Ki'!AS105-(IF($O210&lt;&gt;0,'Técnicas de Ki'!BB105,0)+IF($P210&lt;&gt;0,'Técnicas de Ki'!BC105,0)+IF($Q210&lt;&gt;0,'Técnicas de Ki'!BD105,0)+IF($R210&lt;&gt;0,'Técnicas de Ki'!BE105,0)+IF($S210&lt;&gt;0,'Técnicas de Ki'!BF105,0)+IF($T210&lt;&gt;0,'Técnicas de Ki'!BG105,0)),0))</f>
        <v>0</v>
      </c>
      <c r="BP210" s="538">
        <f>IF('Técnicas de Ki'!AR105=0,0,IF('Técnicas de Ki'!AY105=TS!BP$119,'Técnicas de Ki'!AS105-(IF($O210&lt;&gt;0,'Técnicas de Ki'!BB105,0)+IF($P210&lt;&gt;0,'Técnicas de Ki'!BC105,0)+IF($Q210&lt;&gt;0,'Técnicas de Ki'!BD105,0)+IF($R210&lt;&gt;0,'Técnicas de Ki'!BE105,0)+IF($S210&lt;&gt;0,'Técnicas de Ki'!BF105,0)+IF($T210&lt;&gt;0,'Técnicas de Ki'!BG105,0)),0))</f>
        <v>0</v>
      </c>
      <c r="BQ210" s="539">
        <f>IF('Técnicas de Ki'!AR105=0,0,IF('Técnicas de Ki'!AY105=TS!BQ$119,'Técnicas de Ki'!AS105-(IF($O210&lt;&gt;0,'Técnicas de Ki'!BB105,0)+IF($P210&lt;&gt;0,'Técnicas de Ki'!BC105,0)+IF($Q210&lt;&gt;0,'Técnicas de Ki'!BD105,0)+IF($R210&lt;&gt;0,'Técnicas de Ki'!BE105,0)+IF($S210&lt;&gt;0,'Técnicas de Ki'!BF105,0)+IF($T210&lt;&gt;0,'Técnicas de Ki'!BG105,0)),0))</f>
        <v>0</v>
      </c>
      <c r="BR210" s="538">
        <f>IF('Técnicas de Ki'!AR105=0,0,IFERROR(IF('Técnicas de Ki'!BB105&lt;&gt;0,'Técnicas de Ki'!BB105+TS!$O210,0)*$O210/$O210,0))</f>
        <v>0</v>
      </c>
      <c r="BS210" s="538">
        <f>IF('Técnicas de Ki'!AR105=0,0,IFERROR(IF('Técnicas de Ki'!BC105&lt;&gt;0,'Técnicas de Ki'!BC105+TS!$P210,0)*$P210/$P210,0))</f>
        <v>0</v>
      </c>
      <c r="BT210" s="538">
        <f>IF('Técnicas de Ki'!AR105=0,0,IFERROR(IF('Técnicas de Ki'!BD105&lt;&gt;0,'Técnicas de Ki'!BD105+TS!$Q210,0)*$Q210/$Q210,0))</f>
        <v>0</v>
      </c>
      <c r="BU210" s="538">
        <f>IF('Técnicas de Ki'!AR105=0,0,IFERROR(IF('Técnicas de Ki'!BE105&lt;&gt;0,'Técnicas de Ki'!BE105+TS!$R210,0)*$R210/$R210,0))</f>
        <v>0</v>
      </c>
      <c r="BV210" s="538">
        <f>IF('Técnicas de Ki'!AR105=0,0,IFERROR(IF('Técnicas de Ki'!BF105&lt;&gt;0,'Técnicas de Ki'!BF105+TS!$S210,0)*$S210/$S210,0))</f>
        <v>0</v>
      </c>
      <c r="BW210" s="539">
        <f>IF('Técnicas de Ki'!AR105=0,0,IFERROR(IF('Técnicas de Ki'!BG105&lt;&gt;0,'Técnicas de Ki'!BG105+TS!$T210,0)*$T210/$T210,0))</f>
        <v>0</v>
      </c>
      <c r="BY210" s="571" t="str">
        <f>IF('Técnicas de Ki'!AR113&lt;&gt;0,'Técnicas de Ki'!AQ113&amp;" "&amp;'Técnicas de Ki'!AR113,"")</f>
        <v/>
      </c>
      <c r="BZ210" s="302" t="b">
        <f t="shared" si="35"/>
        <v>0</v>
      </c>
      <c r="CA210" s="302" t="str">
        <f t="shared" si="39"/>
        <v/>
      </c>
      <c r="CG210" s="537">
        <f>IF('Técnicas de Ki'!BM105=0,0,IF('Técnicas de Ki'!BT105=TS!CG$119,'Técnicas de Ki'!BN105-(IF($O210&lt;&gt;0,'Técnicas de Ki'!BW105,0)+IF($P210&lt;&gt;0,'Técnicas de Ki'!BX105,0)+IF($Q210&lt;&gt;0,'Técnicas de Ki'!BY105,0)+IF($R210&lt;&gt;0,'Técnicas de Ki'!BZ105,0)+IF($S210&lt;&gt;0,'Técnicas de Ki'!CA105,0)+IF($T210&lt;&gt;0,'Técnicas de Ki'!CB105,0)),0))</f>
        <v>0</v>
      </c>
      <c r="CH210" s="538">
        <f>IF('Técnicas de Ki'!BM105=0,0,IF('Técnicas de Ki'!BT105=TS!CH$119,'Técnicas de Ki'!BN105-(IF($O210&lt;&gt;0,'Técnicas de Ki'!BW105,0)+IF($P210&lt;&gt;0,'Técnicas de Ki'!BX105,0)+IF($Q210&lt;&gt;0,'Técnicas de Ki'!BY105,0)+IF($R210&lt;&gt;0,'Técnicas de Ki'!BZ105,0)+IF($S210&lt;&gt;0,'Técnicas de Ki'!CA105,0)+IF($T210&lt;&gt;0,'Técnicas de Ki'!CB105,0)),0))</f>
        <v>0</v>
      </c>
      <c r="CI210" s="538">
        <f>IF('Técnicas de Ki'!BM105=0,0,IF('Técnicas de Ki'!BT105=TS!CI$119,'Técnicas de Ki'!BN105-(IF($O210&lt;&gt;0,'Técnicas de Ki'!BW105,0)+IF($P210&lt;&gt;0,'Técnicas de Ki'!BX105,0)+IF($Q210&lt;&gt;0,'Técnicas de Ki'!BY105,0)+IF($R210&lt;&gt;0,'Técnicas de Ki'!BZ105,0)+IF($S210&lt;&gt;0,'Técnicas de Ki'!CA105,0)+IF($T210&lt;&gt;0,'Técnicas de Ki'!CB105,0)),0))</f>
        <v>0</v>
      </c>
      <c r="CJ210" s="538">
        <f>IF('Técnicas de Ki'!BM105=0,0,IF('Técnicas de Ki'!BT105=TS!CJ$119,'Técnicas de Ki'!BN105-(IF($O210&lt;&gt;0,'Técnicas de Ki'!BW105,0)+IF($P210&lt;&gt;0,'Técnicas de Ki'!BX105,0)+IF($Q210&lt;&gt;0,'Técnicas de Ki'!BY105,0)+IF($R210&lt;&gt;0,'Técnicas de Ki'!BZ105,0)+IF($S210&lt;&gt;0,'Técnicas de Ki'!CA105,0)+IF($T210&lt;&gt;0,'Técnicas de Ki'!CB105,0)),0))</f>
        <v>0</v>
      </c>
      <c r="CK210" s="538">
        <f>IF('Técnicas de Ki'!BM105=0,0,IF('Técnicas de Ki'!BT105=TS!CK$119,'Técnicas de Ki'!BN105-(IF($O210&lt;&gt;0,'Técnicas de Ki'!BW105,0)+IF($P210&lt;&gt;0,'Técnicas de Ki'!BX105,0)+IF($Q210&lt;&gt;0,'Técnicas de Ki'!BY105,0)+IF($R210&lt;&gt;0,'Técnicas de Ki'!BZ105,0)+IF($S210&lt;&gt;0,'Técnicas de Ki'!CA105,0)+IF($T210&lt;&gt;0,'Técnicas de Ki'!CB105,0)),0))</f>
        <v>0</v>
      </c>
      <c r="CL210" s="539">
        <f>IF('Técnicas de Ki'!BM105=0,0,IF('Técnicas de Ki'!BT105=TS!CL$119,'Técnicas de Ki'!BN105-(IF($O210&lt;&gt;0,'Técnicas de Ki'!BW105,0)+IF($P210&lt;&gt;0,'Técnicas de Ki'!BX105,0)+IF($Q210&lt;&gt;0,'Técnicas de Ki'!BY105,0)+IF($R210&lt;&gt;0,'Técnicas de Ki'!BZ105,0)+IF($S210&lt;&gt;0,'Técnicas de Ki'!CA105,0)+IF($T210&lt;&gt;0,'Técnicas de Ki'!CB105,0)),0))</f>
        <v>0</v>
      </c>
      <c r="CM210" s="538">
        <f>IF('Técnicas de Ki'!BM105=0,0,IFERROR(IF('Técnicas de Ki'!BW105&lt;&gt;0,'Técnicas de Ki'!BW105+TS!$O210,0)*$O210/$O210,0))</f>
        <v>0</v>
      </c>
      <c r="CN210" s="538">
        <f>IF('Técnicas de Ki'!BM105=0,0,IFERROR(IF('Técnicas de Ki'!BX105&lt;&gt;0,'Técnicas de Ki'!BX105+TS!$P210,0)*$P210/$P210,0))</f>
        <v>0</v>
      </c>
      <c r="CO210" s="538">
        <f>IF('Técnicas de Ki'!BM105=0,0,IFERROR(IF('Técnicas de Ki'!BY105&lt;&gt;0,'Técnicas de Ki'!BY105+TS!$Q210,0)*$Q210/$Q210,0))</f>
        <v>0</v>
      </c>
      <c r="CP210" s="538">
        <f>IF('Técnicas de Ki'!BM105=0,0,IFERROR(IF('Técnicas de Ki'!BZ105&lt;&gt;0,'Técnicas de Ki'!BZ105+TS!$R210,0)*$R210/$R210,0))</f>
        <v>0</v>
      </c>
      <c r="CQ210" s="538">
        <f>IF('Técnicas de Ki'!BM105=0,0,IFERROR(IF('Técnicas de Ki'!CA105&lt;&gt;0,'Técnicas de Ki'!CA105+TS!$S210,0)*$S210/$S210,0))</f>
        <v>0</v>
      </c>
      <c r="CR210" s="539">
        <f>IF('Técnicas de Ki'!BM105=0,0,IFERROR(IF('Técnicas de Ki'!CB105&lt;&gt;0,'Técnicas de Ki'!CB105+TS!$T210,0)*$T210/$T210,0))</f>
        <v>0</v>
      </c>
      <c r="CT210" s="571" t="str">
        <f>IF('Técnicas de Ki'!BM113&lt;&gt;0,'Técnicas de Ki'!BL113&amp;" "&amp;'Técnicas de Ki'!BM113,"")</f>
        <v/>
      </c>
      <c r="CU210" s="302" t="b">
        <f t="shared" si="36"/>
        <v>0</v>
      </c>
      <c r="CV210" s="302" t="str">
        <f t="shared" si="40"/>
        <v/>
      </c>
    </row>
    <row r="211" spans="1:101" x14ac:dyDescent="0.2">
      <c r="A211" s="302" t="s">
        <v>6880</v>
      </c>
      <c r="B211" s="301" t="s">
        <v>6807</v>
      </c>
      <c r="C211" s="301" t="str">
        <f t="shared" si="42"/>
        <v>Incrementar turno+75</v>
      </c>
      <c r="D211" s="302">
        <v>4</v>
      </c>
      <c r="E211" s="302">
        <v>6</v>
      </c>
      <c r="F211" s="302">
        <v>15</v>
      </c>
      <c r="G211" s="302">
        <v>2</v>
      </c>
      <c r="H211" s="302">
        <v>4</v>
      </c>
      <c r="I211" s="302">
        <v>7</v>
      </c>
      <c r="J211" s="302">
        <v>1</v>
      </c>
      <c r="N211" t="s">
        <v>6985</v>
      </c>
      <c r="O211" s="302">
        <v>4</v>
      </c>
      <c r="Q211" s="302">
        <v>4</v>
      </c>
      <c r="R211" s="302">
        <v>4</v>
      </c>
      <c r="S211" s="302">
        <v>1</v>
      </c>
      <c r="V211" s="537">
        <f>IF('Técnicas de Ki'!B106=0,0,IF('Técnicas de Ki'!I106=TS!V$119,'Técnicas de Ki'!C106-(IF($O211&lt;&gt;0,'Técnicas de Ki'!L106,0)+IF($P211&lt;&gt;0,'Técnicas de Ki'!M106,0)+IF($Q211&lt;&gt;0,'Técnicas de Ki'!N106,0)+IF($R211&lt;&gt;0,'Técnicas de Ki'!O106,0)+IF($S211&lt;&gt;0,'Técnicas de Ki'!P106,0)+IF($T211&lt;&gt;0,'Técnicas de Ki'!Q106,0)),0))</f>
        <v>0</v>
      </c>
      <c r="W211" s="538">
        <f>IF('Técnicas de Ki'!B106=0,0,IF('Técnicas de Ki'!I106=TS!W$119,'Técnicas de Ki'!C106-(IF($O211&lt;&gt;0,'Técnicas de Ki'!L106,0)+IF($P211&lt;&gt;0,'Técnicas de Ki'!M106,0)+IF($Q211&lt;&gt;0,'Técnicas de Ki'!N106,0)+IF($R211&lt;&gt;0,'Técnicas de Ki'!O106,0)+IF($S211&lt;&gt;0,'Técnicas de Ki'!P106,0)+IF($T211&lt;&gt;0,'Técnicas de Ki'!Q106,0)),0))</f>
        <v>0</v>
      </c>
      <c r="X211" s="538">
        <f>IF('Técnicas de Ki'!B106=0,0,IF('Técnicas de Ki'!I106=TS!X$119,'Técnicas de Ki'!C106-(IF($O211&lt;&gt;0,'Técnicas de Ki'!L106,0)+IF($P211&lt;&gt;0,'Técnicas de Ki'!M106,0)+IF($Q211&lt;&gt;0,'Técnicas de Ki'!N106,0)+IF($R211&lt;&gt;0,'Técnicas de Ki'!O106,0)+IF($S211&lt;&gt;0,'Técnicas de Ki'!P106,0)+IF($T211&lt;&gt;0,'Técnicas de Ki'!Q106,0)),0))</f>
        <v>0</v>
      </c>
      <c r="Y211" s="538">
        <f>IF('Técnicas de Ki'!B106=0,0,IF('Técnicas de Ki'!I106=TS!Y$119,'Técnicas de Ki'!C106-(IF($O211&lt;&gt;0,'Técnicas de Ki'!L106,0)+IF($P211&lt;&gt;0,'Técnicas de Ki'!M106,0)+IF($Q211&lt;&gt;0,'Técnicas de Ki'!N106,0)+IF($R211&lt;&gt;0,'Técnicas de Ki'!O106,0)+IF($S211&lt;&gt;0,'Técnicas de Ki'!P106,0)+IF($T211&lt;&gt;0,'Técnicas de Ki'!Q106,0)),0))</f>
        <v>0</v>
      </c>
      <c r="Z211" s="538">
        <f>IF('Técnicas de Ki'!B106=0,0,IF('Técnicas de Ki'!I106=TS!Z$119,'Técnicas de Ki'!C106-(IF($O211&lt;&gt;0,'Técnicas de Ki'!L106,0)+IF($P211&lt;&gt;0,'Técnicas de Ki'!M106,0)+IF($Q211&lt;&gt;0,'Técnicas de Ki'!N106,0)+IF($R211&lt;&gt;0,'Técnicas de Ki'!O106,0)+IF($S211&lt;&gt;0,'Técnicas de Ki'!P106,0)+IF($T211&lt;&gt;0,'Técnicas de Ki'!Q106,0)),0))</f>
        <v>0</v>
      </c>
      <c r="AA211" s="539">
        <f>IF('Técnicas de Ki'!B106=0,0,IF('Técnicas de Ki'!I106=TS!AA$119,'Técnicas de Ki'!C106-(IF($O211&lt;&gt;0,'Técnicas de Ki'!L106,0)+IF($P211&lt;&gt;0,'Técnicas de Ki'!M106,0)+IF($Q211&lt;&gt;0,'Técnicas de Ki'!N106,0)+IF($R211&lt;&gt;0,'Técnicas de Ki'!O106,0)+IF($S211&lt;&gt;0,'Técnicas de Ki'!P106,0)+IF($T211&lt;&gt;0,'Técnicas de Ki'!Q106,0)),0))</f>
        <v>0</v>
      </c>
      <c r="AB211" s="538">
        <f>IF('Técnicas de Ki'!B106=0,0,IFERROR(IF('Técnicas de Ki'!L106&lt;&gt;0,'Técnicas de Ki'!L106+TS!$O211,0)*$O211/$O211,0))</f>
        <v>0</v>
      </c>
      <c r="AC211" s="538">
        <f>IF('Técnicas de Ki'!B106=0,0,IFERROR(IF('Técnicas de Ki'!M106&lt;&gt;0,'Técnicas de Ki'!M106+TS!$P211,0)*$P211/$P211,0))</f>
        <v>0</v>
      </c>
      <c r="AD211" s="538">
        <f>IF('Técnicas de Ki'!B106=0,0,IFERROR(IF('Técnicas de Ki'!N106&lt;&gt;0,'Técnicas de Ki'!N106+TS!$Q211,0)*$Q211/$Q211,0))</f>
        <v>0</v>
      </c>
      <c r="AE211" s="538">
        <f>IF('Técnicas de Ki'!B106=0,0,IFERROR(IF('Técnicas de Ki'!O106&lt;&gt;0,'Técnicas de Ki'!O106+TS!$R211,0)*$R211/$R211,0))</f>
        <v>0</v>
      </c>
      <c r="AF211" s="538">
        <f>IF('Técnicas de Ki'!B106=0,0,IFERROR(IF('Técnicas de Ki'!P106&lt;&gt;0,'Técnicas de Ki'!P106+TS!$S211,0)*$S211/$S211,0))</f>
        <v>0</v>
      </c>
      <c r="AG211" s="539">
        <f>IF('Técnicas de Ki'!B106=0,0,IFERROR(IF('Técnicas de Ki'!Q106&lt;&gt;0,'Técnicas de Ki'!Q106+TS!$T211,0)*$T211/$T211,0))</f>
        <v>0</v>
      </c>
      <c r="AI211" s="571" t="str">
        <f>IF('Técnicas de Ki'!B114&lt;&gt;0,'Técnicas de Ki'!A114&amp;" "&amp;'Técnicas de Ki'!B114,"")</f>
        <v/>
      </c>
      <c r="AJ211" s="302" t="b">
        <f t="shared" si="41"/>
        <v>0</v>
      </c>
      <c r="AK211" s="302" t="str">
        <f t="shared" si="37"/>
        <v/>
      </c>
      <c r="AQ211" s="537">
        <f>IF('Técnicas de Ki'!W106=0,0,IF('Técnicas de Ki'!AD106=TS!AQ$119,'Técnicas de Ki'!X106-(IF($O211&lt;&gt;0,'Técnicas de Ki'!AG106,0)+IF($P211&lt;&gt;0,'Técnicas de Ki'!AH106,0)+IF($Q211&lt;&gt;0,'Técnicas de Ki'!AI106,0)+IF($R211&lt;&gt;0,'Técnicas de Ki'!AJ106,0)+IF($S211&lt;&gt;0,'Técnicas de Ki'!AK106,0)+IF($T211&lt;&gt;0,'Técnicas de Ki'!AL106,0)),0))</f>
        <v>0</v>
      </c>
      <c r="AR211" s="538">
        <f>IF('Técnicas de Ki'!W106=0,0,IF('Técnicas de Ki'!AD106=TS!AR$119,'Técnicas de Ki'!X106-(IF($O211&lt;&gt;0,'Técnicas de Ki'!AG106,0)+IF($P211&lt;&gt;0,'Técnicas de Ki'!AH106,0)+IF($Q211&lt;&gt;0,'Técnicas de Ki'!AI106,0)+IF($R211&lt;&gt;0,'Técnicas de Ki'!AJ106,0)+IF($S211&lt;&gt;0,'Técnicas de Ki'!AK106,0)+IF($T211&lt;&gt;0,'Técnicas de Ki'!AL106,0)),0))</f>
        <v>0</v>
      </c>
      <c r="AS211" s="538">
        <f>IF('Técnicas de Ki'!W106=0,0,IF('Técnicas de Ki'!AD106=TS!AS$119,'Técnicas de Ki'!X106-(IF($O211&lt;&gt;0,'Técnicas de Ki'!AG106,0)+IF($P211&lt;&gt;0,'Técnicas de Ki'!AH106,0)+IF($Q211&lt;&gt;0,'Técnicas de Ki'!AI106,0)+IF($R211&lt;&gt;0,'Técnicas de Ki'!AJ106,0)+IF($S211&lt;&gt;0,'Técnicas de Ki'!AK106,0)+IF($T211&lt;&gt;0,'Técnicas de Ki'!AL106,0)),0))</f>
        <v>0</v>
      </c>
      <c r="AT211" s="538">
        <f>IF('Técnicas de Ki'!W106=0,0,IF('Técnicas de Ki'!AD106=TS!AT$119,'Técnicas de Ki'!X106-(IF($O211&lt;&gt;0,'Técnicas de Ki'!AG106,0)+IF($P211&lt;&gt;0,'Técnicas de Ki'!AH106,0)+IF($Q211&lt;&gt;0,'Técnicas de Ki'!AI106,0)+IF($R211&lt;&gt;0,'Técnicas de Ki'!AJ106,0)+IF($S211&lt;&gt;0,'Técnicas de Ki'!AK106,0)+IF($T211&lt;&gt;0,'Técnicas de Ki'!AL106,0)),0))</f>
        <v>0</v>
      </c>
      <c r="AU211" s="538">
        <f>IF('Técnicas de Ki'!W106=0,0,IF('Técnicas de Ki'!AD106=TS!AU$119,'Técnicas de Ki'!X106-(IF($O211&lt;&gt;0,'Técnicas de Ki'!AG106,0)+IF($P211&lt;&gt;0,'Técnicas de Ki'!AH106,0)+IF($Q211&lt;&gt;0,'Técnicas de Ki'!AI106,0)+IF($R211&lt;&gt;0,'Técnicas de Ki'!AJ106,0)+IF($S211&lt;&gt;0,'Técnicas de Ki'!AK106,0)+IF($T211&lt;&gt;0,'Técnicas de Ki'!AL106,0)),0))</f>
        <v>0</v>
      </c>
      <c r="AV211" s="539">
        <f>IF('Técnicas de Ki'!W106=0,0,IF('Técnicas de Ki'!AD106=TS!AV$119,'Técnicas de Ki'!X106-(IF($O211&lt;&gt;0,'Técnicas de Ki'!AG106,0)+IF($P211&lt;&gt;0,'Técnicas de Ki'!AH106,0)+IF($Q211&lt;&gt;0,'Técnicas de Ki'!AI106,0)+IF($R211&lt;&gt;0,'Técnicas de Ki'!AJ106,0)+IF($S211&lt;&gt;0,'Técnicas de Ki'!AK106,0)+IF($T211&lt;&gt;0,'Técnicas de Ki'!AL106,0)),0))</f>
        <v>0</v>
      </c>
      <c r="AW211" s="538">
        <f>IF('Técnicas de Ki'!W106=0,0,IFERROR(IF('Técnicas de Ki'!AG106&lt;&gt;0,'Técnicas de Ki'!AG106+TS!$O211,0)*$O211/$O211,0))</f>
        <v>0</v>
      </c>
      <c r="AX211" s="538">
        <f>IF('Técnicas de Ki'!W106=0,0,IFERROR(IF('Técnicas de Ki'!AH106&lt;&gt;0,'Técnicas de Ki'!AH106+TS!$P211,0)*$P211/$P211,0))</f>
        <v>0</v>
      </c>
      <c r="AY211" s="538">
        <f>IF('Técnicas de Ki'!W106=0,0,IFERROR(IF('Técnicas de Ki'!AI106&lt;&gt;0,'Técnicas de Ki'!AI106+TS!$Q211,0)*$Q211/$Q211,0))</f>
        <v>0</v>
      </c>
      <c r="AZ211" s="538">
        <f>IF('Técnicas de Ki'!W106=0,0,IFERROR(IF('Técnicas de Ki'!AJ106&lt;&gt;0,'Técnicas de Ki'!AJ106+TS!$R211,0)*$R211/$R211,0))</f>
        <v>0</v>
      </c>
      <c r="BA211" s="538">
        <f>IF('Técnicas de Ki'!W106=0,0,IFERROR(IF('Técnicas de Ki'!AK106&lt;&gt;0,'Técnicas de Ki'!AK106+TS!$S211,0)*$S211/$S211,0))</f>
        <v>0</v>
      </c>
      <c r="BB211" s="539">
        <f>IF('Técnicas de Ki'!W106=0,0,IFERROR(IF('Técnicas de Ki'!AL106&lt;&gt;0,'Técnicas de Ki'!AL106+TS!$T211,0)*$T211/$T211,0))</f>
        <v>0</v>
      </c>
      <c r="BD211" s="571" t="str">
        <f>IF('Técnicas de Ki'!W114&lt;&gt;0,'Técnicas de Ki'!V114&amp;" "&amp;'Técnicas de Ki'!W114,"")</f>
        <v/>
      </c>
      <c r="BE211" s="302" t="b">
        <f t="shared" si="34"/>
        <v>0</v>
      </c>
      <c r="BF211" s="302" t="str">
        <f t="shared" si="38"/>
        <v/>
      </c>
      <c r="BL211" s="537">
        <f>IF('Técnicas de Ki'!AR106=0,0,IF('Técnicas de Ki'!AY106=TS!BL$119,'Técnicas de Ki'!AS106-(IF($O211&lt;&gt;0,'Técnicas de Ki'!BB106,0)+IF($P211&lt;&gt;0,'Técnicas de Ki'!BC106,0)+IF($Q211&lt;&gt;0,'Técnicas de Ki'!BD106,0)+IF($R211&lt;&gt;0,'Técnicas de Ki'!BE106,0)+IF($S211&lt;&gt;0,'Técnicas de Ki'!BF106,0)+IF($T211&lt;&gt;0,'Técnicas de Ki'!BG106,0)),0))</f>
        <v>0</v>
      </c>
      <c r="BM211" s="538">
        <f>IF('Técnicas de Ki'!AR106=0,0,IF('Técnicas de Ki'!AY106=TS!BM$119,'Técnicas de Ki'!AS106-(IF($O211&lt;&gt;0,'Técnicas de Ki'!BB106,0)+IF($P211&lt;&gt;0,'Técnicas de Ki'!BC106,0)+IF($Q211&lt;&gt;0,'Técnicas de Ki'!BD106,0)+IF($R211&lt;&gt;0,'Técnicas de Ki'!BE106,0)+IF($S211&lt;&gt;0,'Técnicas de Ki'!BF106,0)+IF($T211&lt;&gt;0,'Técnicas de Ki'!BG106,0)),0))</f>
        <v>0</v>
      </c>
      <c r="BN211" s="538">
        <f>IF('Técnicas de Ki'!AR106=0,0,IF('Técnicas de Ki'!AY106=TS!BN$119,'Técnicas de Ki'!AS106-(IF($O211&lt;&gt;0,'Técnicas de Ki'!BB106,0)+IF($P211&lt;&gt;0,'Técnicas de Ki'!BC106,0)+IF($Q211&lt;&gt;0,'Técnicas de Ki'!BD106,0)+IF($R211&lt;&gt;0,'Técnicas de Ki'!BE106,0)+IF($S211&lt;&gt;0,'Técnicas de Ki'!BF106,0)+IF($T211&lt;&gt;0,'Técnicas de Ki'!BG106,0)),0))</f>
        <v>0</v>
      </c>
      <c r="BO211" s="538">
        <f>IF('Técnicas de Ki'!AR106=0,0,IF('Técnicas de Ki'!AY106=TS!BO$119,'Técnicas de Ki'!AS106-(IF($O211&lt;&gt;0,'Técnicas de Ki'!BB106,0)+IF($P211&lt;&gt;0,'Técnicas de Ki'!BC106,0)+IF($Q211&lt;&gt;0,'Técnicas de Ki'!BD106,0)+IF($R211&lt;&gt;0,'Técnicas de Ki'!BE106,0)+IF($S211&lt;&gt;0,'Técnicas de Ki'!BF106,0)+IF($T211&lt;&gt;0,'Técnicas de Ki'!BG106,0)),0))</f>
        <v>0</v>
      </c>
      <c r="BP211" s="538">
        <f>IF('Técnicas de Ki'!AR106=0,0,IF('Técnicas de Ki'!AY106=TS!BP$119,'Técnicas de Ki'!AS106-(IF($O211&lt;&gt;0,'Técnicas de Ki'!BB106,0)+IF($P211&lt;&gt;0,'Técnicas de Ki'!BC106,0)+IF($Q211&lt;&gt;0,'Técnicas de Ki'!BD106,0)+IF($R211&lt;&gt;0,'Técnicas de Ki'!BE106,0)+IF($S211&lt;&gt;0,'Técnicas de Ki'!BF106,0)+IF($T211&lt;&gt;0,'Técnicas de Ki'!BG106,0)),0))</f>
        <v>0</v>
      </c>
      <c r="BQ211" s="539">
        <f>IF('Técnicas de Ki'!AR106=0,0,IF('Técnicas de Ki'!AY106=TS!BQ$119,'Técnicas de Ki'!AS106-(IF($O211&lt;&gt;0,'Técnicas de Ki'!BB106,0)+IF($P211&lt;&gt;0,'Técnicas de Ki'!BC106,0)+IF($Q211&lt;&gt;0,'Técnicas de Ki'!BD106,0)+IF($R211&lt;&gt;0,'Técnicas de Ki'!BE106,0)+IF($S211&lt;&gt;0,'Técnicas de Ki'!BF106,0)+IF($T211&lt;&gt;0,'Técnicas de Ki'!BG106,0)),0))</f>
        <v>0</v>
      </c>
      <c r="BR211" s="538">
        <f>IF('Técnicas de Ki'!AR106=0,0,IFERROR(IF('Técnicas de Ki'!BB106&lt;&gt;0,'Técnicas de Ki'!BB106+TS!$O211,0)*$O211/$O211,0))</f>
        <v>0</v>
      </c>
      <c r="BS211" s="538">
        <f>IF('Técnicas de Ki'!AR106=0,0,IFERROR(IF('Técnicas de Ki'!BC106&lt;&gt;0,'Técnicas de Ki'!BC106+TS!$P211,0)*$P211/$P211,0))</f>
        <v>0</v>
      </c>
      <c r="BT211" s="538">
        <f>IF('Técnicas de Ki'!AR106=0,0,IFERROR(IF('Técnicas de Ki'!BD106&lt;&gt;0,'Técnicas de Ki'!BD106+TS!$Q211,0)*$Q211/$Q211,0))</f>
        <v>0</v>
      </c>
      <c r="BU211" s="538">
        <f>IF('Técnicas de Ki'!AR106=0,0,IFERROR(IF('Técnicas de Ki'!BE106&lt;&gt;0,'Técnicas de Ki'!BE106+TS!$R211,0)*$R211/$R211,0))</f>
        <v>0</v>
      </c>
      <c r="BV211" s="538">
        <f>IF('Técnicas de Ki'!AR106=0,0,IFERROR(IF('Técnicas de Ki'!BF106&lt;&gt;0,'Técnicas de Ki'!BF106+TS!$S211,0)*$S211/$S211,0))</f>
        <v>0</v>
      </c>
      <c r="BW211" s="539">
        <f>IF('Técnicas de Ki'!AR106=0,0,IFERROR(IF('Técnicas de Ki'!BG106&lt;&gt;0,'Técnicas de Ki'!BG106+TS!$T211,0)*$T211/$T211,0))</f>
        <v>0</v>
      </c>
      <c r="BY211" s="571" t="str">
        <f>IF('Técnicas de Ki'!AR114&lt;&gt;0,'Técnicas de Ki'!AQ114&amp;" "&amp;'Técnicas de Ki'!AR114,"")</f>
        <v/>
      </c>
      <c r="BZ211" s="302" t="b">
        <f t="shared" si="35"/>
        <v>0</v>
      </c>
      <c r="CA211" s="302" t="str">
        <f t="shared" si="39"/>
        <v/>
      </c>
      <c r="CG211" s="537">
        <f>IF('Técnicas de Ki'!BM106=0,0,IF('Técnicas de Ki'!BT106=TS!CG$119,'Técnicas de Ki'!BN106-(IF($O211&lt;&gt;0,'Técnicas de Ki'!BW106,0)+IF($P211&lt;&gt;0,'Técnicas de Ki'!BX106,0)+IF($Q211&lt;&gt;0,'Técnicas de Ki'!BY106,0)+IF($R211&lt;&gt;0,'Técnicas de Ki'!BZ106,0)+IF($S211&lt;&gt;0,'Técnicas de Ki'!CA106,0)+IF($T211&lt;&gt;0,'Técnicas de Ki'!CB106,0)),0))</f>
        <v>0</v>
      </c>
      <c r="CH211" s="538">
        <f>IF('Técnicas de Ki'!BM106=0,0,IF('Técnicas de Ki'!BT106=TS!CH$119,'Técnicas de Ki'!BN106-(IF($O211&lt;&gt;0,'Técnicas de Ki'!BW106,0)+IF($P211&lt;&gt;0,'Técnicas de Ki'!BX106,0)+IF($Q211&lt;&gt;0,'Técnicas de Ki'!BY106,0)+IF($R211&lt;&gt;0,'Técnicas de Ki'!BZ106,0)+IF($S211&lt;&gt;0,'Técnicas de Ki'!CA106,0)+IF($T211&lt;&gt;0,'Técnicas de Ki'!CB106,0)),0))</f>
        <v>0</v>
      </c>
      <c r="CI211" s="538">
        <f>IF('Técnicas de Ki'!BM106=0,0,IF('Técnicas de Ki'!BT106=TS!CI$119,'Técnicas de Ki'!BN106-(IF($O211&lt;&gt;0,'Técnicas de Ki'!BW106,0)+IF($P211&lt;&gt;0,'Técnicas de Ki'!BX106,0)+IF($Q211&lt;&gt;0,'Técnicas de Ki'!BY106,0)+IF($R211&lt;&gt;0,'Técnicas de Ki'!BZ106,0)+IF($S211&lt;&gt;0,'Técnicas de Ki'!CA106,0)+IF($T211&lt;&gt;0,'Técnicas de Ki'!CB106,0)),0))</f>
        <v>0</v>
      </c>
      <c r="CJ211" s="538">
        <f>IF('Técnicas de Ki'!BM106=0,0,IF('Técnicas de Ki'!BT106=TS!CJ$119,'Técnicas de Ki'!BN106-(IF($O211&lt;&gt;0,'Técnicas de Ki'!BW106,0)+IF($P211&lt;&gt;0,'Técnicas de Ki'!BX106,0)+IF($Q211&lt;&gt;0,'Técnicas de Ki'!BY106,0)+IF($R211&lt;&gt;0,'Técnicas de Ki'!BZ106,0)+IF($S211&lt;&gt;0,'Técnicas de Ki'!CA106,0)+IF($T211&lt;&gt;0,'Técnicas de Ki'!CB106,0)),0))</f>
        <v>0</v>
      </c>
      <c r="CK211" s="538">
        <f>IF('Técnicas de Ki'!BM106=0,0,IF('Técnicas de Ki'!BT106=TS!CK$119,'Técnicas de Ki'!BN106-(IF($O211&lt;&gt;0,'Técnicas de Ki'!BW106,0)+IF($P211&lt;&gt;0,'Técnicas de Ki'!BX106,0)+IF($Q211&lt;&gt;0,'Técnicas de Ki'!BY106,0)+IF($R211&lt;&gt;0,'Técnicas de Ki'!BZ106,0)+IF($S211&lt;&gt;0,'Técnicas de Ki'!CA106,0)+IF($T211&lt;&gt;0,'Técnicas de Ki'!CB106,0)),0))</f>
        <v>0</v>
      </c>
      <c r="CL211" s="539">
        <f>IF('Técnicas de Ki'!BM106=0,0,IF('Técnicas de Ki'!BT106=TS!CL$119,'Técnicas de Ki'!BN106-(IF($O211&lt;&gt;0,'Técnicas de Ki'!BW106,0)+IF($P211&lt;&gt;0,'Técnicas de Ki'!BX106,0)+IF($Q211&lt;&gt;0,'Técnicas de Ki'!BY106,0)+IF($R211&lt;&gt;0,'Técnicas de Ki'!BZ106,0)+IF($S211&lt;&gt;0,'Técnicas de Ki'!CA106,0)+IF($T211&lt;&gt;0,'Técnicas de Ki'!CB106,0)),0))</f>
        <v>0</v>
      </c>
      <c r="CM211" s="538">
        <f>IF('Técnicas de Ki'!BM106=0,0,IFERROR(IF('Técnicas de Ki'!BW106&lt;&gt;0,'Técnicas de Ki'!BW106+TS!$O211,0)*$O211/$O211,0))</f>
        <v>0</v>
      </c>
      <c r="CN211" s="538">
        <f>IF('Técnicas de Ki'!BM106=0,0,IFERROR(IF('Técnicas de Ki'!BX106&lt;&gt;0,'Técnicas de Ki'!BX106+TS!$P211,0)*$P211/$P211,0))</f>
        <v>0</v>
      </c>
      <c r="CO211" s="538">
        <f>IF('Técnicas de Ki'!BM106=0,0,IFERROR(IF('Técnicas de Ki'!BY106&lt;&gt;0,'Técnicas de Ki'!BY106+TS!$Q211,0)*$Q211/$Q211,0))</f>
        <v>0</v>
      </c>
      <c r="CP211" s="538">
        <f>IF('Técnicas de Ki'!BM106=0,0,IFERROR(IF('Técnicas de Ki'!BZ106&lt;&gt;0,'Técnicas de Ki'!BZ106+TS!$R211,0)*$R211/$R211,0))</f>
        <v>0</v>
      </c>
      <c r="CQ211" s="538">
        <f>IF('Técnicas de Ki'!BM106=0,0,IFERROR(IF('Técnicas de Ki'!CA106&lt;&gt;0,'Técnicas de Ki'!CA106+TS!$S211,0)*$S211/$S211,0))</f>
        <v>0</v>
      </c>
      <c r="CR211" s="539">
        <f>IF('Técnicas de Ki'!BM106=0,0,IFERROR(IF('Técnicas de Ki'!CB106&lt;&gt;0,'Técnicas de Ki'!CB106+TS!$T211,0)*$T211/$T211,0))</f>
        <v>0</v>
      </c>
      <c r="CT211" s="571" t="str">
        <f>IF('Técnicas de Ki'!BM114&lt;&gt;0,'Técnicas de Ki'!BL114&amp;" "&amp;'Técnicas de Ki'!BM114,"")</f>
        <v/>
      </c>
      <c r="CU211" s="302" t="b">
        <f t="shared" si="36"/>
        <v>0</v>
      </c>
      <c r="CV211" s="302" t="str">
        <f t="shared" si="40"/>
        <v/>
      </c>
    </row>
    <row r="212" spans="1:101" x14ac:dyDescent="0.2">
      <c r="A212" s="302" t="s">
        <v>6880</v>
      </c>
      <c r="B212" s="301" t="s">
        <v>6809</v>
      </c>
      <c r="C212" s="301" t="str">
        <f t="shared" si="42"/>
        <v>Incrementar turno+100</v>
      </c>
      <c r="D212" s="302">
        <v>6</v>
      </c>
      <c r="E212" s="302">
        <v>9</v>
      </c>
      <c r="F212" s="302">
        <v>20</v>
      </c>
      <c r="G212" s="302">
        <v>3</v>
      </c>
      <c r="H212" s="302">
        <v>6</v>
      </c>
      <c r="I212" s="302">
        <v>11</v>
      </c>
      <c r="J212" s="302">
        <v>1</v>
      </c>
      <c r="N212" t="s">
        <v>6986</v>
      </c>
      <c r="Q212" s="302">
        <v>3</v>
      </c>
      <c r="R212" s="302">
        <v>2</v>
      </c>
      <c r="S212" s="302">
        <v>1</v>
      </c>
      <c r="T212" s="302">
        <v>1</v>
      </c>
      <c r="V212" s="537">
        <f>IF('Técnicas de Ki'!B107=0,0,IF('Técnicas de Ki'!I107=TS!V$119,'Técnicas de Ki'!C107-(IF($O212&lt;&gt;0,'Técnicas de Ki'!L107,0)+IF($P212&lt;&gt;0,'Técnicas de Ki'!M107,0)+IF($Q212&lt;&gt;0,'Técnicas de Ki'!N107,0)+IF($R212&lt;&gt;0,'Técnicas de Ki'!O107,0)+IF($S212&lt;&gt;0,'Técnicas de Ki'!P107,0)+IF($T212&lt;&gt;0,'Técnicas de Ki'!Q107,0)),0))</f>
        <v>0</v>
      </c>
      <c r="W212" s="538">
        <f>IF('Técnicas de Ki'!B107=0,0,IF('Técnicas de Ki'!I107=TS!W$119,'Técnicas de Ki'!C107-(IF($O212&lt;&gt;0,'Técnicas de Ki'!L107,0)+IF($P212&lt;&gt;0,'Técnicas de Ki'!M107,0)+IF($Q212&lt;&gt;0,'Técnicas de Ki'!N107,0)+IF($R212&lt;&gt;0,'Técnicas de Ki'!O107,0)+IF($S212&lt;&gt;0,'Técnicas de Ki'!P107,0)+IF($T212&lt;&gt;0,'Técnicas de Ki'!Q107,0)),0))</f>
        <v>0</v>
      </c>
      <c r="X212" s="538">
        <f>IF('Técnicas de Ki'!B107=0,0,IF('Técnicas de Ki'!I107=TS!X$119,'Técnicas de Ki'!C107-(IF($O212&lt;&gt;0,'Técnicas de Ki'!L107,0)+IF($P212&lt;&gt;0,'Técnicas de Ki'!M107,0)+IF($Q212&lt;&gt;0,'Técnicas de Ki'!N107,0)+IF($R212&lt;&gt;0,'Técnicas de Ki'!O107,0)+IF($S212&lt;&gt;0,'Técnicas de Ki'!P107,0)+IF($T212&lt;&gt;0,'Técnicas de Ki'!Q107,0)),0))</f>
        <v>0</v>
      </c>
      <c r="Y212" s="538">
        <f>IF('Técnicas de Ki'!B107=0,0,IF('Técnicas de Ki'!I107=TS!Y$119,'Técnicas de Ki'!C107-(IF($O212&lt;&gt;0,'Técnicas de Ki'!L107,0)+IF($P212&lt;&gt;0,'Técnicas de Ki'!M107,0)+IF($Q212&lt;&gt;0,'Técnicas de Ki'!N107,0)+IF($R212&lt;&gt;0,'Técnicas de Ki'!O107,0)+IF($S212&lt;&gt;0,'Técnicas de Ki'!P107,0)+IF($T212&lt;&gt;0,'Técnicas de Ki'!Q107,0)),0))</f>
        <v>0</v>
      </c>
      <c r="Z212" s="538">
        <f>IF('Técnicas de Ki'!B107=0,0,IF('Técnicas de Ki'!I107=TS!Z$119,'Técnicas de Ki'!C107-(IF($O212&lt;&gt;0,'Técnicas de Ki'!L107,0)+IF($P212&lt;&gt;0,'Técnicas de Ki'!M107,0)+IF($Q212&lt;&gt;0,'Técnicas de Ki'!N107,0)+IF($R212&lt;&gt;0,'Técnicas de Ki'!O107,0)+IF($S212&lt;&gt;0,'Técnicas de Ki'!P107,0)+IF($T212&lt;&gt;0,'Técnicas de Ki'!Q107,0)),0))</f>
        <v>0</v>
      </c>
      <c r="AA212" s="539">
        <f>IF('Técnicas de Ki'!B107=0,0,IF('Técnicas de Ki'!I107=TS!AA$119,'Técnicas de Ki'!C107-(IF($O212&lt;&gt;0,'Técnicas de Ki'!L107,0)+IF($P212&lt;&gt;0,'Técnicas de Ki'!M107,0)+IF($Q212&lt;&gt;0,'Técnicas de Ki'!N107,0)+IF($R212&lt;&gt;0,'Técnicas de Ki'!O107,0)+IF($S212&lt;&gt;0,'Técnicas de Ki'!P107,0)+IF($T212&lt;&gt;0,'Técnicas de Ki'!Q107,0)),0))</f>
        <v>0</v>
      </c>
      <c r="AB212" s="538">
        <f>IF('Técnicas de Ki'!B107=0,0,IFERROR(IF('Técnicas de Ki'!L107&lt;&gt;0,'Técnicas de Ki'!L107+TS!$O212,0)*$O212/$O212,0))</f>
        <v>0</v>
      </c>
      <c r="AC212" s="538">
        <f>IF('Técnicas de Ki'!B107=0,0,IFERROR(IF('Técnicas de Ki'!M107&lt;&gt;0,'Técnicas de Ki'!M107+TS!$P212,0)*$P212/$P212,0))</f>
        <v>0</v>
      </c>
      <c r="AD212" s="538">
        <f>IF('Técnicas de Ki'!B107=0,0,IFERROR(IF('Técnicas de Ki'!N107&lt;&gt;0,'Técnicas de Ki'!N107+TS!$Q212,0)*$Q212/$Q212,0))</f>
        <v>0</v>
      </c>
      <c r="AE212" s="538">
        <f>IF('Técnicas de Ki'!B107=0,0,IFERROR(IF('Técnicas de Ki'!O107&lt;&gt;0,'Técnicas de Ki'!O107+TS!$R212,0)*$R212/$R212,0))</f>
        <v>0</v>
      </c>
      <c r="AF212" s="538">
        <f>IF('Técnicas de Ki'!B107=0,0,IFERROR(IF('Técnicas de Ki'!P107&lt;&gt;0,'Técnicas de Ki'!P107+TS!$S212,0)*$S212/$S212,0))</f>
        <v>0</v>
      </c>
      <c r="AG212" s="539">
        <f>IF('Técnicas de Ki'!B107=0,0,IFERROR(IF('Técnicas de Ki'!Q107&lt;&gt;0,'Técnicas de Ki'!Q107+TS!$T212,0)*$T212/$T212,0))</f>
        <v>0</v>
      </c>
      <c r="AI212" s="571" t="str">
        <f>IF('Técnicas de Ki'!B115&lt;&gt;0,'Técnicas de Ki'!A115&amp;" "&amp;'Técnicas de Ki'!B115,"")</f>
        <v/>
      </c>
      <c r="AJ212" s="302" t="b">
        <f t="shared" si="41"/>
        <v>0</v>
      </c>
      <c r="AK212" s="302" t="str">
        <f t="shared" si="37"/>
        <v/>
      </c>
      <c r="AQ212" s="537">
        <f>IF('Técnicas de Ki'!W107=0,0,IF('Técnicas de Ki'!AD107=TS!AQ$119,'Técnicas de Ki'!X107-(IF($O212&lt;&gt;0,'Técnicas de Ki'!AG107,0)+IF($P212&lt;&gt;0,'Técnicas de Ki'!AH107,0)+IF($Q212&lt;&gt;0,'Técnicas de Ki'!AI107,0)+IF($R212&lt;&gt;0,'Técnicas de Ki'!AJ107,0)+IF($S212&lt;&gt;0,'Técnicas de Ki'!AK107,0)+IF($T212&lt;&gt;0,'Técnicas de Ki'!AL107,0)),0))</f>
        <v>0</v>
      </c>
      <c r="AR212" s="538">
        <f>IF('Técnicas de Ki'!W107=0,0,IF('Técnicas de Ki'!AD107=TS!AR$119,'Técnicas de Ki'!X107-(IF($O212&lt;&gt;0,'Técnicas de Ki'!AG107,0)+IF($P212&lt;&gt;0,'Técnicas de Ki'!AH107,0)+IF($Q212&lt;&gt;0,'Técnicas de Ki'!AI107,0)+IF($R212&lt;&gt;0,'Técnicas de Ki'!AJ107,0)+IF($S212&lt;&gt;0,'Técnicas de Ki'!AK107,0)+IF($T212&lt;&gt;0,'Técnicas de Ki'!AL107,0)),0))</f>
        <v>0</v>
      </c>
      <c r="AS212" s="538">
        <f>IF('Técnicas de Ki'!W107=0,0,IF('Técnicas de Ki'!AD107=TS!AS$119,'Técnicas de Ki'!X107-(IF($O212&lt;&gt;0,'Técnicas de Ki'!AG107,0)+IF($P212&lt;&gt;0,'Técnicas de Ki'!AH107,0)+IF($Q212&lt;&gt;0,'Técnicas de Ki'!AI107,0)+IF($R212&lt;&gt;0,'Técnicas de Ki'!AJ107,0)+IF($S212&lt;&gt;0,'Técnicas de Ki'!AK107,0)+IF($T212&lt;&gt;0,'Técnicas de Ki'!AL107,0)),0))</f>
        <v>0</v>
      </c>
      <c r="AT212" s="538">
        <f>IF('Técnicas de Ki'!W107=0,0,IF('Técnicas de Ki'!AD107=TS!AT$119,'Técnicas de Ki'!X107-(IF($O212&lt;&gt;0,'Técnicas de Ki'!AG107,0)+IF($P212&lt;&gt;0,'Técnicas de Ki'!AH107,0)+IF($Q212&lt;&gt;0,'Técnicas de Ki'!AI107,0)+IF($R212&lt;&gt;0,'Técnicas de Ki'!AJ107,0)+IF($S212&lt;&gt;0,'Técnicas de Ki'!AK107,0)+IF($T212&lt;&gt;0,'Técnicas de Ki'!AL107,0)),0))</f>
        <v>0</v>
      </c>
      <c r="AU212" s="538">
        <f>IF('Técnicas de Ki'!W107=0,0,IF('Técnicas de Ki'!AD107=TS!AU$119,'Técnicas de Ki'!X107-(IF($O212&lt;&gt;0,'Técnicas de Ki'!AG107,0)+IF($P212&lt;&gt;0,'Técnicas de Ki'!AH107,0)+IF($Q212&lt;&gt;0,'Técnicas de Ki'!AI107,0)+IF($R212&lt;&gt;0,'Técnicas de Ki'!AJ107,0)+IF($S212&lt;&gt;0,'Técnicas de Ki'!AK107,0)+IF($T212&lt;&gt;0,'Técnicas de Ki'!AL107,0)),0))</f>
        <v>0</v>
      </c>
      <c r="AV212" s="539">
        <f>IF('Técnicas de Ki'!W107=0,0,IF('Técnicas de Ki'!AD107=TS!AV$119,'Técnicas de Ki'!X107-(IF($O212&lt;&gt;0,'Técnicas de Ki'!AG107,0)+IF($P212&lt;&gt;0,'Técnicas de Ki'!AH107,0)+IF($Q212&lt;&gt;0,'Técnicas de Ki'!AI107,0)+IF($R212&lt;&gt;0,'Técnicas de Ki'!AJ107,0)+IF($S212&lt;&gt;0,'Técnicas de Ki'!AK107,0)+IF($T212&lt;&gt;0,'Técnicas de Ki'!AL107,0)),0))</f>
        <v>0</v>
      </c>
      <c r="AW212" s="538">
        <f>IF('Técnicas de Ki'!W107=0,0,IFERROR(IF('Técnicas de Ki'!AG107&lt;&gt;0,'Técnicas de Ki'!AG107+TS!$O212,0)*$O212/$O212,0))</f>
        <v>0</v>
      </c>
      <c r="AX212" s="538">
        <f>IF('Técnicas de Ki'!W107=0,0,IFERROR(IF('Técnicas de Ki'!AH107&lt;&gt;0,'Técnicas de Ki'!AH107+TS!$P212,0)*$P212/$P212,0))</f>
        <v>0</v>
      </c>
      <c r="AY212" s="538">
        <f>IF('Técnicas de Ki'!W107=0,0,IFERROR(IF('Técnicas de Ki'!AI107&lt;&gt;0,'Técnicas de Ki'!AI107+TS!$Q212,0)*$Q212/$Q212,0))</f>
        <v>0</v>
      </c>
      <c r="AZ212" s="538">
        <f>IF('Técnicas de Ki'!W107=0,0,IFERROR(IF('Técnicas de Ki'!AJ107&lt;&gt;0,'Técnicas de Ki'!AJ107+TS!$R212,0)*$R212/$R212,0))</f>
        <v>0</v>
      </c>
      <c r="BA212" s="538">
        <f>IF('Técnicas de Ki'!W107=0,0,IFERROR(IF('Técnicas de Ki'!AK107&lt;&gt;0,'Técnicas de Ki'!AK107+TS!$S212,0)*$S212/$S212,0))</f>
        <v>0</v>
      </c>
      <c r="BB212" s="539">
        <f>IF('Técnicas de Ki'!W107=0,0,IFERROR(IF('Técnicas de Ki'!AL107&lt;&gt;0,'Técnicas de Ki'!AL107+TS!$T212,0)*$T212/$T212,0))</f>
        <v>0</v>
      </c>
      <c r="BD212" s="571" t="str">
        <f>IF('Técnicas de Ki'!W115&lt;&gt;0,'Técnicas de Ki'!V115&amp;" "&amp;'Técnicas de Ki'!W115,"")</f>
        <v/>
      </c>
      <c r="BE212" s="302" t="b">
        <f t="shared" si="34"/>
        <v>0</v>
      </c>
      <c r="BF212" s="302" t="str">
        <f t="shared" si="38"/>
        <v/>
      </c>
      <c r="BL212" s="537">
        <f>IF('Técnicas de Ki'!AR107=0,0,IF('Técnicas de Ki'!AY107=TS!BL$119,'Técnicas de Ki'!AS107-(IF($O212&lt;&gt;0,'Técnicas de Ki'!BB107,0)+IF($P212&lt;&gt;0,'Técnicas de Ki'!BC107,0)+IF($Q212&lt;&gt;0,'Técnicas de Ki'!BD107,0)+IF($R212&lt;&gt;0,'Técnicas de Ki'!BE107,0)+IF($S212&lt;&gt;0,'Técnicas de Ki'!BF107,0)+IF($T212&lt;&gt;0,'Técnicas de Ki'!BG107,0)),0))</f>
        <v>0</v>
      </c>
      <c r="BM212" s="538">
        <f>IF('Técnicas de Ki'!AR107=0,0,IF('Técnicas de Ki'!AY107=TS!BM$119,'Técnicas de Ki'!AS107-(IF($O212&lt;&gt;0,'Técnicas de Ki'!BB107,0)+IF($P212&lt;&gt;0,'Técnicas de Ki'!BC107,0)+IF($Q212&lt;&gt;0,'Técnicas de Ki'!BD107,0)+IF($R212&lt;&gt;0,'Técnicas de Ki'!BE107,0)+IF($S212&lt;&gt;0,'Técnicas de Ki'!BF107,0)+IF($T212&lt;&gt;0,'Técnicas de Ki'!BG107,0)),0))</f>
        <v>0</v>
      </c>
      <c r="BN212" s="538">
        <f>IF('Técnicas de Ki'!AR107=0,0,IF('Técnicas de Ki'!AY107=TS!BN$119,'Técnicas de Ki'!AS107-(IF($O212&lt;&gt;0,'Técnicas de Ki'!BB107,0)+IF($P212&lt;&gt;0,'Técnicas de Ki'!BC107,0)+IF($Q212&lt;&gt;0,'Técnicas de Ki'!BD107,0)+IF($R212&lt;&gt;0,'Técnicas de Ki'!BE107,0)+IF($S212&lt;&gt;0,'Técnicas de Ki'!BF107,0)+IF($T212&lt;&gt;0,'Técnicas de Ki'!BG107,0)),0))</f>
        <v>0</v>
      </c>
      <c r="BO212" s="538">
        <f>IF('Técnicas de Ki'!AR107=0,0,IF('Técnicas de Ki'!AY107=TS!BO$119,'Técnicas de Ki'!AS107-(IF($O212&lt;&gt;0,'Técnicas de Ki'!BB107,0)+IF($P212&lt;&gt;0,'Técnicas de Ki'!BC107,0)+IF($Q212&lt;&gt;0,'Técnicas de Ki'!BD107,0)+IF($R212&lt;&gt;0,'Técnicas de Ki'!BE107,0)+IF($S212&lt;&gt;0,'Técnicas de Ki'!BF107,0)+IF($T212&lt;&gt;0,'Técnicas de Ki'!BG107,0)),0))</f>
        <v>0</v>
      </c>
      <c r="BP212" s="538">
        <f>IF('Técnicas de Ki'!AR107=0,0,IF('Técnicas de Ki'!AY107=TS!BP$119,'Técnicas de Ki'!AS107-(IF($O212&lt;&gt;0,'Técnicas de Ki'!BB107,0)+IF($P212&lt;&gt;0,'Técnicas de Ki'!BC107,0)+IF($Q212&lt;&gt;0,'Técnicas de Ki'!BD107,0)+IF($R212&lt;&gt;0,'Técnicas de Ki'!BE107,0)+IF($S212&lt;&gt;0,'Técnicas de Ki'!BF107,0)+IF($T212&lt;&gt;0,'Técnicas de Ki'!BG107,0)),0))</f>
        <v>0</v>
      </c>
      <c r="BQ212" s="539">
        <f>IF('Técnicas de Ki'!AR107=0,0,IF('Técnicas de Ki'!AY107=TS!BQ$119,'Técnicas de Ki'!AS107-(IF($O212&lt;&gt;0,'Técnicas de Ki'!BB107,0)+IF($P212&lt;&gt;0,'Técnicas de Ki'!BC107,0)+IF($Q212&lt;&gt;0,'Técnicas de Ki'!BD107,0)+IF($R212&lt;&gt;0,'Técnicas de Ki'!BE107,0)+IF($S212&lt;&gt;0,'Técnicas de Ki'!BF107,0)+IF($T212&lt;&gt;0,'Técnicas de Ki'!BG107,0)),0))</f>
        <v>0</v>
      </c>
      <c r="BR212" s="538">
        <f>IF('Técnicas de Ki'!AR107=0,0,IFERROR(IF('Técnicas de Ki'!BB107&lt;&gt;0,'Técnicas de Ki'!BB107+TS!$O212,0)*$O212/$O212,0))</f>
        <v>0</v>
      </c>
      <c r="BS212" s="538">
        <f>IF('Técnicas de Ki'!AR107=0,0,IFERROR(IF('Técnicas de Ki'!BC107&lt;&gt;0,'Técnicas de Ki'!BC107+TS!$P212,0)*$P212/$P212,0))</f>
        <v>0</v>
      </c>
      <c r="BT212" s="538">
        <f>IF('Técnicas de Ki'!AR107=0,0,IFERROR(IF('Técnicas de Ki'!BD107&lt;&gt;0,'Técnicas de Ki'!BD107+TS!$Q212,0)*$Q212/$Q212,0))</f>
        <v>0</v>
      </c>
      <c r="BU212" s="538">
        <f>IF('Técnicas de Ki'!AR107=0,0,IFERROR(IF('Técnicas de Ki'!BE107&lt;&gt;0,'Técnicas de Ki'!BE107+TS!$R212,0)*$R212/$R212,0))</f>
        <v>0</v>
      </c>
      <c r="BV212" s="538">
        <f>IF('Técnicas de Ki'!AR107=0,0,IFERROR(IF('Técnicas de Ki'!BF107&lt;&gt;0,'Técnicas de Ki'!BF107+TS!$S212,0)*$S212/$S212,0))</f>
        <v>0</v>
      </c>
      <c r="BW212" s="539">
        <f>IF('Técnicas de Ki'!AR107=0,0,IFERROR(IF('Técnicas de Ki'!BG107&lt;&gt;0,'Técnicas de Ki'!BG107+TS!$T212,0)*$T212/$T212,0))</f>
        <v>0</v>
      </c>
      <c r="BY212" s="571" t="str">
        <f>IF('Técnicas de Ki'!AR115&lt;&gt;0,'Técnicas de Ki'!AQ115&amp;" "&amp;'Técnicas de Ki'!AR115,"")</f>
        <v/>
      </c>
      <c r="BZ212" s="302" t="b">
        <f t="shared" si="35"/>
        <v>0</v>
      </c>
      <c r="CA212" s="302" t="str">
        <f t="shared" si="39"/>
        <v/>
      </c>
      <c r="CG212" s="537">
        <f>IF('Técnicas de Ki'!BM107=0,0,IF('Técnicas de Ki'!BT107=TS!CG$119,'Técnicas de Ki'!BN107-(IF($O212&lt;&gt;0,'Técnicas de Ki'!BW107,0)+IF($P212&lt;&gt;0,'Técnicas de Ki'!BX107,0)+IF($Q212&lt;&gt;0,'Técnicas de Ki'!BY107,0)+IF($R212&lt;&gt;0,'Técnicas de Ki'!BZ107,0)+IF($S212&lt;&gt;0,'Técnicas de Ki'!CA107,0)+IF($T212&lt;&gt;0,'Técnicas de Ki'!CB107,0)),0))</f>
        <v>0</v>
      </c>
      <c r="CH212" s="538">
        <f>IF('Técnicas de Ki'!BM107=0,0,IF('Técnicas de Ki'!BT107=TS!CH$119,'Técnicas de Ki'!BN107-(IF($O212&lt;&gt;0,'Técnicas de Ki'!BW107,0)+IF($P212&lt;&gt;0,'Técnicas de Ki'!BX107,0)+IF($Q212&lt;&gt;0,'Técnicas de Ki'!BY107,0)+IF($R212&lt;&gt;0,'Técnicas de Ki'!BZ107,0)+IF($S212&lt;&gt;0,'Técnicas de Ki'!CA107,0)+IF($T212&lt;&gt;0,'Técnicas de Ki'!CB107,0)),0))</f>
        <v>0</v>
      </c>
      <c r="CI212" s="538">
        <f>IF('Técnicas de Ki'!BM107=0,0,IF('Técnicas de Ki'!BT107=TS!CI$119,'Técnicas de Ki'!BN107-(IF($O212&lt;&gt;0,'Técnicas de Ki'!BW107,0)+IF($P212&lt;&gt;0,'Técnicas de Ki'!BX107,0)+IF($Q212&lt;&gt;0,'Técnicas de Ki'!BY107,0)+IF($R212&lt;&gt;0,'Técnicas de Ki'!BZ107,0)+IF($S212&lt;&gt;0,'Técnicas de Ki'!CA107,0)+IF($T212&lt;&gt;0,'Técnicas de Ki'!CB107,0)),0))</f>
        <v>0</v>
      </c>
      <c r="CJ212" s="538">
        <f>IF('Técnicas de Ki'!BM107=0,0,IF('Técnicas de Ki'!BT107=TS!CJ$119,'Técnicas de Ki'!BN107-(IF($O212&lt;&gt;0,'Técnicas de Ki'!BW107,0)+IF($P212&lt;&gt;0,'Técnicas de Ki'!BX107,0)+IF($Q212&lt;&gt;0,'Técnicas de Ki'!BY107,0)+IF($R212&lt;&gt;0,'Técnicas de Ki'!BZ107,0)+IF($S212&lt;&gt;0,'Técnicas de Ki'!CA107,0)+IF($T212&lt;&gt;0,'Técnicas de Ki'!CB107,0)),0))</f>
        <v>0</v>
      </c>
      <c r="CK212" s="538">
        <f>IF('Técnicas de Ki'!BM107=0,0,IF('Técnicas de Ki'!BT107=TS!CK$119,'Técnicas de Ki'!BN107-(IF($O212&lt;&gt;0,'Técnicas de Ki'!BW107,0)+IF($P212&lt;&gt;0,'Técnicas de Ki'!BX107,0)+IF($Q212&lt;&gt;0,'Técnicas de Ki'!BY107,0)+IF($R212&lt;&gt;0,'Técnicas de Ki'!BZ107,0)+IF($S212&lt;&gt;0,'Técnicas de Ki'!CA107,0)+IF($T212&lt;&gt;0,'Técnicas de Ki'!CB107,0)),0))</f>
        <v>0</v>
      </c>
      <c r="CL212" s="539">
        <f>IF('Técnicas de Ki'!BM107=0,0,IF('Técnicas de Ki'!BT107=TS!CL$119,'Técnicas de Ki'!BN107-(IF($O212&lt;&gt;0,'Técnicas de Ki'!BW107,0)+IF($P212&lt;&gt;0,'Técnicas de Ki'!BX107,0)+IF($Q212&lt;&gt;0,'Técnicas de Ki'!BY107,0)+IF($R212&lt;&gt;0,'Técnicas de Ki'!BZ107,0)+IF($S212&lt;&gt;0,'Técnicas de Ki'!CA107,0)+IF($T212&lt;&gt;0,'Técnicas de Ki'!CB107,0)),0))</f>
        <v>0</v>
      </c>
      <c r="CM212" s="538">
        <f>IF('Técnicas de Ki'!BM107=0,0,IFERROR(IF('Técnicas de Ki'!BW107&lt;&gt;0,'Técnicas de Ki'!BW107+TS!$O212,0)*$O212/$O212,0))</f>
        <v>0</v>
      </c>
      <c r="CN212" s="538">
        <f>IF('Técnicas de Ki'!BM107=0,0,IFERROR(IF('Técnicas de Ki'!BX107&lt;&gt;0,'Técnicas de Ki'!BX107+TS!$P212,0)*$P212/$P212,0))</f>
        <v>0</v>
      </c>
      <c r="CO212" s="538">
        <f>IF('Técnicas de Ki'!BM107=0,0,IFERROR(IF('Técnicas de Ki'!BY107&lt;&gt;0,'Técnicas de Ki'!BY107+TS!$Q212,0)*$Q212/$Q212,0))</f>
        <v>0</v>
      </c>
      <c r="CP212" s="538">
        <f>IF('Técnicas de Ki'!BM107=0,0,IFERROR(IF('Técnicas de Ki'!BZ107&lt;&gt;0,'Técnicas de Ki'!BZ107+TS!$R212,0)*$R212/$R212,0))</f>
        <v>0</v>
      </c>
      <c r="CQ212" s="538">
        <f>IF('Técnicas de Ki'!BM107=0,0,IFERROR(IF('Técnicas de Ki'!CA107&lt;&gt;0,'Técnicas de Ki'!CA107+TS!$S212,0)*$S212/$S212,0))</f>
        <v>0</v>
      </c>
      <c r="CR212" s="539">
        <f>IF('Técnicas de Ki'!BM107=0,0,IFERROR(IF('Técnicas de Ki'!CB107&lt;&gt;0,'Técnicas de Ki'!CB107+TS!$T212,0)*$T212/$T212,0))</f>
        <v>0</v>
      </c>
      <c r="CT212" s="571" t="str">
        <f>IF('Técnicas de Ki'!BM115&lt;&gt;0,'Técnicas de Ki'!BL115&amp;" "&amp;'Técnicas de Ki'!BM115,"")</f>
        <v/>
      </c>
      <c r="CU212" s="302" t="b">
        <f t="shared" si="36"/>
        <v>0</v>
      </c>
      <c r="CV212" s="302" t="str">
        <f t="shared" si="40"/>
        <v/>
      </c>
    </row>
    <row r="213" spans="1:101" x14ac:dyDescent="0.2">
      <c r="A213" s="302" t="s">
        <v>6880</v>
      </c>
      <c r="B213" s="301" t="s">
        <v>6810</v>
      </c>
      <c r="C213" s="301" t="str">
        <f t="shared" si="42"/>
        <v>Incrementar turno+125</v>
      </c>
      <c r="D213" s="302">
        <v>8</v>
      </c>
      <c r="E213" s="302">
        <v>11</v>
      </c>
      <c r="F213" s="302">
        <v>25</v>
      </c>
      <c r="G213" s="302">
        <v>4</v>
      </c>
      <c r="H213" s="302">
        <v>8</v>
      </c>
      <c r="I213" s="302">
        <v>14</v>
      </c>
      <c r="J213" s="302">
        <v>2</v>
      </c>
      <c r="N213" t="s">
        <v>6989</v>
      </c>
      <c r="Q213" s="302">
        <v>3</v>
      </c>
      <c r="R213" s="302">
        <v>2</v>
      </c>
      <c r="S213" s="302">
        <v>1</v>
      </c>
      <c r="T213" s="302">
        <v>1</v>
      </c>
      <c r="V213" s="537">
        <f>IF('Técnicas de Ki'!B108=0,0,IF('Técnicas de Ki'!I108=TS!V$119,'Técnicas de Ki'!C108-(IF($O213&lt;&gt;0,'Técnicas de Ki'!L108,0)+IF($P213&lt;&gt;0,'Técnicas de Ki'!M108,0)+IF($Q213&lt;&gt;0,'Técnicas de Ki'!N108,0)+IF($R213&lt;&gt;0,'Técnicas de Ki'!O108,0)+IF($S213&lt;&gt;0,'Técnicas de Ki'!P108,0)+IF($T213&lt;&gt;0,'Técnicas de Ki'!Q108,0)),0))</f>
        <v>0</v>
      </c>
      <c r="W213" s="538">
        <f>IF('Técnicas de Ki'!B108=0,0,IF('Técnicas de Ki'!I108=TS!W$119,'Técnicas de Ki'!C108-(IF($O213&lt;&gt;0,'Técnicas de Ki'!L108,0)+IF($P213&lt;&gt;0,'Técnicas de Ki'!M108,0)+IF($Q213&lt;&gt;0,'Técnicas de Ki'!N108,0)+IF($R213&lt;&gt;0,'Técnicas de Ki'!O108,0)+IF($S213&lt;&gt;0,'Técnicas de Ki'!P108,0)+IF($T213&lt;&gt;0,'Técnicas de Ki'!Q108,0)),0))</f>
        <v>0</v>
      </c>
      <c r="X213" s="538">
        <f>IF('Técnicas de Ki'!B108=0,0,IF('Técnicas de Ki'!I108=TS!X$119,'Técnicas de Ki'!C108-(IF($O213&lt;&gt;0,'Técnicas de Ki'!L108,0)+IF($P213&lt;&gt;0,'Técnicas de Ki'!M108,0)+IF($Q213&lt;&gt;0,'Técnicas de Ki'!N108,0)+IF($R213&lt;&gt;0,'Técnicas de Ki'!O108,0)+IF($S213&lt;&gt;0,'Técnicas de Ki'!P108,0)+IF($T213&lt;&gt;0,'Técnicas de Ki'!Q108,0)),0))</f>
        <v>0</v>
      </c>
      <c r="Y213" s="538">
        <f>IF('Técnicas de Ki'!B108=0,0,IF('Técnicas de Ki'!I108=TS!Y$119,'Técnicas de Ki'!C108-(IF($O213&lt;&gt;0,'Técnicas de Ki'!L108,0)+IF($P213&lt;&gt;0,'Técnicas de Ki'!M108,0)+IF($Q213&lt;&gt;0,'Técnicas de Ki'!N108,0)+IF($R213&lt;&gt;0,'Técnicas de Ki'!O108,0)+IF($S213&lt;&gt;0,'Técnicas de Ki'!P108,0)+IF($T213&lt;&gt;0,'Técnicas de Ki'!Q108,0)),0))</f>
        <v>0</v>
      </c>
      <c r="Z213" s="538">
        <f>IF('Técnicas de Ki'!B108=0,0,IF('Técnicas de Ki'!I108=TS!Z$119,'Técnicas de Ki'!C108-(IF($O213&lt;&gt;0,'Técnicas de Ki'!L108,0)+IF($P213&lt;&gt;0,'Técnicas de Ki'!M108,0)+IF($Q213&lt;&gt;0,'Técnicas de Ki'!N108,0)+IF($R213&lt;&gt;0,'Técnicas de Ki'!O108,0)+IF($S213&lt;&gt;0,'Técnicas de Ki'!P108,0)+IF($T213&lt;&gt;0,'Técnicas de Ki'!Q108,0)),0))</f>
        <v>0</v>
      </c>
      <c r="AA213" s="539">
        <f>IF('Técnicas de Ki'!B108=0,0,IF('Técnicas de Ki'!I108=TS!AA$119,'Técnicas de Ki'!C108-(IF($O213&lt;&gt;0,'Técnicas de Ki'!L108,0)+IF($P213&lt;&gt;0,'Técnicas de Ki'!M108,0)+IF($Q213&lt;&gt;0,'Técnicas de Ki'!N108,0)+IF($R213&lt;&gt;0,'Técnicas de Ki'!O108,0)+IF($S213&lt;&gt;0,'Técnicas de Ki'!P108,0)+IF($T213&lt;&gt;0,'Técnicas de Ki'!Q108,0)),0))</f>
        <v>0</v>
      </c>
      <c r="AB213" s="538">
        <f>IF('Técnicas de Ki'!B108=0,0,IFERROR(IF('Técnicas de Ki'!L108&lt;&gt;0,'Técnicas de Ki'!L108+TS!$O213,0)*$O213/$O213,0))</f>
        <v>0</v>
      </c>
      <c r="AC213" s="538">
        <f>IF('Técnicas de Ki'!B108=0,0,IFERROR(IF('Técnicas de Ki'!M108&lt;&gt;0,'Técnicas de Ki'!M108+TS!$P213,0)*$P213/$P213,0))</f>
        <v>0</v>
      </c>
      <c r="AD213" s="538">
        <f>IF('Técnicas de Ki'!B108=0,0,IFERROR(IF('Técnicas de Ki'!N108&lt;&gt;0,'Técnicas de Ki'!N108+TS!$Q213,0)*$Q213/$Q213,0))</f>
        <v>0</v>
      </c>
      <c r="AE213" s="538">
        <f>IF('Técnicas de Ki'!B108=0,0,IFERROR(IF('Técnicas de Ki'!O108&lt;&gt;0,'Técnicas de Ki'!O108+TS!$R213,0)*$R213/$R213,0))</f>
        <v>0</v>
      </c>
      <c r="AF213" s="538">
        <f>IF('Técnicas de Ki'!B108=0,0,IFERROR(IF('Técnicas de Ki'!P108&lt;&gt;0,'Técnicas de Ki'!P108+TS!$S213,0)*$S213/$S213,0))</f>
        <v>0</v>
      </c>
      <c r="AG213" s="539">
        <f>IF('Técnicas de Ki'!B108=0,0,IFERROR(IF('Técnicas de Ki'!Q108&lt;&gt;0,'Técnicas de Ki'!Q108+TS!$T213,0)*$T213/$T213,0))</f>
        <v>0</v>
      </c>
      <c r="AI213" s="571" t="str">
        <f>IF('Técnicas de Ki'!B116&lt;&gt;0,'Técnicas de Ki'!A116&amp;" "&amp;'Técnicas de Ki'!B116,"")</f>
        <v/>
      </c>
      <c r="AJ213" s="302" t="b">
        <f t="shared" si="41"/>
        <v>0</v>
      </c>
      <c r="AK213" s="302" t="str">
        <f t="shared" si="37"/>
        <v/>
      </c>
      <c r="AQ213" s="537">
        <f>IF('Técnicas de Ki'!W108=0,0,IF('Técnicas de Ki'!AD108=TS!AQ$119,'Técnicas de Ki'!X108-(IF($O213&lt;&gt;0,'Técnicas de Ki'!AG108,0)+IF($P213&lt;&gt;0,'Técnicas de Ki'!AH108,0)+IF($Q213&lt;&gt;0,'Técnicas de Ki'!AI108,0)+IF($R213&lt;&gt;0,'Técnicas de Ki'!AJ108,0)+IF($S213&lt;&gt;0,'Técnicas de Ki'!AK108,0)+IF($T213&lt;&gt;0,'Técnicas de Ki'!AL108,0)),0))</f>
        <v>0</v>
      </c>
      <c r="AR213" s="538">
        <f>IF('Técnicas de Ki'!W108=0,0,IF('Técnicas de Ki'!AD108=TS!AR$119,'Técnicas de Ki'!X108-(IF($O213&lt;&gt;0,'Técnicas de Ki'!AG108,0)+IF($P213&lt;&gt;0,'Técnicas de Ki'!AH108,0)+IF($Q213&lt;&gt;0,'Técnicas de Ki'!AI108,0)+IF($R213&lt;&gt;0,'Técnicas de Ki'!AJ108,0)+IF($S213&lt;&gt;0,'Técnicas de Ki'!AK108,0)+IF($T213&lt;&gt;0,'Técnicas de Ki'!AL108,0)),0))</f>
        <v>0</v>
      </c>
      <c r="AS213" s="538">
        <f>IF('Técnicas de Ki'!W108=0,0,IF('Técnicas de Ki'!AD108=TS!AS$119,'Técnicas de Ki'!X108-(IF($O213&lt;&gt;0,'Técnicas de Ki'!AG108,0)+IF($P213&lt;&gt;0,'Técnicas de Ki'!AH108,0)+IF($Q213&lt;&gt;0,'Técnicas de Ki'!AI108,0)+IF($R213&lt;&gt;0,'Técnicas de Ki'!AJ108,0)+IF($S213&lt;&gt;0,'Técnicas de Ki'!AK108,0)+IF($T213&lt;&gt;0,'Técnicas de Ki'!AL108,0)),0))</f>
        <v>0</v>
      </c>
      <c r="AT213" s="538">
        <f>IF('Técnicas de Ki'!W108=0,0,IF('Técnicas de Ki'!AD108=TS!AT$119,'Técnicas de Ki'!X108-(IF($O213&lt;&gt;0,'Técnicas de Ki'!AG108,0)+IF($P213&lt;&gt;0,'Técnicas de Ki'!AH108,0)+IF($Q213&lt;&gt;0,'Técnicas de Ki'!AI108,0)+IF($R213&lt;&gt;0,'Técnicas de Ki'!AJ108,0)+IF($S213&lt;&gt;0,'Técnicas de Ki'!AK108,0)+IF($T213&lt;&gt;0,'Técnicas de Ki'!AL108,0)),0))</f>
        <v>0</v>
      </c>
      <c r="AU213" s="538">
        <f>IF('Técnicas de Ki'!W108=0,0,IF('Técnicas de Ki'!AD108=TS!AU$119,'Técnicas de Ki'!X108-(IF($O213&lt;&gt;0,'Técnicas de Ki'!AG108,0)+IF($P213&lt;&gt;0,'Técnicas de Ki'!AH108,0)+IF($Q213&lt;&gt;0,'Técnicas de Ki'!AI108,0)+IF($R213&lt;&gt;0,'Técnicas de Ki'!AJ108,0)+IF($S213&lt;&gt;0,'Técnicas de Ki'!AK108,0)+IF($T213&lt;&gt;0,'Técnicas de Ki'!AL108,0)),0))</f>
        <v>0</v>
      </c>
      <c r="AV213" s="539">
        <f>IF('Técnicas de Ki'!W108=0,0,IF('Técnicas de Ki'!AD108=TS!AV$119,'Técnicas de Ki'!X108-(IF($O213&lt;&gt;0,'Técnicas de Ki'!AG108,0)+IF($P213&lt;&gt;0,'Técnicas de Ki'!AH108,0)+IF($Q213&lt;&gt;0,'Técnicas de Ki'!AI108,0)+IF($R213&lt;&gt;0,'Técnicas de Ki'!AJ108,0)+IF($S213&lt;&gt;0,'Técnicas de Ki'!AK108,0)+IF($T213&lt;&gt;0,'Técnicas de Ki'!AL108,0)),0))</f>
        <v>0</v>
      </c>
      <c r="AW213" s="538">
        <f>IF('Técnicas de Ki'!W108=0,0,IFERROR(IF('Técnicas de Ki'!AG108&lt;&gt;0,'Técnicas de Ki'!AG108+TS!$O213,0)*$O213/$O213,0))</f>
        <v>0</v>
      </c>
      <c r="AX213" s="538">
        <f>IF('Técnicas de Ki'!W108=0,0,IFERROR(IF('Técnicas de Ki'!AH108&lt;&gt;0,'Técnicas de Ki'!AH108+TS!$P213,0)*$P213/$P213,0))</f>
        <v>0</v>
      </c>
      <c r="AY213" s="538">
        <f>IF('Técnicas de Ki'!W108=0,0,IFERROR(IF('Técnicas de Ki'!AI108&lt;&gt;0,'Técnicas de Ki'!AI108+TS!$Q213,0)*$Q213/$Q213,0))</f>
        <v>0</v>
      </c>
      <c r="AZ213" s="538">
        <f>IF('Técnicas de Ki'!W108=0,0,IFERROR(IF('Técnicas de Ki'!AJ108&lt;&gt;0,'Técnicas de Ki'!AJ108+TS!$R213,0)*$R213/$R213,0))</f>
        <v>0</v>
      </c>
      <c r="BA213" s="538">
        <f>IF('Técnicas de Ki'!W108=0,0,IFERROR(IF('Técnicas de Ki'!AK108&lt;&gt;0,'Técnicas de Ki'!AK108+TS!$S213,0)*$S213/$S213,0))</f>
        <v>0</v>
      </c>
      <c r="BB213" s="539">
        <f>IF('Técnicas de Ki'!W108=0,0,IFERROR(IF('Técnicas de Ki'!AL108&lt;&gt;0,'Técnicas de Ki'!AL108+TS!$T213,0)*$T213/$T213,0))</f>
        <v>0</v>
      </c>
      <c r="BD213" s="571" t="str">
        <f>IF('Técnicas de Ki'!W116&lt;&gt;0,'Técnicas de Ki'!V116&amp;" "&amp;'Técnicas de Ki'!W116,"")</f>
        <v/>
      </c>
      <c r="BE213" s="302" t="b">
        <f t="shared" si="34"/>
        <v>0</v>
      </c>
      <c r="BF213" s="302" t="str">
        <f t="shared" si="38"/>
        <v/>
      </c>
      <c r="BL213" s="537">
        <f>IF('Técnicas de Ki'!AR108=0,0,IF('Técnicas de Ki'!AY108=TS!BL$119,'Técnicas de Ki'!AS108-(IF($O213&lt;&gt;0,'Técnicas de Ki'!BB108,0)+IF($P213&lt;&gt;0,'Técnicas de Ki'!BC108,0)+IF($Q213&lt;&gt;0,'Técnicas de Ki'!BD108,0)+IF($R213&lt;&gt;0,'Técnicas de Ki'!BE108,0)+IF($S213&lt;&gt;0,'Técnicas de Ki'!BF108,0)+IF($T213&lt;&gt;0,'Técnicas de Ki'!BG108,0)),0))</f>
        <v>0</v>
      </c>
      <c r="BM213" s="538">
        <f>IF('Técnicas de Ki'!AR108=0,0,IF('Técnicas de Ki'!AY108=TS!BM$119,'Técnicas de Ki'!AS108-(IF($O213&lt;&gt;0,'Técnicas de Ki'!BB108,0)+IF($P213&lt;&gt;0,'Técnicas de Ki'!BC108,0)+IF($Q213&lt;&gt;0,'Técnicas de Ki'!BD108,0)+IF($R213&lt;&gt;0,'Técnicas de Ki'!BE108,0)+IF($S213&lt;&gt;0,'Técnicas de Ki'!BF108,0)+IF($T213&lt;&gt;0,'Técnicas de Ki'!BG108,0)),0))</f>
        <v>0</v>
      </c>
      <c r="BN213" s="538">
        <f>IF('Técnicas de Ki'!AR108=0,0,IF('Técnicas de Ki'!AY108=TS!BN$119,'Técnicas de Ki'!AS108-(IF($O213&lt;&gt;0,'Técnicas de Ki'!BB108,0)+IF($P213&lt;&gt;0,'Técnicas de Ki'!BC108,0)+IF($Q213&lt;&gt;0,'Técnicas de Ki'!BD108,0)+IF($R213&lt;&gt;0,'Técnicas de Ki'!BE108,0)+IF($S213&lt;&gt;0,'Técnicas de Ki'!BF108,0)+IF($T213&lt;&gt;0,'Técnicas de Ki'!BG108,0)),0))</f>
        <v>0</v>
      </c>
      <c r="BO213" s="538">
        <f>IF('Técnicas de Ki'!AR108=0,0,IF('Técnicas de Ki'!AY108=TS!BO$119,'Técnicas de Ki'!AS108-(IF($O213&lt;&gt;0,'Técnicas de Ki'!BB108,0)+IF($P213&lt;&gt;0,'Técnicas de Ki'!BC108,0)+IF($Q213&lt;&gt;0,'Técnicas de Ki'!BD108,0)+IF($R213&lt;&gt;0,'Técnicas de Ki'!BE108,0)+IF($S213&lt;&gt;0,'Técnicas de Ki'!BF108,0)+IF($T213&lt;&gt;0,'Técnicas de Ki'!BG108,0)),0))</f>
        <v>0</v>
      </c>
      <c r="BP213" s="538">
        <f>IF('Técnicas de Ki'!AR108=0,0,IF('Técnicas de Ki'!AY108=TS!BP$119,'Técnicas de Ki'!AS108-(IF($O213&lt;&gt;0,'Técnicas de Ki'!BB108,0)+IF($P213&lt;&gt;0,'Técnicas de Ki'!BC108,0)+IF($Q213&lt;&gt;0,'Técnicas de Ki'!BD108,0)+IF($R213&lt;&gt;0,'Técnicas de Ki'!BE108,0)+IF($S213&lt;&gt;0,'Técnicas de Ki'!BF108,0)+IF($T213&lt;&gt;0,'Técnicas de Ki'!BG108,0)),0))</f>
        <v>0</v>
      </c>
      <c r="BQ213" s="539">
        <f>IF('Técnicas de Ki'!AR108=0,0,IF('Técnicas de Ki'!AY108=TS!BQ$119,'Técnicas de Ki'!AS108-(IF($O213&lt;&gt;0,'Técnicas de Ki'!BB108,0)+IF($P213&lt;&gt;0,'Técnicas de Ki'!BC108,0)+IF($Q213&lt;&gt;0,'Técnicas de Ki'!BD108,0)+IF($R213&lt;&gt;0,'Técnicas de Ki'!BE108,0)+IF($S213&lt;&gt;0,'Técnicas de Ki'!BF108,0)+IF($T213&lt;&gt;0,'Técnicas de Ki'!BG108,0)),0))</f>
        <v>0</v>
      </c>
      <c r="BR213" s="538">
        <f>IF('Técnicas de Ki'!AR108=0,0,IFERROR(IF('Técnicas de Ki'!BB108&lt;&gt;0,'Técnicas de Ki'!BB108+TS!$O213,0)*$O213/$O213,0))</f>
        <v>0</v>
      </c>
      <c r="BS213" s="538">
        <f>IF('Técnicas de Ki'!AR108=0,0,IFERROR(IF('Técnicas de Ki'!BC108&lt;&gt;0,'Técnicas de Ki'!BC108+TS!$P213,0)*$P213/$P213,0))</f>
        <v>0</v>
      </c>
      <c r="BT213" s="538">
        <f>IF('Técnicas de Ki'!AR108=0,0,IFERROR(IF('Técnicas de Ki'!BD108&lt;&gt;0,'Técnicas de Ki'!BD108+TS!$Q213,0)*$Q213/$Q213,0))</f>
        <v>0</v>
      </c>
      <c r="BU213" s="538">
        <f>IF('Técnicas de Ki'!AR108=0,0,IFERROR(IF('Técnicas de Ki'!BE108&lt;&gt;0,'Técnicas de Ki'!BE108+TS!$R213,0)*$R213/$R213,0))</f>
        <v>0</v>
      </c>
      <c r="BV213" s="538">
        <f>IF('Técnicas de Ki'!AR108=0,0,IFERROR(IF('Técnicas de Ki'!BF108&lt;&gt;0,'Técnicas de Ki'!BF108+TS!$S213,0)*$S213/$S213,0))</f>
        <v>0</v>
      </c>
      <c r="BW213" s="539">
        <f>IF('Técnicas de Ki'!AR108=0,0,IFERROR(IF('Técnicas de Ki'!BG108&lt;&gt;0,'Técnicas de Ki'!BG108+TS!$T213,0)*$T213/$T213,0))</f>
        <v>0</v>
      </c>
      <c r="BY213" s="571" t="str">
        <f>IF('Técnicas de Ki'!AR116&lt;&gt;0,'Técnicas de Ki'!AQ116&amp;" "&amp;'Técnicas de Ki'!AR116,"")</f>
        <v/>
      </c>
      <c r="BZ213" s="302" t="b">
        <f t="shared" si="35"/>
        <v>0</v>
      </c>
      <c r="CA213" s="302" t="str">
        <f t="shared" si="39"/>
        <v/>
      </c>
      <c r="CG213" s="537">
        <f>IF('Técnicas de Ki'!BM108=0,0,IF('Técnicas de Ki'!BT108=TS!CG$119,'Técnicas de Ki'!BN108-(IF($O213&lt;&gt;0,'Técnicas de Ki'!BW108,0)+IF($P213&lt;&gt;0,'Técnicas de Ki'!BX108,0)+IF($Q213&lt;&gt;0,'Técnicas de Ki'!BY108,0)+IF($R213&lt;&gt;0,'Técnicas de Ki'!BZ108,0)+IF($S213&lt;&gt;0,'Técnicas de Ki'!CA108,0)+IF($T213&lt;&gt;0,'Técnicas de Ki'!CB108,0)),0))</f>
        <v>0</v>
      </c>
      <c r="CH213" s="538">
        <f>IF('Técnicas de Ki'!BM108=0,0,IF('Técnicas de Ki'!BT108=TS!CH$119,'Técnicas de Ki'!BN108-(IF($O213&lt;&gt;0,'Técnicas de Ki'!BW108,0)+IF($P213&lt;&gt;0,'Técnicas de Ki'!BX108,0)+IF($Q213&lt;&gt;0,'Técnicas de Ki'!BY108,0)+IF($R213&lt;&gt;0,'Técnicas de Ki'!BZ108,0)+IF($S213&lt;&gt;0,'Técnicas de Ki'!CA108,0)+IF($T213&lt;&gt;0,'Técnicas de Ki'!CB108,0)),0))</f>
        <v>0</v>
      </c>
      <c r="CI213" s="538">
        <f>IF('Técnicas de Ki'!BM108=0,0,IF('Técnicas de Ki'!BT108=TS!CI$119,'Técnicas de Ki'!BN108-(IF($O213&lt;&gt;0,'Técnicas de Ki'!BW108,0)+IF($P213&lt;&gt;0,'Técnicas de Ki'!BX108,0)+IF($Q213&lt;&gt;0,'Técnicas de Ki'!BY108,0)+IF($R213&lt;&gt;0,'Técnicas de Ki'!BZ108,0)+IF($S213&lt;&gt;0,'Técnicas de Ki'!CA108,0)+IF($T213&lt;&gt;0,'Técnicas de Ki'!CB108,0)),0))</f>
        <v>0</v>
      </c>
      <c r="CJ213" s="538">
        <f>IF('Técnicas de Ki'!BM108=0,0,IF('Técnicas de Ki'!BT108=TS!CJ$119,'Técnicas de Ki'!BN108-(IF($O213&lt;&gt;0,'Técnicas de Ki'!BW108,0)+IF($P213&lt;&gt;0,'Técnicas de Ki'!BX108,0)+IF($Q213&lt;&gt;0,'Técnicas de Ki'!BY108,0)+IF($R213&lt;&gt;0,'Técnicas de Ki'!BZ108,0)+IF($S213&lt;&gt;0,'Técnicas de Ki'!CA108,0)+IF($T213&lt;&gt;0,'Técnicas de Ki'!CB108,0)),0))</f>
        <v>0</v>
      </c>
      <c r="CK213" s="538">
        <f>IF('Técnicas de Ki'!BM108=0,0,IF('Técnicas de Ki'!BT108=TS!CK$119,'Técnicas de Ki'!BN108-(IF($O213&lt;&gt;0,'Técnicas de Ki'!BW108,0)+IF($P213&lt;&gt;0,'Técnicas de Ki'!BX108,0)+IF($Q213&lt;&gt;0,'Técnicas de Ki'!BY108,0)+IF($R213&lt;&gt;0,'Técnicas de Ki'!BZ108,0)+IF($S213&lt;&gt;0,'Técnicas de Ki'!CA108,0)+IF($T213&lt;&gt;0,'Técnicas de Ki'!CB108,0)),0))</f>
        <v>0</v>
      </c>
      <c r="CL213" s="539">
        <f>IF('Técnicas de Ki'!BM108=0,0,IF('Técnicas de Ki'!BT108=TS!CL$119,'Técnicas de Ki'!BN108-(IF($O213&lt;&gt;0,'Técnicas de Ki'!BW108,0)+IF($P213&lt;&gt;0,'Técnicas de Ki'!BX108,0)+IF($Q213&lt;&gt;0,'Técnicas de Ki'!BY108,0)+IF($R213&lt;&gt;0,'Técnicas de Ki'!BZ108,0)+IF($S213&lt;&gt;0,'Técnicas de Ki'!CA108,0)+IF($T213&lt;&gt;0,'Técnicas de Ki'!CB108,0)),0))</f>
        <v>0</v>
      </c>
      <c r="CM213" s="538">
        <f>IF('Técnicas de Ki'!BM108=0,0,IFERROR(IF('Técnicas de Ki'!BW108&lt;&gt;0,'Técnicas de Ki'!BW108+TS!$O213,0)*$O213/$O213,0))</f>
        <v>0</v>
      </c>
      <c r="CN213" s="538">
        <f>IF('Técnicas de Ki'!BM108=0,0,IFERROR(IF('Técnicas de Ki'!BX108&lt;&gt;0,'Técnicas de Ki'!BX108+TS!$P213,0)*$P213/$P213,0))</f>
        <v>0</v>
      </c>
      <c r="CO213" s="538">
        <f>IF('Técnicas de Ki'!BM108=0,0,IFERROR(IF('Técnicas de Ki'!BY108&lt;&gt;0,'Técnicas de Ki'!BY108+TS!$Q213,0)*$Q213/$Q213,0))</f>
        <v>0</v>
      </c>
      <c r="CP213" s="538">
        <f>IF('Técnicas de Ki'!BM108=0,0,IFERROR(IF('Técnicas de Ki'!BZ108&lt;&gt;0,'Técnicas de Ki'!BZ108+TS!$R213,0)*$R213/$R213,0))</f>
        <v>0</v>
      </c>
      <c r="CQ213" s="538">
        <f>IF('Técnicas de Ki'!BM108=0,0,IFERROR(IF('Técnicas de Ki'!CA108&lt;&gt;0,'Técnicas de Ki'!CA108+TS!$S213,0)*$S213/$S213,0))</f>
        <v>0</v>
      </c>
      <c r="CR213" s="539">
        <f>IF('Técnicas de Ki'!BM108=0,0,IFERROR(IF('Técnicas de Ki'!CB108&lt;&gt;0,'Técnicas de Ki'!CB108+TS!$T213,0)*$T213/$T213,0))</f>
        <v>0</v>
      </c>
      <c r="CT213" s="571" t="str">
        <f>IF('Técnicas de Ki'!BM116&lt;&gt;0,'Técnicas de Ki'!BL116&amp;" "&amp;'Técnicas de Ki'!BM116,"")</f>
        <v/>
      </c>
      <c r="CU213" s="302" t="b">
        <f t="shared" si="36"/>
        <v>0</v>
      </c>
      <c r="CV213" s="302" t="str">
        <f t="shared" si="40"/>
        <v/>
      </c>
    </row>
    <row r="214" spans="1:101" x14ac:dyDescent="0.2">
      <c r="A214" s="302" t="s">
        <v>6880</v>
      </c>
      <c r="B214" s="301" t="s">
        <v>6816</v>
      </c>
      <c r="C214" s="301" t="str">
        <f t="shared" si="42"/>
        <v>Incrementar turno+150</v>
      </c>
      <c r="D214" s="302">
        <v>10</v>
      </c>
      <c r="E214" s="302">
        <v>13</v>
      </c>
      <c r="F214" s="302">
        <v>30</v>
      </c>
      <c r="G214" s="302">
        <v>5</v>
      </c>
      <c r="H214" s="302">
        <v>10</v>
      </c>
      <c r="I214" s="302">
        <v>18</v>
      </c>
      <c r="J214" s="302">
        <v>2</v>
      </c>
      <c r="N214" t="s">
        <v>6987</v>
      </c>
      <c r="O214" s="302">
        <v>2</v>
      </c>
      <c r="Q214" s="302">
        <v>3</v>
      </c>
      <c r="R214" s="302">
        <v>3</v>
      </c>
      <c r="T214" s="302">
        <v>1</v>
      </c>
      <c r="V214" s="537">
        <f>IF('Técnicas de Ki'!B109=0,0,IF('Técnicas de Ki'!I109=TS!V$119,'Técnicas de Ki'!C109-(IF($O214&lt;&gt;0,'Técnicas de Ki'!L109,0)+IF($P214&lt;&gt;0,'Técnicas de Ki'!M109,0)+IF($Q214&lt;&gt;0,'Técnicas de Ki'!N109,0)+IF($R214&lt;&gt;0,'Técnicas de Ki'!O109,0)+IF($S214&lt;&gt;0,'Técnicas de Ki'!P109,0)+IF($T214&lt;&gt;0,'Técnicas de Ki'!Q109,0)),0))</f>
        <v>0</v>
      </c>
      <c r="W214" s="538">
        <f>IF('Técnicas de Ki'!B109=0,0,IF('Técnicas de Ki'!I109=TS!W$119,'Técnicas de Ki'!C109-(IF($O214&lt;&gt;0,'Técnicas de Ki'!L109,0)+IF($P214&lt;&gt;0,'Técnicas de Ki'!M109,0)+IF($Q214&lt;&gt;0,'Técnicas de Ki'!N109,0)+IF($R214&lt;&gt;0,'Técnicas de Ki'!O109,0)+IF($S214&lt;&gt;0,'Técnicas de Ki'!P109,0)+IF($T214&lt;&gt;0,'Técnicas de Ki'!Q109,0)),0))</f>
        <v>0</v>
      </c>
      <c r="X214" s="538">
        <f>IF('Técnicas de Ki'!B109=0,0,IF('Técnicas de Ki'!I109=TS!X$119,'Técnicas de Ki'!C109-(IF($O214&lt;&gt;0,'Técnicas de Ki'!L109,0)+IF($P214&lt;&gt;0,'Técnicas de Ki'!M109,0)+IF($Q214&lt;&gt;0,'Técnicas de Ki'!N109,0)+IF($R214&lt;&gt;0,'Técnicas de Ki'!O109,0)+IF($S214&lt;&gt;0,'Técnicas de Ki'!P109,0)+IF($T214&lt;&gt;0,'Técnicas de Ki'!Q109,0)),0))</f>
        <v>0</v>
      </c>
      <c r="Y214" s="538">
        <f>IF('Técnicas de Ki'!B109=0,0,IF('Técnicas de Ki'!I109=TS!Y$119,'Técnicas de Ki'!C109-(IF($O214&lt;&gt;0,'Técnicas de Ki'!L109,0)+IF($P214&lt;&gt;0,'Técnicas de Ki'!M109,0)+IF($Q214&lt;&gt;0,'Técnicas de Ki'!N109,0)+IF($R214&lt;&gt;0,'Técnicas de Ki'!O109,0)+IF($S214&lt;&gt;0,'Técnicas de Ki'!P109,0)+IF($T214&lt;&gt;0,'Técnicas de Ki'!Q109,0)),0))</f>
        <v>0</v>
      </c>
      <c r="Z214" s="538">
        <f>IF('Técnicas de Ki'!B109=0,0,IF('Técnicas de Ki'!I109=TS!Z$119,'Técnicas de Ki'!C109-(IF($O214&lt;&gt;0,'Técnicas de Ki'!L109,0)+IF($P214&lt;&gt;0,'Técnicas de Ki'!M109,0)+IF($Q214&lt;&gt;0,'Técnicas de Ki'!N109,0)+IF($R214&lt;&gt;0,'Técnicas de Ki'!O109,0)+IF($S214&lt;&gt;0,'Técnicas de Ki'!P109,0)+IF($T214&lt;&gt;0,'Técnicas de Ki'!Q109,0)),0))</f>
        <v>0</v>
      </c>
      <c r="AA214" s="539">
        <f>IF('Técnicas de Ki'!B109=0,0,IF('Técnicas de Ki'!I109=TS!AA$119,'Técnicas de Ki'!C109-(IF($O214&lt;&gt;0,'Técnicas de Ki'!L109,0)+IF($P214&lt;&gt;0,'Técnicas de Ki'!M109,0)+IF($Q214&lt;&gt;0,'Técnicas de Ki'!N109,0)+IF($R214&lt;&gt;0,'Técnicas de Ki'!O109,0)+IF($S214&lt;&gt;0,'Técnicas de Ki'!P109,0)+IF($T214&lt;&gt;0,'Técnicas de Ki'!Q109,0)),0))</f>
        <v>0</v>
      </c>
      <c r="AB214" s="538">
        <f>IF('Técnicas de Ki'!B109=0,0,IFERROR(IF('Técnicas de Ki'!L109&lt;&gt;0,'Técnicas de Ki'!L109+TS!$O214,0)*$O214/$O214,0))</f>
        <v>0</v>
      </c>
      <c r="AC214" s="538">
        <f>IF('Técnicas de Ki'!B109=0,0,IFERROR(IF('Técnicas de Ki'!M109&lt;&gt;0,'Técnicas de Ki'!M109+TS!$P214,0)*$P214/$P214,0))</f>
        <v>0</v>
      </c>
      <c r="AD214" s="538">
        <f>IF('Técnicas de Ki'!B109=0,0,IFERROR(IF('Técnicas de Ki'!N109&lt;&gt;0,'Técnicas de Ki'!N109+TS!$Q214,0)*$Q214/$Q214,0))</f>
        <v>0</v>
      </c>
      <c r="AE214" s="538">
        <f>IF('Técnicas de Ki'!B109=0,0,IFERROR(IF('Técnicas de Ki'!O109&lt;&gt;0,'Técnicas de Ki'!O109+TS!$R214,0)*$R214/$R214,0))</f>
        <v>0</v>
      </c>
      <c r="AF214" s="538">
        <f>IF('Técnicas de Ki'!B109=0,0,IFERROR(IF('Técnicas de Ki'!P109&lt;&gt;0,'Técnicas de Ki'!P109+TS!$S214,0)*$S214/$S214,0))</f>
        <v>0</v>
      </c>
      <c r="AG214" s="539">
        <f>IF('Técnicas de Ki'!B109=0,0,IFERROR(IF('Técnicas de Ki'!Q109&lt;&gt;0,'Técnicas de Ki'!Q109+TS!$T214,0)*$T214/$T214,0))</f>
        <v>0</v>
      </c>
      <c r="AI214" s="571" t="str">
        <f>IF('Técnicas de Ki'!B117&lt;&gt;0,'Técnicas de Ki'!A117&amp;" "&amp;'Técnicas de Ki'!B117,"")</f>
        <v/>
      </c>
      <c r="AJ214" s="302" t="b">
        <f t="shared" si="41"/>
        <v>0</v>
      </c>
      <c r="AK214" s="302" t="str">
        <f t="shared" si="37"/>
        <v/>
      </c>
      <c r="AQ214" s="537">
        <f>IF('Técnicas de Ki'!W109=0,0,IF('Técnicas de Ki'!AD109=TS!AQ$119,'Técnicas de Ki'!X109-(IF($O214&lt;&gt;0,'Técnicas de Ki'!AG109,0)+IF($P214&lt;&gt;0,'Técnicas de Ki'!AH109,0)+IF($Q214&lt;&gt;0,'Técnicas de Ki'!AI109,0)+IF($R214&lt;&gt;0,'Técnicas de Ki'!AJ109,0)+IF($S214&lt;&gt;0,'Técnicas de Ki'!AK109,0)+IF($T214&lt;&gt;0,'Técnicas de Ki'!AL109,0)),0))</f>
        <v>0</v>
      </c>
      <c r="AR214" s="538">
        <f>IF('Técnicas de Ki'!W109=0,0,IF('Técnicas de Ki'!AD109=TS!AR$119,'Técnicas de Ki'!X109-(IF($O214&lt;&gt;0,'Técnicas de Ki'!AG109,0)+IF($P214&lt;&gt;0,'Técnicas de Ki'!AH109,0)+IF($Q214&lt;&gt;0,'Técnicas de Ki'!AI109,0)+IF($R214&lt;&gt;0,'Técnicas de Ki'!AJ109,0)+IF($S214&lt;&gt;0,'Técnicas de Ki'!AK109,0)+IF($T214&lt;&gt;0,'Técnicas de Ki'!AL109,0)),0))</f>
        <v>0</v>
      </c>
      <c r="AS214" s="538">
        <f>IF('Técnicas de Ki'!W109=0,0,IF('Técnicas de Ki'!AD109=TS!AS$119,'Técnicas de Ki'!X109-(IF($O214&lt;&gt;0,'Técnicas de Ki'!AG109,0)+IF($P214&lt;&gt;0,'Técnicas de Ki'!AH109,0)+IF($Q214&lt;&gt;0,'Técnicas de Ki'!AI109,0)+IF($R214&lt;&gt;0,'Técnicas de Ki'!AJ109,0)+IF($S214&lt;&gt;0,'Técnicas de Ki'!AK109,0)+IF($T214&lt;&gt;0,'Técnicas de Ki'!AL109,0)),0))</f>
        <v>0</v>
      </c>
      <c r="AT214" s="538">
        <f>IF('Técnicas de Ki'!W109=0,0,IF('Técnicas de Ki'!AD109=TS!AT$119,'Técnicas de Ki'!X109-(IF($O214&lt;&gt;0,'Técnicas de Ki'!AG109,0)+IF($P214&lt;&gt;0,'Técnicas de Ki'!AH109,0)+IF($Q214&lt;&gt;0,'Técnicas de Ki'!AI109,0)+IF($R214&lt;&gt;0,'Técnicas de Ki'!AJ109,0)+IF($S214&lt;&gt;0,'Técnicas de Ki'!AK109,0)+IF($T214&lt;&gt;0,'Técnicas de Ki'!AL109,0)),0))</f>
        <v>0</v>
      </c>
      <c r="AU214" s="538">
        <f>IF('Técnicas de Ki'!W109=0,0,IF('Técnicas de Ki'!AD109=TS!AU$119,'Técnicas de Ki'!X109-(IF($O214&lt;&gt;0,'Técnicas de Ki'!AG109,0)+IF($P214&lt;&gt;0,'Técnicas de Ki'!AH109,0)+IF($Q214&lt;&gt;0,'Técnicas de Ki'!AI109,0)+IF($R214&lt;&gt;0,'Técnicas de Ki'!AJ109,0)+IF($S214&lt;&gt;0,'Técnicas de Ki'!AK109,0)+IF($T214&lt;&gt;0,'Técnicas de Ki'!AL109,0)),0))</f>
        <v>0</v>
      </c>
      <c r="AV214" s="539">
        <f>IF('Técnicas de Ki'!W109=0,0,IF('Técnicas de Ki'!AD109=TS!AV$119,'Técnicas de Ki'!X109-(IF($O214&lt;&gt;0,'Técnicas de Ki'!AG109,0)+IF($P214&lt;&gt;0,'Técnicas de Ki'!AH109,0)+IF($Q214&lt;&gt;0,'Técnicas de Ki'!AI109,0)+IF($R214&lt;&gt;0,'Técnicas de Ki'!AJ109,0)+IF($S214&lt;&gt;0,'Técnicas de Ki'!AK109,0)+IF($T214&lt;&gt;0,'Técnicas de Ki'!AL109,0)),0))</f>
        <v>0</v>
      </c>
      <c r="AW214" s="538">
        <f>IF('Técnicas de Ki'!W109=0,0,IFERROR(IF('Técnicas de Ki'!AG109&lt;&gt;0,'Técnicas de Ki'!AG109+TS!$O214,0)*$O214/$O214,0))</f>
        <v>0</v>
      </c>
      <c r="AX214" s="538">
        <f>IF('Técnicas de Ki'!W109=0,0,IFERROR(IF('Técnicas de Ki'!AH109&lt;&gt;0,'Técnicas de Ki'!AH109+TS!$P214,0)*$P214/$P214,0))</f>
        <v>0</v>
      </c>
      <c r="AY214" s="538">
        <f>IF('Técnicas de Ki'!W109=0,0,IFERROR(IF('Técnicas de Ki'!AI109&lt;&gt;0,'Técnicas de Ki'!AI109+TS!$Q214,0)*$Q214/$Q214,0))</f>
        <v>0</v>
      </c>
      <c r="AZ214" s="538">
        <f>IF('Técnicas de Ki'!W109=0,0,IFERROR(IF('Técnicas de Ki'!AJ109&lt;&gt;0,'Técnicas de Ki'!AJ109+TS!$R214,0)*$R214/$R214,0))</f>
        <v>0</v>
      </c>
      <c r="BA214" s="538">
        <f>IF('Técnicas de Ki'!W109=0,0,IFERROR(IF('Técnicas de Ki'!AK109&lt;&gt;0,'Técnicas de Ki'!AK109+TS!$S214,0)*$S214/$S214,0))</f>
        <v>0</v>
      </c>
      <c r="BB214" s="539">
        <f>IF('Técnicas de Ki'!W109=0,0,IFERROR(IF('Técnicas de Ki'!AL109&lt;&gt;0,'Técnicas de Ki'!AL109+TS!$T214,0)*$T214/$T214,0))</f>
        <v>0</v>
      </c>
      <c r="BD214" s="571" t="str">
        <f>IF('Técnicas de Ki'!W117&lt;&gt;0,'Técnicas de Ki'!V117&amp;" "&amp;'Técnicas de Ki'!W117,"")</f>
        <v/>
      </c>
      <c r="BE214" s="302" t="b">
        <f t="shared" si="34"/>
        <v>0</v>
      </c>
      <c r="BF214" s="302" t="str">
        <f t="shared" si="38"/>
        <v/>
      </c>
      <c r="BL214" s="537">
        <f>IF('Técnicas de Ki'!AR109=0,0,IF('Técnicas de Ki'!AY109=TS!BL$119,'Técnicas de Ki'!AS109-(IF($O214&lt;&gt;0,'Técnicas de Ki'!BB109,0)+IF($P214&lt;&gt;0,'Técnicas de Ki'!BC109,0)+IF($Q214&lt;&gt;0,'Técnicas de Ki'!BD109,0)+IF($R214&lt;&gt;0,'Técnicas de Ki'!BE109,0)+IF($S214&lt;&gt;0,'Técnicas de Ki'!BF109,0)+IF($T214&lt;&gt;0,'Técnicas de Ki'!BG109,0)),0))</f>
        <v>0</v>
      </c>
      <c r="BM214" s="538">
        <f>IF('Técnicas de Ki'!AR109=0,0,IF('Técnicas de Ki'!AY109=TS!BM$119,'Técnicas de Ki'!AS109-(IF($O214&lt;&gt;0,'Técnicas de Ki'!BB109,0)+IF($P214&lt;&gt;0,'Técnicas de Ki'!BC109,0)+IF($Q214&lt;&gt;0,'Técnicas de Ki'!BD109,0)+IF($R214&lt;&gt;0,'Técnicas de Ki'!BE109,0)+IF($S214&lt;&gt;0,'Técnicas de Ki'!BF109,0)+IF($T214&lt;&gt;0,'Técnicas de Ki'!BG109,0)),0))</f>
        <v>0</v>
      </c>
      <c r="BN214" s="538">
        <f>IF('Técnicas de Ki'!AR109=0,0,IF('Técnicas de Ki'!AY109=TS!BN$119,'Técnicas de Ki'!AS109-(IF($O214&lt;&gt;0,'Técnicas de Ki'!BB109,0)+IF($P214&lt;&gt;0,'Técnicas de Ki'!BC109,0)+IF($Q214&lt;&gt;0,'Técnicas de Ki'!BD109,0)+IF($R214&lt;&gt;0,'Técnicas de Ki'!BE109,0)+IF($S214&lt;&gt;0,'Técnicas de Ki'!BF109,0)+IF($T214&lt;&gt;0,'Técnicas de Ki'!BG109,0)),0))</f>
        <v>0</v>
      </c>
      <c r="BO214" s="538">
        <f>IF('Técnicas de Ki'!AR109=0,0,IF('Técnicas de Ki'!AY109=TS!BO$119,'Técnicas de Ki'!AS109-(IF($O214&lt;&gt;0,'Técnicas de Ki'!BB109,0)+IF($P214&lt;&gt;0,'Técnicas de Ki'!BC109,0)+IF($Q214&lt;&gt;0,'Técnicas de Ki'!BD109,0)+IF($R214&lt;&gt;0,'Técnicas de Ki'!BE109,0)+IF($S214&lt;&gt;0,'Técnicas de Ki'!BF109,0)+IF($T214&lt;&gt;0,'Técnicas de Ki'!BG109,0)),0))</f>
        <v>0</v>
      </c>
      <c r="BP214" s="538">
        <f>IF('Técnicas de Ki'!AR109=0,0,IF('Técnicas de Ki'!AY109=TS!BP$119,'Técnicas de Ki'!AS109-(IF($O214&lt;&gt;0,'Técnicas de Ki'!BB109,0)+IF($P214&lt;&gt;0,'Técnicas de Ki'!BC109,0)+IF($Q214&lt;&gt;0,'Técnicas de Ki'!BD109,0)+IF($R214&lt;&gt;0,'Técnicas de Ki'!BE109,0)+IF($S214&lt;&gt;0,'Técnicas de Ki'!BF109,0)+IF($T214&lt;&gt;0,'Técnicas de Ki'!BG109,0)),0))</f>
        <v>0</v>
      </c>
      <c r="BQ214" s="539">
        <f>IF('Técnicas de Ki'!AR109=0,0,IF('Técnicas de Ki'!AY109=TS!BQ$119,'Técnicas de Ki'!AS109-(IF($O214&lt;&gt;0,'Técnicas de Ki'!BB109,0)+IF($P214&lt;&gt;0,'Técnicas de Ki'!BC109,0)+IF($Q214&lt;&gt;0,'Técnicas de Ki'!BD109,0)+IF($R214&lt;&gt;0,'Técnicas de Ki'!BE109,0)+IF($S214&lt;&gt;0,'Técnicas de Ki'!BF109,0)+IF($T214&lt;&gt;0,'Técnicas de Ki'!BG109,0)),0))</f>
        <v>0</v>
      </c>
      <c r="BR214" s="538">
        <f>IF('Técnicas de Ki'!AR109=0,0,IFERROR(IF('Técnicas de Ki'!BB109&lt;&gt;0,'Técnicas de Ki'!BB109+TS!$O214,0)*$O214/$O214,0))</f>
        <v>0</v>
      </c>
      <c r="BS214" s="538">
        <f>IF('Técnicas de Ki'!AR109=0,0,IFERROR(IF('Técnicas de Ki'!BC109&lt;&gt;0,'Técnicas de Ki'!BC109+TS!$P214,0)*$P214/$P214,0))</f>
        <v>0</v>
      </c>
      <c r="BT214" s="538">
        <f>IF('Técnicas de Ki'!AR109=0,0,IFERROR(IF('Técnicas de Ki'!BD109&lt;&gt;0,'Técnicas de Ki'!BD109+TS!$Q214,0)*$Q214/$Q214,0))</f>
        <v>0</v>
      </c>
      <c r="BU214" s="538">
        <f>IF('Técnicas de Ki'!AR109=0,0,IFERROR(IF('Técnicas de Ki'!BE109&lt;&gt;0,'Técnicas de Ki'!BE109+TS!$R214,0)*$R214/$R214,0))</f>
        <v>0</v>
      </c>
      <c r="BV214" s="538">
        <f>IF('Técnicas de Ki'!AR109=0,0,IFERROR(IF('Técnicas de Ki'!BF109&lt;&gt;0,'Técnicas de Ki'!BF109+TS!$S214,0)*$S214/$S214,0))</f>
        <v>0</v>
      </c>
      <c r="BW214" s="539">
        <f>IF('Técnicas de Ki'!AR109=0,0,IFERROR(IF('Técnicas de Ki'!BG109&lt;&gt;0,'Técnicas de Ki'!BG109+TS!$T214,0)*$T214/$T214,0))</f>
        <v>0</v>
      </c>
      <c r="BY214" s="571" t="str">
        <f>IF('Técnicas de Ki'!AR117&lt;&gt;0,'Técnicas de Ki'!AQ117&amp;" "&amp;'Técnicas de Ki'!AR117,"")</f>
        <v/>
      </c>
      <c r="BZ214" s="302" t="b">
        <f t="shared" si="35"/>
        <v>0</v>
      </c>
      <c r="CA214" s="302" t="str">
        <f t="shared" si="39"/>
        <v/>
      </c>
      <c r="CG214" s="537">
        <f>IF('Técnicas de Ki'!BM109=0,0,IF('Técnicas de Ki'!BT109=TS!CG$119,'Técnicas de Ki'!BN109-(IF($O214&lt;&gt;0,'Técnicas de Ki'!BW109,0)+IF($P214&lt;&gt;0,'Técnicas de Ki'!BX109,0)+IF($Q214&lt;&gt;0,'Técnicas de Ki'!BY109,0)+IF($R214&lt;&gt;0,'Técnicas de Ki'!BZ109,0)+IF($S214&lt;&gt;0,'Técnicas de Ki'!CA109,0)+IF($T214&lt;&gt;0,'Técnicas de Ki'!CB109,0)),0))</f>
        <v>0</v>
      </c>
      <c r="CH214" s="538">
        <f>IF('Técnicas de Ki'!BM109=0,0,IF('Técnicas de Ki'!BT109=TS!CH$119,'Técnicas de Ki'!BN109-(IF($O214&lt;&gt;0,'Técnicas de Ki'!BW109,0)+IF($P214&lt;&gt;0,'Técnicas de Ki'!BX109,0)+IF($Q214&lt;&gt;0,'Técnicas de Ki'!BY109,0)+IF($R214&lt;&gt;0,'Técnicas de Ki'!BZ109,0)+IF($S214&lt;&gt;0,'Técnicas de Ki'!CA109,0)+IF($T214&lt;&gt;0,'Técnicas de Ki'!CB109,0)),0))</f>
        <v>0</v>
      </c>
      <c r="CI214" s="538">
        <f>IF('Técnicas de Ki'!BM109=0,0,IF('Técnicas de Ki'!BT109=TS!CI$119,'Técnicas de Ki'!BN109-(IF($O214&lt;&gt;0,'Técnicas de Ki'!BW109,0)+IF($P214&lt;&gt;0,'Técnicas de Ki'!BX109,0)+IF($Q214&lt;&gt;0,'Técnicas de Ki'!BY109,0)+IF($R214&lt;&gt;0,'Técnicas de Ki'!BZ109,0)+IF($S214&lt;&gt;0,'Técnicas de Ki'!CA109,0)+IF($T214&lt;&gt;0,'Técnicas de Ki'!CB109,0)),0))</f>
        <v>0</v>
      </c>
      <c r="CJ214" s="538">
        <f>IF('Técnicas de Ki'!BM109=0,0,IF('Técnicas de Ki'!BT109=TS!CJ$119,'Técnicas de Ki'!BN109-(IF($O214&lt;&gt;0,'Técnicas de Ki'!BW109,0)+IF($P214&lt;&gt;0,'Técnicas de Ki'!BX109,0)+IF($Q214&lt;&gt;0,'Técnicas de Ki'!BY109,0)+IF($R214&lt;&gt;0,'Técnicas de Ki'!BZ109,0)+IF($S214&lt;&gt;0,'Técnicas de Ki'!CA109,0)+IF($T214&lt;&gt;0,'Técnicas de Ki'!CB109,0)),0))</f>
        <v>0</v>
      </c>
      <c r="CK214" s="538">
        <f>IF('Técnicas de Ki'!BM109=0,0,IF('Técnicas de Ki'!BT109=TS!CK$119,'Técnicas de Ki'!BN109-(IF($O214&lt;&gt;0,'Técnicas de Ki'!BW109,0)+IF($P214&lt;&gt;0,'Técnicas de Ki'!BX109,0)+IF($Q214&lt;&gt;0,'Técnicas de Ki'!BY109,0)+IF($R214&lt;&gt;0,'Técnicas de Ki'!BZ109,0)+IF($S214&lt;&gt;0,'Técnicas de Ki'!CA109,0)+IF($T214&lt;&gt;0,'Técnicas de Ki'!CB109,0)),0))</f>
        <v>0</v>
      </c>
      <c r="CL214" s="539">
        <f>IF('Técnicas de Ki'!BM109=0,0,IF('Técnicas de Ki'!BT109=TS!CL$119,'Técnicas de Ki'!BN109-(IF($O214&lt;&gt;0,'Técnicas de Ki'!BW109,0)+IF($P214&lt;&gt;0,'Técnicas de Ki'!BX109,0)+IF($Q214&lt;&gt;0,'Técnicas de Ki'!BY109,0)+IF($R214&lt;&gt;0,'Técnicas de Ki'!BZ109,0)+IF($S214&lt;&gt;0,'Técnicas de Ki'!CA109,0)+IF($T214&lt;&gt;0,'Técnicas de Ki'!CB109,0)),0))</f>
        <v>0</v>
      </c>
      <c r="CM214" s="538">
        <f>IF('Técnicas de Ki'!BM109=0,0,IFERROR(IF('Técnicas de Ki'!BW109&lt;&gt;0,'Técnicas de Ki'!BW109+TS!$O214,0)*$O214/$O214,0))</f>
        <v>0</v>
      </c>
      <c r="CN214" s="538">
        <f>IF('Técnicas de Ki'!BM109=0,0,IFERROR(IF('Técnicas de Ki'!BX109&lt;&gt;0,'Técnicas de Ki'!BX109+TS!$P214,0)*$P214/$P214,0))</f>
        <v>0</v>
      </c>
      <c r="CO214" s="538">
        <f>IF('Técnicas de Ki'!BM109=0,0,IFERROR(IF('Técnicas de Ki'!BY109&lt;&gt;0,'Técnicas de Ki'!BY109+TS!$Q214,0)*$Q214/$Q214,0))</f>
        <v>0</v>
      </c>
      <c r="CP214" s="538">
        <f>IF('Técnicas de Ki'!BM109=0,0,IFERROR(IF('Técnicas de Ki'!BZ109&lt;&gt;0,'Técnicas de Ki'!BZ109+TS!$R214,0)*$R214/$R214,0))</f>
        <v>0</v>
      </c>
      <c r="CQ214" s="538">
        <f>IF('Técnicas de Ki'!BM109=0,0,IFERROR(IF('Técnicas de Ki'!CA109&lt;&gt;0,'Técnicas de Ki'!CA109+TS!$S214,0)*$S214/$S214,0))</f>
        <v>0</v>
      </c>
      <c r="CR214" s="539">
        <f>IF('Técnicas de Ki'!BM109=0,0,IFERROR(IF('Técnicas de Ki'!CB109&lt;&gt;0,'Técnicas de Ki'!CB109+TS!$T214,0)*$T214/$T214,0))</f>
        <v>0</v>
      </c>
      <c r="CT214" s="571" t="str">
        <f>IF('Técnicas de Ki'!BM117&lt;&gt;0,'Técnicas de Ki'!BL117&amp;" "&amp;'Técnicas de Ki'!BM117,"")</f>
        <v/>
      </c>
      <c r="CU214" s="302" t="b">
        <f t="shared" si="36"/>
        <v>0</v>
      </c>
      <c r="CV214" s="302" t="str">
        <f t="shared" si="40"/>
        <v/>
      </c>
    </row>
    <row r="215" spans="1:101" x14ac:dyDescent="0.2">
      <c r="A215" s="302" t="s">
        <v>6880</v>
      </c>
      <c r="B215" s="301" t="s">
        <v>6811</v>
      </c>
      <c r="C215" s="301" t="str">
        <f t="shared" si="42"/>
        <v>Incrementar turno+175</v>
      </c>
      <c r="D215" s="302">
        <v>12</v>
      </c>
      <c r="E215" s="302">
        <v>15</v>
      </c>
      <c r="F215" s="302">
        <v>35</v>
      </c>
      <c r="G215" s="302">
        <v>6</v>
      </c>
      <c r="H215" s="302">
        <v>12</v>
      </c>
      <c r="I215" s="302">
        <v>21</v>
      </c>
      <c r="J215" s="302">
        <v>3</v>
      </c>
      <c r="N215" t="s">
        <v>6988</v>
      </c>
      <c r="O215" s="302">
        <v>2</v>
      </c>
      <c r="Q215" s="302">
        <v>3</v>
      </c>
      <c r="R215" s="302">
        <v>3</v>
      </c>
      <c r="T215" s="302">
        <v>1</v>
      </c>
      <c r="V215" s="537">
        <f>IF('Técnicas de Ki'!B110=0,0,IF('Técnicas de Ki'!I110=TS!V$119,'Técnicas de Ki'!C110-(IF($O215&lt;&gt;0,'Técnicas de Ki'!L110,0)+IF($P215&lt;&gt;0,'Técnicas de Ki'!M110,0)+IF($Q215&lt;&gt;0,'Técnicas de Ki'!N110,0)+IF($R215&lt;&gt;0,'Técnicas de Ki'!O110,0)+IF($S215&lt;&gt;0,'Técnicas de Ki'!P110,0)+IF($T215&lt;&gt;0,'Técnicas de Ki'!Q110,0)),0))</f>
        <v>0</v>
      </c>
      <c r="W215" s="538">
        <f>IF('Técnicas de Ki'!B110=0,0,IF('Técnicas de Ki'!I110=TS!W$119,'Técnicas de Ki'!C110-(IF($O215&lt;&gt;0,'Técnicas de Ki'!L110,0)+IF($P215&lt;&gt;0,'Técnicas de Ki'!M110,0)+IF($Q215&lt;&gt;0,'Técnicas de Ki'!N110,0)+IF($R215&lt;&gt;0,'Técnicas de Ki'!O110,0)+IF($S215&lt;&gt;0,'Técnicas de Ki'!P110,0)+IF($T215&lt;&gt;0,'Técnicas de Ki'!Q110,0)),0))</f>
        <v>0</v>
      </c>
      <c r="X215" s="538">
        <f>IF('Técnicas de Ki'!B110=0,0,IF('Técnicas de Ki'!I110=TS!X$119,'Técnicas de Ki'!C110-(IF($O215&lt;&gt;0,'Técnicas de Ki'!L110,0)+IF($P215&lt;&gt;0,'Técnicas de Ki'!M110,0)+IF($Q215&lt;&gt;0,'Técnicas de Ki'!N110,0)+IF($R215&lt;&gt;0,'Técnicas de Ki'!O110,0)+IF($S215&lt;&gt;0,'Técnicas de Ki'!P110,0)+IF($T215&lt;&gt;0,'Técnicas de Ki'!Q110,0)),0))</f>
        <v>0</v>
      </c>
      <c r="Y215" s="538">
        <f>IF('Técnicas de Ki'!B110=0,0,IF('Técnicas de Ki'!I110=TS!Y$119,'Técnicas de Ki'!C110-(IF($O215&lt;&gt;0,'Técnicas de Ki'!L110,0)+IF($P215&lt;&gt;0,'Técnicas de Ki'!M110,0)+IF($Q215&lt;&gt;0,'Técnicas de Ki'!N110,0)+IF($R215&lt;&gt;0,'Técnicas de Ki'!O110,0)+IF($S215&lt;&gt;0,'Técnicas de Ki'!P110,0)+IF($T215&lt;&gt;0,'Técnicas de Ki'!Q110,0)),0))</f>
        <v>0</v>
      </c>
      <c r="Z215" s="538">
        <f>IF('Técnicas de Ki'!B110=0,0,IF('Técnicas de Ki'!I110=TS!Z$119,'Técnicas de Ki'!C110-(IF($O215&lt;&gt;0,'Técnicas de Ki'!L110,0)+IF($P215&lt;&gt;0,'Técnicas de Ki'!M110,0)+IF($Q215&lt;&gt;0,'Técnicas de Ki'!N110,0)+IF($R215&lt;&gt;0,'Técnicas de Ki'!O110,0)+IF($S215&lt;&gt;0,'Técnicas de Ki'!P110,0)+IF($T215&lt;&gt;0,'Técnicas de Ki'!Q110,0)),0))</f>
        <v>0</v>
      </c>
      <c r="AA215" s="539">
        <f>IF('Técnicas de Ki'!B110=0,0,IF('Técnicas de Ki'!I110=TS!AA$119,'Técnicas de Ki'!C110-(IF($O215&lt;&gt;0,'Técnicas de Ki'!L110,0)+IF($P215&lt;&gt;0,'Técnicas de Ki'!M110,0)+IF($Q215&lt;&gt;0,'Técnicas de Ki'!N110,0)+IF($R215&lt;&gt;0,'Técnicas de Ki'!O110,0)+IF($S215&lt;&gt;0,'Técnicas de Ki'!P110,0)+IF($T215&lt;&gt;0,'Técnicas de Ki'!Q110,0)),0))</f>
        <v>0</v>
      </c>
      <c r="AB215" s="538">
        <f>IF('Técnicas de Ki'!B110=0,0,IFERROR(IF('Técnicas de Ki'!L110&lt;&gt;0,'Técnicas de Ki'!L110+TS!$O215,0)*$O215/$O215,0))</f>
        <v>0</v>
      </c>
      <c r="AC215" s="538">
        <f>IF('Técnicas de Ki'!B110=0,0,IFERROR(IF('Técnicas de Ki'!M110&lt;&gt;0,'Técnicas de Ki'!M110+TS!$P215,0)*$P215/$P215,0))</f>
        <v>0</v>
      </c>
      <c r="AD215" s="538">
        <f>IF('Técnicas de Ki'!B110=0,0,IFERROR(IF('Técnicas de Ki'!N110&lt;&gt;0,'Técnicas de Ki'!N110+TS!$Q215,0)*$Q215/$Q215,0))</f>
        <v>0</v>
      </c>
      <c r="AE215" s="538">
        <f>IF('Técnicas de Ki'!B110=0,0,IFERROR(IF('Técnicas de Ki'!O110&lt;&gt;0,'Técnicas de Ki'!O110+TS!$R215,0)*$R215/$R215,0))</f>
        <v>0</v>
      </c>
      <c r="AF215" s="538">
        <f>IF('Técnicas de Ki'!B110=0,0,IFERROR(IF('Técnicas de Ki'!P110&lt;&gt;0,'Técnicas de Ki'!P110+TS!$S215,0)*$S215/$S215,0))</f>
        <v>0</v>
      </c>
      <c r="AG215" s="539">
        <f>IF('Técnicas de Ki'!B110=0,0,IFERROR(IF('Técnicas de Ki'!Q110&lt;&gt;0,'Técnicas de Ki'!Q110+TS!$T215,0)*$T215/$T215,0))</f>
        <v>0</v>
      </c>
      <c r="AI215" s="571" t="str">
        <f>IF('Técnicas de Ki'!B118&lt;&gt;0,'Técnicas de Ki'!A118&amp;" "&amp;'Técnicas de Ki'!B118,"")</f>
        <v/>
      </c>
      <c r="AJ215" s="302" t="b">
        <f t="shared" si="41"/>
        <v>0</v>
      </c>
      <c r="AK215" s="302" t="str">
        <f t="shared" si="37"/>
        <v/>
      </c>
      <c r="AQ215" s="537">
        <f>IF('Técnicas de Ki'!W110=0,0,IF('Técnicas de Ki'!AD110=TS!AQ$119,'Técnicas de Ki'!X110-(IF($O215&lt;&gt;0,'Técnicas de Ki'!AG110,0)+IF($P215&lt;&gt;0,'Técnicas de Ki'!AH110,0)+IF($Q215&lt;&gt;0,'Técnicas de Ki'!AI110,0)+IF($R215&lt;&gt;0,'Técnicas de Ki'!AJ110,0)+IF($S215&lt;&gt;0,'Técnicas de Ki'!AK110,0)+IF($T215&lt;&gt;0,'Técnicas de Ki'!AL110,0)),0))</f>
        <v>0</v>
      </c>
      <c r="AR215" s="538">
        <f>IF('Técnicas de Ki'!W110=0,0,IF('Técnicas de Ki'!AD110=TS!AR$119,'Técnicas de Ki'!X110-(IF($O215&lt;&gt;0,'Técnicas de Ki'!AG110,0)+IF($P215&lt;&gt;0,'Técnicas de Ki'!AH110,0)+IF($Q215&lt;&gt;0,'Técnicas de Ki'!AI110,0)+IF($R215&lt;&gt;0,'Técnicas de Ki'!AJ110,0)+IF($S215&lt;&gt;0,'Técnicas de Ki'!AK110,0)+IF($T215&lt;&gt;0,'Técnicas de Ki'!AL110,0)),0))</f>
        <v>0</v>
      </c>
      <c r="AS215" s="538">
        <f>IF('Técnicas de Ki'!W110=0,0,IF('Técnicas de Ki'!AD110=TS!AS$119,'Técnicas de Ki'!X110-(IF($O215&lt;&gt;0,'Técnicas de Ki'!AG110,0)+IF($P215&lt;&gt;0,'Técnicas de Ki'!AH110,0)+IF($Q215&lt;&gt;0,'Técnicas de Ki'!AI110,0)+IF($R215&lt;&gt;0,'Técnicas de Ki'!AJ110,0)+IF($S215&lt;&gt;0,'Técnicas de Ki'!AK110,0)+IF($T215&lt;&gt;0,'Técnicas de Ki'!AL110,0)),0))</f>
        <v>0</v>
      </c>
      <c r="AT215" s="538">
        <f>IF('Técnicas de Ki'!W110=0,0,IF('Técnicas de Ki'!AD110=TS!AT$119,'Técnicas de Ki'!X110-(IF($O215&lt;&gt;0,'Técnicas de Ki'!AG110,0)+IF($P215&lt;&gt;0,'Técnicas de Ki'!AH110,0)+IF($Q215&lt;&gt;0,'Técnicas de Ki'!AI110,0)+IF($R215&lt;&gt;0,'Técnicas de Ki'!AJ110,0)+IF($S215&lt;&gt;0,'Técnicas de Ki'!AK110,0)+IF($T215&lt;&gt;0,'Técnicas de Ki'!AL110,0)),0))</f>
        <v>0</v>
      </c>
      <c r="AU215" s="538">
        <f>IF('Técnicas de Ki'!W110=0,0,IF('Técnicas de Ki'!AD110=TS!AU$119,'Técnicas de Ki'!X110-(IF($O215&lt;&gt;0,'Técnicas de Ki'!AG110,0)+IF($P215&lt;&gt;0,'Técnicas de Ki'!AH110,0)+IF($Q215&lt;&gt;0,'Técnicas de Ki'!AI110,0)+IF($R215&lt;&gt;0,'Técnicas de Ki'!AJ110,0)+IF($S215&lt;&gt;0,'Técnicas de Ki'!AK110,0)+IF($T215&lt;&gt;0,'Técnicas de Ki'!AL110,0)),0))</f>
        <v>0</v>
      </c>
      <c r="AV215" s="539">
        <f>IF('Técnicas de Ki'!W110=0,0,IF('Técnicas de Ki'!AD110=TS!AV$119,'Técnicas de Ki'!X110-(IF($O215&lt;&gt;0,'Técnicas de Ki'!AG110,0)+IF($P215&lt;&gt;0,'Técnicas de Ki'!AH110,0)+IF($Q215&lt;&gt;0,'Técnicas de Ki'!AI110,0)+IF($R215&lt;&gt;0,'Técnicas de Ki'!AJ110,0)+IF($S215&lt;&gt;0,'Técnicas de Ki'!AK110,0)+IF($T215&lt;&gt;0,'Técnicas de Ki'!AL110,0)),0))</f>
        <v>0</v>
      </c>
      <c r="AW215" s="538">
        <f>IF('Técnicas de Ki'!W110=0,0,IFERROR(IF('Técnicas de Ki'!AG110&lt;&gt;0,'Técnicas de Ki'!AG110+TS!$O215,0)*$O215/$O215,0))</f>
        <v>0</v>
      </c>
      <c r="AX215" s="538">
        <f>IF('Técnicas de Ki'!W110=0,0,IFERROR(IF('Técnicas de Ki'!AH110&lt;&gt;0,'Técnicas de Ki'!AH110+TS!$P215,0)*$P215/$P215,0))</f>
        <v>0</v>
      </c>
      <c r="AY215" s="538">
        <f>IF('Técnicas de Ki'!W110=0,0,IFERROR(IF('Técnicas de Ki'!AI110&lt;&gt;0,'Técnicas de Ki'!AI110+TS!$Q215,0)*$Q215/$Q215,0))</f>
        <v>0</v>
      </c>
      <c r="AZ215" s="538">
        <f>IF('Técnicas de Ki'!W110=0,0,IFERROR(IF('Técnicas de Ki'!AJ110&lt;&gt;0,'Técnicas de Ki'!AJ110+TS!$R215,0)*$R215/$R215,0))</f>
        <v>0</v>
      </c>
      <c r="BA215" s="538">
        <f>IF('Técnicas de Ki'!W110=0,0,IFERROR(IF('Técnicas de Ki'!AK110&lt;&gt;0,'Técnicas de Ki'!AK110+TS!$S215,0)*$S215/$S215,0))</f>
        <v>0</v>
      </c>
      <c r="BB215" s="539">
        <f>IF('Técnicas de Ki'!W110=0,0,IFERROR(IF('Técnicas de Ki'!AL110&lt;&gt;0,'Técnicas de Ki'!AL110+TS!$T215,0)*$T215/$T215,0))</f>
        <v>0</v>
      </c>
      <c r="BD215" s="571" t="str">
        <f>IF('Técnicas de Ki'!W118&lt;&gt;0,'Técnicas de Ki'!V118&amp;" "&amp;'Técnicas de Ki'!W118,"")</f>
        <v/>
      </c>
      <c r="BE215" s="302" t="b">
        <f t="shared" si="34"/>
        <v>0</v>
      </c>
      <c r="BF215" s="302" t="str">
        <f t="shared" si="38"/>
        <v/>
      </c>
      <c r="BL215" s="537">
        <f>IF('Técnicas de Ki'!AR110=0,0,IF('Técnicas de Ki'!AY110=TS!BL$119,'Técnicas de Ki'!AS110-(IF($O215&lt;&gt;0,'Técnicas de Ki'!BB110,0)+IF($P215&lt;&gt;0,'Técnicas de Ki'!BC110,0)+IF($Q215&lt;&gt;0,'Técnicas de Ki'!BD110,0)+IF($R215&lt;&gt;0,'Técnicas de Ki'!BE110,0)+IF($S215&lt;&gt;0,'Técnicas de Ki'!BF110,0)+IF($T215&lt;&gt;0,'Técnicas de Ki'!BG110,0)),0))</f>
        <v>0</v>
      </c>
      <c r="BM215" s="538">
        <f>IF('Técnicas de Ki'!AR110=0,0,IF('Técnicas de Ki'!AY110=TS!BM$119,'Técnicas de Ki'!AS110-(IF($O215&lt;&gt;0,'Técnicas de Ki'!BB110,0)+IF($P215&lt;&gt;0,'Técnicas de Ki'!BC110,0)+IF($Q215&lt;&gt;0,'Técnicas de Ki'!BD110,0)+IF($R215&lt;&gt;0,'Técnicas de Ki'!BE110,0)+IF($S215&lt;&gt;0,'Técnicas de Ki'!BF110,0)+IF($T215&lt;&gt;0,'Técnicas de Ki'!BG110,0)),0))</f>
        <v>0</v>
      </c>
      <c r="BN215" s="538">
        <f>IF('Técnicas de Ki'!AR110=0,0,IF('Técnicas de Ki'!AY110=TS!BN$119,'Técnicas de Ki'!AS110-(IF($O215&lt;&gt;0,'Técnicas de Ki'!BB110,0)+IF($P215&lt;&gt;0,'Técnicas de Ki'!BC110,0)+IF($Q215&lt;&gt;0,'Técnicas de Ki'!BD110,0)+IF($R215&lt;&gt;0,'Técnicas de Ki'!BE110,0)+IF($S215&lt;&gt;0,'Técnicas de Ki'!BF110,0)+IF($T215&lt;&gt;0,'Técnicas de Ki'!BG110,0)),0))</f>
        <v>0</v>
      </c>
      <c r="BO215" s="538">
        <f>IF('Técnicas de Ki'!AR110=0,0,IF('Técnicas de Ki'!AY110=TS!BO$119,'Técnicas de Ki'!AS110-(IF($O215&lt;&gt;0,'Técnicas de Ki'!BB110,0)+IF($P215&lt;&gt;0,'Técnicas de Ki'!BC110,0)+IF($Q215&lt;&gt;0,'Técnicas de Ki'!BD110,0)+IF($R215&lt;&gt;0,'Técnicas de Ki'!BE110,0)+IF($S215&lt;&gt;0,'Técnicas de Ki'!BF110,0)+IF($T215&lt;&gt;0,'Técnicas de Ki'!BG110,0)),0))</f>
        <v>0</v>
      </c>
      <c r="BP215" s="538">
        <f>IF('Técnicas de Ki'!AR110=0,0,IF('Técnicas de Ki'!AY110=TS!BP$119,'Técnicas de Ki'!AS110-(IF($O215&lt;&gt;0,'Técnicas de Ki'!BB110,0)+IF($P215&lt;&gt;0,'Técnicas de Ki'!BC110,0)+IF($Q215&lt;&gt;0,'Técnicas de Ki'!BD110,0)+IF($R215&lt;&gt;0,'Técnicas de Ki'!BE110,0)+IF($S215&lt;&gt;0,'Técnicas de Ki'!BF110,0)+IF($T215&lt;&gt;0,'Técnicas de Ki'!BG110,0)),0))</f>
        <v>0</v>
      </c>
      <c r="BQ215" s="539">
        <f>IF('Técnicas de Ki'!AR110=0,0,IF('Técnicas de Ki'!AY110=TS!BQ$119,'Técnicas de Ki'!AS110-(IF($O215&lt;&gt;0,'Técnicas de Ki'!BB110,0)+IF($P215&lt;&gt;0,'Técnicas de Ki'!BC110,0)+IF($Q215&lt;&gt;0,'Técnicas de Ki'!BD110,0)+IF($R215&lt;&gt;0,'Técnicas de Ki'!BE110,0)+IF($S215&lt;&gt;0,'Técnicas de Ki'!BF110,0)+IF($T215&lt;&gt;0,'Técnicas de Ki'!BG110,0)),0))</f>
        <v>0</v>
      </c>
      <c r="BR215" s="538">
        <f>IF('Técnicas de Ki'!AR110=0,0,IFERROR(IF('Técnicas de Ki'!BB110&lt;&gt;0,'Técnicas de Ki'!BB110+TS!$O215,0)*$O215/$O215,0))</f>
        <v>0</v>
      </c>
      <c r="BS215" s="538">
        <f>IF('Técnicas de Ki'!AR110=0,0,IFERROR(IF('Técnicas de Ki'!BC110&lt;&gt;0,'Técnicas de Ki'!BC110+TS!$P215,0)*$P215/$P215,0))</f>
        <v>0</v>
      </c>
      <c r="BT215" s="538">
        <f>IF('Técnicas de Ki'!AR110=0,0,IFERROR(IF('Técnicas de Ki'!BD110&lt;&gt;0,'Técnicas de Ki'!BD110+TS!$Q215,0)*$Q215/$Q215,0))</f>
        <v>0</v>
      </c>
      <c r="BU215" s="538">
        <f>IF('Técnicas de Ki'!AR110=0,0,IFERROR(IF('Técnicas de Ki'!BE110&lt;&gt;0,'Técnicas de Ki'!BE110+TS!$R215,0)*$R215/$R215,0))</f>
        <v>0</v>
      </c>
      <c r="BV215" s="538">
        <f>IF('Técnicas de Ki'!AR110=0,0,IFERROR(IF('Técnicas de Ki'!BF110&lt;&gt;0,'Técnicas de Ki'!BF110+TS!$S215,0)*$S215/$S215,0))</f>
        <v>0</v>
      </c>
      <c r="BW215" s="539">
        <f>IF('Técnicas de Ki'!AR110=0,0,IFERROR(IF('Técnicas de Ki'!BG110&lt;&gt;0,'Técnicas de Ki'!BG110+TS!$T215,0)*$T215/$T215,0))</f>
        <v>0</v>
      </c>
      <c r="BY215" s="571" t="str">
        <f>IF('Técnicas de Ki'!AR118&lt;&gt;0,'Técnicas de Ki'!AQ118&amp;" "&amp;'Técnicas de Ki'!AR118,"")</f>
        <v/>
      </c>
      <c r="BZ215" s="302" t="b">
        <f t="shared" si="35"/>
        <v>0</v>
      </c>
      <c r="CA215" s="302" t="str">
        <f t="shared" si="39"/>
        <v/>
      </c>
      <c r="CG215" s="537">
        <f>IF('Técnicas de Ki'!BM110=0,0,IF('Técnicas de Ki'!BT110=TS!CG$119,'Técnicas de Ki'!BN110-(IF($O215&lt;&gt;0,'Técnicas de Ki'!BW110,0)+IF($P215&lt;&gt;0,'Técnicas de Ki'!BX110,0)+IF($Q215&lt;&gt;0,'Técnicas de Ki'!BY110,0)+IF($R215&lt;&gt;0,'Técnicas de Ki'!BZ110,0)+IF($S215&lt;&gt;0,'Técnicas de Ki'!CA110,0)+IF($T215&lt;&gt;0,'Técnicas de Ki'!CB110,0)),0))</f>
        <v>0</v>
      </c>
      <c r="CH215" s="538">
        <f>IF('Técnicas de Ki'!BM110=0,0,IF('Técnicas de Ki'!BT110=TS!CH$119,'Técnicas de Ki'!BN110-(IF($O215&lt;&gt;0,'Técnicas de Ki'!BW110,0)+IF($P215&lt;&gt;0,'Técnicas de Ki'!BX110,0)+IF($Q215&lt;&gt;0,'Técnicas de Ki'!BY110,0)+IF($R215&lt;&gt;0,'Técnicas de Ki'!BZ110,0)+IF($S215&lt;&gt;0,'Técnicas de Ki'!CA110,0)+IF($T215&lt;&gt;0,'Técnicas de Ki'!CB110,0)),0))</f>
        <v>0</v>
      </c>
      <c r="CI215" s="538">
        <f>IF('Técnicas de Ki'!BM110=0,0,IF('Técnicas de Ki'!BT110=TS!CI$119,'Técnicas de Ki'!BN110-(IF($O215&lt;&gt;0,'Técnicas de Ki'!BW110,0)+IF($P215&lt;&gt;0,'Técnicas de Ki'!BX110,0)+IF($Q215&lt;&gt;0,'Técnicas de Ki'!BY110,0)+IF($R215&lt;&gt;0,'Técnicas de Ki'!BZ110,0)+IF($S215&lt;&gt;0,'Técnicas de Ki'!CA110,0)+IF($T215&lt;&gt;0,'Técnicas de Ki'!CB110,0)),0))</f>
        <v>0</v>
      </c>
      <c r="CJ215" s="538">
        <f>IF('Técnicas de Ki'!BM110=0,0,IF('Técnicas de Ki'!BT110=TS!CJ$119,'Técnicas de Ki'!BN110-(IF($O215&lt;&gt;0,'Técnicas de Ki'!BW110,0)+IF($P215&lt;&gt;0,'Técnicas de Ki'!BX110,0)+IF($Q215&lt;&gt;0,'Técnicas de Ki'!BY110,0)+IF($R215&lt;&gt;0,'Técnicas de Ki'!BZ110,0)+IF($S215&lt;&gt;0,'Técnicas de Ki'!CA110,0)+IF($T215&lt;&gt;0,'Técnicas de Ki'!CB110,0)),0))</f>
        <v>0</v>
      </c>
      <c r="CK215" s="538">
        <f>IF('Técnicas de Ki'!BM110=0,0,IF('Técnicas de Ki'!BT110=TS!CK$119,'Técnicas de Ki'!BN110-(IF($O215&lt;&gt;0,'Técnicas de Ki'!BW110,0)+IF($P215&lt;&gt;0,'Técnicas de Ki'!BX110,0)+IF($Q215&lt;&gt;0,'Técnicas de Ki'!BY110,0)+IF($R215&lt;&gt;0,'Técnicas de Ki'!BZ110,0)+IF($S215&lt;&gt;0,'Técnicas de Ki'!CA110,0)+IF($T215&lt;&gt;0,'Técnicas de Ki'!CB110,0)),0))</f>
        <v>0</v>
      </c>
      <c r="CL215" s="539">
        <f>IF('Técnicas de Ki'!BM110=0,0,IF('Técnicas de Ki'!BT110=TS!CL$119,'Técnicas de Ki'!BN110-(IF($O215&lt;&gt;0,'Técnicas de Ki'!BW110,0)+IF($P215&lt;&gt;0,'Técnicas de Ki'!BX110,0)+IF($Q215&lt;&gt;0,'Técnicas de Ki'!BY110,0)+IF($R215&lt;&gt;0,'Técnicas de Ki'!BZ110,0)+IF($S215&lt;&gt;0,'Técnicas de Ki'!CA110,0)+IF($T215&lt;&gt;0,'Técnicas de Ki'!CB110,0)),0))</f>
        <v>0</v>
      </c>
      <c r="CM215" s="538">
        <f>IF('Técnicas de Ki'!BM110=0,0,IFERROR(IF('Técnicas de Ki'!BW110&lt;&gt;0,'Técnicas de Ki'!BW110+TS!$O215,0)*$O215/$O215,0))</f>
        <v>0</v>
      </c>
      <c r="CN215" s="538">
        <f>IF('Técnicas de Ki'!BM110=0,0,IFERROR(IF('Técnicas de Ki'!BX110&lt;&gt;0,'Técnicas de Ki'!BX110+TS!$P215,0)*$P215/$P215,0))</f>
        <v>0</v>
      </c>
      <c r="CO215" s="538">
        <f>IF('Técnicas de Ki'!BM110=0,0,IFERROR(IF('Técnicas de Ki'!BY110&lt;&gt;0,'Técnicas de Ki'!BY110+TS!$Q215,0)*$Q215/$Q215,0))</f>
        <v>0</v>
      </c>
      <c r="CP215" s="538">
        <f>IF('Técnicas de Ki'!BM110=0,0,IFERROR(IF('Técnicas de Ki'!BZ110&lt;&gt;0,'Técnicas de Ki'!BZ110+TS!$R215,0)*$R215/$R215,0))</f>
        <v>0</v>
      </c>
      <c r="CQ215" s="538">
        <f>IF('Técnicas de Ki'!BM110=0,0,IFERROR(IF('Técnicas de Ki'!CA110&lt;&gt;0,'Técnicas de Ki'!CA110+TS!$S215,0)*$S215/$S215,0))</f>
        <v>0</v>
      </c>
      <c r="CR215" s="539">
        <f>IF('Técnicas de Ki'!BM110=0,0,IFERROR(IF('Técnicas de Ki'!CB110&lt;&gt;0,'Técnicas de Ki'!CB110+TS!$T215,0)*$T215/$T215,0))</f>
        <v>0</v>
      </c>
      <c r="CT215" s="571" t="str">
        <f>IF('Técnicas de Ki'!BM118&lt;&gt;0,'Técnicas de Ki'!BL118&amp;" "&amp;'Técnicas de Ki'!BM118,"")</f>
        <v/>
      </c>
      <c r="CU215" s="302" t="b">
        <f t="shared" si="36"/>
        <v>0</v>
      </c>
      <c r="CV215" s="302" t="str">
        <f t="shared" si="40"/>
        <v/>
      </c>
    </row>
    <row r="216" spans="1:101" x14ac:dyDescent="0.2">
      <c r="A216" s="302" t="s">
        <v>6880</v>
      </c>
      <c r="B216" s="301" t="s">
        <v>6812</v>
      </c>
      <c r="C216" s="301" t="str">
        <f t="shared" si="42"/>
        <v>Incrementar turno+200</v>
      </c>
      <c r="D216" s="302">
        <v>14</v>
      </c>
      <c r="E216" s="302">
        <v>18</v>
      </c>
      <c r="F216" s="302">
        <v>40</v>
      </c>
      <c r="G216" s="302">
        <v>7</v>
      </c>
      <c r="H216" s="302">
        <v>14</v>
      </c>
      <c r="I216" s="302">
        <v>25</v>
      </c>
      <c r="J216" s="302">
        <v>3</v>
      </c>
      <c r="N216" t="s">
        <v>6990</v>
      </c>
      <c r="O216" s="302">
        <v>3</v>
      </c>
      <c r="Q216" s="302">
        <v>3</v>
      </c>
      <c r="R216" s="302">
        <v>3</v>
      </c>
      <c r="S216" s="302">
        <v>1</v>
      </c>
      <c r="V216" s="537">
        <f>IF('Técnicas de Ki'!B111=0,0,IF('Técnicas de Ki'!I111=TS!V$119,'Técnicas de Ki'!C111-(IF($O216&lt;&gt;0,'Técnicas de Ki'!L111,0)+IF($P216&lt;&gt;0,'Técnicas de Ki'!M111,0)+IF($Q216&lt;&gt;0,'Técnicas de Ki'!N111,0)+IF($R216&lt;&gt;0,'Técnicas de Ki'!O111,0)+IF($S216&lt;&gt;0,'Técnicas de Ki'!P111,0)+IF($T216&lt;&gt;0,'Técnicas de Ki'!Q111,0)),0))</f>
        <v>0</v>
      </c>
      <c r="W216" s="538">
        <f>IF('Técnicas de Ki'!B111=0,0,IF('Técnicas de Ki'!I111=TS!W$119,'Técnicas de Ki'!C111-(IF($O216&lt;&gt;0,'Técnicas de Ki'!L111,0)+IF($P216&lt;&gt;0,'Técnicas de Ki'!M111,0)+IF($Q216&lt;&gt;0,'Técnicas de Ki'!N111,0)+IF($R216&lt;&gt;0,'Técnicas de Ki'!O111,0)+IF($S216&lt;&gt;0,'Técnicas de Ki'!P111,0)+IF($T216&lt;&gt;0,'Técnicas de Ki'!Q111,0)),0))</f>
        <v>0</v>
      </c>
      <c r="X216" s="538">
        <f>IF('Técnicas de Ki'!B111=0,0,IF('Técnicas de Ki'!I111=TS!X$119,'Técnicas de Ki'!C111-(IF($O216&lt;&gt;0,'Técnicas de Ki'!L111,0)+IF($P216&lt;&gt;0,'Técnicas de Ki'!M111,0)+IF($Q216&lt;&gt;0,'Técnicas de Ki'!N111,0)+IF($R216&lt;&gt;0,'Técnicas de Ki'!O111,0)+IF($S216&lt;&gt;0,'Técnicas de Ki'!P111,0)+IF($T216&lt;&gt;0,'Técnicas de Ki'!Q111,0)),0))</f>
        <v>0</v>
      </c>
      <c r="Y216" s="538">
        <f>IF('Técnicas de Ki'!B111=0,0,IF('Técnicas de Ki'!I111=TS!Y$119,'Técnicas de Ki'!C111-(IF($O216&lt;&gt;0,'Técnicas de Ki'!L111,0)+IF($P216&lt;&gt;0,'Técnicas de Ki'!M111,0)+IF($Q216&lt;&gt;0,'Técnicas de Ki'!N111,0)+IF($R216&lt;&gt;0,'Técnicas de Ki'!O111,0)+IF($S216&lt;&gt;0,'Técnicas de Ki'!P111,0)+IF($T216&lt;&gt;0,'Técnicas de Ki'!Q111,0)),0))</f>
        <v>0</v>
      </c>
      <c r="Z216" s="538">
        <f>IF('Técnicas de Ki'!B111=0,0,IF('Técnicas de Ki'!I111=TS!Z$119,'Técnicas de Ki'!C111-(IF($O216&lt;&gt;0,'Técnicas de Ki'!L111,0)+IF($P216&lt;&gt;0,'Técnicas de Ki'!M111,0)+IF($Q216&lt;&gt;0,'Técnicas de Ki'!N111,0)+IF($R216&lt;&gt;0,'Técnicas de Ki'!O111,0)+IF($S216&lt;&gt;0,'Técnicas de Ki'!P111,0)+IF($T216&lt;&gt;0,'Técnicas de Ki'!Q111,0)),0))</f>
        <v>0</v>
      </c>
      <c r="AA216" s="539">
        <f>IF('Técnicas de Ki'!B111=0,0,IF('Técnicas de Ki'!I111=TS!AA$119,'Técnicas de Ki'!C111-(IF($O216&lt;&gt;0,'Técnicas de Ki'!L111,0)+IF($P216&lt;&gt;0,'Técnicas de Ki'!M111,0)+IF($Q216&lt;&gt;0,'Técnicas de Ki'!N111,0)+IF($R216&lt;&gt;0,'Técnicas de Ki'!O111,0)+IF($S216&lt;&gt;0,'Técnicas de Ki'!P111,0)+IF($T216&lt;&gt;0,'Técnicas de Ki'!Q111,0)),0))</f>
        <v>0</v>
      </c>
      <c r="AB216" s="538">
        <f>IF('Técnicas de Ki'!B111=0,0,IFERROR(IF('Técnicas de Ki'!L111&lt;&gt;0,'Técnicas de Ki'!L111+TS!$O216,0)*$O216/$O216,0))</f>
        <v>0</v>
      </c>
      <c r="AC216" s="538">
        <f>IF('Técnicas de Ki'!B111=0,0,IFERROR(IF('Técnicas de Ki'!M111&lt;&gt;0,'Técnicas de Ki'!M111+TS!$P216,0)*$P216/$P216,0))</f>
        <v>0</v>
      </c>
      <c r="AD216" s="538">
        <f>IF('Técnicas de Ki'!B111=0,0,IFERROR(IF('Técnicas de Ki'!N111&lt;&gt;0,'Técnicas de Ki'!N111+TS!$Q216,0)*$Q216/$Q216,0))</f>
        <v>0</v>
      </c>
      <c r="AE216" s="538">
        <f>IF('Técnicas de Ki'!B111=0,0,IFERROR(IF('Técnicas de Ki'!O111&lt;&gt;0,'Técnicas de Ki'!O111+TS!$R216,0)*$R216/$R216,0))</f>
        <v>0</v>
      </c>
      <c r="AF216" s="538">
        <f>IF('Técnicas de Ki'!B111=0,0,IFERROR(IF('Técnicas de Ki'!P111&lt;&gt;0,'Técnicas de Ki'!P111+TS!$S216,0)*$S216/$S216,0))</f>
        <v>0</v>
      </c>
      <c r="AG216" s="539">
        <f>IF('Técnicas de Ki'!B111=0,0,IFERROR(IF('Técnicas de Ki'!Q111&lt;&gt;0,'Técnicas de Ki'!Q111+TS!$T216,0)*$T216/$T216,0))</f>
        <v>0</v>
      </c>
      <c r="AI216" s="571" t="str">
        <f>IF('Técnicas de Ki'!B119&lt;&gt;0,'Técnicas de Ki'!A119&amp;" "&amp;'Técnicas de Ki'!B119,"")</f>
        <v/>
      </c>
      <c r="AJ216" s="302" t="b">
        <f t="shared" si="41"/>
        <v>0</v>
      </c>
      <c r="AK216" s="302" t="str">
        <f t="shared" si="37"/>
        <v/>
      </c>
      <c r="AQ216" s="537">
        <f>IF('Técnicas de Ki'!W111=0,0,IF('Técnicas de Ki'!AD111=TS!AQ$119,'Técnicas de Ki'!X111-(IF($O216&lt;&gt;0,'Técnicas de Ki'!AG111,0)+IF($P216&lt;&gt;0,'Técnicas de Ki'!AH111,0)+IF($Q216&lt;&gt;0,'Técnicas de Ki'!AI111,0)+IF($R216&lt;&gt;0,'Técnicas de Ki'!AJ111,0)+IF($S216&lt;&gt;0,'Técnicas de Ki'!AK111,0)+IF($T216&lt;&gt;0,'Técnicas de Ki'!AL111,0)),0))</f>
        <v>0</v>
      </c>
      <c r="AR216" s="538">
        <f>IF('Técnicas de Ki'!W111=0,0,IF('Técnicas de Ki'!AD111=TS!AR$119,'Técnicas de Ki'!X111-(IF($O216&lt;&gt;0,'Técnicas de Ki'!AG111,0)+IF($P216&lt;&gt;0,'Técnicas de Ki'!AH111,0)+IF($Q216&lt;&gt;0,'Técnicas de Ki'!AI111,0)+IF($R216&lt;&gt;0,'Técnicas de Ki'!AJ111,0)+IF($S216&lt;&gt;0,'Técnicas de Ki'!AK111,0)+IF($T216&lt;&gt;0,'Técnicas de Ki'!AL111,0)),0))</f>
        <v>0</v>
      </c>
      <c r="AS216" s="538">
        <f>IF('Técnicas de Ki'!W111=0,0,IF('Técnicas de Ki'!AD111=TS!AS$119,'Técnicas de Ki'!X111-(IF($O216&lt;&gt;0,'Técnicas de Ki'!AG111,0)+IF($P216&lt;&gt;0,'Técnicas de Ki'!AH111,0)+IF($Q216&lt;&gt;0,'Técnicas de Ki'!AI111,0)+IF($R216&lt;&gt;0,'Técnicas de Ki'!AJ111,0)+IF($S216&lt;&gt;0,'Técnicas de Ki'!AK111,0)+IF($T216&lt;&gt;0,'Técnicas de Ki'!AL111,0)),0))</f>
        <v>0</v>
      </c>
      <c r="AT216" s="538">
        <f>IF('Técnicas de Ki'!W111=0,0,IF('Técnicas de Ki'!AD111=TS!AT$119,'Técnicas de Ki'!X111-(IF($O216&lt;&gt;0,'Técnicas de Ki'!AG111,0)+IF($P216&lt;&gt;0,'Técnicas de Ki'!AH111,0)+IF($Q216&lt;&gt;0,'Técnicas de Ki'!AI111,0)+IF($R216&lt;&gt;0,'Técnicas de Ki'!AJ111,0)+IF($S216&lt;&gt;0,'Técnicas de Ki'!AK111,0)+IF($T216&lt;&gt;0,'Técnicas de Ki'!AL111,0)),0))</f>
        <v>0</v>
      </c>
      <c r="AU216" s="538">
        <f>IF('Técnicas de Ki'!W111=0,0,IF('Técnicas de Ki'!AD111=TS!AU$119,'Técnicas de Ki'!X111-(IF($O216&lt;&gt;0,'Técnicas de Ki'!AG111,0)+IF($P216&lt;&gt;0,'Técnicas de Ki'!AH111,0)+IF($Q216&lt;&gt;0,'Técnicas de Ki'!AI111,0)+IF($R216&lt;&gt;0,'Técnicas de Ki'!AJ111,0)+IF($S216&lt;&gt;0,'Técnicas de Ki'!AK111,0)+IF($T216&lt;&gt;0,'Técnicas de Ki'!AL111,0)),0))</f>
        <v>0</v>
      </c>
      <c r="AV216" s="539">
        <f>IF('Técnicas de Ki'!W111=0,0,IF('Técnicas de Ki'!AD111=TS!AV$119,'Técnicas de Ki'!X111-(IF($O216&lt;&gt;0,'Técnicas de Ki'!AG111,0)+IF($P216&lt;&gt;0,'Técnicas de Ki'!AH111,0)+IF($Q216&lt;&gt;0,'Técnicas de Ki'!AI111,0)+IF($R216&lt;&gt;0,'Técnicas de Ki'!AJ111,0)+IF($S216&lt;&gt;0,'Técnicas de Ki'!AK111,0)+IF($T216&lt;&gt;0,'Técnicas de Ki'!AL111,0)),0))</f>
        <v>0</v>
      </c>
      <c r="AW216" s="538">
        <f>IF('Técnicas de Ki'!W111=0,0,IFERROR(IF('Técnicas de Ki'!AG111&lt;&gt;0,'Técnicas de Ki'!AG111+TS!$O216,0)*$O216/$O216,0))</f>
        <v>0</v>
      </c>
      <c r="AX216" s="538">
        <f>IF('Técnicas de Ki'!W111=0,0,IFERROR(IF('Técnicas de Ki'!AH111&lt;&gt;0,'Técnicas de Ki'!AH111+TS!$P216,0)*$P216/$P216,0))</f>
        <v>0</v>
      </c>
      <c r="AY216" s="538">
        <f>IF('Técnicas de Ki'!W111=0,0,IFERROR(IF('Técnicas de Ki'!AI111&lt;&gt;0,'Técnicas de Ki'!AI111+TS!$Q216,0)*$Q216/$Q216,0))</f>
        <v>0</v>
      </c>
      <c r="AZ216" s="538">
        <f>IF('Técnicas de Ki'!W111=0,0,IFERROR(IF('Técnicas de Ki'!AJ111&lt;&gt;0,'Técnicas de Ki'!AJ111+TS!$R216,0)*$R216/$R216,0))</f>
        <v>0</v>
      </c>
      <c r="BA216" s="538">
        <f>IF('Técnicas de Ki'!W111=0,0,IFERROR(IF('Técnicas de Ki'!AK111&lt;&gt;0,'Técnicas de Ki'!AK111+TS!$S216,0)*$S216/$S216,0))</f>
        <v>0</v>
      </c>
      <c r="BB216" s="539">
        <f>IF('Técnicas de Ki'!W111=0,0,IFERROR(IF('Técnicas de Ki'!AL111&lt;&gt;0,'Técnicas de Ki'!AL111+TS!$T216,0)*$T216/$T216,0))</f>
        <v>0</v>
      </c>
      <c r="BD216" s="571" t="str">
        <f>IF('Técnicas de Ki'!W119&lt;&gt;0,'Técnicas de Ki'!V119&amp;" "&amp;'Técnicas de Ki'!W119,"")</f>
        <v/>
      </c>
      <c r="BE216" s="302" t="b">
        <f t="shared" si="34"/>
        <v>0</v>
      </c>
      <c r="BF216" s="302" t="str">
        <f t="shared" si="38"/>
        <v/>
      </c>
      <c r="BL216" s="537">
        <f>IF('Técnicas de Ki'!AR111=0,0,IF('Técnicas de Ki'!AY111=TS!BL$119,'Técnicas de Ki'!AS111-(IF($O216&lt;&gt;0,'Técnicas de Ki'!BB111,0)+IF($P216&lt;&gt;0,'Técnicas de Ki'!BC111,0)+IF($Q216&lt;&gt;0,'Técnicas de Ki'!BD111,0)+IF($R216&lt;&gt;0,'Técnicas de Ki'!BE111,0)+IF($S216&lt;&gt;0,'Técnicas de Ki'!BF111,0)+IF($T216&lt;&gt;0,'Técnicas de Ki'!BG111,0)),0))</f>
        <v>0</v>
      </c>
      <c r="BM216" s="538">
        <f>IF('Técnicas de Ki'!AR111=0,0,IF('Técnicas de Ki'!AY111=TS!BM$119,'Técnicas de Ki'!AS111-(IF($O216&lt;&gt;0,'Técnicas de Ki'!BB111,0)+IF($P216&lt;&gt;0,'Técnicas de Ki'!BC111,0)+IF($Q216&lt;&gt;0,'Técnicas de Ki'!BD111,0)+IF($R216&lt;&gt;0,'Técnicas de Ki'!BE111,0)+IF($S216&lt;&gt;0,'Técnicas de Ki'!BF111,0)+IF($T216&lt;&gt;0,'Técnicas de Ki'!BG111,0)),0))</f>
        <v>0</v>
      </c>
      <c r="BN216" s="538">
        <f>IF('Técnicas de Ki'!AR111=0,0,IF('Técnicas de Ki'!AY111=TS!BN$119,'Técnicas de Ki'!AS111-(IF($O216&lt;&gt;0,'Técnicas de Ki'!BB111,0)+IF($P216&lt;&gt;0,'Técnicas de Ki'!BC111,0)+IF($Q216&lt;&gt;0,'Técnicas de Ki'!BD111,0)+IF($R216&lt;&gt;0,'Técnicas de Ki'!BE111,0)+IF($S216&lt;&gt;0,'Técnicas de Ki'!BF111,0)+IF($T216&lt;&gt;0,'Técnicas de Ki'!BG111,0)),0))</f>
        <v>0</v>
      </c>
      <c r="BO216" s="538">
        <f>IF('Técnicas de Ki'!AR111=0,0,IF('Técnicas de Ki'!AY111=TS!BO$119,'Técnicas de Ki'!AS111-(IF($O216&lt;&gt;0,'Técnicas de Ki'!BB111,0)+IF($P216&lt;&gt;0,'Técnicas de Ki'!BC111,0)+IF($Q216&lt;&gt;0,'Técnicas de Ki'!BD111,0)+IF($R216&lt;&gt;0,'Técnicas de Ki'!BE111,0)+IF($S216&lt;&gt;0,'Técnicas de Ki'!BF111,0)+IF($T216&lt;&gt;0,'Técnicas de Ki'!BG111,0)),0))</f>
        <v>0</v>
      </c>
      <c r="BP216" s="538">
        <f>IF('Técnicas de Ki'!AR111=0,0,IF('Técnicas de Ki'!AY111=TS!BP$119,'Técnicas de Ki'!AS111-(IF($O216&lt;&gt;0,'Técnicas de Ki'!BB111,0)+IF($P216&lt;&gt;0,'Técnicas de Ki'!BC111,0)+IF($Q216&lt;&gt;0,'Técnicas de Ki'!BD111,0)+IF($R216&lt;&gt;0,'Técnicas de Ki'!BE111,0)+IF($S216&lt;&gt;0,'Técnicas de Ki'!BF111,0)+IF($T216&lt;&gt;0,'Técnicas de Ki'!BG111,0)),0))</f>
        <v>0</v>
      </c>
      <c r="BQ216" s="539">
        <f>IF('Técnicas de Ki'!AR111=0,0,IF('Técnicas de Ki'!AY111=TS!BQ$119,'Técnicas de Ki'!AS111-(IF($O216&lt;&gt;0,'Técnicas de Ki'!BB111,0)+IF($P216&lt;&gt;0,'Técnicas de Ki'!BC111,0)+IF($Q216&lt;&gt;0,'Técnicas de Ki'!BD111,0)+IF($R216&lt;&gt;0,'Técnicas de Ki'!BE111,0)+IF($S216&lt;&gt;0,'Técnicas de Ki'!BF111,0)+IF($T216&lt;&gt;0,'Técnicas de Ki'!BG111,0)),0))</f>
        <v>0</v>
      </c>
      <c r="BR216" s="538">
        <f>IF('Técnicas de Ki'!AR111=0,0,IFERROR(IF('Técnicas de Ki'!BB111&lt;&gt;0,'Técnicas de Ki'!BB111+TS!$O216,0)*$O216/$O216,0))</f>
        <v>0</v>
      </c>
      <c r="BS216" s="538">
        <f>IF('Técnicas de Ki'!AR111=0,0,IFERROR(IF('Técnicas de Ki'!BC111&lt;&gt;0,'Técnicas de Ki'!BC111+TS!$P216,0)*$P216/$P216,0))</f>
        <v>0</v>
      </c>
      <c r="BT216" s="538">
        <f>IF('Técnicas de Ki'!AR111=0,0,IFERROR(IF('Técnicas de Ki'!BD111&lt;&gt;0,'Técnicas de Ki'!BD111+TS!$Q216,0)*$Q216/$Q216,0))</f>
        <v>0</v>
      </c>
      <c r="BU216" s="538">
        <f>IF('Técnicas de Ki'!AR111=0,0,IFERROR(IF('Técnicas de Ki'!BE111&lt;&gt;0,'Técnicas de Ki'!BE111+TS!$R216,0)*$R216/$R216,0))</f>
        <v>0</v>
      </c>
      <c r="BV216" s="538">
        <f>IF('Técnicas de Ki'!AR111=0,0,IFERROR(IF('Técnicas de Ki'!BF111&lt;&gt;0,'Técnicas de Ki'!BF111+TS!$S216,0)*$S216/$S216,0))</f>
        <v>0</v>
      </c>
      <c r="BW216" s="539">
        <f>IF('Técnicas de Ki'!AR111=0,0,IFERROR(IF('Técnicas de Ki'!BG111&lt;&gt;0,'Técnicas de Ki'!BG111+TS!$T216,0)*$T216/$T216,0))</f>
        <v>0</v>
      </c>
      <c r="BY216" s="571" t="str">
        <f>IF('Técnicas de Ki'!AR119&lt;&gt;0,'Técnicas de Ki'!AQ119&amp;" "&amp;'Técnicas de Ki'!AR119,"")</f>
        <v/>
      </c>
      <c r="BZ216" s="302" t="b">
        <f t="shared" si="35"/>
        <v>0</v>
      </c>
      <c r="CA216" s="302" t="str">
        <f t="shared" si="39"/>
        <v/>
      </c>
      <c r="CG216" s="537">
        <f>IF('Técnicas de Ki'!BM111=0,0,IF('Técnicas de Ki'!BT111=TS!CG$119,'Técnicas de Ki'!BN111-(IF($O216&lt;&gt;0,'Técnicas de Ki'!BW111,0)+IF($P216&lt;&gt;0,'Técnicas de Ki'!BX111,0)+IF($Q216&lt;&gt;0,'Técnicas de Ki'!BY111,0)+IF($R216&lt;&gt;0,'Técnicas de Ki'!BZ111,0)+IF($S216&lt;&gt;0,'Técnicas de Ki'!CA111,0)+IF($T216&lt;&gt;0,'Técnicas de Ki'!CB111,0)),0))</f>
        <v>0</v>
      </c>
      <c r="CH216" s="538">
        <f>IF('Técnicas de Ki'!BM111=0,0,IF('Técnicas de Ki'!BT111=TS!CH$119,'Técnicas de Ki'!BN111-(IF($O216&lt;&gt;0,'Técnicas de Ki'!BW111,0)+IF($P216&lt;&gt;0,'Técnicas de Ki'!BX111,0)+IF($Q216&lt;&gt;0,'Técnicas de Ki'!BY111,0)+IF($R216&lt;&gt;0,'Técnicas de Ki'!BZ111,0)+IF($S216&lt;&gt;0,'Técnicas de Ki'!CA111,0)+IF($T216&lt;&gt;0,'Técnicas de Ki'!CB111,0)),0))</f>
        <v>0</v>
      </c>
      <c r="CI216" s="538">
        <f>IF('Técnicas de Ki'!BM111=0,0,IF('Técnicas de Ki'!BT111=TS!CI$119,'Técnicas de Ki'!BN111-(IF($O216&lt;&gt;0,'Técnicas de Ki'!BW111,0)+IF($P216&lt;&gt;0,'Técnicas de Ki'!BX111,0)+IF($Q216&lt;&gt;0,'Técnicas de Ki'!BY111,0)+IF($R216&lt;&gt;0,'Técnicas de Ki'!BZ111,0)+IF($S216&lt;&gt;0,'Técnicas de Ki'!CA111,0)+IF($T216&lt;&gt;0,'Técnicas de Ki'!CB111,0)),0))</f>
        <v>0</v>
      </c>
      <c r="CJ216" s="538">
        <f>IF('Técnicas de Ki'!BM111=0,0,IF('Técnicas de Ki'!BT111=TS!CJ$119,'Técnicas de Ki'!BN111-(IF($O216&lt;&gt;0,'Técnicas de Ki'!BW111,0)+IF($P216&lt;&gt;0,'Técnicas de Ki'!BX111,0)+IF($Q216&lt;&gt;0,'Técnicas de Ki'!BY111,0)+IF($R216&lt;&gt;0,'Técnicas de Ki'!BZ111,0)+IF($S216&lt;&gt;0,'Técnicas de Ki'!CA111,0)+IF($T216&lt;&gt;0,'Técnicas de Ki'!CB111,0)),0))</f>
        <v>0</v>
      </c>
      <c r="CK216" s="538">
        <f>IF('Técnicas de Ki'!BM111=0,0,IF('Técnicas de Ki'!BT111=TS!CK$119,'Técnicas de Ki'!BN111-(IF($O216&lt;&gt;0,'Técnicas de Ki'!BW111,0)+IF($P216&lt;&gt;0,'Técnicas de Ki'!BX111,0)+IF($Q216&lt;&gt;0,'Técnicas de Ki'!BY111,0)+IF($R216&lt;&gt;0,'Técnicas de Ki'!BZ111,0)+IF($S216&lt;&gt;0,'Técnicas de Ki'!CA111,0)+IF($T216&lt;&gt;0,'Técnicas de Ki'!CB111,0)),0))</f>
        <v>0</v>
      </c>
      <c r="CL216" s="539">
        <f>IF('Técnicas de Ki'!BM111=0,0,IF('Técnicas de Ki'!BT111=TS!CL$119,'Técnicas de Ki'!BN111-(IF($O216&lt;&gt;0,'Técnicas de Ki'!BW111,0)+IF($P216&lt;&gt;0,'Técnicas de Ki'!BX111,0)+IF($Q216&lt;&gt;0,'Técnicas de Ki'!BY111,0)+IF($R216&lt;&gt;0,'Técnicas de Ki'!BZ111,0)+IF($S216&lt;&gt;0,'Técnicas de Ki'!CA111,0)+IF($T216&lt;&gt;0,'Técnicas de Ki'!CB111,0)),0))</f>
        <v>0</v>
      </c>
      <c r="CM216" s="538">
        <f>IF('Técnicas de Ki'!BM111=0,0,IFERROR(IF('Técnicas de Ki'!BW111&lt;&gt;0,'Técnicas de Ki'!BW111+TS!$O216,0)*$O216/$O216,0))</f>
        <v>0</v>
      </c>
      <c r="CN216" s="538">
        <f>IF('Técnicas de Ki'!BM111=0,0,IFERROR(IF('Técnicas de Ki'!BX111&lt;&gt;0,'Técnicas de Ki'!BX111+TS!$P216,0)*$P216/$P216,0))</f>
        <v>0</v>
      </c>
      <c r="CO216" s="538">
        <f>IF('Técnicas de Ki'!BM111=0,0,IFERROR(IF('Técnicas de Ki'!BY111&lt;&gt;0,'Técnicas de Ki'!BY111+TS!$Q216,0)*$Q216/$Q216,0))</f>
        <v>0</v>
      </c>
      <c r="CP216" s="538">
        <f>IF('Técnicas de Ki'!BM111=0,0,IFERROR(IF('Técnicas de Ki'!BZ111&lt;&gt;0,'Técnicas de Ki'!BZ111+TS!$R216,0)*$R216/$R216,0))</f>
        <v>0</v>
      </c>
      <c r="CQ216" s="538">
        <f>IF('Técnicas de Ki'!BM111=0,0,IFERROR(IF('Técnicas de Ki'!CA111&lt;&gt;0,'Técnicas de Ki'!CA111+TS!$S216,0)*$S216/$S216,0))</f>
        <v>0</v>
      </c>
      <c r="CR216" s="539">
        <f>IF('Técnicas de Ki'!BM111=0,0,IFERROR(IF('Técnicas de Ki'!CB111&lt;&gt;0,'Técnicas de Ki'!CB111+TS!$T216,0)*$T216/$T216,0))</f>
        <v>0</v>
      </c>
      <c r="CT216" s="571" t="str">
        <f>IF('Técnicas de Ki'!BM119&lt;&gt;0,'Técnicas de Ki'!BL119&amp;" "&amp;'Técnicas de Ki'!BM119,"")</f>
        <v/>
      </c>
      <c r="CU216" s="302" t="b">
        <f t="shared" si="36"/>
        <v>0</v>
      </c>
      <c r="CV216" s="302" t="str">
        <f t="shared" si="40"/>
        <v/>
      </c>
    </row>
    <row r="217" spans="1:101" x14ac:dyDescent="0.2">
      <c r="A217" s="302" t="s">
        <v>6881</v>
      </c>
      <c r="B217" s="302" t="s">
        <v>6881</v>
      </c>
      <c r="C217" s="302" t="str">
        <f t="shared" si="42"/>
        <v>Recuperar acciónRecuperar acción</v>
      </c>
      <c r="D217" s="302">
        <v>6</v>
      </c>
      <c r="E217" s="302">
        <v>9</v>
      </c>
      <c r="F217" s="302">
        <v>25</v>
      </c>
      <c r="G217" s="302">
        <v>2</v>
      </c>
      <c r="H217" s="302">
        <v>4</v>
      </c>
      <c r="I217" s="302">
        <v>7</v>
      </c>
      <c r="J217" s="302">
        <v>1</v>
      </c>
      <c r="N217" t="s">
        <v>6991</v>
      </c>
      <c r="O217" s="302">
        <v>3</v>
      </c>
      <c r="Q217" s="302">
        <v>3</v>
      </c>
      <c r="R217" s="302">
        <v>3</v>
      </c>
      <c r="S217" s="302">
        <v>1</v>
      </c>
      <c r="V217" s="537">
        <f>IF('Técnicas de Ki'!B112=0,0,IF('Técnicas de Ki'!I112=TS!V$119,'Técnicas de Ki'!C112-(IF($O217&lt;&gt;0,'Técnicas de Ki'!L112,0)+IF($P217&lt;&gt;0,'Técnicas de Ki'!M112,0)+IF($Q217&lt;&gt;0,'Técnicas de Ki'!N112,0)+IF($R217&lt;&gt;0,'Técnicas de Ki'!O112,0)+IF($S217&lt;&gt;0,'Técnicas de Ki'!P112,0)+IF($T217&lt;&gt;0,'Técnicas de Ki'!Q112,0)),0))</f>
        <v>0</v>
      </c>
      <c r="W217" s="538">
        <f>IF('Técnicas de Ki'!B112=0,0,IF('Técnicas de Ki'!I112=TS!W$119,'Técnicas de Ki'!C112-(IF($O217&lt;&gt;0,'Técnicas de Ki'!L112,0)+IF($P217&lt;&gt;0,'Técnicas de Ki'!M112,0)+IF($Q217&lt;&gt;0,'Técnicas de Ki'!N112,0)+IF($R217&lt;&gt;0,'Técnicas de Ki'!O112,0)+IF($S217&lt;&gt;0,'Técnicas de Ki'!P112,0)+IF($T217&lt;&gt;0,'Técnicas de Ki'!Q112,0)),0))</f>
        <v>0</v>
      </c>
      <c r="X217" s="538">
        <f>IF('Técnicas de Ki'!B112=0,0,IF('Técnicas de Ki'!I112=TS!X$119,'Técnicas de Ki'!C112-(IF($O217&lt;&gt;0,'Técnicas de Ki'!L112,0)+IF($P217&lt;&gt;0,'Técnicas de Ki'!M112,0)+IF($Q217&lt;&gt;0,'Técnicas de Ki'!N112,0)+IF($R217&lt;&gt;0,'Técnicas de Ki'!O112,0)+IF($S217&lt;&gt;0,'Técnicas de Ki'!P112,0)+IF($T217&lt;&gt;0,'Técnicas de Ki'!Q112,0)),0))</f>
        <v>0</v>
      </c>
      <c r="Y217" s="538">
        <f>IF('Técnicas de Ki'!B112=0,0,IF('Técnicas de Ki'!I112=TS!Y$119,'Técnicas de Ki'!C112-(IF($O217&lt;&gt;0,'Técnicas de Ki'!L112,0)+IF($P217&lt;&gt;0,'Técnicas de Ki'!M112,0)+IF($Q217&lt;&gt;0,'Técnicas de Ki'!N112,0)+IF($R217&lt;&gt;0,'Técnicas de Ki'!O112,0)+IF($S217&lt;&gt;0,'Técnicas de Ki'!P112,0)+IF($T217&lt;&gt;0,'Técnicas de Ki'!Q112,0)),0))</f>
        <v>0</v>
      </c>
      <c r="Z217" s="538">
        <f>IF('Técnicas de Ki'!B112=0,0,IF('Técnicas de Ki'!I112=TS!Z$119,'Técnicas de Ki'!C112-(IF($O217&lt;&gt;0,'Técnicas de Ki'!L112,0)+IF($P217&lt;&gt;0,'Técnicas de Ki'!M112,0)+IF($Q217&lt;&gt;0,'Técnicas de Ki'!N112,0)+IF($R217&lt;&gt;0,'Técnicas de Ki'!O112,0)+IF($S217&lt;&gt;0,'Técnicas de Ki'!P112,0)+IF($T217&lt;&gt;0,'Técnicas de Ki'!Q112,0)),0))</f>
        <v>0</v>
      </c>
      <c r="AA217" s="539">
        <f>IF('Técnicas de Ki'!B112=0,0,IF('Técnicas de Ki'!I112=TS!AA$119,'Técnicas de Ki'!C112-(IF($O217&lt;&gt;0,'Técnicas de Ki'!L112,0)+IF($P217&lt;&gt;0,'Técnicas de Ki'!M112,0)+IF($Q217&lt;&gt;0,'Técnicas de Ki'!N112,0)+IF($R217&lt;&gt;0,'Técnicas de Ki'!O112,0)+IF($S217&lt;&gt;0,'Técnicas de Ki'!P112,0)+IF($T217&lt;&gt;0,'Técnicas de Ki'!Q112,0)),0))</f>
        <v>0</v>
      </c>
      <c r="AB217" s="538">
        <f>IF('Técnicas de Ki'!B112=0,0,IFERROR(IF('Técnicas de Ki'!L112&lt;&gt;0,'Técnicas de Ki'!L112+TS!$O217,0)*$O217/$O217,0))</f>
        <v>0</v>
      </c>
      <c r="AC217" s="538">
        <f>IF('Técnicas de Ki'!B112=0,0,IFERROR(IF('Técnicas de Ki'!M112&lt;&gt;0,'Técnicas de Ki'!M112+TS!$P217,0)*$P217/$P217,0))</f>
        <v>0</v>
      </c>
      <c r="AD217" s="538">
        <f>IF('Técnicas de Ki'!B112=0,0,IFERROR(IF('Técnicas de Ki'!N112&lt;&gt;0,'Técnicas de Ki'!N112+TS!$Q217,0)*$Q217/$Q217,0))</f>
        <v>0</v>
      </c>
      <c r="AE217" s="538">
        <f>IF('Técnicas de Ki'!B112=0,0,IFERROR(IF('Técnicas de Ki'!O112&lt;&gt;0,'Técnicas de Ki'!O112+TS!$R217,0)*$R217/$R217,0))</f>
        <v>0</v>
      </c>
      <c r="AF217" s="538">
        <f>IF('Técnicas de Ki'!B112=0,0,IFERROR(IF('Técnicas de Ki'!P112&lt;&gt;0,'Técnicas de Ki'!P112+TS!$S217,0)*$S217/$S217,0))</f>
        <v>0</v>
      </c>
      <c r="AG217" s="539">
        <f>IF('Técnicas de Ki'!B112=0,0,IFERROR(IF('Técnicas de Ki'!Q112&lt;&gt;0,'Técnicas de Ki'!Q112+TS!$T217,0)*$T217/$T217,0))</f>
        <v>0</v>
      </c>
      <c r="AI217" s="571" t="str">
        <f>IF('Técnicas de Ki'!B120&lt;&gt;0,'Técnicas de Ki'!A120&amp;" "&amp;'Técnicas de Ki'!B120,"")</f>
        <v/>
      </c>
      <c r="AJ217" s="302" t="b">
        <f t="shared" si="41"/>
        <v>0</v>
      </c>
      <c r="AK217" s="302" t="str">
        <f t="shared" si="37"/>
        <v/>
      </c>
      <c r="AQ217" s="537">
        <f>IF('Técnicas de Ki'!W112=0,0,IF('Técnicas de Ki'!AD112=TS!AQ$119,'Técnicas de Ki'!X112-(IF($O217&lt;&gt;0,'Técnicas de Ki'!AG112,0)+IF($P217&lt;&gt;0,'Técnicas de Ki'!AH112,0)+IF($Q217&lt;&gt;0,'Técnicas de Ki'!AI112,0)+IF($R217&lt;&gt;0,'Técnicas de Ki'!AJ112,0)+IF($S217&lt;&gt;0,'Técnicas de Ki'!AK112,0)+IF($T217&lt;&gt;0,'Técnicas de Ki'!AL112,0)),0))</f>
        <v>0</v>
      </c>
      <c r="AR217" s="538">
        <f>IF('Técnicas de Ki'!W112=0,0,IF('Técnicas de Ki'!AD112=TS!AR$119,'Técnicas de Ki'!X112-(IF($O217&lt;&gt;0,'Técnicas de Ki'!AG112,0)+IF($P217&lt;&gt;0,'Técnicas de Ki'!AH112,0)+IF($Q217&lt;&gt;0,'Técnicas de Ki'!AI112,0)+IF($R217&lt;&gt;0,'Técnicas de Ki'!AJ112,0)+IF($S217&lt;&gt;0,'Técnicas de Ki'!AK112,0)+IF($T217&lt;&gt;0,'Técnicas de Ki'!AL112,0)),0))</f>
        <v>0</v>
      </c>
      <c r="AS217" s="538">
        <f>IF('Técnicas de Ki'!W112=0,0,IF('Técnicas de Ki'!AD112=TS!AS$119,'Técnicas de Ki'!X112-(IF($O217&lt;&gt;0,'Técnicas de Ki'!AG112,0)+IF($P217&lt;&gt;0,'Técnicas de Ki'!AH112,0)+IF($Q217&lt;&gt;0,'Técnicas de Ki'!AI112,0)+IF($R217&lt;&gt;0,'Técnicas de Ki'!AJ112,0)+IF($S217&lt;&gt;0,'Técnicas de Ki'!AK112,0)+IF($T217&lt;&gt;0,'Técnicas de Ki'!AL112,0)),0))</f>
        <v>0</v>
      </c>
      <c r="AT217" s="538">
        <f>IF('Técnicas de Ki'!W112=0,0,IF('Técnicas de Ki'!AD112=TS!AT$119,'Técnicas de Ki'!X112-(IF($O217&lt;&gt;0,'Técnicas de Ki'!AG112,0)+IF($P217&lt;&gt;0,'Técnicas de Ki'!AH112,0)+IF($Q217&lt;&gt;0,'Técnicas de Ki'!AI112,0)+IF($R217&lt;&gt;0,'Técnicas de Ki'!AJ112,0)+IF($S217&lt;&gt;0,'Técnicas de Ki'!AK112,0)+IF($T217&lt;&gt;0,'Técnicas de Ki'!AL112,0)),0))</f>
        <v>0</v>
      </c>
      <c r="AU217" s="538">
        <f>IF('Técnicas de Ki'!W112=0,0,IF('Técnicas de Ki'!AD112=TS!AU$119,'Técnicas de Ki'!X112-(IF($O217&lt;&gt;0,'Técnicas de Ki'!AG112,0)+IF($P217&lt;&gt;0,'Técnicas de Ki'!AH112,0)+IF($Q217&lt;&gt;0,'Técnicas de Ki'!AI112,0)+IF($R217&lt;&gt;0,'Técnicas de Ki'!AJ112,0)+IF($S217&lt;&gt;0,'Técnicas de Ki'!AK112,0)+IF($T217&lt;&gt;0,'Técnicas de Ki'!AL112,0)),0))</f>
        <v>0</v>
      </c>
      <c r="AV217" s="539">
        <f>IF('Técnicas de Ki'!W112=0,0,IF('Técnicas de Ki'!AD112=TS!AV$119,'Técnicas de Ki'!X112-(IF($O217&lt;&gt;0,'Técnicas de Ki'!AG112,0)+IF($P217&lt;&gt;0,'Técnicas de Ki'!AH112,0)+IF($Q217&lt;&gt;0,'Técnicas de Ki'!AI112,0)+IF($R217&lt;&gt;0,'Técnicas de Ki'!AJ112,0)+IF($S217&lt;&gt;0,'Técnicas de Ki'!AK112,0)+IF($T217&lt;&gt;0,'Técnicas de Ki'!AL112,0)),0))</f>
        <v>0</v>
      </c>
      <c r="AW217" s="538">
        <f>IF('Técnicas de Ki'!W112=0,0,IFERROR(IF('Técnicas de Ki'!AG112&lt;&gt;0,'Técnicas de Ki'!AG112+TS!$O217,0)*$O217/$O217,0))</f>
        <v>0</v>
      </c>
      <c r="AX217" s="538">
        <f>IF('Técnicas de Ki'!W112=0,0,IFERROR(IF('Técnicas de Ki'!AH112&lt;&gt;0,'Técnicas de Ki'!AH112+TS!$P217,0)*$P217/$P217,0))</f>
        <v>0</v>
      </c>
      <c r="AY217" s="538">
        <f>IF('Técnicas de Ki'!W112=0,0,IFERROR(IF('Técnicas de Ki'!AI112&lt;&gt;0,'Técnicas de Ki'!AI112+TS!$Q217,0)*$Q217/$Q217,0))</f>
        <v>0</v>
      </c>
      <c r="AZ217" s="538">
        <f>IF('Técnicas de Ki'!W112=0,0,IFERROR(IF('Técnicas de Ki'!AJ112&lt;&gt;0,'Técnicas de Ki'!AJ112+TS!$R217,0)*$R217/$R217,0))</f>
        <v>0</v>
      </c>
      <c r="BA217" s="538">
        <f>IF('Técnicas de Ki'!W112=0,0,IFERROR(IF('Técnicas de Ki'!AK112&lt;&gt;0,'Técnicas de Ki'!AK112+TS!$S217,0)*$S217/$S217,0))</f>
        <v>0</v>
      </c>
      <c r="BB217" s="539">
        <f>IF('Técnicas de Ki'!W112=0,0,IFERROR(IF('Técnicas de Ki'!AL112&lt;&gt;0,'Técnicas de Ki'!AL112+TS!$T217,0)*$T217/$T217,0))</f>
        <v>0</v>
      </c>
      <c r="BD217" s="571" t="str">
        <f>IF('Técnicas de Ki'!W120&lt;&gt;0,'Técnicas de Ki'!V120&amp;" "&amp;'Técnicas de Ki'!W120,"")</f>
        <v/>
      </c>
      <c r="BE217" s="302" t="b">
        <f t="shared" si="34"/>
        <v>0</v>
      </c>
      <c r="BF217" s="302" t="str">
        <f t="shared" si="38"/>
        <v/>
      </c>
      <c r="BL217" s="537">
        <f>IF('Técnicas de Ki'!AR112=0,0,IF('Técnicas de Ki'!AY112=TS!BL$119,'Técnicas de Ki'!AS112-(IF($O217&lt;&gt;0,'Técnicas de Ki'!BB112,0)+IF($P217&lt;&gt;0,'Técnicas de Ki'!BC112,0)+IF($Q217&lt;&gt;0,'Técnicas de Ki'!BD112,0)+IF($R217&lt;&gt;0,'Técnicas de Ki'!BE112,0)+IF($S217&lt;&gt;0,'Técnicas de Ki'!BF112,0)+IF($T217&lt;&gt;0,'Técnicas de Ki'!BG112,0)),0))</f>
        <v>0</v>
      </c>
      <c r="BM217" s="538">
        <f>IF('Técnicas de Ki'!AR112=0,0,IF('Técnicas de Ki'!AY112=TS!BM$119,'Técnicas de Ki'!AS112-(IF($O217&lt;&gt;0,'Técnicas de Ki'!BB112,0)+IF($P217&lt;&gt;0,'Técnicas de Ki'!BC112,0)+IF($Q217&lt;&gt;0,'Técnicas de Ki'!BD112,0)+IF($R217&lt;&gt;0,'Técnicas de Ki'!BE112,0)+IF($S217&lt;&gt;0,'Técnicas de Ki'!BF112,0)+IF($T217&lt;&gt;0,'Técnicas de Ki'!BG112,0)),0))</f>
        <v>0</v>
      </c>
      <c r="BN217" s="538">
        <f>IF('Técnicas de Ki'!AR112=0,0,IF('Técnicas de Ki'!AY112=TS!BN$119,'Técnicas de Ki'!AS112-(IF($O217&lt;&gt;0,'Técnicas de Ki'!BB112,0)+IF($P217&lt;&gt;0,'Técnicas de Ki'!BC112,0)+IF($Q217&lt;&gt;0,'Técnicas de Ki'!BD112,0)+IF($R217&lt;&gt;0,'Técnicas de Ki'!BE112,0)+IF($S217&lt;&gt;0,'Técnicas de Ki'!BF112,0)+IF($T217&lt;&gt;0,'Técnicas de Ki'!BG112,0)),0))</f>
        <v>0</v>
      </c>
      <c r="BO217" s="538">
        <f>IF('Técnicas de Ki'!AR112=0,0,IF('Técnicas de Ki'!AY112=TS!BO$119,'Técnicas de Ki'!AS112-(IF($O217&lt;&gt;0,'Técnicas de Ki'!BB112,0)+IF($P217&lt;&gt;0,'Técnicas de Ki'!BC112,0)+IF($Q217&lt;&gt;0,'Técnicas de Ki'!BD112,0)+IF($R217&lt;&gt;0,'Técnicas de Ki'!BE112,0)+IF($S217&lt;&gt;0,'Técnicas de Ki'!BF112,0)+IF($T217&lt;&gt;0,'Técnicas de Ki'!BG112,0)),0))</f>
        <v>0</v>
      </c>
      <c r="BP217" s="538">
        <f>IF('Técnicas de Ki'!AR112=0,0,IF('Técnicas de Ki'!AY112=TS!BP$119,'Técnicas de Ki'!AS112-(IF($O217&lt;&gt;0,'Técnicas de Ki'!BB112,0)+IF($P217&lt;&gt;0,'Técnicas de Ki'!BC112,0)+IF($Q217&lt;&gt;0,'Técnicas de Ki'!BD112,0)+IF($R217&lt;&gt;0,'Técnicas de Ki'!BE112,0)+IF($S217&lt;&gt;0,'Técnicas de Ki'!BF112,0)+IF($T217&lt;&gt;0,'Técnicas de Ki'!BG112,0)),0))</f>
        <v>0</v>
      </c>
      <c r="BQ217" s="539">
        <f>IF('Técnicas de Ki'!AR112=0,0,IF('Técnicas de Ki'!AY112=TS!BQ$119,'Técnicas de Ki'!AS112-(IF($O217&lt;&gt;0,'Técnicas de Ki'!BB112,0)+IF($P217&lt;&gt;0,'Técnicas de Ki'!BC112,0)+IF($Q217&lt;&gt;0,'Técnicas de Ki'!BD112,0)+IF($R217&lt;&gt;0,'Técnicas de Ki'!BE112,0)+IF($S217&lt;&gt;0,'Técnicas de Ki'!BF112,0)+IF($T217&lt;&gt;0,'Técnicas de Ki'!BG112,0)),0))</f>
        <v>0</v>
      </c>
      <c r="BR217" s="538">
        <f>IF('Técnicas de Ki'!AR112=0,0,IFERROR(IF('Técnicas de Ki'!BB112&lt;&gt;0,'Técnicas de Ki'!BB112+TS!$O217,0)*$O217/$O217,0))</f>
        <v>0</v>
      </c>
      <c r="BS217" s="538">
        <f>IF('Técnicas de Ki'!AR112=0,0,IFERROR(IF('Técnicas de Ki'!BC112&lt;&gt;0,'Técnicas de Ki'!BC112+TS!$P217,0)*$P217/$P217,0))</f>
        <v>0</v>
      </c>
      <c r="BT217" s="538">
        <f>IF('Técnicas de Ki'!AR112=0,0,IFERROR(IF('Técnicas de Ki'!BD112&lt;&gt;0,'Técnicas de Ki'!BD112+TS!$Q217,0)*$Q217/$Q217,0))</f>
        <v>0</v>
      </c>
      <c r="BU217" s="538">
        <f>IF('Técnicas de Ki'!AR112=0,0,IFERROR(IF('Técnicas de Ki'!BE112&lt;&gt;0,'Técnicas de Ki'!BE112+TS!$R217,0)*$R217/$R217,0))</f>
        <v>0</v>
      </c>
      <c r="BV217" s="538">
        <f>IF('Técnicas de Ki'!AR112=0,0,IFERROR(IF('Técnicas de Ki'!BF112&lt;&gt;0,'Técnicas de Ki'!BF112+TS!$S217,0)*$S217/$S217,0))</f>
        <v>0</v>
      </c>
      <c r="BW217" s="539">
        <f>IF('Técnicas de Ki'!AR112=0,0,IFERROR(IF('Técnicas de Ki'!BG112&lt;&gt;0,'Técnicas de Ki'!BG112+TS!$T217,0)*$T217/$T217,0))</f>
        <v>0</v>
      </c>
      <c r="BY217" s="571" t="str">
        <f>IF('Técnicas de Ki'!AR120&lt;&gt;0,'Técnicas de Ki'!AQ120&amp;" "&amp;'Técnicas de Ki'!AR120,"")</f>
        <v/>
      </c>
      <c r="BZ217" s="302" t="b">
        <f t="shared" si="35"/>
        <v>0</v>
      </c>
      <c r="CA217" s="302" t="str">
        <f t="shared" si="39"/>
        <v/>
      </c>
      <c r="CG217" s="537">
        <f>IF('Técnicas de Ki'!BM112=0,0,IF('Técnicas de Ki'!BT112=TS!CG$119,'Técnicas de Ki'!BN112-(IF($O217&lt;&gt;0,'Técnicas de Ki'!BW112,0)+IF($P217&lt;&gt;0,'Técnicas de Ki'!BX112,0)+IF($Q217&lt;&gt;0,'Técnicas de Ki'!BY112,0)+IF($R217&lt;&gt;0,'Técnicas de Ki'!BZ112,0)+IF($S217&lt;&gt;0,'Técnicas de Ki'!CA112,0)+IF($T217&lt;&gt;0,'Técnicas de Ki'!CB112,0)),0))</f>
        <v>0</v>
      </c>
      <c r="CH217" s="538">
        <f>IF('Técnicas de Ki'!BM112=0,0,IF('Técnicas de Ki'!BT112=TS!CH$119,'Técnicas de Ki'!BN112-(IF($O217&lt;&gt;0,'Técnicas de Ki'!BW112,0)+IF($P217&lt;&gt;0,'Técnicas de Ki'!BX112,0)+IF($Q217&lt;&gt;0,'Técnicas de Ki'!BY112,0)+IF($R217&lt;&gt;0,'Técnicas de Ki'!BZ112,0)+IF($S217&lt;&gt;0,'Técnicas de Ki'!CA112,0)+IF($T217&lt;&gt;0,'Técnicas de Ki'!CB112,0)),0))</f>
        <v>0</v>
      </c>
      <c r="CI217" s="538">
        <f>IF('Técnicas de Ki'!BM112=0,0,IF('Técnicas de Ki'!BT112=TS!CI$119,'Técnicas de Ki'!BN112-(IF($O217&lt;&gt;0,'Técnicas de Ki'!BW112,0)+IF($P217&lt;&gt;0,'Técnicas de Ki'!BX112,0)+IF($Q217&lt;&gt;0,'Técnicas de Ki'!BY112,0)+IF($R217&lt;&gt;0,'Técnicas de Ki'!BZ112,0)+IF($S217&lt;&gt;0,'Técnicas de Ki'!CA112,0)+IF($T217&lt;&gt;0,'Técnicas de Ki'!CB112,0)),0))</f>
        <v>0</v>
      </c>
      <c r="CJ217" s="538">
        <f>IF('Técnicas de Ki'!BM112=0,0,IF('Técnicas de Ki'!BT112=TS!CJ$119,'Técnicas de Ki'!BN112-(IF($O217&lt;&gt;0,'Técnicas de Ki'!BW112,0)+IF($P217&lt;&gt;0,'Técnicas de Ki'!BX112,0)+IF($Q217&lt;&gt;0,'Técnicas de Ki'!BY112,0)+IF($R217&lt;&gt;0,'Técnicas de Ki'!BZ112,0)+IF($S217&lt;&gt;0,'Técnicas de Ki'!CA112,0)+IF($T217&lt;&gt;0,'Técnicas de Ki'!CB112,0)),0))</f>
        <v>0</v>
      </c>
      <c r="CK217" s="538">
        <f>IF('Técnicas de Ki'!BM112=0,0,IF('Técnicas de Ki'!BT112=TS!CK$119,'Técnicas de Ki'!BN112-(IF($O217&lt;&gt;0,'Técnicas de Ki'!BW112,0)+IF($P217&lt;&gt;0,'Técnicas de Ki'!BX112,0)+IF($Q217&lt;&gt;0,'Técnicas de Ki'!BY112,0)+IF($R217&lt;&gt;0,'Técnicas de Ki'!BZ112,0)+IF($S217&lt;&gt;0,'Técnicas de Ki'!CA112,0)+IF($T217&lt;&gt;0,'Técnicas de Ki'!CB112,0)),0))</f>
        <v>0</v>
      </c>
      <c r="CL217" s="539">
        <f>IF('Técnicas de Ki'!BM112=0,0,IF('Técnicas de Ki'!BT112=TS!CL$119,'Técnicas de Ki'!BN112-(IF($O217&lt;&gt;0,'Técnicas de Ki'!BW112,0)+IF($P217&lt;&gt;0,'Técnicas de Ki'!BX112,0)+IF($Q217&lt;&gt;0,'Técnicas de Ki'!BY112,0)+IF($R217&lt;&gt;0,'Técnicas de Ki'!BZ112,0)+IF($S217&lt;&gt;0,'Técnicas de Ki'!CA112,0)+IF($T217&lt;&gt;0,'Técnicas de Ki'!CB112,0)),0))</f>
        <v>0</v>
      </c>
      <c r="CM217" s="538">
        <f>IF('Técnicas de Ki'!BM112=0,0,IFERROR(IF('Técnicas de Ki'!BW112&lt;&gt;0,'Técnicas de Ki'!BW112+TS!$O217,0)*$O217/$O217,0))</f>
        <v>0</v>
      </c>
      <c r="CN217" s="538">
        <f>IF('Técnicas de Ki'!BM112=0,0,IFERROR(IF('Técnicas de Ki'!BX112&lt;&gt;0,'Técnicas de Ki'!BX112+TS!$P217,0)*$P217/$P217,0))</f>
        <v>0</v>
      </c>
      <c r="CO217" s="538">
        <f>IF('Técnicas de Ki'!BM112=0,0,IFERROR(IF('Técnicas de Ki'!BY112&lt;&gt;0,'Técnicas de Ki'!BY112+TS!$Q217,0)*$Q217/$Q217,0))</f>
        <v>0</v>
      </c>
      <c r="CP217" s="538">
        <f>IF('Técnicas de Ki'!BM112=0,0,IFERROR(IF('Técnicas de Ki'!BZ112&lt;&gt;0,'Técnicas de Ki'!BZ112+TS!$R217,0)*$R217/$R217,0))</f>
        <v>0</v>
      </c>
      <c r="CQ217" s="538">
        <f>IF('Técnicas de Ki'!BM112=0,0,IFERROR(IF('Técnicas de Ki'!CA112&lt;&gt;0,'Técnicas de Ki'!CA112+TS!$S217,0)*$S217/$S217,0))</f>
        <v>0</v>
      </c>
      <c r="CR217" s="539">
        <f>IF('Técnicas de Ki'!BM112=0,0,IFERROR(IF('Técnicas de Ki'!CB112&lt;&gt;0,'Técnicas de Ki'!CB112+TS!$T217,0)*$T217/$T217,0))</f>
        <v>0</v>
      </c>
      <c r="CT217" s="571" t="str">
        <f>IF('Técnicas de Ki'!BM120&lt;&gt;0,'Técnicas de Ki'!BL120&amp;" "&amp;'Técnicas de Ki'!BM120,"")</f>
        <v/>
      </c>
      <c r="CU217" s="302" t="b">
        <f t="shared" si="36"/>
        <v>0</v>
      </c>
      <c r="CV217" s="302" t="str">
        <f t="shared" si="40"/>
        <v/>
      </c>
    </row>
    <row r="218" spans="1:101" x14ac:dyDescent="0.2">
      <c r="A218" s="302" t="s">
        <v>6882</v>
      </c>
      <c r="B218" s="302" t="s">
        <v>6885</v>
      </c>
      <c r="C218" s="302" t="str">
        <f t="shared" si="42"/>
        <v>PrevisiónA mitad</v>
      </c>
      <c r="D218" s="302">
        <v>3</v>
      </c>
      <c r="E218" s="302">
        <v>5</v>
      </c>
      <c r="F218" s="302">
        <v>10</v>
      </c>
      <c r="G218" s="302">
        <v>1</v>
      </c>
      <c r="H218" s="302">
        <v>2</v>
      </c>
      <c r="I218" s="302">
        <v>4</v>
      </c>
      <c r="J218" s="302">
        <v>1</v>
      </c>
      <c r="N218" t="s">
        <v>6992</v>
      </c>
      <c r="O218" s="302">
        <v>3</v>
      </c>
      <c r="Q218" s="302">
        <v>3</v>
      </c>
      <c r="R218" s="302">
        <v>3</v>
      </c>
      <c r="S218" s="302">
        <v>1</v>
      </c>
      <c r="V218" s="537">
        <f>IF('Técnicas de Ki'!B113=0,0,IF('Técnicas de Ki'!I113=TS!V$119,'Técnicas de Ki'!C113-(IF($O218&lt;&gt;0,'Técnicas de Ki'!L113,0)+IF($P218&lt;&gt;0,'Técnicas de Ki'!M113,0)+IF($Q218&lt;&gt;0,'Técnicas de Ki'!N113,0)+IF($R218&lt;&gt;0,'Técnicas de Ki'!O113,0)+IF($S218&lt;&gt;0,'Técnicas de Ki'!P113,0)+IF($T218&lt;&gt;0,'Técnicas de Ki'!Q113,0)),0))</f>
        <v>0</v>
      </c>
      <c r="W218" s="538">
        <f>IF('Técnicas de Ki'!B113=0,0,IF('Técnicas de Ki'!I113=TS!W$119,'Técnicas de Ki'!C113-(IF($O218&lt;&gt;0,'Técnicas de Ki'!L113,0)+IF($P218&lt;&gt;0,'Técnicas de Ki'!M113,0)+IF($Q218&lt;&gt;0,'Técnicas de Ki'!N113,0)+IF($R218&lt;&gt;0,'Técnicas de Ki'!O113,0)+IF($S218&lt;&gt;0,'Técnicas de Ki'!P113,0)+IF($T218&lt;&gt;0,'Técnicas de Ki'!Q113,0)),0))</f>
        <v>0</v>
      </c>
      <c r="X218" s="538">
        <f>IF('Técnicas de Ki'!B113=0,0,IF('Técnicas de Ki'!I113=TS!X$119,'Técnicas de Ki'!C113-(IF($O218&lt;&gt;0,'Técnicas de Ki'!L113,0)+IF($P218&lt;&gt;0,'Técnicas de Ki'!M113,0)+IF($Q218&lt;&gt;0,'Técnicas de Ki'!N113,0)+IF($R218&lt;&gt;0,'Técnicas de Ki'!O113,0)+IF($S218&lt;&gt;0,'Técnicas de Ki'!P113,0)+IF($T218&lt;&gt;0,'Técnicas de Ki'!Q113,0)),0))</f>
        <v>0</v>
      </c>
      <c r="Y218" s="538">
        <f>IF('Técnicas de Ki'!B113=0,0,IF('Técnicas de Ki'!I113=TS!Y$119,'Técnicas de Ki'!C113-(IF($O218&lt;&gt;0,'Técnicas de Ki'!L113,0)+IF($P218&lt;&gt;0,'Técnicas de Ki'!M113,0)+IF($Q218&lt;&gt;0,'Técnicas de Ki'!N113,0)+IF($R218&lt;&gt;0,'Técnicas de Ki'!O113,0)+IF($S218&lt;&gt;0,'Técnicas de Ki'!P113,0)+IF($T218&lt;&gt;0,'Técnicas de Ki'!Q113,0)),0))</f>
        <v>0</v>
      </c>
      <c r="Z218" s="538">
        <f>IF('Técnicas de Ki'!B113=0,0,IF('Técnicas de Ki'!I113=TS!Z$119,'Técnicas de Ki'!C113-(IF($O218&lt;&gt;0,'Técnicas de Ki'!L113,0)+IF($P218&lt;&gt;0,'Técnicas de Ki'!M113,0)+IF($Q218&lt;&gt;0,'Técnicas de Ki'!N113,0)+IF($R218&lt;&gt;0,'Técnicas de Ki'!O113,0)+IF($S218&lt;&gt;0,'Técnicas de Ki'!P113,0)+IF($T218&lt;&gt;0,'Técnicas de Ki'!Q113,0)),0))</f>
        <v>0</v>
      </c>
      <c r="AA218" s="539">
        <f>IF('Técnicas de Ki'!B113=0,0,IF('Técnicas de Ki'!I113=TS!AA$119,'Técnicas de Ki'!C113-(IF($O218&lt;&gt;0,'Técnicas de Ki'!L113,0)+IF($P218&lt;&gt;0,'Técnicas de Ki'!M113,0)+IF($Q218&lt;&gt;0,'Técnicas de Ki'!N113,0)+IF($R218&lt;&gt;0,'Técnicas de Ki'!O113,0)+IF($S218&lt;&gt;0,'Técnicas de Ki'!P113,0)+IF($T218&lt;&gt;0,'Técnicas de Ki'!Q113,0)),0))</f>
        <v>0</v>
      </c>
      <c r="AB218" s="538">
        <f>IF('Técnicas de Ki'!B113=0,0,IFERROR(IF('Técnicas de Ki'!L113&lt;&gt;0,'Técnicas de Ki'!L113+TS!$O218,0)*$O218/$O218,0))</f>
        <v>0</v>
      </c>
      <c r="AC218" s="538">
        <f>IF('Técnicas de Ki'!B113=0,0,IFERROR(IF('Técnicas de Ki'!M113&lt;&gt;0,'Técnicas de Ki'!M113+TS!$P218,0)*$P218/$P218,0))</f>
        <v>0</v>
      </c>
      <c r="AD218" s="538">
        <f>IF('Técnicas de Ki'!B113=0,0,IFERROR(IF('Técnicas de Ki'!N113&lt;&gt;0,'Técnicas de Ki'!N113+TS!$Q218,0)*$Q218/$Q218,0))</f>
        <v>0</v>
      </c>
      <c r="AE218" s="538">
        <f>IF('Técnicas de Ki'!B113=0,0,IFERROR(IF('Técnicas de Ki'!O113&lt;&gt;0,'Técnicas de Ki'!O113+TS!$R218,0)*$R218/$R218,0))</f>
        <v>0</v>
      </c>
      <c r="AF218" s="538">
        <f>IF('Técnicas de Ki'!B113=0,0,IFERROR(IF('Técnicas de Ki'!P113&lt;&gt;0,'Técnicas de Ki'!P113+TS!$S218,0)*$S218/$S218,0))</f>
        <v>0</v>
      </c>
      <c r="AG218" s="539">
        <f>IF('Técnicas de Ki'!B113=0,0,IFERROR(IF('Técnicas de Ki'!Q113&lt;&gt;0,'Técnicas de Ki'!Q113+TS!$T218,0)*$T218/$T218,0))</f>
        <v>0</v>
      </c>
      <c r="AI218" s="571" t="str">
        <f>IF('Técnicas de Ki'!B121&lt;&gt;0,'Técnicas de Ki'!A121&amp;" "&amp;'Técnicas de Ki'!B121,"")</f>
        <v/>
      </c>
      <c r="AJ218" s="302" t="b">
        <f t="shared" si="41"/>
        <v>0</v>
      </c>
      <c r="AK218" s="302" t="str">
        <f t="shared" si="37"/>
        <v/>
      </c>
      <c r="AQ218" s="537">
        <f>IF('Técnicas de Ki'!W113=0,0,IF('Técnicas de Ki'!AD113=TS!AQ$119,'Técnicas de Ki'!X113-(IF($O218&lt;&gt;0,'Técnicas de Ki'!AG113,0)+IF($P218&lt;&gt;0,'Técnicas de Ki'!AH113,0)+IF($Q218&lt;&gt;0,'Técnicas de Ki'!AI113,0)+IF($R218&lt;&gt;0,'Técnicas de Ki'!AJ113,0)+IF($S218&lt;&gt;0,'Técnicas de Ki'!AK113,0)+IF($T218&lt;&gt;0,'Técnicas de Ki'!AL113,0)),0))</f>
        <v>0</v>
      </c>
      <c r="AR218" s="538">
        <f>IF('Técnicas de Ki'!W113=0,0,IF('Técnicas de Ki'!AD113=TS!AR$119,'Técnicas de Ki'!X113-(IF($O218&lt;&gt;0,'Técnicas de Ki'!AG113,0)+IF($P218&lt;&gt;0,'Técnicas de Ki'!AH113,0)+IF($Q218&lt;&gt;0,'Técnicas de Ki'!AI113,0)+IF($R218&lt;&gt;0,'Técnicas de Ki'!AJ113,0)+IF($S218&lt;&gt;0,'Técnicas de Ki'!AK113,0)+IF($T218&lt;&gt;0,'Técnicas de Ki'!AL113,0)),0))</f>
        <v>0</v>
      </c>
      <c r="AS218" s="538">
        <f>IF('Técnicas de Ki'!W113=0,0,IF('Técnicas de Ki'!AD113=TS!AS$119,'Técnicas de Ki'!X113-(IF($O218&lt;&gt;0,'Técnicas de Ki'!AG113,0)+IF($P218&lt;&gt;0,'Técnicas de Ki'!AH113,0)+IF($Q218&lt;&gt;0,'Técnicas de Ki'!AI113,0)+IF($R218&lt;&gt;0,'Técnicas de Ki'!AJ113,0)+IF($S218&lt;&gt;0,'Técnicas de Ki'!AK113,0)+IF($T218&lt;&gt;0,'Técnicas de Ki'!AL113,0)),0))</f>
        <v>0</v>
      </c>
      <c r="AT218" s="538">
        <f>IF('Técnicas de Ki'!W113=0,0,IF('Técnicas de Ki'!AD113=TS!AT$119,'Técnicas de Ki'!X113-(IF($O218&lt;&gt;0,'Técnicas de Ki'!AG113,0)+IF($P218&lt;&gt;0,'Técnicas de Ki'!AH113,0)+IF($Q218&lt;&gt;0,'Técnicas de Ki'!AI113,0)+IF($R218&lt;&gt;0,'Técnicas de Ki'!AJ113,0)+IF($S218&lt;&gt;0,'Técnicas de Ki'!AK113,0)+IF($T218&lt;&gt;0,'Técnicas de Ki'!AL113,0)),0))</f>
        <v>0</v>
      </c>
      <c r="AU218" s="538">
        <f>IF('Técnicas de Ki'!W113=0,0,IF('Técnicas de Ki'!AD113=TS!AU$119,'Técnicas de Ki'!X113-(IF($O218&lt;&gt;0,'Técnicas de Ki'!AG113,0)+IF($P218&lt;&gt;0,'Técnicas de Ki'!AH113,0)+IF($Q218&lt;&gt;0,'Técnicas de Ki'!AI113,0)+IF($R218&lt;&gt;0,'Técnicas de Ki'!AJ113,0)+IF($S218&lt;&gt;0,'Técnicas de Ki'!AK113,0)+IF($T218&lt;&gt;0,'Técnicas de Ki'!AL113,0)),0))</f>
        <v>0</v>
      </c>
      <c r="AV218" s="539">
        <f>IF('Técnicas de Ki'!W113=0,0,IF('Técnicas de Ki'!AD113=TS!AV$119,'Técnicas de Ki'!X113-(IF($O218&lt;&gt;0,'Técnicas de Ki'!AG113,0)+IF($P218&lt;&gt;0,'Técnicas de Ki'!AH113,0)+IF($Q218&lt;&gt;0,'Técnicas de Ki'!AI113,0)+IF($R218&lt;&gt;0,'Técnicas de Ki'!AJ113,0)+IF($S218&lt;&gt;0,'Técnicas de Ki'!AK113,0)+IF($T218&lt;&gt;0,'Técnicas de Ki'!AL113,0)),0))</f>
        <v>0</v>
      </c>
      <c r="AW218" s="538">
        <f>IF('Técnicas de Ki'!W113=0,0,IFERROR(IF('Técnicas de Ki'!AG113&lt;&gt;0,'Técnicas de Ki'!AG113+TS!$O218,0)*$O218/$O218,0))</f>
        <v>0</v>
      </c>
      <c r="AX218" s="538">
        <f>IF('Técnicas de Ki'!W113=0,0,IFERROR(IF('Técnicas de Ki'!AH113&lt;&gt;0,'Técnicas de Ki'!AH113+TS!$P218,0)*$P218/$P218,0))</f>
        <v>0</v>
      </c>
      <c r="AY218" s="538">
        <f>IF('Técnicas de Ki'!W113=0,0,IFERROR(IF('Técnicas de Ki'!AI113&lt;&gt;0,'Técnicas de Ki'!AI113+TS!$Q218,0)*$Q218/$Q218,0))</f>
        <v>0</v>
      </c>
      <c r="AZ218" s="538">
        <f>IF('Técnicas de Ki'!W113=0,0,IFERROR(IF('Técnicas de Ki'!AJ113&lt;&gt;0,'Técnicas de Ki'!AJ113+TS!$R218,0)*$R218/$R218,0))</f>
        <v>0</v>
      </c>
      <c r="BA218" s="538">
        <f>IF('Técnicas de Ki'!W113=0,0,IFERROR(IF('Técnicas de Ki'!AK113&lt;&gt;0,'Técnicas de Ki'!AK113+TS!$S218,0)*$S218/$S218,0))</f>
        <v>0</v>
      </c>
      <c r="BB218" s="539">
        <f>IF('Técnicas de Ki'!W113=0,0,IFERROR(IF('Técnicas de Ki'!AL113&lt;&gt;0,'Técnicas de Ki'!AL113+TS!$T218,0)*$T218/$T218,0))</f>
        <v>0</v>
      </c>
      <c r="BD218" s="571" t="str">
        <f>IF('Técnicas de Ki'!W121&lt;&gt;0,'Técnicas de Ki'!V121&amp;" "&amp;'Técnicas de Ki'!W121,"")</f>
        <v/>
      </c>
      <c r="BE218" s="302" t="b">
        <f t="shared" si="34"/>
        <v>0</v>
      </c>
      <c r="BF218" s="302" t="str">
        <f t="shared" si="38"/>
        <v/>
      </c>
      <c r="BL218" s="537">
        <f>IF('Técnicas de Ki'!AR113=0,0,IF('Técnicas de Ki'!AY113=TS!BL$119,'Técnicas de Ki'!AS113-(IF($O218&lt;&gt;0,'Técnicas de Ki'!BB113,0)+IF($P218&lt;&gt;0,'Técnicas de Ki'!BC113,0)+IF($Q218&lt;&gt;0,'Técnicas de Ki'!BD113,0)+IF($R218&lt;&gt;0,'Técnicas de Ki'!BE113,0)+IF($S218&lt;&gt;0,'Técnicas de Ki'!BF113,0)+IF($T218&lt;&gt;0,'Técnicas de Ki'!BG113,0)),0))</f>
        <v>0</v>
      </c>
      <c r="BM218" s="538">
        <f>IF('Técnicas de Ki'!AR113=0,0,IF('Técnicas de Ki'!AY113=TS!BM$119,'Técnicas de Ki'!AS113-(IF($O218&lt;&gt;0,'Técnicas de Ki'!BB113,0)+IF($P218&lt;&gt;0,'Técnicas de Ki'!BC113,0)+IF($Q218&lt;&gt;0,'Técnicas de Ki'!BD113,0)+IF($R218&lt;&gt;0,'Técnicas de Ki'!BE113,0)+IF($S218&lt;&gt;0,'Técnicas de Ki'!BF113,0)+IF($T218&lt;&gt;0,'Técnicas de Ki'!BG113,0)),0))</f>
        <v>0</v>
      </c>
      <c r="BN218" s="538">
        <f>IF('Técnicas de Ki'!AR113=0,0,IF('Técnicas de Ki'!AY113=TS!BN$119,'Técnicas de Ki'!AS113-(IF($O218&lt;&gt;0,'Técnicas de Ki'!BB113,0)+IF($P218&lt;&gt;0,'Técnicas de Ki'!BC113,0)+IF($Q218&lt;&gt;0,'Técnicas de Ki'!BD113,0)+IF($R218&lt;&gt;0,'Técnicas de Ki'!BE113,0)+IF($S218&lt;&gt;0,'Técnicas de Ki'!BF113,0)+IF($T218&lt;&gt;0,'Técnicas de Ki'!BG113,0)),0))</f>
        <v>0</v>
      </c>
      <c r="BO218" s="538">
        <f>IF('Técnicas de Ki'!AR113=0,0,IF('Técnicas de Ki'!AY113=TS!BO$119,'Técnicas de Ki'!AS113-(IF($O218&lt;&gt;0,'Técnicas de Ki'!BB113,0)+IF($P218&lt;&gt;0,'Técnicas de Ki'!BC113,0)+IF($Q218&lt;&gt;0,'Técnicas de Ki'!BD113,0)+IF($R218&lt;&gt;0,'Técnicas de Ki'!BE113,0)+IF($S218&lt;&gt;0,'Técnicas de Ki'!BF113,0)+IF($T218&lt;&gt;0,'Técnicas de Ki'!BG113,0)),0))</f>
        <v>0</v>
      </c>
      <c r="BP218" s="538">
        <f>IF('Técnicas de Ki'!AR113=0,0,IF('Técnicas de Ki'!AY113=TS!BP$119,'Técnicas de Ki'!AS113-(IF($O218&lt;&gt;0,'Técnicas de Ki'!BB113,0)+IF($P218&lt;&gt;0,'Técnicas de Ki'!BC113,0)+IF($Q218&lt;&gt;0,'Técnicas de Ki'!BD113,0)+IF($R218&lt;&gt;0,'Técnicas de Ki'!BE113,0)+IF($S218&lt;&gt;0,'Técnicas de Ki'!BF113,0)+IF($T218&lt;&gt;0,'Técnicas de Ki'!BG113,0)),0))</f>
        <v>0</v>
      </c>
      <c r="BQ218" s="539">
        <f>IF('Técnicas de Ki'!AR113=0,0,IF('Técnicas de Ki'!AY113=TS!BQ$119,'Técnicas de Ki'!AS113-(IF($O218&lt;&gt;0,'Técnicas de Ki'!BB113,0)+IF($P218&lt;&gt;0,'Técnicas de Ki'!BC113,0)+IF($Q218&lt;&gt;0,'Técnicas de Ki'!BD113,0)+IF($R218&lt;&gt;0,'Técnicas de Ki'!BE113,0)+IF($S218&lt;&gt;0,'Técnicas de Ki'!BF113,0)+IF($T218&lt;&gt;0,'Técnicas de Ki'!BG113,0)),0))</f>
        <v>0</v>
      </c>
      <c r="BR218" s="538">
        <f>IF('Técnicas de Ki'!AR113=0,0,IFERROR(IF('Técnicas de Ki'!BB113&lt;&gt;0,'Técnicas de Ki'!BB113+TS!$O218,0)*$O218/$O218,0))</f>
        <v>0</v>
      </c>
      <c r="BS218" s="538">
        <f>IF('Técnicas de Ki'!AR113=0,0,IFERROR(IF('Técnicas de Ki'!BC113&lt;&gt;0,'Técnicas de Ki'!BC113+TS!$P218,0)*$P218/$P218,0))</f>
        <v>0</v>
      </c>
      <c r="BT218" s="538">
        <f>IF('Técnicas de Ki'!AR113=0,0,IFERROR(IF('Técnicas de Ki'!BD113&lt;&gt;0,'Técnicas de Ki'!BD113+TS!$Q218,0)*$Q218/$Q218,0))</f>
        <v>0</v>
      </c>
      <c r="BU218" s="538">
        <f>IF('Técnicas de Ki'!AR113=0,0,IFERROR(IF('Técnicas de Ki'!BE113&lt;&gt;0,'Técnicas de Ki'!BE113+TS!$R218,0)*$R218/$R218,0))</f>
        <v>0</v>
      </c>
      <c r="BV218" s="538">
        <f>IF('Técnicas de Ki'!AR113=0,0,IFERROR(IF('Técnicas de Ki'!BF113&lt;&gt;0,'Técnicas de Ki'!BF113+TS!$S218,0)*$S218/$S218,0))</f>
        <v>0</v>
      </c>
      <c r="BW218" s="539">
        <f>IF('Técnicas de Ki'!AR113=0,0,IFERROR(IF('Técnicas de Ki'!BG113&lt;&gt;0,'Técnicas de Ki'!BG113+TS!$T218,0)*$T218/$T218,0))</f>
        <v>0</v>
      </c>
      <c r="BY218" s="571" t="str">
        <f>IF('Técnicas de Ki'!AR121&lt;&gt;0,'Técnicas de Ki'!AQ121&amp;" "&amp;'Técnicas de Ki'!AR121,"")</f>
        <v/>
      </c>
      <c r="BZ218" s="302" t="b">
        <f t="shared" si="35"/>
        <v>0</v>
      </c>
      <c r="CA218" s="302" t="str">
        <f t="shared" si="39"/>
        <v/>
      </c>
      <c r="CG218" s="537">
        <f>IF('Técnicas de Ki'!BM113=0,0,IF('Técnicas de Ki'!BT113=TS!CG$119,'Técnicas de Ki'!BN113-(IF($O218&lt;&gt;0,'Técnicas de Ki'!BW113,0)+IF($P218&lt;&gt;0,'Técnicas de Ki'!BX113,0)+IF($Q218&lt;&gt;0,'Técnicas de Ki'!BY113,0)+IF($R218&lt;&gt;0,'Técnicas de Ki'!BZ113,0)+IF($S218&lt;&gt;0,'Técnicas de Ki'!CA113,0)+IF($T218&lt;&gt;0,'Técnicas de Ki'!CB113,0)),0))</f>
        <v>0</v>
      </c>
      <c r="CH218" s="538">
        <f>IF('Técnicas de Ki'!BM113=0,0,IF('Técnicas de Ki'!BT113=TS!CH$119,'Técnicas de Ki'!BN113-(IF($O218&lt;&gt;0,'Técnicas de Ki'!BW113,0)+IF($P218&lt;&gt;0,'Técnicas de Ki'!BX113,0)+IF($Q218&lt;&gt;0,'Técnicas de Ki'!BY113,0)+IF($R218&lt;&gt;0,'Técnicas de Ki'!BZ113,0)+IF($S218&lt;&gt;0,'Técnicas de Ki'!CA113,0)+IF($T218&lt;&gt;0,'Técnicas de Ki'!CB113,0)),0))</f>
        <v>0</v>
      </c>
      <c r="CI218" s="538">
        <f>IF('Técnicas de Ki'!BM113=0,0,IF('Técnicas de Ki'!BT113=TS!CI$119,'Técnicas de Ki'!BN113-(IF($O218&lt;&gt;0,'Técnicas de Ki'!BW113,0)+IF($P218&lt;&gt;0,'Técnicas de Ki'!BX113,0)+IF($Q218&lt;&gt;0,'Técnicas de Ki'!BY113,0)+IF($R218&lt;&gt;0,'Técnicas de Ki'!BZ113,0)+IF($S218&lt;&gt;0,'Técnicas de Ki'!CA113,0)+IF($T218&lt;&gt;0,'Técnicas de Ki'!CB113,0)),0))</f>
        <v>0</v>
      </c>
      <c r="CJ218" s="538">
        <f>IF('Técnicas de Ki'!BM113=0,0,IF('Técnicas de Ki'!BT113=TS!CJ$119,'Técnicas de Ki'!BN113-(IF($O218&lt;&gt;0,'Técnicas de Ki'!BW113,0)+IF($P218&lt;&gt;0,'Técnicas de Ki'!BX113,0)+IF($Q218&lt;&gt;0,'Técnicas de Ki'!BY113,0)+IF($R218&lt;&gt;0,'Técnicas de Ki'!BZ113,0)+IF($S218&lt;&gt;0,'Técnicas de Ki'!CA113,0)+IF($T218&lt;&gt;0,'Técnicas de Ki'!CB113,0)),0))</f>
        <v>0</v>
      </c>
      <c r="CK218" s="538">
        <f>IF('Técnicas de Ki'!BM113=0,0,IF('Técnicas de Ki'!BT113=TS!CK$119,'Técnicas de Ki'!BN113-(IF($O218&lt;&gt;0,'Técnicas de Ki'!BW113,0)+IF($P218&lt;&gt;0,'Técnicas de Ki'!BX113,0)+IF($Q218&lt;&gt;0,'Técnicas de Ki'!BY113,0)+IF($R218&lt;&gt;0,'Técnicas de Ki'!BZ113,0)+IF($S218&lt;&gt;0,'Técnicas de Ki'!CA113,0)+IF($T218&lt;&gt;0,'Técnicas de Ki'!CB113,0)),0))</f>
        <v>0</v>
      </c>
      <c r="CL218" s="539">
        <f>IF('Técnicas de Ki'!BM113=0,0,IF('Técnicas de Ki'!BT113=TS!CL$119,'Técnicas de Ki'!BN113-(IF($O218&lt;&gt;0,'Técnicas de Ki'!BW113,0)+IF($P218&lt;&gt;0,'Técnicas de Ki'!BX113,0)+IF($Q218&lt;&gt;0,'Técnicas de Ki'!BY113,0)+IF($R218&lt;&gt;0,'Técnicas de Ki'!BZ113,0)+IF($S218&lt;&gt;0,'Técnicas de Ki'!CA113,0)+IF($T218&lt;&gt;0,'Técnicas de Ki'!CB113,0)),0))</f>
        <v>0</v>
      </c>
      <c r="CM218" s="538">
        <f>IF('Técnicas de Ki'!BM113=0,0,IFERROR(IF('Técnicas de Ki'!BW113&lt;&gt;0,'Técnicas de Ki'!BW113+TS!$O218,0)*$O218/$O218,0))</f>
        <v>0</v>
      </c>
      <c r="CN218" s="538">
        <f>IF('Técnicas de Ki'!BM113=0,0,IFERROR(IF('Técnicas de Ki'!BX113&lt;&gt;0,'Técnicas de Ki'!BX113+TS!$P218,0)*$P218/$P218,0))</f>
        <v>0</v>
      </c>
      <c r="CO218" s="538">
        <f>IF('Técnicas de Ki'!BM113=0,0,IFERROR(IF('Técnicas de Ki'!BY113&lt;&gt;0,'Técnicas de Ki'!BY113+TS!$Q218,0)*$Q218/$Q218,0))</f>
        <v>0</v>
      </c>
      <c r="CP218" s="538">
        <f>IF('Técnicas de Ki'!BM113=0,0,IFERROR(IF('Técnicas de Ki'!BZ113&lt;&gt;0,'Técnicas de Ki'!BZ113+TS!$R218,0)*$R218/$R218,0))</f>
        <v>0</v>
      </c>
      <c r="CQ218" s="538">
        <f>IF('Técnicas de Ki'!BM113=0,0,IFERROR(IF('Técnicas de Ki'!CA113&lt;&gt;0,'Técnicas de Ki'!CA113+TS!$S218,0)*$S218/$S218,0))</f>
        <v>0</v>
      </c>
      <c r="CR218" s="539">
        <f>IF('Técnicas de Ki'!BM113=0,0,IFERROR(IF('Técnicas de Ki'!CB113&lt;&gt;0,'Técnicas de Ki'!CB113+TS!$T218,0)*$T218/$T218,0))</f>
        <v>0</v>
      </c>
      <c r="CT218" s="571" t="str">
        <f>IF('Técnicas de Ki'!BM121&lt;&gt;0,'Técnicas de Ki'!BL121&amp;" "&amp;'Técnicas de Ki'!BM121,"")</f>
        <v/>
      </c>
      <c r="CU218" s="302" t="b">
        <f t="shared" si="36"/>
        <v>0</v>
      </c>
      <c r="CV218" s="302" t="str">
        <f t="shared" si="40"/>
        <v/>
      </c>
    </row>
    <row r="219" spans="1:101" ht="13.5" thickBot="1" x14ac:dyDescent="0.25">
      <c r="A219" s="302" t="s">
        <v>6882</v>
      </c>
      <c r="B219" s="302" t="s">
        <v>6886</v>
      </c>
      <c r="C219" s="302" t="str">
        <f t="shared" si="42"/>
        <v>PrevisiónCompleto</v>
      </c>
      <c r="D219" s="302">
        <v>6</v>
      </c>
      <c r="E219" s="302">
        <v>9</v>
      </c>
      <c r="F219" s="302">
        <v>25</v>
      </c>
      <c r="G219" s="302">
        <v>3</v>
      </c>
      <c r="H219" s="302">
        <v>6</v>
      </c>
      <c r="I219" s="302">
        <v>11</v>
      </c>
      <c r="J219" s="302">
        <v>1</v>
      </c>
      <c r="N219" t="s">
        <v>6993</v>
      </c>
      <c r="O219" s="302">
        <v>3</v>
      </c>
      <c r="Q219" s="302">
        <v>3</v>
      </c>
      <c r="R219" s="302">
        <v>2</v>
      </c>
      <c r="S219" s="302">
        <v>1</v>
      </c>
      <c r="V219" s="537">
        <f>IF('Técnicas de Ki'!B114=0,0,IF('Técnicas de Ki'!I114=TS!V$119,'Técnicas de Ki'!C114-(IF($O219&lt;&gt;0,'Técnicas de Ki'!L114,0)+IF($P219&lt;&gt;0,'Técnicas de Ki'!M114,0)+IF($Q219&lt;&gt;0,'Técnicas de Ki'!N114,0)+IF($R219&lt;&gt;0,'Técnicas de Ki'!O114,0)+IF($S219&lt;&gt;0,'Técnicas de Ki'!P114,0)+IF($T219&lt;&gt;0,'Técnicas de Ki'!Q114,0)),0))</f>
        <v>0</v>
      </c>
      <c r="W219" s="538">
        <f>IF('Técnicas de Ki'!B114=0,0,IF('Técnicas de Ki'!I114=TS!W$119,'Técnicas de Ki'!C114-(IF($O219&lt;&gt;0,'Técnicas de Ki'!L114,0)+IF($P219&lt;&gt;0,'Técnicas de Ki'!M114,0)+IF($Q219&lt;&gt;0,'Técnicas de Ki'!N114,0)+IF($R219&lt;&gt;0,'Técnicas de Ki'!O114,0)+IF($S219&lt;&gt;0,'Técnicas de Ki'!P114,0)+IF($T219&lt;&gt;0,'Técnicas de Ki'!Q114,0)),0))</f>
        <v>0</v>
      </c>
      <c r="X219" s="538">
        <f>IF('Técnicas de Ki'!B114=0,0,IF('Técnicas de Ki'!I114=TS!X$119,'Técnicas de Ki'!C114-(IF($O219&lt;&gt;0,'Técnicas de Ki'!L114,0)+IF($P219&lt;&gt;0,'Técnicas de Ki'!M114,0)+IF($Q219&lt;&gt;0,'Técnicas de Ki'!N114,0)+IF($R219&lt;&gt;0,'Técnicas de Ki'!O114,0)+IF($S219&lt;&gt;0,'Técnicas de Ki'!P114,0)+IF($T219&lt;&gt;0,'Técnicas de Ki'!Q114,0)),0))</f>
        <v>0</v>
      </c>
      <c r="Y219" s="538">
        <f>IF('Técnicas de Ki'!B114=0,0,IF('Técnicas de Ki'!I114=TS!Y$119,'Técnicas de Ki'!C114-(IF($O219&lt;&gt;0,'Técnicas de Ki'!L114,0)+IF($P219&lt;&gt;0,'Técnicas de Ki'!M114,0)+IF($Q219&lt;&gt;0,'Técnicas de Ki'!N114,0)+IF($R219&lt;&gt;0,'Técnicas de Ki'!O114,0)+IF($S219&lt;&gt;0,'Técnicas de Ki'!P114,0)+IF($T219&lt;&gt;0,'Técnicas de Ki'!Q114,0)),0))</f>
        <v>0</v>
      </c>
      <c r="Z219" s="538">
        <f>IF('Técnicas de Ki'!B114=0,0,IF('Técnicas de Ki'!I114=TS!Z$119,'Técnicas de Ki'!C114-(IF($O219&lt;&gt;0,'Técnicas de Ki'!L114,0)+IF($P219&lt;&gt;0,'Técnicas de Ki'!M114,0)+IF($Q219&lt;&gt;0,'Técnicas de Ki'!N114,0)+IF($R219&lt;&gt;0,'Técnicas de Ki'!O114,0)+IF($S219&lt;&gt;0,'Técnicas de Ki'!P114,0)+IF($T219&lt;&gt;0,'Técnicas de Ki'!Q114,0)),0))</f>
        <v>0</v>
      </c>
      <c r="AA219" s="539">
        <f>IF('Técnicas de Ki'!B114=0,0,IF('Técnicas de Ki'!I114=TS!AA$119,'Técnicas de Ki'!C114-(IF($O219&lt;&gt;0,'Técnicas de Ki'!L114,0)+IF($P219&lt;&gt;0,'Técnicas de Ki'!M114,0)+IF($Q219&lt;&gt;0,'Técnicas de Ki'!N114,0)+IF($R219&lt;&gt;0,'Técnicas de Ki'!O114,0)+IF($S219&lt;&gt;0,'Técnicas de Ki'!P114,0)+IF($T219&lt;&gt;0,'Técnicas de Ki'!Q114,0)),0))</f>
        <v>0</v>
      </c>
      <c r="AB219" s="538">
        <f>IF('Técnicas de Ki'!B114=0,0,IFERROR(IF('Técnicas de Ki'!L114&lt;&gt;0,'Técnicas de Ki'!L114+TS!$O219,0)*$O219/$O219,0))</f>
        <v>0</v>
      </c>
      <c r="AC219" s="538">
        <f>IF('Técnicas de Ki'!B114=0,0,IFERROR(IF('Técnicas de Ki'!M114&lt;&gt;0,'Técnicas de Ki'!M114+TS!$P219,0)*$P219/$P219,0))</f>
        <v>0</v>
      </c>
      <c r="AD219" s="538">
        <f>IF('Técnicas de Ki'!B114=0,0,IFERROR(IF('Técnicas de Ki'!N114&lt;&gt;0,'Técnicas de Ki'!N114+TS!$Q219,0)*$Q219/$Q219,0))</f>
        <v>0</v>
      </c>
      <c r="AE219" s="538">
        <f>IF('Técnicas de Ki'!B114=0,0,IFERROR(IF('Técnicas de Ki'!O114&lt;&gt;0,'Técnicas de Ki'!O114+TS!$R219,0)*$R219/$R219,0))</f>
        <v>0</v>
      </c>
      <c r="AF219" s="538">
        <f>IF('Técnicas de Ki'!B114=0,0,IFERROR(IF('Técnicas de Ki'!P114&lt;&gt;0,'Técnicas de Ki'!P114+TS!$S219,0)*$S219/$S219,0))</f>
        <v>0</v>
      </c>
      <c r="AG219" s="539">
        <f>IF('Técnicas de Ki'!B114=0,0,IFERROR(IF('Técnicas de Ki'!Q114&lt;&gt;0,'Técnicas de Ki'!Q114+TS!$T219,0)*$T219/$T219,0))</f>
        <v>0</v>
      </c>
      <c r="AI219" s="572" t="str">
        <f>IF('Técnicas de Ki'!B122&lt;&gt;0,'Técnicas de Ki'!A122&amp;" "&amp;'Técnicas de Ki'!B122,"")</f>
        <v/>
      </c>
      <c r="AJ219" s="302" t="b">
        <f t="shared" si="41"/>
        <v>0</v>
      </c>
      <c r="AK219" s="302" t="str">
        <f t="shared" si="37"/>
        <v/>
      </c>
      <c r="AQ219" s="537">
        <f>IF('Técnicas de Ki'!W114=0,0,IF('Técnicas de Ki'!AD114=TS!AQ$119,'Técnicas de Ki'!X114-(IF($O219&lt;&gt;0,'Técnicas de Ki'!AG114,0)+IF($P219&lt;&gt;0,'Técnicas de Ki'!AH114,0)+IF($Q219&lt;&gt;0,'Técnicas de Ki'!AI114,0)+IF($R219&lt;&gt;0,'Técnicas de Ki'!AJ114,0)+IF($S219&lt;&gt;0,'Técnicas de Ki'!AK114,0)+IF($T219&lt;&gt;0,'Técnicas de Ki'!AL114,0)),0))</f>
        <v>0</v>
      </c>
      <c r="AR219" s="538">
        <f>IF('Técnicas de Ki'!W114=0,0,IF('Técnicas de Ki'!AD114=TS!AR$119,'Técnicas de Ki'!X114-(IF($O219&lt;&gt;0,'Técnicas de Ki'!AG114,0)+IF($P219&lt;&gt;0,'Técnicas de Ki'!AH114,0)+IF($Q219&lt;&gt;0,'Técnicas de Ki'!AI114,0)+IF($R219&lt;&gt;0,'Técnicas de Ki'!AJ114,0)+IF($S219&lt;&gt;0,'Técnicas de Ki'!AK114,0)+IF($T219&lt;&gt;0,'Técnicas de Ki'!AL114,0)),0))</f>
        <v>0</v>
      </c>
      <c r="AS219" s="538">
        <f>IF('Técnicas de Ki'!W114=0,0,IF('Técnicas de Ki'!AD114=TS!AS$119,'Técnicas de Ki'!X114-(IF($O219&lt;&gt;0,'Técnicas de Ki'!AG114,0)+IF($P219&lt;&gt;0,'Técnicas de Ki'!AH114,0)+IF($Q219&lt;&gt;0,'Técnicas de Ki'!AI114,0)+IF($R219&lt;&gt;0,'Técnicas de Ki'!AJ114,0)+IF($S219&lt;&gt;0,'Técnicas de Ki'!AK114,0)+IF($T219&lt;&gt;0,'Técnicas de Ki'!AL114,0)),0))</f>
        <v>0</v>
      </c>
      <c r="AT219" s="538">
        <f>IF('Técnicas de Ki'!W114=0,0,IF('Técnicas de Ki'!AD114=TS!AT$119,'Técnicas de Ki'!X114-(IF($O219&lt;&gt;0,'Técnicas de Ki'!AG114,0)+IF($P219&lt;&gt;0,'Técnicas de Ki'!AH114,0)+IF($Q219&lt;&gt;0,'Técnicas de Ki'!AI114,0)+IF($R219&lt;&gt;0,'Técnicas de Ki'!AJ114,0)+IF($S219&lt;&gt;0,'Técnicas de Ki'!AK114,0)+IF($T219&lt;&gt;0,'Técnicas de Ki'!AL114,0)),0))</f>
        <v>0</v>
      </c>
      <c r="AU219" s="538">
        <f>IF('Técnicas de Ki'!W114=0,0,IF('Técnicas de Ki'!AD114=TS!AU$119,'Técnicas de Ki'!X114-(IF($O219&lt;&gt;0,'Técnicas de Ki'!AG114,0)+IF($P219&lt;&gt;0,'Técnicas de Ki'!AH114,0)+IF($Q219&lt;&gt;0,'Técnicas de Ki'!AI114,0)+IF($R219&lt;&gt;0,'Técnicas de Ki'!AJ114,0)+IF($S219&lt;&gt;0,'Técnicas de Ki'!AK114,0)+IF($T219&lt;&gt;0,'Técnicas de Ki'!AL114,0)),0))</f>
        <v>0</v>
      </c>
      <c r="AV219" s="539">
        <f>IF('Técnicas de Ki'!W114=0,0,IF('Técnicas de Ki'!AD114=TS!AV$119,'Técnicas de Ki'!X114-(IF($O219&lt;&gt;0,'Técnicas de Ki'!AG114,0)+IF($P219&lt;&gt;0,'Técnicas de Ki'!AH114,0)+IF($Q219&lt;&gt;0,'Técnicas de Ki'!AI114,0)+IF($R219&lt;&gt;0,'Técnicas de Ki'!AJ114,0)+IF($S219&lt;&gt;0,'Técnicas de Ki'!AK114,0)+IF($T219&lt;&gt;0,'Técnicas de Ki'!AL114,0)),0))</f>
        <v>0</v>
      </c>
      <c r="AW219" s="538">
        <f>IF('Técnicas de Ki'!W114=0,0,IFERROR(IF('Técnicas de Ki'!AG114&lt;&gt;0,'Técnicas de Ki'!AG114+TS!$O219,0)*$O219/$O219,0))</f>
        <v>0</v>
      </c>
      <c r="AX219" s="538">
        <f>IF('Técnicas de Ki'!W114=0,0,IFERROR(IF('Técnicas de Ki'!AH114&lt;&gt;0,'Técnicas de Ki'!AH114+TS!$P219,0)*$P219/$P219,0))</f>
        <v>0</v>
      </c>
      <c r="AY219" s="538">
        <f>IF('Técnicas de Ki'!W114=0,0,IFERROR(IF('Técnicas de Ki'!AI114&lt;&gt;0,'Técnicas de Ki'!AI114+TS!$Q219,0)*$Q219/$Q219,0))</f>
        <v>0</v>
      </c>
      <c r="AZ219" s="538">
        <f>IF('Técnicas de Ki'!W114=0,0,IFERROR(IF('Técnicas de Ki'!AJ114&lt;&gt;0,'Técnicas de Ki'!AJ114+TS!$R219,0)*$R219/$R219,0))</f>
        <v>0</v>
      </c>
      <c r="BA219" s="538">
        <f>IF('Técnicas de Ki'!W114=0,0,IFERROR(IF('Técnicas de Ki'!AK114&lt;&gt;0,'Técnicas de Ki'!AK114+TS!$S219,0)*$S219/$S219,0))</f>
        <v>0</v>
      </c>
      <c r="BB219" s="539">
        <f>IF('Técnicas de Ki'!W114=0,0,IFERROR(IF('Técnicas de Ki'!AL114&lt;&gt;0,'Técnicas de Ki'!AL114+TS!$T219,0)*$T219/$T219,0))</f>
        <v>0</v>
      </c>
      <c r="BD219" s="572" t="str">
        <f>IF('Técnicas de Ki'!W122&lt;&gt;0,'Técnicas de Ki'!V122&amp;" "&amp;'Técnicas de Ki'!W122,"")</f>
        <v/>
      </c>
      <c r="BE219" s="302" t="b">
        <f t="shared" si="34"/>
        <v>0</v>
      </c>
      <c r="BF219" s="302" t="str">
        <f t="shared" si="38"/>
        <v/>
      </c>
      <c r="BL219" s="537">
        <f>IF('Técnicas de Ki'!AR114=0,0,IF('Técnicas de Ki'!AY114=TS!BL$119,'Técnicas de Ki'!AS114-(IF($O219&lt;&gt;0,'Técnicas de Ki'!BB114,0)+IF($P219&lt;&gt;0,'Técnicas de Ki'!BC114,0)+IF($Q219&lt;&gt;0,'Técnicas de Ki'!BD114,0)+IF($R219&lt;&gt;0,'Técnicas de Ki'!BE114,0)+IF($S219&lt;&gt;0,'Técnicas de Ki'!BF114,0)+IF($T219&lt;&gt;0,'Técnicas de Ki'!BG114,0)),0))</f>
        <v>0</v>
      </c>
      <c r="BM219" s="538">
        <f>IF('Técnicas de Ki'!AR114=0,0,IF('Técnicas de Ki'!AY114=TS!BM$119,'Técnicas de Ki'!AS114-(IF($O219&lt;&gt;0,'Técnicas de Ki'!BB114,0)+IF($P219&lt;&gt;0,'Técnicas de Ki'!BC114,0)+IF($Q219&lt;&gt;0,'Técnicas de Ki'!BD114,0)+IF($R219&lt;&gt;0,'Técnicas de Ki'!BE114,0)+IF($S219&lt;&gt;0,'Técnicas de Ki'!BF114,0)+IF($T219&lt;&gt;0,'Técnicas de Ki'!BG114,0)),0))</f>
        <v>0</v>
      </c>
      <c r="BN219" s="538">
        <f>IF('Técnicas de Ki'!AR114=0,0,IF('Técnicas de Ki'!AY114=TS!BN$119,'Técnicas de Ki'!AS114-(IF($O219&lt;&gt;0,'Técnicas de Ki'!BB114,0)+IF($P219&lt;&gt;0,'Técnicas de Ki'!BC114,0)+IF($Q219&lt;&gt;0,'Técnicas de Ki'!BD114,0)+IF($R219&lt;&gt;0,'Técnicas de Ki'!BE114,0)+IF($S219&lt;&gt;0,'Técnicas de Ki'!BF114,0)+IF($T219&lt;&gt;0,'Técnicas de Ki'!BG114,0)),0))</f>
        <v>0</v>
      </c>
      <c r="BO219" s="538">
        <f>IF('Técnicas de Ki'!AR114=0,0,IF('Técnicas de Ki'!AY114=TS!BO$119,'Técnicas de Ki'!AS114-(IF($O219&lt;&gt;0,'Técnicas de Ki'!BB114,0)+IF($P219&lt;&gt;0,'Técnicas de Ki'!BC114,0)+IF($Q219&lt;&gt;0,'Técnicas de Ki'!BD114,0)+IF($R219&lt;&gt;0,'Técnicas de Ki'!BE114,0)+IF($S219&lt;&gt;0,'Técnicas de Ki'!BF114,0)+IF($T219&lt;&gt;0,'Técnicas de Ki'!BG114,0)),0))</f>
        <v>0</v>
      </c>
      <c r="BP219" s="538">
        <f>IF('Técnicas de Ki'!AR114=0,0,IF('Técnicas de Ki'!AY114=TS!BP$119,'Técnicas de Ki'!AS114-(IF($O219&lt;&gt;0,'Técnicas de Ki'!BB114,0)+IF($P219&lt;&gt;0,'Técnicas de Ki'!BC114,0)+IF($Q219&lt;&gt;0,'Técnicas de Ki'!BD114,0)+IF($R219&lt;&gt;0,'Técnicas de Ki'!BE114,0)+IF($S219&lt;&gt;0,'Técnicas de Ki'!BF114,0)+IF($T219&lt;&gt;0,'Técnicas de Ki'!BG114,0)),0))</f>
        <v>0</v>
      </c>
      <c r="BQ219" s="539">
        <f>IF('Técnicas de Ki'!AR114=0,0,IF('Técnicas de Ki'!AY114=TS!BQ$119,'Técnicas de Ki'!AS114-(IF($O219&lt;&gt;0,'Técnicas de Ki'!BB114,0)+IF($P219&lt;&gt;0,'Técnicas de Ki'!BC114,0)+IF($Q219&lt;&gt;0,'Técnicas de Ki'!BD114,0)+IF($R219&lt;&gt;0,'Técnicas de Ki'!BE114,0)+IF($S219&lt;&gt;0,'Técnicas de Ki'!BF114,0)+IF($T219&lt;&gt;0,'Técnicas de Ki'!BG114,0)),0))</f>
        <v>0</v>
      </c>
      <c r="BR219" s="538">
        <f>IF('Técnicas de Ki'!AR114=0,0,IFERROR(IF('Técnicas de Ki'!BB114&lt;&gt;0,'Técnicas de Ki'!BB114+TS!$O219,0)*$O219/$O219,0))</f>
        <v>0</v>
      </c>
      <c r="BS219" s="538">
        <f>IF('Técnicas de Ki'!AR114=0,0,IFERROR(IF('Técnicas de Ki'!BC114&lt;&gt;0,'Técnicas de Ki'!BC114+TS!$P219,0)*$P219/$P219,0))</f>
        <v>0</v>
      </c>
      <c r="BT219" s="538">
        <f>IF('Técnicas de Ki'!AR114=0,0,IFERROR(IF('Técnicas de Ki'!BD114&lt;&gt;0,'Técnicas de Ki'!BD114+TS!$Q219,0)*$Q219/$Q219,0))</f>
        <v>0</v>
      </c>
      <c r="BU219" s="538">
        <f>IF('Técnicas de Ki'!AR114=0,0,IFERROR(IF('Técnicas de Ki'!BE114&lt;&gt;0,'Técnicas de Ki'!BE114+TS!$R219,0)*$R219/$R219,0))</f>
        <v>0</v>
      </c>
      <c r="BV219" s="538">
        <f>IF('Técnicas de Ki'!AR114=0,0,IFERROR(IF('Técnicas de Ki'!BF114&lt;&gt;0,'Técnicas de Ki'!BF114+TS!$S219,0)*$S219/$S219,0))</f>
        <v>0</v>
      </c>
      <c r="BW219" s="539">
        <f>IF('Técnicas de Ki'!AR114=0,0,IFERROR(IF('Técnicas de Ki'!BG114&lt;&gt;0,'Técnicas de Ki'!BG114+TS!$T219,0)*$T219/$T219,0))</f>
        <v>0</v>
      </c>
      <c r="BY219" s="572" t="str">
        <f>IF('Técnicas de Ki'!AR122&lt;&gt;0,'Técnicas de Ki'!AQ122&amp;" "&amp;'Técnicas de Ki'!AR122,"")</f>
        <v/>
      </c>
      <c r="BZ219" s="302" t="b">
        <f t="shared" si="35"/>
        <v>0</v>
      </c>
      <c r="CA219" s="302" t="str">
        <f t="shared" si="39"/>
        <v/>
      </c>
      <c r="CG219" s="537">
        <f>IF('Técnicas de Ki'!BM114=0,0,IF('Técnicas de Ki'!BT114=TS!CG$119,'Técnicas de Ki'!BN114-(IF($O219&lt;&gt;0,'Técnicas de Ki'!BW114,0)+IF($P219&lt;&gt;0,'Técnicas de Ki'!BX114,0)+IF($Q219&lt;&gt;0,'Técnicas de Ki'!BY114,0)+IF($R219&lt;&gt;0,'Técnicas de Ki'!BZ114,0)+IF($S219&lt;&gt;0,'Técnicas de Ki'!CA114,0)+IF($T219&lt;&gt;0,'Técnicas de Ki'!CB114,0)),0))</f>
        <v>0</v>
      </c>
      <c r="CH219" s="538">
        <f>IF('Técnicas de Ki'!BM114=0,0,IF('Técnicas de Ki'!BT114=TS!CH$119,'Técnicas de Ki'!BN114-(IF($O219&lt;&gt;0,'Técnicas de Ki'!BW114,0)+IF($P219&lt;&gt;0,'Técnicas de Ki'!BX114,0)+IF($Q219&lt;&gt;0,'Técnicas de Ki'!BY114,0)+IF($R219&lt;&gt;0,'Técnicas de Ki'!BZ114,0)+IF($S219&lt;&gt;0,'Técnicas de Ki'!CA114,0)+IF($T219&lt;&gt;0,'Técnicas de Ki'!CB114,0)),0))</f>
        <v>0</v>
      </c>
      <c r="CI219" s="538">
        <f>IF('Técnicas de Ki'!BM114=0,0,IF('Técnicas de Ki'!BT114=TS!CI$119,'Técnicas de Ki'!BN114-(IF($O219&lt;&gt;0,'Técnicas de Ki'!BW114,0)+IF($P219&lt;&gt;0,'Técnicas de Ki'!BX114,0)+IF($Q219&lt;&gt;0,'Técnicas de Ki'!BY114,0)+IF($R219&lt;&gt;0,'Técnicas de Ki'!BZ114,0)+IF($S219&lt;&gt;0,'Técnicas de Ki'!CA114,0)+IF($T219&lt;&gt;0,'Técnicas de Ki'!CB114,0)),0))</f>
        <v>0</v>
      </c>
      <c r="CJ219" s="538">
        <f>IF('Técnicas de Ki'!BM114=0,0,IF('Técnicas de Ki'!BT114=TS!CJ$119,'Técnicas de Ki'!BN114-(IF($O219&lt;&gt;0,'Técnicas de Ki'!BW114,0)+IF($P219&lt;&gt;0,'Técnicas de Ki'!BX114,0)+IF($Q219&lt;&gt;0,'Técnicas de Ki'!BY114,0)+IF($R219&lt;&gt;0,'Técnicas de Ki'!BZ114,0)+IF($S219&lt;&gt;0,'Técnicas de Ki'!CA114,0)+IF($T219&lt;&gt;0,'Técnicas de Ki'!CB114,0)),0))</f>
        <v>0</v>
      </c>
      <c r="CK219" s="538">
        <f>IF('Técnicas de Ki'!BM114=0,0,IF('Técnicas de Ki'!BT114=TS!CK$119,'Técnicas de Ki'!BN114-(IF($O219&lt;&gt;0,'Técnicas de Ki'!BW114,0)+IF($P219&lt;&gt;0,'Técnicas de Ki'!BX114,0)+IF($Q219&lt;&gt;0,'Técnicas de Ki'!BY114,0)+IF($R219&lt;&gt;0,'Técnicas de Ki'!BZ114,0)+IF($S219&lt;&gt;0,'Técnicas de Ki'!CA114,0)+IF($T219&lt;&gt;0,'Técnicas de Ki'!CB114,0)),0))</f>
        <v>0</v>
      </c>
      <c r="CL219" s="539">
        <f>IF('Técnicas de Ki'!BM114=0,0,IF('Técnicas de Ki'!BT114=TS!CL$119,'Técnicas de Ki'!BN114-(IF($O219&lt;&gt;0,'Técnicas de Ki'!BW114,0)+IF($P219&lt;&gt;0,'Técnicas de Ki'!BX114,0)+IF($Q219&lt;&gt;0,'Técnicas de Ki'!BY114,0)+IF($R219&lt;&gt;0,'Técnicas de Ki'!BZ114,0)+IF($S219&lt;&gt;0,'Técnicas de Ki'!CA114,0)+IF($T219&lt;&gt;0,'Técnicas de Ki'!CB114,0)),0))</f>
        <v>0</v>
      </c>
      <c r="CM219" s="538">
        <f>IF('Técnicas de Ki'!BM114=0,0,IFERROR(IF('Técnicas de Ki'!BW114&lt;&gt;0,'Técnicas de Ki'!BW114+TS!$O219,0)*$O219/$O219,0))</f>
        <v>0</v>
      </c>
      <c r="CN219" s="538">
        <f>IF('Técnicas de Ki'!BM114=0,0,IFERROR(IF('Técnicas de Ki'!BX114&lt;&gt;0,'Técnicas de Ki'!BX114+TS!$P219,0)*$P219/$P219,0))</f>
        <v>0</v>
      </c>
      <c r="CO219" s="538">
        <f>IF('Técnicas de Ki'!BM114=0,0,IFERROR(IF('Técnicas de Ki'!BY114&lt;&gt;0,'Técnicas de Ki'!BY114+TS!$Q219,0)*$Q219/$Q219,0))</f>
        <v>0</v>
      </c>
      <c r="CP219" s="538">
        <f>IF('Técnicas de Ki'!BM114=0,0,IFERROR(IF('Técnicas de Ki'!BZ114&lt;&gt;0,'Técnicas de Ki'!BZ114+TS!$R219,0)*$R219/$R219,0))</f>
        <v>0</v>
      </c>
      <c r="CQ219" s="538">
        <f>IF('Técnicas de Ki'!BM114=0,0,IFERROR(IF('Técnicas de Ki'!CA114&lt;&gt;0,'Técnicas de Ki'!CA114+TS!$S219,0)*$S219/$S219,0))</f>
        <v>0</v>
      </c>
      <c r="CR219" s="539">
        <f>IF('Técnicas de Ki'!BM114=0,0,IFERROR(IF('Técnicas de Ki'!CB114&lt;&gt;0,'Técnicas de Ki'!CB114+TS!$T219,0)*$T219/$T219,0))</f>
        <v>0</v>
      </c>
      <c r="CT219" s="572" t="str">
        <f>IF('Técnicas de Ki'!BM122&lt;&gt;0,'Técnicas de Ki'!BL122&amp;" "&amp;'Técnicas de Ki'!BM122,"")</f>
        <v/>
      </c>
      <c r="CU219" s="302" t="b">
        <f t="shared" si="36"/>
        <v>0</v>
      </c>
      <c r="CV219" s="302" t="str">
        <f t="shared" si="40"/>
        <v/>
      </c>
    </row>
    <row r="220" spans="1:101" ht="13.5" thickBot="1" x14ac:dyDescent="0.25">
      <c r="A220" s="302" t="s">
        <v>6894</v>
      </c>
      <c r="B220" s="302" t="s">
        <v>6906</v>
      </c>
      <c r="C220" s="302" t="str">
        <f>A220&amp;B220</f>
        <v>Ataque a distancia5 metros</v>
      </c>
      <c r="D220" s="302">
        <v>1</v>
      </c>
      <c r="E220" s="302">
        <v>2</v>
      </c>
      <c r="F220" s="302">
        <v>5</v>
      </c>
      <c r="G220" s="302">
        <v>1</v>
      </c>
      <c r="H220" s="302">
        <v>2</v>
      </c>
      <c r="I220" s="302">
        <v>4</v>
      </c>
      <c r="J220" s="302">
        <v>1</v>
      </c>
      <c r="N220" t="s">
        <v>6994</v>
      </c>
      <c r="O220" s="302">
        <v>3</v>
      </c>
      <c r="Q220" s="302">
        <v>3</v>
      </c>
      <c r="R220" s="302">
        <v>2</v>
      </c>
      <c r="S220" s="302">
        <v>1</v>
      </c>
      <c r="V220" s="537">
        <f>IF('Técnicas de Ki'!B115=0,0,IF('Técnicas de Ki'!I115=TS!V$119,'Técnicas de Ki'!C115-(IF($O220&lt;&gt;0,'Técnicas de Ki'!L115,0)+IF($P220&lt;&gt;0,'Técnicas de Ki'!M115,0)+IF($Q220&lt;&gt;0,'Técnicas de Ki'!N115,0)+IF($R220&lt;&gt;0,'Técnicas de Ki'!O115,0)+IF($S220&lt;&gt;0,'Técnicas de Ki'!P115,0)+IF($T220&lt;&gt;0,'Técnicas de Ki'!Q115,0)),0))</f>
        <v>0</v>
      </c>
      <c r="W220" s="538">
        <f>IF('Técnicas de Ki'!B115=0,0,IF('Técnicas de Ki'!I115=TS!W$119,'Técnicas de Ki'!C115-(IF($O220&lt;&gt;0,'Técnicas de Ki'!L115,0)+IF($P220&lt;&gt;0,'Técnicas de Ki'!M115,0)+IF($Q220&lt;&gt;0,'Técnicas de Ki'!N115,0)+IF($R220&lt;&gt;0,'Técnicas de Ki'!O115,0)+IF($S220&lt;&gt;0,'Técnicas de Ki'!P115,0)+IF($T220&lt;&gt;0,'Técnicas de Ki'!Q115,0)),0))</f>
        <v>0</v>
      </c>
      <c r="X220" s="538">
        <f>IF('Técnicas de Ki'!B115=0,0,IF('Técnicas de Ki'!I115=TS!X$119,'Técnicas de Ki'!C115-(IF($O220&lt;&gt;0,'Técnicas de Ki'!L115,0)+IF($P220&lt;&gt;0,'Técnicas de Ki'!M115,0)+IF($Q220&lt;&gt;0,'Técnicas de Ki'!N115,0)+IF($R220&lt;&gt;0,'Técnicas de Ki'!O115,0)+IF($S220&lt;&gt;0,'Técnicas de Ki'!P115,0)+IF($T220&lt;&gt;0,'Técnicas de Ki'!Q115,0)),0))</f>
        <v>0</v>
      </c>
      <c r="Y220" s="538">
        <f>IF('Técnicas de Ki'!B115=0,0,IF('Técnicas de Ki'!I115=TS!Y$119,'Técnicas de Ki'!C115-(IF($O220&lt;&gt;0,'Técnicas de Ki'!L115,0)+IF($P220&lt;&gt;0,'Técnicas de Ki'!M115,0)+IF($Q220&lt;&gt;0,'Técnicas de Ki'!N115,0)+IF($R220&lt;&gt;0,'Técnicas de Ki'!O115,0)+IF($S220&lt;&gt;0,'Técnicas de Ki'!P115,0)+IF($T220&lt;&gt;0,'Técnicas de Ki'!Q115,0)),0))</f>
        <v>0</v>
      </c>
      <c r="Z220" s="538">
        <f>IF('Técnicas de Ki'!B115=0,0,IF('Técnicas de Ki'!I115=TS!Z$119,'Técnicas de Ki'!C115-(IF($O220&lt;&gt;0,'Técnicas de Ki'!L115,0)+IF($P220&lt;&gt;0,'Técnicas de Ki'!M115,0)+IF($Q220&lt;&gt;0,'Técnicas de Ki'!N115,0)+IF($R220&lt;&gt;0,'Técnicas de Ki'!O115,0)+IF($S220&lt;&gt;0,'Técnicas de Ki'!P115,0)+IF($T220&lt;&gt;0,'Técnicas de Ki'!Q115,0)),0))</f>
        <v>0</v>
      </c>
      <c r="AA220" s="539">
        <f>IF('Técnicas de Ki'!B115=0,0,IF('Técnicas de Ki'!I115=TS!AA$119,'Técnicas de Ki'!C115-(IF($O220&lt;&gt;0,'Técnicas de Ki'!L115,0)+IF($P220&lt;&gt;0,'Técnicas de Ki'!M115,0)+IF($Q220&lt;&gt;0,'Técnicas de Ki'!N115,0)+IF($R220&lt;&gt;0,'Técnicas de Ki'!O115,0)+IF($S220&lt;&gt;0,'Técnicas de Ki'!P115,0)+IF($T220&lt;&gt;0,'Técnicas de Ki'!Q115,0)),0))</f>
        <v>0</v>
      </c>
      <c r="AB220" s="538">
        <f>IF('Técnicas de Ki'!B115=0,0,IFERROR(IF('Técnicas de Ki'!L115&lt;&gt;0,'Técnicas de Ki'!L115+TS!$O220,0)*$O220/$O220,0))</f>
        <v>0</v>
      </c>
      <c r="AC220" s="538">
        <f>IF('Técnicas de Ki'!B115=0,0,IFERROR(IF('Técnicas de Ki'!M115&lt;&gt;0,'Técnicas de Ki'!M115+TS!$P220,0)*$P220/$P220,0))</f>
        <v>0</v>
      </c>
      <c r="AD220" s="538">
        <f>IF('Técnicas de Ki'!B115=0,0,IFERROR(IF('Técnicas de Ki'!N115&lt;&gt;0,'Técnicas de Ki'!N115+TS!$Q220,0)*$Q220/$Q220,0))</f>
        <v>0</v>
      </c>
      <c r="AE220" s="538">
        <f>IF('Técnicas de Ki'!B115=0,0,IFERROR(IF('Técnicas de Ki'!O115&lt;&gt;0,'Técnicas de Ki'!O115+TS!$R220,0)*$R220/$R220,0))</f>
        <v>0</v>
      </c>
      <c r="AF220" s="538">
        <f>IF('Técnicas de Ki'!B115=0,0,IFERROR(IF('Técnicas de Ki'!P115&lt;&gt;0,'Técnicas de Ki'!P115+TS!$S220,0)*$S220/$S220,0))</f>
        <v>0</v>
      </c>
      <c r="AG220" s="539">
        <f>IF('Técnicas de Ki'!B115=0,0,IFERROR(IF('Técnicas de Ki'!Q115&lt;&gt;0,'Técnicas de Ki'!Q115+TS!$T220,0)*$T220/$T220,0))</f>
        <v>0</v>
      </c>
      <c r="AL220" s="573" t="str">
        <f>CONCATENATE(AL120,AL128,AL135,AL143,AL153,AL156,AL166,AL173,AL182,AL225)</f>
        <v/>
      </c>
      <c r="AQ220" s="537">
        <f>IF('Técnicas de Ki'!W115=0,0,IF('Técnicas de Ki'!AD115=TS!AQ$119,'Técnicas de Ki'!X115-(IF($O220&lt;&gt;0,'Técnicas de Ki'!AG115,0)+IF($P220&lt;&gt;0,'Técnicas de Ki'!AH115,0)+IF($Q220&lt;&gt;0,'Técnicas de Ki'!AI115,0)+IF($R220&lt;&gt;0,'Técnicas de Ki'!AJ115,0)+IF($S220&lt;&gt;0,'Técnicas de Ki'!AK115,0)+IF($T220&lt;&gt;0,'Técnicas de Ki'!AL115,0)),0))</f>
        <v>0</v>
      </c>
      <c r="AR220" s="538">
        <f>IF('Técnicas de Ki'!W115=0,0,IF('Técnicas de Ki'!AD115=TS!AR$119,'Técnicas de Ki'!X115-(IF($O220&lt;&gt;0,'Técnicas de Ki'!AG115,0)+IF($P220&lt;&gt;0,'Técnicas de Ki'!AH115,0)+IF($Q220&lt;&gt;0,'Técnicas de Ki'!AI115,0)+IF($R220&lt;&gt;0,'Técnicas de Ki'!AJ115,0)+IF($S220&lt;&gt;0,'Técnicas de Ki'!AK115,0)+IF($T220&lt;&gt;0,'Técnicas de Ki'!AL115,0)),0))</f>
        <v>0</v>
      </c>
      <c r="AS220" s="538">
        <f>IF('Técnicas de Ki'!W115=0,0,IF('Técnicas de Ki'!AD115=TS!AS$119,'Técnicas de Ki'!X115-(IF($O220&lt;&gt;0,'Técnicas de Ki'!AG115,0)+IF($P220&lt;&gt;0,'Técnicas de Ki'!AH115,0)+IF($Q220&lt;&gt;0,'Técnicas de Ki'!AI115,0)+IF($R220&lt;&gt;0,'Técnicas de Ki'!AJ115,0)+IF($S220&lt;&gt;0,'Técnicas de Ki'!AK115,0)+IF($T220&lt;&gt;0,'Técnicas de Ki'!AL115,0)),0))</f>
        <v>0</v>
      </c>
      <c r="AT220" s="538">
        <f>IF('Técnicas de Ki'!W115=0,0,IF('Técnicas de Ki'!AD115=TS!AT$119,'Técnicas de Ki'!X115-(IF($O220&lt;&gt;0,'Técnicas de Ki'!AG115,0)+IF($P220&lt;&gt;0,'Técnicas de Ki'!AH115,0)+IF($Q220&lt;&gt;0,'Técnicas de Ki'!AI115,0)+IF($R220&lt;&gt;0,'Técnicas de Ki'!AJ115,0)+IF($S220&lt;&gt;0,'Técnicas de Ki'!AK115,0)+IF($T220&lt;&gt;0,'Técnicas de Ki'!AL115,0)),0))</f>
        <v>0</v>
      </c>
      <c r="AU220" s="538">
        <f>IF('Técnicas de Ki'!W115=0,0,IF('Técnicas de Ki'!AD115=TS!AU$119,'Técnicas de Ki'!X115-(IF($O220&lt;&gt;0,'Técnicas de Ki'!AG115,0)+IF($P220&lt;&gt;0,'Técnicas de Ki'!AH115,0)+IF($Q220&lt;&gt;0,'Técnicas de Ki'!AI115,0)+IF($R220&lt;&gt;0,'Técnicas de Ki'!AJ115,0)+IF($S220&lt;&gt;0,'Técnicas de Ki'!AK115,0)+IF($T220&lt;&gt;0,'Técnicas de Ki'!AL115,0)),0))</f>
        <v>0</v>
      </c>
      <c r="AV220" s="539">
        <f>IF('Técnicas de Ki'!W115=0,0,IF('Técnicas de Ki'!AD115=TS!AV$119,'Técnicas de Ki'!X115-(IF($O220&lt;&gt;0,'Técnicas de Ki'!AG115,0)+IF($P220&lt;&gt;0,'Técnicas de Ki'!AH115,0)+IF($Q220&lt;&gt;0,'Técnicas de Ki'!AI115,0)+IF($R220&lt;&gt;0,'Técnicas de Ki'!AJ115,0)+IF($S220&lt;&gt;0,'Técnicas de Ki'!AK115,0)+IF($T220&lt;&gt;0,'Técnicas de Ki'!AL115,0)),0))</f>
        <v>0</v>
      </c>
      <c r="AW220" s="538">
        <f>IF('Técnicas de Ki'!W115=0,0,IFERROR(IF('Técnicas de Ki'!AG115&lt;&gt;0,'Técnicas de Ki'!AG115+TS!$O220,0)*$O220/$O220,0))</f>
        <v>0</v>
      </c>
      <c r="AX220" s="538">
        <f>IF('Técnicas de Ki'!W115=0,0,IFERROR(IF('Técnicas de Ki'!AH115&lt;&gt;0,'Técnicas de Ki'!AH115+TS!$P220,0)*$P220/$P220,0))</f>
        <v>0</v>
      </c>
      <c r="AY220" s="538">
        <f>IF('Técnicas de Ki'!W115=0,0,IFERROR(IF('Técnicas de Ki'!AI115&lt;&gt;0,'Técnicas de Ki'!AI115+TS!$Q220,0)*$Q220/$Q220,0))</f>
        <v>0</v>
      </c>
      <c r="AZ220" s="538">
        <f>IF('Técnicas de Ki'!W115=0,0,IFERROR(IF('Técnicas de Ki'!AJ115&lt;&gt;0,'Técnicas de Ki'!AJ115+TS!$R220,0)*$R220/$R220,0))</f>
        <v>0</v>
      </c>
      <c r="BA220" s="538">
        <f>IF('Técnicas de Ki'!W115=0,0,IFERROR(IF('Técnicas de Ki'!AK115&lt;&gt;0,'Técnicas de Ki'!AK115+TS!$S220,0)*$S220/$S220,0))</f>
        <v>0</v>
      </c>
      <c r="BB220" s="539">
        <f>IF('Técnicas de Ki'!W115=0,0,IFERROR(IF('Técnicas de Ki'!AL115&lt;&gt;0,'Técnicas de Ki'!AL115+TS!$T220,0)*$T220/$T220,0))</f>
        <v>0</v>
      </c>
      <c r="BG220" s="573" t="str">
        <f>CONCATENATE(BG120,BG128,BG135,BG143,BG153,BG156,BG166,BG173,BG182,BG225)</f>
        <v/>
      </c>
      <c r="BL220" s="537">
        <f>IF('Técnicas de Ki'!AR115=0,0,IF('Técnicas de Ki'!AY115=TS!BL$119,'Técnicas de Ki'!AS115-(IF($O220&lt;&gt;0,'Técnicas de Ki'!BB115,0)+IF($P220&lt;&gt;0,'Técnicas de Ki'!BC115,0)+IF($Q220&lt;&gt;0,'Técnicas de Ki'!BD115,0)+IF($R220&lt;&gt;0,'Técnicas de Ki'!BE115,0)+IF($S220&lt;&gt;0,'Técnicas de Ki'!BF115,0)+IF($T220&lt;&gt;0,'Técnicas de Ki'!BG115,0)),0))</f>
        <v>0</v>
      </c>
      <c r="BM220" s="538">
        <f>IF('Técnicas de Ki'!AR115=0,0,IF('Técnicas de Ki'!AY115=TS!BM$119,'Técnicas de Ki'!AS115-(IF($O220&lt;&gt;0,'Técnicas de Ki'!BB115,0)+IF($P220&lt;&gt;0,'Técnicas de Ki'!BC115,0)+IF($Q220&lt;&gt;0,'Técnicas de Ki'!BD115,0)+IF($R220&lt;&gt;0,'Técnicas de Ki'!BE115,0)+IF($S220&lt;&gt;0,'Técnicas de Ki'!BF115,0)+IF($T220&lt;&gt;0,'Técnicas de Ki'!BG115,0)),0))</f>
        <v>0</v>
      </c>
      <c r="BN220" s="538">
        <f>IF('Técnicas de Ki'!AR115=0,0,IF('Técnicas de Ki'!AY115=TS!BN$119,'Técnicas de Ki'!AS115-(IF($O220&lt;&gt;0,'Técnicas de Ki'!BB115,0)+IF($P220&lt;&gt;0,'Técnicas de Ki'!BC115,0)+IF($Q220&lt;&gt;0,'Técnicas de Ki'!BD115,0)+IF($R220&lt;&gt;0,'Técnicas de Ki'!BE115,0)+IF($S220&lt;&gt;0,'Técnicas de Ki'!BF115,0)+IF($T220&lt;&gt;0,'Técnicas de Ki'!BG115,0)),0))</f>
        <v>0</v>
      </c>
      <c r="BO220" s="538">
        <f>IF('Técnicas de Ki'!AR115=0,0,IF('Técnicas de Ki'!AY115=TS!BO$119,'Técnicas de Ki'!AS115-(IF($O220&lt;&gt;0,'Técnicas de Ki'!BB115,0)+IF($P220&lt;&gt;0,'Técnicas de Ki'!BC115,0)+IF($Q220&lt;&gt;0,'Técnicas de Ki'!BD115,0)+IF($R220&lt;&gt;0,'Técnicas de Ki'!BE115,0)+IF($S220&lt;&gt;0,'Técnicas de Ki'!BF115,0)+IF($T220&lt;&gt;0,'Técnicas de Ki'!BG115,0)),0))</f>
        <v>0</v>
      </c>
      <c r="BP220" s="538">
        <f>IF('Técnicas de Ki'!AR115=0,0,IF('Técnicas de Ki'!AY115=TS!BP$119,'Técnicas de Ki'!AS115-(IF($O220&lt;&gt;0,'Técnicas de Ki'!BB115,0)+IF($P220&lt;&gt;0,'Técnicas de Ki'!BC115,0)+IF($Q220&lt;&gt;0,'Técnicas de Ki'!BD115,0)+IF($R220&lt;&gt;0,'Técnicas de Ki'!BE115,0)+IF($S220&lt;&gt;0,'Técnicas de Ki'!BF115,0)+IF($T220&lt;&gt;0,'Técnicas de Ki'!BG115,0)),0))</f>
        <v>0</v>
      </c>
      <c r="BQ220" s="539">
        <f>IF('Técnicas de Ki'!AR115=0,0,IF('Técnicas de Ki'!AY115=TS!BQ$119,'Técnicas de Ki'!AS115-(IF($O220&lt;&gt;0,'Técnicas de Ki'!BB115,0)+IF($P220&lt;&gt;0,'Técnicas de Ki'!BC115,0)+IF($Q220&lt;&gt;0,'Técnicas de Ki'!BD115,0)+IF($R220&lt;&gt;0,'Técnicas de Ki'!BE115,0)+IF($S220&lt;&gt;0,'Técnicas de Ki'!BF115,0)+IF($T220&lt;&gt;0,'Técnicas de Ki'!BG115,0)),0))</f>
        <v>0</v>
      </c>
      <c r="BR220" s="538">
        <f>IF('Técnicas de Ki'!AR115=0,0,IFERROR(IF('Técnicas de Ki'!BB115&lt;&gt;0,'Técnicas de Ki'!BB115+TS!$O220,0)*$O220/$O220,0))</f>
        <v>0</v>
      </c>
      <c r="BS220" s="538">
        <f>IF('Técnicas de Ki'!AR115=0,0,IFERROR(IF('Técnicas de Ki'!BC115&lt;&gt;0,'Técnicas de Ki'!BC115+TS!$P220,0)*$P220/$P220,0))</f>
        <v>0</v>
      </c>
      <c r="BT220" s="538">
        <f>IF('Técnicas de Ki'!AR115=0,0,IFERROR(IF('Técnicas de Ki'!BD115&lt;&gt;0,'Técnicas de Ki'!BD115+TS!$Q220,0)*$Q220/$Q220,0))</f>
        <v>0</v>
      </c>
      <c r="BU220" s="538">
        <f>IF('Técnicas de Ki'!AR115=0,0,IFERROR(IF('Técnicas de Ki'!BE115&lt;&gt;0,'Técnicas de Ki'!BE115+TS!$R220,0)*$R220/$R220,0))</f>
        <v>0</v>
      </c>
      <c r="BV220" s="538">
        <f>IF('Técnicas de Ki'!AR115=0,0,IFERROR(IF('Técnicas de Ki'!BF115&lt;&gt;0,'Técnicas de Ki'!BF115+TS!$S220,0)*$S220/$S220,0))</f>
        <v>0</v>
      </c>
      <c r="BW220" s="539">
        <f>IF('Técnicas de Ki'!AR115=0,0,IFERROR(IF('Técnicas de Ki'!BG115&lt;&gt;0,'Técnicas de Ki'!BG115+TS!$T220,0)*$T220/$T220,0))</f>
        <v>0</v>
      </c>
      <c r="CB220" s="573" t="str">
        <f>CONCATENATE(CB120,CB128,CB135,CB143,CB153,CB156,CB166,CB173,CB182,CB225)</f>
        <v/>
      </c>
      <c r="CG220" s="537">
        <f>IF('Técnicas de Ki'!BM115=0,0,IF('Técnicas de Ki'!BT115=TS!CG$119,'Técnicas de Ki'!BN115-(IF($O220&lt;&gt;0,'Técnicas de Ki'!BW115,0)+IF($P220&lt;&gt;0,'Técnicas de Ki'!BX115,0)+IF($Q220&lt;&gt;0,'Técnicas de Ki'!BY115,0)+IF($R220&lt;&gt;0,'Técnicas de Ki'!BZ115,0)+IF($S220&lt;&gt;0,'Técnicas de Ki'!CA115,0)+IF($T220&lt;&gt;0,'Técnicas de Ki'!CB115,0)),0))</f>
        <v>0</v>
      </c>
      <c r="CH220" s="538">
        <f>IF('Técnicas de Ki'!BM115=0,0,IF('Técnicas de Ki'!BT115=TS!CH$119,'Técnicas de Ki'!BN115-(IF($O220&lt;&gt;0,'Técnicas de Ki'!BW115,0)+IF($P220&lt;&gt;0,'Técnicas de Ki'!BX115,0)+IF($Q220&lt;&gt;0,'Técnicas de Ki'!BY115,0)+IF($R220&lt;&gt;0,'Técnicas de Ki'!BZ115,0)+IF($S220&lt;&gt;0,'Técnicas de Ki'!CA115,0)+IF($T220&lt;&gt;0,'Técnicas de Ki'!CB115,0)),0))</f>
        <v>0</v>
      </c>
      <c r="CI220" s="538">
        <f>IF('Técnicas de Ki'!BM115=0,0,IF('Técnicas de Ki'!BT115=TS!CI$119,'Técnicas de Ki'!BN115-(IF($O220&lt;&gt;0,'Técnicas de Ki'!BW115,0)+IF($P220&lt;&gt;0,'Técnicas de Ki'!BX115,0)+IF($Q220&lt;&gt;0,'Técnicas de Ki'!BY115,0)+IF($R220&lt;&gt;0,'Técnicas de Ki'!BZ115,0)+IF($S220&lt;&gt;0,'Técnicas de Ki'!CA115,0)+IF($T220&lt;&gt;0,'Técnicas de Ki'!CB115,0)),0))</f>
        <v>0</v>
      </c>
      <c r="CJ220" s="538">
        <f>IF('Técnicas de Ki'!BM115=0,0,IF('Técnicas de Ki'!BT115=TS!CJ$119,'Técnicas de Ki'!BN115-(IF($O220&lt;&gt;0,'Técnicas de Ki'!BW115,0)+IF($P220&lt;&gt;0,'Técnicas de Ki'!BX115,0)+IF($Q220&lt;&gt;0,'Técnicas de Ki'!BY115,0)+IF($R220&lt;&gt;0,'Técnicas de Ki'!BZ115,0)+IF($S220&lt;&gt;0,'Técnicas de Ki'!CA115,0)+IF($T220&lt;&gt;0,'Técnicas de Ki'!CB115,0)),0))</f>
        <v>0</v>
      </c>
      <c r="CK220" s="538">
        <f>IF('Técnicas de Ki'!BM115=0,0,IF('Técnicas de Ki'!BT115=TS!CK$119,'Técnicas de Ki'!BN115-(IF($O220&lt;&gt;0,'Técnicas de Ki'!BW115,0)+IF($P220&lt;&gt;0,'Técnicas de Ki'!BX115,0)+IF($Q220&lt;&gt;0,'Técnicas de Ki'!BY115,0)+IF($R220&lt;&gt;0,'Técnicas de Ki'!BZ115,0)+IF($S220&lt;&gt;0,'Técnicas de Ki'!CA115,0)+IF($T220&lt;&gt;0,'Técnicas de Ki'!CB115,0)),0))</f>
        <v>0</v>
      </c>
      <c r="CL220" s="539">
        <f>IF('Técnicas de Ki'!BM115=0,0,IF('Técnicas de Ki'!BT115=TS!CL$119,'Técnicas de Ki'!BN115-(IF($O220&lt;&gt;0,'Técnicas de Ki'!BW115,0)+IF($P220&lt;&gt;0,'Técnicas de Ki'!BX115,0)+IF($Q220&lt;&gt;0,'Técnicas de Ki'!BY115,0)+IF($R220&lt;&gt;0,'Técnicas de Ki'!BZ115,0)+IF($S220&lt;&gt;0,'Técnicas de Ki'!CA115,0)+IF($T220&lt;&gt;0,'Técnicas de Ki'!CB115,0)),0))</f>
        <v>0</v>
      </c>
      <c r="CM220" s="538">
        <f>IF('Técnicas de Ki'!BM115=0,0,IFERROR(IF('Técnicas de Ki'!BW115&lt;&gt;0,'Técnicas de Ki'!BW115+TS!$O220,0)*$O220/$O220,0))</f>
        <v>0</v>
      </c>
      <c r="CN220" s="538">
        <f>IF('Técnicas de Ki'!BM115=0,0,IFERROR(IF('Técnicas de Ki'!BX115&lt;&gt;0,'Técnicas de Ki'!BX115+TS!$P220,0)*$P220/$P220,0))</f>
        <v>0</v>
      </c>
      <c r="CO220" s="538">
        <f>IF('Técnicas de Ki'!BM115=0,0,IFERROR(IF('Técnicas de Ki'!BY115&lt;&gt;0,'Técnicas de Ki'!BY115+TS!$Q220,0)*$Q220/$Q220,0))</f>
        <v>0</v>
      </c>
      <c r="CP220" s="538">
        <f>IF('Técnicas de Ki'!BM115=0,0,IFERROR(IF('Técnicas de Ki'!BZ115&lt;&gt;0,'Técnicas de Ki'!BZ115+TS!$R220,0)*$R220/$R220,0))</f>
        <v>0</v>
      </c>
      <c r="CQ220" s="538">
        <f>IF('Técnicas de Ki'!BM115=0,0,IFERROR(IF('Técnicas de Ki'!CA115&lt;&gt;0,'Técnicas de Ki'!CA115+TS!$S220,0)*$S220/$S220,0))</f>
        <v>0</v>
      </c>
      <c r="CR220" s="539">
        <f>IF('Técnicas de Ki'!BM115=0,0,IFERROR(IF('Técnicas de Ki'!CB115&lt;&gt;0,'Técnicas de Ki'!CB115+TS!$T220,0)*$T220/$T220,0))</f>
        <v>0</v>
      </c>
      <c r="CW220" s="573" t="str">
        <f>CONCATENATE(CW120,CW128,CW135,CW143,CW153,CW156,CW166,CW173,CW182,CW225)</f>
        <v/>
      </c>
    </row>
    <row r="221" spans="1:101" x14ac:dyDescent="0.2">
      <c r="A221" s="302" t="s">
        <v>6894</v>
      </c>
      <c r="B221" s="302" t="s">
        <v>6910</v>
      </c>
      <c r="C221" s="302" t="str">
        <f t="shared" ref="C221:C239" si="43">A221&amp;B221</f>
        <v>Ataque a distancia10 metros</v>
      </c>
      <c r="D221" s="302">
        <v>2</v>
      </c>
      <c r="E221" s="302">
        <v>4</v>
      </c>
      <c r="F221" s="302">
        <v>10</v>
      </c>
      <c r="G221" s="302">
        <v>1</v>
      </c>
      <c r="H221" s="302">
        <v>2</v>
      </c>
      <c r="I221" s="302">
        <v>4</v>
      </c>
      <c r="J221" s="302">
        <v>1</v>
      </c>
      <c r="N221" t="s">
        <v>6995</v>
      </c>
      <c r="O221" s="302">
        <v>1</v>
      </c>
      <c r="Q221" s="302">
        <v>2</v>
      </c>
      <c r="R221" s="302">
        <v>2</v>
      </c>
      <c r="S221" s="302">
        <v>1</v>
      </c>
      <c r="V221" s="537">
        <f>IF('Técnicas de Ki'!B116=0,0,IF('Técnicas de Ki'!I116=TS!V$119,'Técnicas de Ki'!C116-(IF($O221&lt;&gt;0,'Técnicas de Ki'!L116,0)+IF($P221&lt;&gt;0,'Técnicas de Ki'!M116,0)+IF($Q221&lt;&gt;0,'Técnicas de Ki'!N116,0)+IF($R221&lt;&gt;0,'Técnicas de Ki'!O116,0)+IF($S221&lt;&gt;0,'Técnicas de Ki'!P116,0)+IF($T221&lt;&gt;0,'Técnicas de Ki'!Q116,0)),0))</f>
        <v>0</v>
      </c>
      <c r="W221" s="538">
        <f>IF('Técnicas de Ki'!B116=0,0,IF('Técnicas de Ki'!I116=TS!W$119,'Técnicas de Ki'!C116-(IF($O221&lt;&gt;0,'Técnicas de Ki'!L116,0)+IF($P221&lt;&gt;0,'Técnicas de Ki'!M116,0)+IF($Q221&lt;&gt;0,'Técnicas de Ki'!N116,0)+IF($R221&lt;&gt;0,'Técnicas de Ki'!O116,0)+IF($S221&lt;&gt;0,'Técnicas de Ki'!P116,0)+IF($T221&lt;&gt;0,'Técnicas de Ki'!Q116,0)),0))</f>
        <v>0</v>
      </c>
      <c r="X221" s="538">
        <f>IF('Técnicas de Ki'!B116=0,0,IF('Técnicas de Ki'!I116=TS!X$119,'Técnicas de Ki'!C116-(IF($O221&lt;&gt;0,'Técnicas de Ki'!L116,0)+IF($P221&lt;&gt;0,'Técnicas de Ki'!M116,0)+IF($Q221&lt;&gt;0,'Técnicas de Ki'!N116,0)+IF($R221&lt;&gt;0,'Técnicas de Ki'!O116,0)+IF($S221&lt;&gt;0,'Técnicas de Ki'!P116,0)+IF($T221&lt;&gt;0,'Técnicas de Ki'!Q116,0)),0))</f>
        <v>0</v>
      </c>
      <c r="Y221" s="538">
        <f>IF('Técnicas de Ki'!B116=0,0,IF('Técnicas de Ki'!I116=TS!Y$119,'Técnicas de Ki'!C116-(IF($O221&lt;&gt;0,'Técnicas de Ki'!L116,0)+IF($P221&lt;&gt;0,'Técnicas de Ki'!M116,0)+IF($Q221&lt;&gt;0,'Técnicas de Ki'!N116,0)+IF($R221&lt;&gt;0,'Técnicas de Ki'!O116,0)+IF($S221&lt;&gt;0,'Técnicas de Ki'!P116,0)+IF($T221&lt;&gt;0,'Técnicas de Ki'!Q116,0)),0))</f>
        <v>0</v>
      </c>
      <c r="Z221" s="538">
        <f>IF('Técnicas de Ki'!B116=0,0,IF('Técnicas de Ki'!I116=TS!Z$119,'Técnicas de Ki'!C116-(IF($O221&lt;&gt;0,'Técnicas de Ki'!L116,0)+IF($P221&lt;&gt;0,'Técnicas de Ki'!M116,0)+IF($Q221&lt;&gt;0,'Técnicas de Ki'!N116,0)+IF($R221&lt;&gt;0,'Técnicas de Ki'!O116,0)+IF($S221&lt;&gt;0,'Técnicas de Ki'!P116,0)+IF($T221&lt;&gt;0,'Técnicas de Ki'!Q116,0)),0))</f>
        <v>0</v>
      </c>
      <c r="AA221" s="539">
        <f>IF('Técnicas de Ki'!B116=0,0,IF('Técnicas de Ki'!I116=TS!AA$119,'Técnicas de Ki'!C116-(IF($O221&lt;&gt;0,'Técnicas de Ki'!L116,0)+IF($P221&lt;&gt;0,'Técnicas de Ki'!M116,0)+IF($Q221&lt;&gt;0,'Técnicas de Ki'!N116,0)+IF($R221&lt;&gt;0,'Técnicas de Ki'!O116,0)+IF($S221&lt;&gt;0,'Técnicas de Ki'!P116,0)+IF($T221&lt;&gt;0,'Técnicas de Ki'!Q116,0)),0))</f>
        <v>0</v>
      </c>
      <c r="AB221" s="538">
        <f>IF('Técnicas de Ki'!B116=0,0,IFERROR(IF('Técnicas de Ki'!L116&lt;&gt;0,'Técnicas de Ki'!L116+TS!$O221,0)*$O221/$O221,0))</f>
        <v>0</v>
      </c>
      <c r="AC221" s="538">
        <f>IF('Técnicas de Ki'!B116=0,0,IFERROR(IF('Técnicas de Ki'!M116&lt;&gt;0,'Técnicas de Ki'!M116+TS!$P221,0)*$P221/$P221,0))</f>
        <v>0</v>
      </c>
      <c r="AD221" s="538">
        <f>IF('Técnicas de Ki'!B116=0,0,IFERROR(IF('Técnicas de Ki'!N116&lt;&gt;0,'Técnicas de Ki'!N116+TS!$Q221,0)*$Q221/$Q221,0))</f>
        <v>0</v>
      </c>
      <c r="AE221" s="538">
        <f>IF('Técnicas de Ki'!B116=0,0,IFERROR(IF('Técnicas de Ki'!O116&lt;&gt;0,'Técnicas de Ki'!O116+TS!$R221,0)*$R221/$R221,0))</f>
        <v>0</v>
      </c>
      <c r="AF221" s="538">
        <f>IF('Técnicas de Ki'!B116=0,0,IFERROR(IF('Técnicas de Ki'!P116&lt;&gt;0,'Técnicas de Ki'!P116+TS!$S221,0)*$S221/$S221,0))</f>
        <v>0</v>
      </c>
      <c r="AG221" s="539">
        <f>IF('Técnicas de Ki'!B116=0,0,IFERROR(IF('Técnicas de Ki'!Q116&lt;&gt;0,'Técnicas de Ki'!Q116+TS!$T221,0)*$T221/$T221,0))</f>
        <v>0</v>
      </c>
      <c r="AQ221" s="537">
        <f>IF('Técnicas de Ki'!W116=0,0,IF('Técnicas de Ki'!AD116=TS!AQ$119,'Técnicas de Ki'!X116-(IF($O221&lt;&gt;0,'Técnicas de Ki'!AG116,0)+IF($P221&lt;&gt;0,'Técnicas de Ki'!AH116,0)+IF($Q221&lt;&gt;0,'Técnicas de Ki'!AI116,0)+IF($R221&lt;&gt;0,'Técnicas de Ki'!AJ116,0)+IF($S221&lt;&gt;0,'Técnicas de Ki'!AK116,0)+IF($T221&lt;&gt;0,'Técnicas de Ki'!AL116,0)),0))</f>
        <v>0</v>
      </c>
      <c r="AR221" s="538">
        <f>IF('Técnicas de Ki'!W116=0,0,IF('Técnicas de Ki'!AD116=TS!AR$119,'Técnicas de Ki'!X116-(IF($O221&lt;&gt;0,'Técnicas de Ki'!AG116,0)+IF($P221&lt;&gt;0,'Técnicas de Ki'!AH116,0)+IF($Q221&lt;&gt;0,'Técnicas de Ki'!AI116,0)+IF($R221&lt;&gt;0,'Técnicas de Ki'!AJ116,0)+IF($S221&lt;&gt;0,'Técnicas de Ki'!AK116,0)+IF($T221&lt;&gt;0,'Técnicas de Ki'!AL116,0)),0))</f>
        <v>0</v>
      </c>
      <c r="AS221" s="538">
        <f>IF('Técnicas de Ki'!W116=0,0,IF('Técnicas de Ki'!AD116=TS!AS$119,'Técnicas de Ki'!X116-(IF($O221&lt;&gt;0,'Técnicas de Ki'!AG116,0)+IF($P221&lt;&gt;0,'Técnicas de Ki'!AH116,0)+IF($Q221&lt;&gt;0,'Técnicas de Ki'!AI116,0)+IF($R221&lt;&gt;0,'Técnicas de Ki'!AJ116,0)+IF($S221&lt;&gt;0,'Técnicas de Ki'!AK116,0)+IF($T221&lt;&gt;0,'Técnicas de Ki'!AL116,0)),0))</f>
        <v>0</v>
      </c>
      <c r="AT221" s="538">
        <f>IF('Técnicas de Ki'!W116=0,0,IF('Técnicas de Ki'!AD116=TS!AT$119,'Técnicas de Ki'!X116-(IF($O221&lt;&gt;0,'Técnicas de Ki'!AG116,0)+IF($P221&lt;&gt;0,'Técnicas de Ki'!AH116,0)+IF($Q221&lt;&gt;0,'Técnicas de Ki'!AI116,0)+IF($R221&lt;&gt;0,'Técnicas de Ki'!AJ116,0)+IF($S221&lt;&gt;0,'Técnicas de Ki'!AK116,0)+IF($T221&lt;&gt;0,'Técnicas de Ki'!AL116,0)),0))</f>
        <v>0</v>
      </c>
      <c r="AU221" s="538">
        <f>IF('Técnicas de Ki'!W116=0,0,IF('Técnicas de Ki'!AD116=TS!AU$119,'Técnicas de Ki'!X116-(IF($O221&lt;&gt;0,'Técnicas de Ki'!AG116,0)+IF($P221&lt;&gt;0,'Técnicas de Ki'!AH116,0)+IF($Q221&lt;&gt;0,'Técnicas de Ki'!AI116,0)+IF($R221&lt;&gt;0,'Técnicas de Ki'!AJ116,0)+IF($S221&lt;&gt;0,'Técnicas de Ki'!AK116,0)+IF($T221&lt;&gt;0,'Técnicas de Ki'!AL116,0)),0))</f>
        <v>0</v>
      </c>
      <c r="AV221" s="539">
        <f>IF('Técnicas de Ki'!W116=0,0,IF('Técnicas de Ki'!AD116=TS!AV$119,'Técnicas de Ki'!X116-(IF($O221&lt;&gt;0,'Técnicas de Ki'!AG116,0)+IF($P221&lt;&gt;0,'Técnicas de Ki'!AH116,0)+IF($Q221&lt;&gt;0,'Técnicas de Ki'!AI116,0)+IF($R221&lt;&gt;0,'Técnicas de Ki'!AJ116,0)+IF($S221&lt;&gt;0,'Técnicas de Ki'!AK116,0)+IF($T221&lt;&gt;0,'Técnicas de Ki'!AL116,0)),0))</f>
        <v>0</v>
      </c>
      <c r="AW221" s="538">
        <f>IF('Técnicas de Ki'!W116=0,0,IFERROR(IF('Técnicas de Ki'!AG116&lt;&gt;0,'Técnicas de Ki'!AG116+TS!$O221,0)*$O221/$O221,0))</f>
        <v>0</v>
      </c>
      <c r="AX221" s="538">
        <f>IF('Técnicas de Ki'!W116=0,0,IFERROR(IF('Técnicas de Ki'!AH116&lt;&gt;0,'Técnicas de Ki'!AH116+TS!$P221,0)*$P221/$P221,0))</f>
        <v>0</v>
      </c>
      <c r="AY221" s="538">
        <f>IF('Técnicas de Ki'!W116=0,0,IFERROR(IF('Técnicas de Ki'!AI116&lt;&gt;0,'Técnicas de Ki'!AI116+TS!$Q221,0)*$Q221/$Q221,0))</f>
        <v>0</v>
      </c>
      <c r="AZ221" s="538">
        <f>IF('Técnicas de Ki'!W116=0,0,IFERROR(IF('Técnicas de Ki'!AJ116&lt;&gt;0,'Técnicas de Ki'!AJ116+TS!$R221,0)*$R221/$R221,0))</f>
        <v>0</v>
      </c>
      <c r="BA221" s="538">
        <f>IF('Técnicas de Ki'!W116=0,0,IFERROR(IF('Técnicas de Ki'!AK116&lt;&gt;0,'Técnicas de Ki'!AK116+TS!$S221,0)*$S221/$S221,0))</f>
        <v>0</v>
      </c>
      <c r="BB221" s="539">
        <f>IF('Técnicas de Ki'!W116=0,0,IFERROR(IF('Técnicas de Ki'!AL116&lt;&gt;0,'Técnicas de Ki'!AL116+TS!$T221,0)*$T221/$T221,0))</f>
        <v>0</v>
      </c>
      <c r="BL221" s="537">
        <f>IF('Técnicas de Ki'!AR116=0,0,IF('Técnicas de Ki'!AY116=TS!BL$119,'Técnicas de Ki'!AS116-(IF($O221&lt;&gt;0,'Técnicas de Ki'!BB116,0)+IF($P221&lt;&gt;0,'Técnicas de Ki'!BC116,0)+IF($Q221&lt;&gt;0,'Técnicas de Ki'!BD116,0)+IF($R221&lt;&gt;0,'Técnicas de Ki'!BE116,0)+IF($S221&lt;&gt;0,'Técnicas de Ki'!BF116,0)+IF($T221&lt;&gt;0,'Técnicas de Ki'!BG116,0)),0))</f>
        <v>0</v>
      </c>
      <c r="BM221" s="538">
        <f>IF('Técnicas de Ki'!AR116=0,0,IF('Técnicas de Ki'!AY116=TS!BM$119,'Técnicas de Ki'!AS116-(IF($O221&lt;&gt;0,'Técnicas de Ki'!BB116,0)+IF($P221&lt;&gt;0,'Técnicas de Ki'!BC116,0)+IF($Q221&lt;&gt;0,'Técnicas de Ki'!BD116,0)+IF($R221&lt;&gt;0,'Técnicas de Ki'!BE116,0)+IF($S221&lt;&gt;0,'Técnicas de Ki'!BF116,0)+IF($T221&lt;&gt;0,'Técnicas de Ki'!BG116,0)),0))</f>
        <v>0</v>
      </c>
      <c r="BN221" s="538">
        <f>IF('Técnicas de Ki'!AR116=0,0,IF('Técnicas de Ki'!AY116=TS!BN$119,'Técnicas de Ki'!AS116-(IF($O221&lt;&gt;0,'Técnicas de Ki'!BB116,0)+IF($P221&lt;&gt;0,'Técnicas de Ki'!BC116,0)+IF($Q221&lt;&gt;0,'Técnicas de Ki'!BD116,0)+IF($R221&lt;&gt;0,'Técnicas de Ki'!BE116,0)+IF($S221&lt;&gt;0,'Técnicas de Ki'!BF116,0)+IF($T221&lt;&gt;0,'Técnicas de Ki'!BG116,0)),0))</f>
        <v>0</v>
      </c>
      <c r="BO221" s="538">
        <f>IF('Técnicas de Ki'!AR116=0,0,IF('Técnicas de Ki'!AY116=TS!BO$119,'Técnicas de Ki'!AS116-(IF($O221&lt;&gt;0,'Técnicas de Ki'!BB116,0)+IF($P221&lt;&gt;0,'Técnicas de Ki'!BC116,0)+IF($Q221&lt;&gt;0,'Técnicas de Ki'!BD116,0)+IF($R221&lt;&gt;0,'Técnicas de Ki'!BE116,0)+IF($S221&lt;&gt;0,'Técnicas de Ki'!BF116,0)+IF($T221&lt;&gt;0,'Técnicas de Ki'!BG116,0)),0))</f>
        <v>0</v>
      </c>
      <c r="BP221" s="538">
        <f>IF('Técnicas de Ki'!AR116=0,0,IF('Técnicas de Ki'!AY116=TS!BP$119,'Técnicas de Ki'!AS116-(IF($O221&lt;&gt;0,'Técnicas de Ki'!BB116,0)+IF($P221&lt;&gt;0,'Técnicas de Ki'!BC116,0)+IF($Q221&lt;&gt;0,'Técnicas de Ki'!BD116,0)+IF($R221&lt;&gt;0,'Técnicas de Ki'!BE116,0)+IF($S221&lt;&gt;0,'Técnicas de Ki'!BF116,0)+IF($T221&lt;&gt;0,'Técnicas de Ki'!BG116,0)),0))</f>
        <v>0</v>
      </c>
      <c r="BQ221" s="539">
        <f>IF('Técnicas de Ki'!AR116=0,0,IF('Técnicas de Ki'!AY116=TS!BQ$119,'Técnicas de Ki'!AS116-(IF($O221&lt;&gt;0,'Técnicas de Ki'!BB116,0)+IF($P221&lt;&gt;0,'Técnicas de Ki'!BC116,0)+IF($Q221&lt;&gt;0,'Técnicas de Ki'!BD116,0)+IF($R221&lt;&gt;0,'Técnicas de Ki'!BE116,0)+IF($S221&lt;&gt;0,'Técnicas de Ki'!BF116,0)+IF($T221&lt;&gt;0,'Técnicas de Ki'!BG116,0)),0))</f>
        <v>0</v>
      </c>
      <c r="BR221" s="538">
        <f>IF('Técnicas de Ki'!AR116=0,0,IFERROR(IF('Técnicas de Ki'!BB116&lt;&gt;0,'Técnicas de Ki'!BB116+TS!$O221,0)*$O221/$O221,0))</f>
        <v>0</v>
      </c>
      <c r="BS221" s="538">
        <f>IF('Técnicas de Ki'!AR116=0,0,IFERROR(IF('Técnicas de Ki'!BC116&lt;&gt;0,'Técnicas de Ki'!BC116+TS!$P221,0)*$P221/$P221,0))</f>
        <v>0</v>
      </c>
      <c r="BT221" s="538">
        <f>IF('Técnicas de Ki'!AR116=0,0,IFERROR(IF('Técnicas de Ki'!BD116&lt;&gt;0,'Técnicas de Ki'!BD116+TS!$Q221,0)*$Q221/$Q221,0))</f>
        <v>0</v>
      </c>
      <c r="BU221" s="538">
        <f>IF('Técnicas de Ki'!AR116=0,0,IFERROR(IF('Técnicas de Ki'!BE116&lt;&gt;0,'Técnicas de Ki'!BE116+TS!$R221,0)*$R221/$R221,0))</f>
        <v>0</v>
      </c>
      <c r="BV221" s="538">
        <f>IF('Técnicas de Ki'!AR116=0,0,IFERROR(IF('Técnicas de Ki'!BF116&lt;&gt;0,'Técnicas de Ki'!BF116+TS!$S221,0)*$S221/$S221,0))</f>
        <v>0</v>
      </c>
      <c r="BW221" s="539">
        <f>IF('Técnicas de Ki'!AR116=0,0,IFERROR(IF('Técnicas de Ki'!BG116&lt;&gt;0,'Técnicas de Ki'!BG116+TS!$T221,0)*$T221/$T221,0))</f>
        <v>0</v>
      </c>
      <c r="CG221" s="537">
        <f>IF('Técnicas de Ki'!BM116=0,0,IF('Técnicas de Ki'!BT116=TS!CG$119,'Técnicas de Ki'!BN116-(IF($O221&lt;&gt;0,'Técnicas de Ki'!BW116,0)+IF($P221&lt;&gt;0,'Técnicas de Ki'!BX116,0)+IF($Q221&lt;&gt;0,'Técnicas de Ki'!BY116,0)+IF($R221&lt;&gt;0,'Técnicas de Ki'!BZ116,0)+IF($S221&lt;&gt;0,'Técnicas de Ki'!CA116,0)+IF($T221&lt;&gt;0,'Técnicas de Ki'!CB116,0)),0))</f>
        <v>0</v>
      </c>
      <c r="CH221" s="538">
        <f>IF('Técnicas de Ki'!BM116=0,0,IF('Técnicas de Ki'!BT116=TS!CH$119,'Técnicas de Ki'!BN116-(IF($O221&lt;&gt;0,'Técnicas de Ki'!BW116,0)+IF($P221&lt;&gt;0,'Técnicas de Ki'!BX116,0)+IF($Q221&lt;&gt;0,'Técnicas de Ki'!BY116,0)+IF($R221&lt;&gt;0,'Técnicas de Ki'!BZ116,0)+IF($S221&lt;&gt;0,'Técnicas de Ki'!CA116,0)+IF($T221&lt;&gt;0,'Técnicas de Ki'!CB116,0)),0))</f>
        <v>0</v>
      </c>
      <c r="CI221" s="538">
        <f>IF('Técnicas de Ki'!BM116=0,0,IF('Técnicas de Ki'!BT116=TS!CI$119,'Técnicas de Ki'!BN116-(IF($O221&lt;&gt;0,'Técnicas de Ki'!BW116,0)+IF($P221&lt;&gt;0,'Técnicas de Ki'!BX116,0)+IF($Q221&lt;&gt;0,'Técnicas de Ki'!BY116,0)+IF($R221&lt;&gt;0,'Técnicas de Ki'!BZ116,0)+IF($S221&lt;&gt;0,'Técnicas de Ki'!CA116,0)+IF($T221&lt;&gt;0,'Técnicas de Ki'!CB116,0)),0))</f>
        <v>0</v>
      </c>
      <c r="CJ221" s="538">
        <f>IF('Técnicas de Ki'!BM116=0,0,IF('Técnicas de Ki'!BT116=TS!CJ$119,'Técnicas de Ki'!BN116-(IF($O221&lt;&gt;0,'Técnicas de Ki'!BW116,0)+IF($P221&lt;&gt;0,'Técnicas de Ki'!BX116,0)+IF($Q221&lt;&gt;0,'Técnicas de Ki'!BY116,0)+IF($R221&lt;&gt;0,'Técnicas de Ki'!BZ116,0)+IF($S221&lt;&gt;0,'Técnicas de Ki'!CA116,0)+IF($T221&lt;&gt;0,'Técnicas de Ki'!CB116,0)),0))</f>
        <v>0</v>
      </c>
      <c r="CK221" s="538">
        <f>IF('Técnicas de Ki'!BM116=0,0,IF('Técnicas de Ki'!BT116=TS!CK$119,'Técnicas de Ki'!BN116-(IF($O221&lt;&gt;0,'Técnicas de Ki'!BW116,0)+IF($P221&lt;&gt;0,'Técnicas de Ki'!BX116,0)+IF($Q221&lt;&gt;0,'Técnicas de Ki'!BY116,0)+IF($R221&lt;&gt;0,'Técnicas de Ki'!BZ116,0)+IF($S221&lt;&gt;0,'Técnicas de Ki'!CA116,0)+IF($T221&lt;&gt;0,'Técnicas de Ki'!CB116,0)),0))</f>
        <v>0</v>
      </c>
      <c r="CL221" s="539">
        <f>IF('Técnicas de Ki'!BM116=0,0,IF('Técnicas de Ki'!BT116=TS!CL$119,'Técnicas de Ki'!BN116-(IF($O221&lt;&gt;0,'Técnicas de Ki'!BW116,0)+IF($P221&lt;&gt;0,'Técnicas de Ki'!BX116,0)+IF($Q221&lt;&gt;0,'Técnicas de Ki'!BY116,0)+IF($R221&lt;&gt;0,'Técnicas de Ki'!BZ116,0)+IF($S221&lt;&gt;0,'Técnicas de Ki'!CA116,0)+IF($T221&lt;&gt;0,'Técnicas de Ki'!CB116,0)),0))</f>
        <v>0</v>
      </c>
      <c r="CM221" s="538">
        <f>IF('Técnicas de Ki'!BM116=0,0,IFERROR(IF('Técnicas de Ki'!BW116&lt;&gt;0,'Técnicas de Ki'!BW116+TS!$O221,0)*$O221/$O221,0))</f>
        <v>0</v>
      </c>
      <c r="CN221" s="538">
        <f>IF('Técnicas de Ki'!BM116=0,0,IFERROR(IF('Técnicas de Ki'!BX116&lt;&gt;0,'Técnicas de Ki'!BX116+TS!$P221,0)*$P221/$P221,0))</f>
        <v>0</v>
      </c>
      <c r="CO221" s="538">
        <f>IF('Técnicas de Ki'!BM116=0,0,IFERROR(IF('Técnicas de Ki'!BY116&lt;&gt;0,'Técnicas de Ki'!BY116+TS!$Q221,0)*$Q221/$Q221,0))</f>
        <v>0</v>
      </c>
      <c r="CP221" s="538">
        <f>IF('Técnicas de Ki'!BM116=0,0,IFERROR(IF('Técnicas de Ki'!BZ116&lt;&gt;0,'Técnicas de Ki'!BZ116+TS!$R221,0)*$R221/$R221,0))</f>
        <v>0</v>
      </c>
      <c r="CQ221" s="538">
        <f>IF('Técnicas de Ki'!BM116=0,0,IFERROR(IF('Técnicas de Ki'!CA116&lt;&gt;0,'Técnicas de Ki'!CA116+TS!$S221,0)*$S221/$S221,0))</f>
        <v>0</v>
      </c>
      <c r="CR221" s="539">
        <f>IF('Técnicas de Ki'!BM116=0,0,IFERROR(IF('Técnicas de Ki'!CB116&lt;&gt;0,'Técnicas de Ki'!CB116+TS!$T221,0)*$T221/$T221,0))</f>
        <v>0</v>
      </c>
    </row>
    <row r="222" spans="1:101" x14ac:dyDescent="0.2">
      <c r="A222" s="302" t="s">
        <v>6894</v>
      </c>
      <c r="B222" s="302" t="s">
        <v>6911</v>
      </c>
      <c r="C222" s="302" t="str">
        <f t="shared" si="43"/>
        <v>Ataque a distancia20 metros</v>
      </c>
      <c r="D222" s="302">
        <v>3</v>
      </c>
      <c r="E222" s="302">
        <v>5</v>
      </c>
      <c r="F222" s="302">
        <v>10</v>
      </c>
      <c r="G222" s="302">
        <v>2</v>
      </c>
      <c r="H222" s="302">
        <v>4</v>
      </c>
      <c r="I222" s="302">
        <v>7</v>
      </c>
      <c r="J222" s="302">
        <v>1</v>
      </c>
      <c r="N222" t="s">
        <v>6996</v>
      </c>
      <c r="O222" s="302">
        <v>1</v>
      </c>
      <c r="Q222" s="302">
        <v>2</v>
      </c>
      <c r="R222" s="302">
        <v>2</v>
      </c>
      <c r="S222" s="302">
        <v>1</v>
      </c>
      <c r="V222" s="537">
        <f>IF('Técnicas de Ki'!B117=0,0,IF('Técnicas de Ki'!I117=TS!V$119,'Técnicas de Ki'!C117-(IF($O222&lt;&gt;0,'Técnicas de Ki'!L117,0)+IF($P222&lt;&gt;0,'Técnicas de Ki'!M117,0)+IF($Q222&lt;&gt;0,'Técnicas de Ki'!N117,0)+IF($R222&lt;&gt;0,'Técnicas de Ki'!O117,0)+IF($S222&lt;&gt;0,'Técnicas de Ki'!P117,0)+IF($T222&lt;&gt;0,'Técnicas de Ki'!Q117,0)),0))</f>
        <v>0</v>
      </c>
      <c r="W222" s="538">
        <f>IF('Técnicas de Ki'!B117=0,0,IF('Técnicas de Ki'!I117=TS!W$119,'Técnicas de Ki'!C117-(IF($O222&lt;&gt;0,'Técnicas de Ki'!L117,0)+IF($P222&lt;&gt;0,'Técnicas de Ki'!M117,0)+IF($Q222&lt;&gt;0,'Técnicas de Ki'!N117,0)+IF($R222&lt;&gt;0,'Técnicas de Ki'!O117,0)+IF($S222&lt;&gt;0,'Técnicas de Ki'!P117,0)+IF($T222&lt;&gt;0,'Técnicas de Ki'!Q117,0)),0))</f>
        <v>0</v>
      </c>
      <c r="X222" s="538">
        <f>IF('Técnicas de Ki'!B117=0,0,IF('Técnicas de Ki'!I117=TS!X$119,'Técnicas de Ki'!C117-(IF($O222&lt;&gt;0,'Técnicas de Ki'!L117,0)+IF($P222&lt;&gt;0,'Técnicas de Ki'!M117,0)+IF($Q222&lt;&gt;0,'Técnicas de Ki'!N117,0)+IF($R222&lt;&gt;0,'Técnicas de Ki'!O117,0)+IF($S222&lt;&gt;0,'Técnicas de Ki'!P117,0)+IF($T222&lt;&gt;0,'Técnicas de Ki'!Q117,0)),0))</f>
        <v>0</v>
      </c>
      <c r="Y222" s="538">
        <f>IF('Técnicas de Ki'!B117=0,0,IF('Técnicas de Ki'!I117=TS!Y$119,'Técnicas de Ki'!C117-(IF($O222&lt;&gt;0,'Técnicas de Ki'!L117,0)+IF($P222&lt;&gt;0,'Técnicas de Ki'!M117,0)+IF($Q222&lt;&gt;0,'Técnicas de Ki'!N117,0)+IF($R222&lt;&gt;0,'Técnicas de Ki'!O117,0)+IF($S222&lt;&gt;0,'Técnicas de Ki'!P117,0)+IF($T222&lt;&gt;0,'Técnicas de Ki'!Q117,0)),0))</f>
        <v>0</v>
      </c>
      <c r="Z222" s="538">
        <f>IF('Técnicas de Ki'!B117=0,0,IF('Técnicas de Ki'!I117=TS!Z$119,'Técnicas de Ki'!C117-(IF($O222&lt;&gt;0,'Técnicas de Ki'!L117,0)+IF($P222&lt;&gt;0,'Técnicas de Ki'!M117,0)+IF($Q222&lt;&gt;0,'Técnicas de Ki'!N117,0)+IF($R222&lt;&gt;0,'Técnicas de Ki'!O117,0)+IF($S222&lt;&gt;0,'Técnicas de Ki'!P117,0)+IF($T222&lt;&gt;0,'Técnicas de Ki'!Q117,0)),0))</f>
        <v>0</v>
      </c>
      <c r="AA222" s="539">
        <f>IF('Técnicas de Ki'!B117=0,0,IF('Técnicas de Ki'!I117=TS!AA$119,'Técnicas de Ki'!C117-(IF($O222&lt;&gt;0,'Técnicas de Ki'!L117,0)+IF($P222&lt;&gt;0,'Técnicas de Ki'!M117,0)+IF($Q222&lt;&gt;0,'Técnicas de Ki'!N117,0)+IF($R222&lt;&gt;0,'Técnicas de Ki'!O117,0)+IF($S222&lt;&gt;0,'Técnicas de Ki'!P117,0)+IF($T222&lt;&gt;0,'Técnicas de Ki'!Q117,0)),0))</f>
        <v>0</v>
      </c>
      <c r="AB222" s="538">
        <f>IF('Técnicas de Ki'!B117=0,0,IFERROR(IF('Técnicas de Ki'!L117&lt;&gt;0,'Técnicas de Ki'!L117+TS!$O222,0)*$O222/$O222,0))</f>
        <v>0</v>
      </c>
      <c r="AC222" s="538">
        <f>IF('Técnicas de Ki'!B117=0,0,IFERROR(IF('Técnicas de Ki'!M117&lt;&gt;0,'Técnicas de Ki'!M117+TS!$P222,0)*$P222/$P222,0))</f>
        <v>0</v>
      </c>
      <c r="AD222" s="538">
        <f>IF('Técnicas de Ki'!B117=0,0,IFERROR(IF('Técnicas de Ki'!N117&lt;&gt;0,'Técnicas de Ki'!N117+TS!$Q222,0)*$Q222/$Q222,0))</f>
        <v>0</v>
      </c>
      <c r="AE222" s="538">
        <f>IF('Técnicas de Ki'!B117=0,0,IFERROR(IF('Técnicas de Ki'!O117&lt;&gt;0,'Técnicas de Ki'!O117+TS!$R222,0)*$R222/$R222,0))</f>
        <v>0</v>
      </c>
      <c r="AF222" s="538">
        <f>IF('Técnicas de Ki'!B117=0,0,IFERROR(IF('Técnicas de Ki'!P117&lt;&gt;0,'Técnicas de Ki'!P117+TS!$S222,0)*$S222/$S222,0))</f>
        <v>0</v>
      </c>
      <c r="AG222" s="539">
        <f>IF('Técnicas de Ki'!B117=0,0,IFERROR(IF('Técnicas de Ki'!Q117&lt;&gt;0,'Técnicas de Ki'!Q117+TS!$T222,0)*$T222/$T222,0))</f>
        <v>0</v>
      </c>
      <c r="AQ222" s="537">
        <f>IF('Técnicas de Ki'!W117=0,0,IF('Técnicas de Ki'!AD117=TS!AQ$119,'Técnicas de Ki'!X117-(IF($O222&lt;&gt;0,'Técnicas de Ki'!AG117,0)+IF($P222&lt;&gt;0,'Técnicas de Ki'!AH117,0)+IF($Q222&lt;&gt;0,'Técnicas de Ki'!AI117,0)+IF($R222&lt;&gt;0,'Técnicas de Ki'!AJ117,0)+IF($S222&lt;&gt;0,'Técnicas de Ki'!AK117,0)+IF($T222&lt;&gt;0,'Técnicas de Ki'!AL117,0)),0))</f>
        <v>0</v>
      </c>
      <c r="AR222" s="538">
        <f>IF('Técnicas de Ki'!W117=0,0,IF('Técnicas de Ki'!AD117=TS!AR$119,'Técnicas de Ki'!X117-(IF($O222&lt;&gt;0,'Técnicas de Ki'!AG117,0)+IF($P222&lt;&gt;0,'Técnicas de Ki'!AH117,0)+IF($Q222&lt;&gt;0,'Técnicas de Ki'!AI117,0)+IF($R222&lt;&gt;0,'Técnicas de Ki'!AJ117,0)+IF($S222&lt;&gt;0,'Técnicas de Ki'!AK117,0)+IF($T222&lt;&gt;0,'Técnicas de Ki'!AL117,0)),0))</f>
        <v>0</v>
      </c>
      <c r="AS222" s="538">
        <f>IF('Técnicas de Ki'!W117=0,0,IF('Técnicas de Ki'!AD117=TS!AS$119,'Técnicas de Ki'!X117-(IF($O222&lt;&gt;0,'Técnicas de Ki'!AG117,0)+IF($P222&lt;&gt;0,'Técnicas de Ki'!AH117,0)+IF($Q222&lt;&gt;0,'Técnicas de Ki'!AI117,0)+IF($R222&lt;&gt;0,'Técnicas de Ki'!AJ117,0)+IF($S222&lt;&gt;0,'Técnicas de Ki'!AK117,0)+IF($T222&lt;&gt;0,'Técnicas de Ki'!AL117,0)),0))</f>
        <v>0</v>
      </c>
      <c r="AT222" s="538">
        <f>IF('Técnicas de Ki'!W117=0,0,IF('Técnicas de Ki'!AD117=TS!AT$119,'Técnicas de Ki'!X117-(IF($O222&lt;&gt;0,'Técnicas de Ki'!AG117,0)+IF($P222&lt;&gt;0,'Técnicas de Ki'!AH117,0)+IF($Q222&lt;&gt;0,'Técnicas de Ki'!AI117,0)+IF($R222&lt;&gt;0,'Técnicas de Ki'!AJ117,0)+IF($S222&lt;&gt;0,'Técnicas de Ki'!AK117,0)+IF($T222&lt;&gt;0,'Técnicas de Ki'!AL117,0)),0))</f>
        <v>0</v>
      </c>
      <c r="AU222" s="538">
        <f>IF('Técnicas de Ki'!W117=0,0,IF('Técnicas de Ki'!AD117=TS!AU$119,'Técnicas de Ki'!X117-(IF($O222&lt;&gt;0,'Técnicas de Ki'!AG117,0)+IF($P222&lt;&gt;0,'Técnicas de Ki'!AH117,0)+IF($Q222&lt;&gt;0,'Técnicas de Ki'!AI117,0)+IF($R222&lt;&gt;0,'Técnicas de Ki'!AJ117,0)+IF($S222&lt;&gt;0,'Técnicas de Ki'!AK117,0)+IF($T222&lt;&gt;0,'Técnicas de Ki'!AL117,0)),0))</f>
        <v>0</v>
      </c>
      <c r="AV222" s="539">
        <f>IF('Técnicas de Ki'!W117=0,0,IF('Técnicas de Ki'!AD117=TS!AV$119,'Técnicas de Ki'!X117-(IF($O222&lt;&gt;0,'Técnicas de Ki'!AG117,0)+IF($P222&lt;&gt;0,'Técnicas de Ki'!AH117,0)+IF($Q222&lt;&gt;0,'Técnicas de Ki'!AI117,0)+IF($R222&lt;&gt;0,'Técnicas de Ki'!AJ117,0)+IF($S222&lt;&gt;0,'Técnicas de Ki'!AK117,0)+IF($T222&lt;&gt;0,'Técnicas de Ki'!AL117,0)),0))</f>
        <v>0</v>
      </c>
      <c r="AW222" s="538">
        <f>IF('Técnicas de Ki'!W117=0,0,IFERROR(IF('Técnicas de Ki'!AG117&lt;&gt;0,'Técnicas de Ki'!AG117+TS!$O222,0)*$O222/$O222,0))</f>
        <v>0</v>
      </c>
      <c r="AX222" s="538">
        <f>IF('Técnicas de Ki'!W117=0,0,IFERROR(IF('Técnicas de Ki'!AH117&lt;&gt;0,'Técnicas de Ki'!AH117+TS!$P222,0)*$P222/$P222,0))</f>
        <v>0</v>
      </c>
      <c r="AY222" s="538">
        <f>IF('Técnicas de Ki'!W117=0,0,IFERROR(IF('Técnicas de Ki'!AI117&lt;&gt;0,'Técnicas de Ki'!AI117+TS!$Q222,0)*$Q222/$Q222,0))</f>
        <v>0</v>
      </c>
      <c r="AZ222" s="538">
        <f>IF('Técnicas de Ki'!W117=0,0,IFERROR(IF('Técnicas de Ki'!AJ117&lt;&gt;0,'Técnicas de Ki'!AJ117+TS!$R222,0)*$R222/$R222,0))</f>
        <v>0</v>
      </c>
      <c r="BA222" s="538">
        <f>IF('Técnicas de Ki'!W117=0,0,IFERROR(IF('Técnicas de Ki'!AK117&lt;&gt;0,'Técnicas de Ki'!AK117+TS!$S222,0)*$S222/$S222,0))</f>
        <v>0</v>
      </c>
      <c r="BB222" s="539">
        <f>IF('Técnicas de Ki'!W117=0,0,IFERROR(IF('Técnicas de Ki'!AL117&lt;&gt;0,'Técnicas de Ki'!AL117+TS!$T222,0)*$T222/$T222,0))</f>
        <v>0</v>
      </c>
      <c r="BL222" s="537">
        <f>IF('Técnicas de Ki'!AR117=0,0,IF('Técnicas de Ki'!AY117=TS!BL$119,'Técnicas de Ki'!AS117-(IF($O222&lt;&gt;0,'Técnicas de Ki'!BB117,0)+IF($P222&lt;&gt;0,'Técnicas de Ki'!BC117,0)+IF($Q222&lt;&gt;0,'Técnicas de Ki'!BD117,0)+IF($R222&lt;&gt;0,'Técnicas de Ki'!BE117,0)+IF($S222&lt;&gt;0,'Técnicas de Ki'!BF117,0)+IF($T222&lt;&gt;0,'Técnicas de Ki'!BG117,0)),0))</f>
        <v>0</v>
      </c>
      <c r="BM222" s="538">
        <f>IF('Técnicas de Ki'!AR117=0,0,IF('Técnicas de Ki'!AY117=TS!BM$119,'Técnicas de Ki'!AS117-(IF($O222&lt;&gt;0,'Técnicas de Ki'!BB117,0)+IF($P222&lt;&gt;0,'Técnicas de Ki'!BC117,0)+IF($Q222&lt;&gt;0,'Técnicas de Ki'!BD117,0)+IF($R222&lt;&gt;0,'Técnicas de Ki'!BE117,0)+IF($S222&lt;&gt;0,'Técnicas de Ki'!BF117,0)+IF($T222&lt;&gt;0,'Técnicas de Ki'!BG117,0)),0))</f>
        <v>0</v>
      </c>
      <c r="BN222" s="538">
        <f>IF('Técnicas de Ki'!AR117=0,0,IF('Técnicas de Ki'!AY117=TS!BN$119,'Técnicas de Ki'!AS117-(IF($O222&lt;&gt;0,'Técnicas de Ki'!BB117,0)+IF($P222&lt;&gt;0,'Técnicas de Ki'!BC117,0)+IF($Q222&lt;&gt;0,'Técnicas de Ki'!BD117,0)+IF($R222&lt;&gt;0,'Técnicas de Ki'!BE117,0)+IF($S222&lt;&gt;0,'Técnicas de Ki'!BF117,0)+IF($T222&lt;&gt;0,'Técnicas de Ki'!BG117,0)),0))</f>
        <v>0</v>
      </c>
      <c r="BO222" s="538">
        <f>IF('Técnicas de Ki'!AR117=0,0,IF('Técnicas de Ki'!AY117=TS!BO$119,'Técnicas de Ki'!AS117-(IF($O222&lt;&gt;0,'Técnicas de Ki'!BB117,0)+IF($P222&lt;&gt;0,'Técnicas de Ki'!BC117,0)+IF($Q222&lt;&gt;0,'Técnicas de Ki'!BD117,0)+IF($R222&lt;&gt;0,'Técnicas de Ki'!BE117,0)+IF($S222&lt;&gt;0,'Técnicas de Ki'!BF117,0)+IF($T222&lt;&gt;0,'Técnicas de Ki'!BG117,0)),0))</f>
        <v>0</v>
      </c>
      <c r="BP222" s="538">
        <f>IF('Técnicas de Ki'!AR117=0,0,IF('Técnicas de Ki'!AY117=TS!BP$119,'Técnicas de Ki'!AS117-(IF($O222&lt;&gt;0,'Técnicas de Ki'!BB117,0)+IF($P222&lt;&gt;0,'Técnicas de Ki'!BC117,0)+IF($Q222&lt;&gt;0,'Técnicas de Ki'!BD117,0)+IF($R222&lt;&gt;0,'Técnicas de Ki'!BE117,0)+IF($S222&lt;&gt;0,'Técnicas de Ki'!BF117,0)+IF($T222&lt;&gt;0,'Técnicas de Ki'!BG117,0)),0))</f>
        <v>0</v>
      </c>
      <c r="BQ222" s="539">
        <f>IF('Técnicas de Ki'!AR117=0,0,IF('Técnicas de Ki'!AY117=TS!BQ$119,'Técnicas de Ki'!AS117-(IF($O222&lt;&gt;0,'Técnicas de Ki'!BB117,0)+IF($P222&lt;&gt;0,'Técnicas de Ki'!BC117,0)+IF($Q222&lt;&gt;0,'Técnicas de Ki'!BD117,0)+IF($R222&lt;&gt;0,'Técnicas de Ki'!BE117,0)+IF($S222&lt;&gt;0,'Técnicas de Ki'!BF117,0)+IF($T222&lt;&gt;0,'Técnicas de Ki'!BG117,0)),0))</f>
        <v>0</v>
      </c>
      <c r="BR222" s="538">
        <f>IF('Técnicas de Ki'!AR117=0,0,IFERROR(IF('Técnicas de Ki'!BB117&lt;&gt;0,'Técnicas de Ki'!BB117+TS!$O222,0)*$O222/$O222,0))</f>
        <v>0</v>
      </c>
      <c r="BS222" s="538">
        <f>IF('Técnicas de Ki'!AR117=0,0,IFERROR(IF('Técnicas de Ki'!BC117&lt;&gt;0,'Técnicas de Ki'!BC117+TS!$P222,0)*$P222/$P222,0))</f>
        <v>0</v>
      </c>
      <c r="BT222" s="538">
        <f>IF('Técnicas de Ki'!AR117=0,0,IFERROR(IF('Técnicas de Ki'!BD117&lt;&gt;0,'Técnicas de Ki'!BD117+TS!$Q222,0)*$Q222/$Q222,0))</f>
        <v>0</v>
      </c>
      <c r="BU222" s="538">
        <f>IF('Técnicas de Ki'!AR117=0,0,IFERROR(IF('Técnicas de Ki'!BE117&lt;&gt;0,'Técnicas de Ki'!BE117+TS!$R222,0)*$R222/$R222,0))</f>
        <v>0</v>
      </c>
      <c r="BV222" s="538">
        <f>IF('Técnicas de Ki'!AR117=0,0,IFERROR(IF('Técnicas de Ki'!BF117&lt;&gt;0,'Técnicas de Ki'!BF117+TS!$S222,0)*$S222/$S222,0))</f>
        <v>0</v>
      </c>
      <c r="BW222" s="539">
        <f>IF('Técnicas de Ki'!AR117=0,0,IFERROR(IF('Técnicas de Ki'!BG117&lt;&gt;0,'Técnicas de Ki'!BG117+TS!$T222,0)*$T222/$T222,0))</f>
        <v>0</v>
      </c>
      <c r="CG222" s="537">
        <f>IF('Técnicas de Ki'!BM117=0,0,IF('Técnicas de Ki'!BT117=TS!CG$119,'Técnicas de Ki'!BN117-(IF($O222&lt;&gt;0,'Técnicas de Ki'!BW117,0)+IF($P222&lt;&gt;0,'Técnicas de Ki'!BX117,0)+IF($Q222&lt;&gt;0,'Técnicas de Ki'!BY117,0)+IF($R222&lt;&gt;0,'Técnicas de Ki'!BZ117,0)+IF($S222&lt;&gt;0,'Técnicas de Ki'!CA117,0)+IF($T222&lt;&gt;0,'Técnicas de Ki'!CB117,0)),0))</f>
        <v>0</v>
      </c>
      <c r="CH222" s="538">
        <f>IF('Técnicas de Ki'!BM117=0,0,IF('Técnicas de Ki'!BT117=TS!CH$119,'Técnicas de Ki'!BN117-(IF($O222&lt;&gt;0,'Técnicas de Ki'!BW117,0)+IF($P222&lt;&gt;0,'Técnicas de Ki'!BX117,0)+IF($Q222&lt;&gt;0,'Técnicas de Ki'!BY117,0)+IF($R222&lt;&gt;0,'Técnicas de Ki'!BZ117,0)+IF($S222&lt;&gt;0,'Técnicas de Ki'!CA117,0)+IF($T222&lt;&gt;0,'Técnicas de Ki'!CB117,0)),0))</f>
        <v>0</v>
      </c>
      <c r="CI222" s="538">
        <f>IF('Técnicas de Ki'!BM117=0,0,IF('Técnicas de Ki'!BT117=TS!CI$119,'Técnicas de Ki'!BN117-(IF($O222&lt;&gt;0,'Técnicas de Ki'!BW117,0)+IF($P222&lt;&gt;0,'Técnicas de Ki'!BX117,0)+IF($Q222&lt;&gt;0,'Técnicas de Ki'!BY117,0)+IF($R222&lt;&gt;0,'Técnicas de Ki'!BZ117,0)+IF($S222&lt;&gt;0,'Técnicas de Ki'!CA117,0)+IF($T222&lt;&gt;0,'Técnicas de Ki'!CB117,0)),0))</f>
        <v>0</v>
      </c>
      <c r="CJ222" s="538">
        <f>IF('Técnicas de Ki'!BM117=0,0,IF('Técnicas de Ki'!BT117=TS!CJ$119,'Técnicas de Ki'!BN117-(IF($O222&lt;&gt;0,'Técnicas de Ki'!BW117,0)+IF($P222&lt;&gt;0,'Técnicas de Ki'!BX117,0)+IF($Q222&lt;&gt;0,'Técnicas de Ki'!BY117,0)+IF($R222&lt;&gt;0,'Técnicas de Ki'!BZ117,0)+IF($S222&lt;&gt;0,'Técnicas de Ki'!CA117,0)+IF($T222&lt;&gt;0,'Técnicas de Ki'!CB117,0)),0))</f>
        <v>0</v>
      </c>
      <c r="CK222" s="538">
        <f>IF('Técnicas de Ki'!BM117=0,0,IF('Técnicas de Ki'!BT117=TS!CK$119,'Técnicas de Ki'!BN117-(IF($O222&lt;&gt;0,'Técnicas de Ki'!BW117,0)+IF($P222&lt;&gt;0,'Técnicas de Ki'!BX117,0)+IF($Q222&lt;&gt;0,'Técnicas de Ki'!BY117,0)+IF($R222&lt;&gt;0,'Técnicas de Ki'!BZ117,0)+IF($S222&lt;&gt;0,'Técnicas de Ki'!CA117,0)+IF($T222&lt;&gt;0,'Técnicas de Ki'!CB117,0)),0))</f>
        <v>0</v>
      </c>
      <c r="CL222" s="539">
        <f>IF('Técnicas de Ki'!BM117=0,0,IF('Técnicas de Ki'!BT117=TS!CL$119,'Técnicas de Ki'!BN117-(IF($O222&lt;&gt;0,'Técnicas de Ki'!BW117,0)+IF($P222&lt;&gt;0,'Técnicas de Ki'!BX117,0)+IF($Q222&lt;&gt;0,'Técnicas de Ki'!BY117,0)+IF($R222&lt;&gt;0,'Técnicas de Ki'!BZ117,0)+IF($S222&lt;&gt;0,'Técnicas de Ki'!CA117,0)+IF($T222&lt;&gt;0,'Técnicas de Ki'!CB117,0)),0))</f>
        <v>0</v>
      </c>
      <c r="CM222" s="538">
        <f>IF('Técnicas de Ki'!BM117=0,0,IFERROR(IF('Técnicas de Ki'!BW117&lt;&gt;0,'Técnicas de Ki'!BW117+TS!$O222,0)*$O222/$O222,0))</f>
        <v>0</v>
      </c>
      <c r="CN222" s="538">
        <f>IF('Técnicas de Ki'!BM117=0,0,IFERROR(IF('Técnicas de Ki'!BX117&lt;&gt;0,'Técnicas de Ki'!BX117+TS!$P222,0)*$P222/$P222,0))</f>
        <v>0</v>
      </c>
      <c r="CO222" s="538">
        <f>IF('Técnicas de Ki'!BM117=0,0,IFERROR(IF('Técnicas de Ki'!BY117&lt;&gt;0,'Técnicas de Ki'!BY117+TS!$Q222,0)*$Q222/$Q222,0))</f>
        <v>0</v>
      </c>
      <c r="CP222" s="538">
        <f>IF('Técnicas de Ki'!BM117=0,0,IFERROR(IF('Técnicas de Ki'!BZ117&lt;&gt;0,'Técnicas de Ki'!BZ117+TS!$R222,0)*$R222/$R222,0))</f>
        <v>0</v>
      </c>
      <c r="CQ222" s="538">
        <f>IF('Técnicas de Ki'!BM117=0,0,IFERROR(IF('Técnicas de Ki'!CA117&lt;&gt;0,'Técnicas de Ki'!CA117+TS!$S222,0)*$S222/$S222,0))</f>
        <v>0</v>
      </c>
      <c r="CR222" s="539">
        <f>IF('Técnicas de Ki'!BM117=0,0,IFERROR(IF('Técnicas de Ki'!CB117&lt;&gt;0,'Técnicas de Ki'!CB117+TS!$T222,0)*$T222/$T222,0))</f>
        <v>0</v>
      </c>
    </row>
    <row r="223" spans="1:101" x14ac:dyDescent="0.2">
      <c r="A223" s="302" t="s">
        <v>6894</v>
      </c>
      <c r="B223" s="302" t="s">
        <v>6912</v>
      </c>
      <c r="C223" s="302" t="str">
        <f t="shared" si="43"/>
        <v>Ataque a distancia50 metros</v>
      </c>
      <c r="D223" s="302">
        <v>4</v>
      </c>
      <c r="E223" s="302">
        <v>6</v>
      </c>
      <c r="F223" s="302">
        <v>15</v>
      </c>
      <c r="G223" s="302">
        <v>3</v>
      </c>
      <c r="H223" s="302">
        <v>6</v>
      </c>
      <c r="I223" s="302">
        <v>11</v>
      </c>
      <c r="J223" s="302">
        <v>1</v>
      </c>
      <c r="N223" t="s">
        <v>6997</v>
      </c>
      <c r="O223" s="302">
        <v>1</v>
      </c>
      <c r="Q223" s="302">
        <v>2</v>
      </c>
      <c r="R223" s="302">
        <v>2</v>
      </c>
      <c r="S223" s="302">
        <v>1</v>
      </c>
      <c r="V223" s="537">
        <f>IF('Técnicas de Ki'!B118=0,0,IF('Técnicas de Ki'!I118=TS!V$119,'Técnicas de Ki'!C118-(IF($O223&lt;&gt;0,'Técnicas de Ki'!L118,0)+IF($P223&lt;&gt;0,'Técnicas de Ki'!M118,0)+IF($Q223&lt;&gt;0,'Técnicas de Ki'!N118,0)+IF($R223&lt;&gt;0,'Técnicas de Ki'!O118,0)+IF($S223&lt;&gt;0,'Técnicas de Ki'!P118,0)+IF($T223&lt;&gt;0,'Técnicas de Ki'!Q118,0)),0))</f>
        <v>0</v>
      </c>
      <c r="W223" s="538">
        <f>IF('Técnicas de Ki'!B118=0,0,IF('Técnicas de Ki'!I118=TS!W$119,'Técnicas de Ki'!C118-(IF($O223&lt;&gt;0,'Técnicas de Ki'!L118,0)+IF($P223&lt;&gt;0,'Técnicas de Ki'!M118,0)+IF($Q223&lt;&gt;0,'Técnicas de Ki'!N118,0)+IF($R223&lt;&gt;0,'Técnicas de Ki'!O118,0)+IF($S223&lt;&gt;0,'Técnicas de Ki'!P118,0)+IF($T223&lt;&gt;0,'Técnicas de Ki'!Q118,0)),0))</f>
        <v>0</v>
      </c>
      <c r="X223" s="538">
        <f>IF('Técnicas de Ki'!B118=0,0,IF('Técnicas de Ki'!I118=TS!X$119,'Técnicas de Ki'!C118-(IF($O223&lt;&gt;0,'Técnicas de Ki'!L118,0)+IF($P223&lt;&gt;0,'Técnicas de Ki'!M118,0)+IF($Q223&lt;&gt;0,'Técnicas de Ki'!N118,0)+IF($R223&lt;&gt;0,'Técnicas de Ki'!O118,0)+IF($S223&lt;&gt;0,'Técnicas de Ki'!P118,0)+IF($T223&lt;&gt;0,'Técnicas de Ki'!Q118,0)),0))</f>
        <v>0</v>
      </c>
      <c r="Y223" s="538">
        <f>IF('Técnicas de Ki'!B118=0,0,IF('Técnicas de Ki'!I118=TS!Y$119,'Técnicas de Ki'!C118-(IF($O223&lt;&gt;0,'Técnicas de Ki'!L118,0)+IF($P223&lt;&gt;0,'Técnicas de Ki'!M118,0)+IF($Q223&lt;&gt;0,'Técnicas de Ki'!N118,0)+IF($R223&lt;&gt;0,'Técnicas de Ki'!O118,0)+IF($S223&lt;&gt;0,'Técnicas de Ki'!P118,0)+IF($T223&lt;&gt;0,'Técnicas de Ki'!Q118,0)),0))</f>
        <v>0</v>
      </c>
      <c r="Z223" s="538">
        <f>IF('Técnicas de Ki'!B118=0,0,IF('Técnicas de Ki'!I118=TS!Z$119,'Técnicas de Ki'!C118-(IF($O223&lt;&gt;0,'Técnicas de Ki'!L118,0)+IF($P223&lt;&gt;0,'Técnicas de Ki'!M118,0)+IF($Q223&lt;&gt;0,'Técnicas de Ki'!N118,0)+IF($R223&lt;&gt;0,'Técnicas de Ki'!O118,0)+IF($S223&lt;&gt;0,'Técnicas de Ki'!P118,0)+IF($T223&lt;&gt;0,'Técnicas de Ki'!Q118,0)),0))</f>
        <v>0</v>
      </c>
      <c r="AA223" s="539">
        <f>IF('Técnicas de Ki'!B118=0,0,IF('Técnicas de Ki'!I118=TS!AA$119,'Técnicas de Ki'!C118-(IF($O223&lt;&gt;0,'Técnicas de Ki'!L118,0)+IF($P223&lt;&gt;0,'Técnicas de Ki'!M118,0)+IF($Q223&lt;&gt;0,'Técnicas de Ki'!N118,0)+IF($R223&lt;&gt;0,'Técnicas de Ki'!O118,0)+IF($S223&lt;&gt;0,'Técnicas de Ki'!P118,0)+IF($T223&lt;&gt;0,'Técnicas de Ki'!Q118,0)),0))</f>
        <v>0</v>
      </c>
      <c r="AB223" s="538">
        <f>IF('Técnicas de Ki'!B118=0,0,IFERROR(IF('Técnicas de Ki'!L118&lt;&gt;0,'Técnicas de Ki'!L118+TS!$O223,0)*$O223/$O223,0))</f>
        <v>0</v>
      </c>
      <c r="AC223" s="538">
        <f>IF('Técnicas de Ki'!B118=0,0,IFERROR(IF('Técnicas de Ki'!M118&lt;&gt;0,'Técnicas de Ki'!M118+TS!$P223,0)*$P223/$P223,0))</f>
        <v>0</v>
      </c>
      <c r="AD223" s="538">
        <f>IF('Técnicas de Ki'!B118=0,0,IFERROR(IF('Técnicas de Ki'!N118&lt;&gt;0,'Técnicas de Ki'!N118+TS!$Q223,0)*$Q223/$Q223,0))</f>
        <v>0</v>
      </c>
      <c r="AE223" s="538">
        <f>IF('Técnicas de Ki'!B118=0,0,IFERROR(IF('Técnicas de Ki'!O118&lt;&gt;0,'Técnicas de Ki'!O118+TS!$R223,0)*$R223/$R223,0))</f>
        <v>0</v>
      </c>
      <c r="AF223" s="538">
        <f>IF('Técnicas de Ki'!B118=0,0,IFERROR(IF('Técnicas de Ki'!P118&lt;&gt;0,'Técnicas de Ki'!P118+TS!$S223,0)*$S223/$S223,0))</f>
        <v>0</v>
      </c>
      <c r="AG223" s="539">
        <f>IF('Técnicas de Ki'!B118=0,0,IFERROR(IF('Técnicas de Ki'!Q118&lt;&gt;0,'Técnicas de Ki'!Q118+TS!$T223,0)*$T223/$T223,0))</f>
        <v>0</v>
      </c>
      <c r="AQ223" s="537">
        <f>IF('Técnicas de Ki'!W118=0,0,IF('Técnicas de Ki'!AD118=TS!AQ$119,'Técnicas de Ki'!X118-(IF($O223&lt;&gt;0,'Técnicas de Ki'!AG118,0)+IF($P223&lt;&gt;0,'Técnicas de Ki'!AH118,0)+IF($Q223&lt;&gt;0,'Técnicas de Ki'!AI118,0)+IF($R223&lt;&gt;0,'Técnicas de Ki'!AJ118,0)+IF($S223&lt;&gt;0,'Técnicas de Ki'!AK118,0)+IF($T223&lt;&gt;0,'Técnicas de Ki'!AL118,0)),0))</f>
        <v>0</v>
      </c>
      <c r="AR223" s="538">
        <f>IF('Técnicas de Ki'!W118=0,0,IF('Técnicas de Ki'!AD118=TS!AR$119,'Técnicas de Ki'!X118-(IF($O223&lt;&gt;0,'Técnicas de Ki'!AG118,0)+IF($P223&lt;&gt;0,'Técnicas de Ki'!AH118,0)+IF($Q223&lt;&gt;0,'Técnicas de Ki'!AI118,0)+IF($R223&lt;&gt;0,'Técnicas de Ki'!AJ118,0)+IF($S223&lt;&gt;0,'Técnicas de Ki'!AK118,0)+IF($T223&lt;&gt;0,'Técnicas de Ki'!AL118,0)),0))</f>
        <v>0</v>
      </c>
      <c r="AS223" s="538">
        <f>IF('Técnicas de Ki'!W118=0,0,IF('Técnicas de Ki'!AD118=TS!AS$119,'Técnicas de Ki'!X118-(IF($O223&lt;&gt;0,'Técnicas de Ki'!AG118,0)+IF($P223&lt;&gt;0,'Técnicas de Ki'!AH118,0)+IF($Q223&lt;&gt;0,'Técnicas de Ki'!AI118,0)+IF($R223&lt;&gt;0,'Técnicas de Ki'!AJ118,0)+IF($S223&lt;&gt;0,'Técnicas de Ki'!AK118,0)+IF($T223&lt;&gt;0,'Técnicas de Ki'!AL118,0)),0))</f>
        <v>0</v>
      </c>
      <c r="AT223" s="538">
        <f>IF('Técnicas de Ki'!W118=0,0,IF('Técnicas de Ki'!AD118=TS!AT$119,'Técnicas de Ki'!X118-(IF($O223&lt;&gt;0,'Técnicas de Ki'!AG118,0)+IF($P223&lt;&gt;0,'Técnicas de Ki'!AH118,0)+IF($Q223&lt;&gt;0,'Técnicas de Ki'!AI118,0)+IF($R223&lt;&gt;0,'Técnicas de Ki'!AJ118,0)+IF($S223&lt;&gt;0,'Técnicas de Ki'!AK118,0)+IF($T223&lt;&gt;0,'Técnicas de Ki'!AL118,0)),0))</f>
        <v>0</v>
      </c>
      <c r="AU223" s="538">
        <f>IF('Técnicas de Ki'!W118=0,0,IF('Técnicas de Ki'!AD118=TS!AU$119,'Técnicas de Ki'!X118-(IF($O223&lt;&gt;0,'Técnicas de Ki'!AG118,0)+IF($P223&lt;&gt;0,'Técnicas de Ki'!AH118,0)+IF($Q223&lt;&gt;0,'Técnicas de Ki'!AI118,0)+IF($R223&lt;&gt;0,'Técnicas de Ki'!AJ118,0)+IF($S223&lt;&gt;0,'Técnicas de Ki'!AK118,0)+IF($T223&lt;&gt;0,'Técnicas de Ki'!AL118,0)),0))</f>
        <v>0</v>
      </c>
      <c r="AV223" s="539">
        <f>IF('Técnicas de Ki'!W118=0,0,IF('Técnicas de Ki'!AD118=TS!AV$119,'Técnicas de Ki'!X118-(IF($O223&lt;&gt;0,'Técnicas de Ki'!AG118,0)+IF($P223&lt;&gt;0,'Técnicas de Ki'!AH118,0)+IF($Q223&lt;&gt;0,'Técnicas de Ki'!AI118,0)+IF($R223&lt;&gt;0,'Técnicas de Ki'!AJ118,0)+IF($S223&lt;&gt;0,'Técnicas de Ki'!AK118,0)+IF($T223&lt;&gt;0,'Técnicas de Ki'!AL118,0)),0))</f>
        <v>0</v>
      </c>
      <c r="AW223" s="538">
        <f>IF('Técnicas de Ki'!W118=0,0,IFERROR(IF('Técnicas de Ki'!AG118&lt;&gt;0,'Técnicas de Ki'!AG118+TS!$O223,0)*$O223/$O223,0))</f>
        <v>0</v>
      </c>
      <c r="AX223" s="538">
        <f>IF('Técnicas de Ki'!W118=0,0,IFERROR(IF('Técnicas de Ki'!AH118&lt;&gt;0,'Técnicas de Ki'!AH118+TS!$P223,0)*$P223/$P223,0))</f>
        <v>0</v>
      </c>
      <c r="AY223" s="538">
        <f>IF('Técnicas de Ki'!W118=0,0,IFERROR(IF('Técnicas de Ki'!AI118&lt;&gt;0,'Técnicas de Ki'!AI118+TS!$Q223,0)*$Q223/$Q223,0))</f>
        <v>0</v>
      </c>
      <c r="AZ223" s="538">
        <f>IF('Técnicas de Ki'!W118=0,0,IFERROR(IF('Técnicas de Ki'!AJ118&lt;&gt;0,'Técnicas de Ki'!AJ118+TS!$R223,0)*$R223/$R223,0))</f>
        <v>0</v>
      </c>
      <c r="BA223" s="538">
        <f>IF('Técnicas de Ki'!W118=0,0,IFERROR(IF('Técnicas de Ki'!AK118&lt;&gt;0,'Técnicas de Ki'!AK118+TS!$S223,0)*$S223/$S223,0))</f>
        <v>0</v>
      </c>
      <c r="BB223" s="539">
        <f>IF('Técnicas de Ki'!W118=0,0,IFERROR(IF('Técnicas de Ki'!AL118&lt;&gt;0,'Técnicas de Ki'!AL118+TS!$T223,0)*$T223/$T223,0))</f>
        <v>0</v>
      </c>
      <c r="BL223" s="537">
        <f>IF('Técnicas de Ki'!AR118=0,0,IF('Técnicas de Ki'!AY118=TS!BL$119,'Técnicas de Ki'!AS118-(IF($O223&lt;&gt;0,'Técnicas de Ki'!BB118,0)+IF($P223&lt;&gt;0,'Técnicas de Ki'!BC118,0)+IF($Q223&lt;&gt;0,'Técnicas de Ki'!BD118,0)+IF($R223&lt;&gt;0,'Técnicas de Ki'!BE118,0)+IF($S223&lt;&gt;0,'Técnicas de Ki'!BF118,0)+IF($T223&lt;&gt;0,'Técnicas de Ki'!BG118,0)),0))</f>
        <v>0</v>
      </c>
      <c r="BM223" s="538">
        <f>IF('Técnicas de Ki'!AR118=0,0,IF('Técnicas de Ki'!AY118=TS!BM$119,'Técnicas de Ki'!AS118-(IF($O223&lt;&gt;0,'Técnicas de Ki'!BB118,0)+IF($P223&lt;&gt;0,'Técnicas de Ki'!BC118,0)+IF($Q223&lt;&gt;0,'Técnicas de Ki'!BD118,0)+IF($R223&lt;&gt;0,'Técnicas de Ki'!BE118,0)+IF($S223&lt;&gt;0,'Técnicas de Ki'!BF118,0)+IF($T223&lt;&gt;0,'Técnicas de Ki'!BG118,0)),0))</f>
        <v>0</v>
      </c>
      <c r="BN223" s="538">
        <f>IF('Técnicas de Ki'!AR118=0,0,IF('Técnicas de Ki'!AY118=TS!BN$119,'Técnicas de Ki'!AS118-(IF($O223&lt;&gt;0,'Técnicas de Ki'!BB118,0)+IF($P223&lt;&gt;0,'Técnicas de Ki'!BC118,0)+IF($Q223&lt;&gt;0,'Técnicas de Ki'!BD118,0)+IF($R223&lt;&gt;0,'Técnicas de Ki'!BE118,0)+IF($S223&lt;&gt;0,'Técnicas de Ki'!BF118,0)+IF($T223&lt;&gt;0,'Técnicas de Ki'!BG118,0)),0))</f>
        <v>0</v>
      </c>
      <c r="BO223" s="538">
        <f>IF('Técnicas de Ki'!AR118=0,0,IF('Técnicas de Ki'!AY118=TS!BO$119,'Técnicas de Ki'!AS118-(IF($O223&lt;&gt;0,'Técnicas de Ki'!BB118,0)+IF($P223&lt;&gt;0,'Técnicas de Ki'!BC118,0)+IF($Q223&lt;&gt;0,'Técnicas de Ki'!BD118,0)+IF($R223&lt;&gt;0,'Técnicas de Ki'!BE118,0)+IF($S223&lt;&gt;0,'Técnicas de Ki'!BF118,0)+IF($T223&lt;&gt;0,'Técnicas de Ki'!BG118,0)),0))</f>
        <v>0</v>
      </c>
      <c r="BP223" s="538">
        <f>IF('Técnicas de Ki'!AR118=0,0,IF('Técnicas de Ki'!AY118=TS!BP$119,'Técnicas de Ki'!AS118-(IF($O223&lt;&gt;0,'Técnicas de Ki'!BB118,0)+IF($P223&lt;&gt;0,'Técnicas de Ki'!BC118,0)+IF($Q223&lt;&gt;0,'Técnicas de Ki'!BD118,0)+IF($R223&lt;&gt;0,'Técnicas de Ki'!BE118,0)+IF($S223&lt;&gt;0,'Técnicas de Ki'!BF118,0)+IF($T223&lt;&gt;0,'Técnicas de Ki'!BG118,0)),0))</f>
        <v>0</v>
      </c>
      <c r="BQ223" s="539">
        <f>IF('Técnicas de Ki'!AR118=0,0,IF('Técnicas de Ki'!AY118=TS!BQ$119,'Técnicas de Ki'!AS118-(IF($O223&lt;&gt;0,'Técnicas de Ki'!BB118,0)+IF($P223&lt;&gt;0,'Técnicas de Ki'!BC118,0)+IF($Q223&lt;&gt;0,'Técnicas de Ki'!BD118,0)+IF($R223&lt;&gt;0,'Técnicas de Ki'!BE118,0)+IF($S223&lt;&gt;0,'Técnicas de Ki'!BF118,0)+IF($T223&lt;&gt;0,'Técnicas de Ki'!BG118,0)),0))</f>
        <v>0</v>
      </c>
      <c r="BR223" s="538">
        <f>IF('Técnicas de Ki'!AR118=0,0,IFERROR(IF('Técnicas de Ki'!BB118&lt;&gt;0,'Técnicas de Ki'!BB118+TS!$O223,0)*$O223/$O223,0))</f>
        <v>0</v>
      </c>
      <c r="BS223" s="538">
        <f>IF('Técnicas de Ki'!AR118=0,0,IFERROR(IF('Técnicas de Ki'!BC118&lt;&gt;0,'Técnicas de Ki'!BC118+TS!$P223,0)*$P223/$P223,0))</f>
        <v>0</v>
      </c>
      <c r="BT223" s="538">
        <f>IF('Técnicas de Ki'!AR118=0,0,IFERROR(IF('Técnicas de Ki'!BD118&lt;&gt;0,'Técnicas de Ki'!BD118+TS!$Q223,0)*$Q223/$Q223,0))</f>
        <v>0</v>
      </c>
      <c r="BU223" s="538">
        <f>IF('Técnicas de Ki'!AR118=0,0,IFERROR(IF('Técnicas de Ki'!BE118&lt;&gt;0,'Técnicas de Ki'!BE118+TS!$R223,0)*$R223/$R223,0))</f>
        <v>0</v>
      </c>
      <c r="BV223" s="538">
        <f>IF('Técnicas de Ki'!AR118=0,0,IFERROR(IF('Técnicas de Ki'!BF118&lt;&gt;0,'Técnicas de Ki'!BF118+TS!$S223,0)*$S223/$S223,0))</f>
        <v>0</v>
      </c>
      <c r="BW223" s="539">
        <f>IF('Técnicas de Ki'!AR118=0,0,IFERROR(IF('Técnicas de Ki'!BG118&lt;&gt;0,'Técnicas de Ki'!BG118+TS!$T223,0)*$T223/$T223,0))</f>
        <v>0</v>
      </c>
      <c r="CG223" s="537">
        <f>IF('Técnicas de Ki'!BM118=0,0,IF('Técnicas de Ki'!BT118=TS!CG$119,'Técnicas de Ki'!BN118-(IF($O223&lt;&gt;0,'Técnicas de Ki'!BW118,0)+IF($P223&lt;&gt;0,'Técnicas de Ki'!BX118,0)+IF($Q223&lt;&gt;0,'Técnicas de Ki'!BY118,0)+IF($R223&lt;&gt;0,'Técnicas de Ki'!BZ118,0)+IF($S223&lt;&gt;0,'Técnicas de Ki'!CA118,0)+IF($T223&lt;&gt;0,'Técnicas de Ki'!CB118,0)),0))</f>
        <v>0</v>
      </c>
      <c r="CH223" s="538">
        <f>IF('Técnicas de Ki'!BM118=0,0,IF('Técnicas de Ki'!BT118=TS!CH$119,'Técnicas de Ki'!BN118-(IF($O223&lt;&gt;0,'Técnicas de Ki'!BW118,0)+IF($P223&lt;&gt;0,'Técnicas de Ki'!BX118,0)+IF($Q223&lt;&gt;0,'Técnicas de Ki'!BY118,0)+IF($R223&lt;&gt;0,'Técnicas de Ki'!BZ118,0)+IF($S223&lt;&gt;0,'Técnicas de Ki'!CA118,0)+IF($T223&lt;&gt;0,'Técnicas de Ki'!CB118,0)),0))</f>
        <v>0</v>
      </c>
      <c r="CI223" s="538">
        <f>IF('Técnicas de Ki'!BM118=0,0,IF('Técnicas de Ki'!BT118=TS!CI$119,'Técnicas de Ki'!BN118-(IF($O223&lt;&gt;0,'Técnicas de Ki'!BW118,0)+IF($P223&lt;&gt;0,'Técnicas de Ki'!BX118,0)+IF($Q223&lt;&gt;0,'Técnicas de Ki'!BY118,0)+IF($R223&lt;&gt;0,'Técnicas de Ki'!BZ118,0)+IF($S223&lt;&gt;0,'Técnicas de Ki'!CA118,0)+IF($T223&lt;&gt;0,'Técnicas de Ki'!CB118,0)),0))</f>
        <v>0</v>
      </c>
      <c r="CJ223" s="538">
        <f>IF('Técnicas de Ki'!BM118=0,0,IF('Técnicas de Ki'!BT118=TS!CJ$119,'Técnicas de Ki'!BN118-(IF($O223&lt;&gt;0,'Técnicas de Ki'!BW118,0)+IF($P223&lt;&gt;0,'Técnicas de Ki'!BX118,0)+IF($Q223&lt;&gt;0,'Técnicas de Ki'!BY118,0)+IF($R223&lt;&gt;0,'Técnicas de Ki'!BZ118,0)+IF($S223&lt;&gt;0,'Técnicas de Ki'!CA118,0)+IF($T223&lt;&gt;0,'Técnicas de Ki'!CB118,0)),0))</f>
        <v>0</v>
      </c>
      <c r="CK223" s="538">
        <f>IF('Técnicas de Ki'!BM118=0,0,IF('Técnicas de Ki'!BT118=TS!CK$119,'Técnicas de Ki'!BN118-(IF($O223&lt;&gt;0,'Técnicas de Ki'!BW118,0)+IF($P223&lt;&gt;0,'Técnicas de Ki'!BX118,0)+IF($Q223&lt;&gt;0,'Técnicas de Ki'!BY118,0)+IF($R223&lt;&gt;0,'Técnicas de Ki'!BZ118,0)+IF($S223&lt;&gt;0,'Técnicas de Ki'!CA118,0)+IF($T223&lt;&gt;0,'Técnicas de Ki'!CB118,0)),0))</f>
        <v>0</v>
      </c>
      <c r="CL223" s="539">
        <f>IF('Técnicas de Ki'!BM118=0,0,IF('Técnicas de Ki'!BT118=TS!CL$119,'Técnicas de Ki'!BN118-(IF($O223&lt;&gt;0,'Técnicas de Ki'!BW118,0)+IF($P223&lt;&gt;0,'Técnicas de Ki'!BX118,0)+IF($Q223&lt;&gt;0,'Técnicas de Ki'!BY118,0)+IF($R223&lt;&gt;0,'Técnicas de Ki'!BZ118,0)+IF($S223&lt;&gt;0,'Técnicas de Ki'!CA118,0)+IF($T223&lt;&gt;0,'Técnicas de Ki'!CB118,0)),0))</f>
        <v>0</v>
      </c>
      <c r="CM223" s="538">
        <f>IF('Técnicas de Ki'!BM118=0,0,IFERROR(IF('Técnicas de Ki'!BW118&lt;&gt;0,'Técnicas de Ki'!BW118+TS!$O223,0)*$O223/$O223,0))</f>
        <v>0</v>
      </c>
      <c r="CN223" s="538">
        <f>IF('Técnicas de Ki'!BM118=0,0,IFERROR(IF('Técnicas de Ki'!BX118&lt;&gt;0,'Técnicas de Ki'!BX118+TS!$P223,0)*$P223/$P223,0))</f>
        <v>0</v>
      </c>
      <c r="CO223" s="538">
        <f>IF('Técnicas de Ki'!BM118=0,0,IFERROR(IF('Técnicas de Ki'!BY118&lt;&gt;0,'Técnicas de Ki'!BY118+TS!$Q223,0)*$Q223/$Q223,0))</f>
        <v>0</v>
      </c>
      <c r="CP223" s="538">
        <f>IF('Técnicas de Ki'!BM118=0,0,IFERROR(IF('Técnicas de Ki'!BZ118&lt;&gt;0,'Técnicas de Ki'!BZ118+TS!$R223,0)*$R223/$R223,0))</f>
        <v>0</v>
      </c>
      <c r="CQ223" s="538">
        <f>IF('Técnicas de Ki'!BM118=0,0,IFERROR(IF('Técnicas de Ki'!CA118&lt;&gt;0,'Técnicas de Ki'!CA118+TS!$S223,0)*$S223/$S223,0))</f>
        <v>0</v>
      </c>
      <c r="CR223" s="539">
        <f>IF('Técnicas de Ki'!BM118=0,0,IFERROR(IF('Técnicas de Ki'!CB118&lt;&gt;0,'Técnicas de Ki'!CB118+TS!$T223,0)*$T223/$T223,0))</f>
        <v>0</v>
      </c>
    </row>
    <row r="224" spans="1:101" ht="13.5" thickBot="1" x14ac:dyDescent="0.25">
      <c r="A224" s="302" t="s">
        <v>6894</v>
      </c>
      <c r="B224" s="302" t="s">
        <v>6913</v>
      </c>
      <c r="C224" s="302" t="str">
        <f t="shared" si="43"/>
        <v>Ataque a distancia100 metros</v>
      </c>
      <c r="D224" s="302">
        <v>5</v>
      </c>
      <c r="E224" s="302">
        <v>8</v>
      </c>
      <c r="F224" s="302">
        <v>20</v>
      </c>
      <c r="G224" s="302">
        <v>4</v>
      </c>
      <c r="H224" s="302">
        <v>8</v>
      </c>
      <c r="I224" s="302">
        <v>14</v>
      </c>
      <c r="J224" s="302">
        <v>1</v>
      </c>
      <c r="N224" t="s">
        <v>6996</v>
      </c>
      <c r="O224" s="302">
        <v>1</v>
      </c>
      <c r="Q224" s="302">
        <v>2</v>
      </c>
      <c r="R224" s="302">
        <v>2</v>
      </c>
      <c r="S224" s="302">
        <v>1</v>
      </c>
      <c r="V224" s="537">
        <f>IF('Técnicas de Ki'!B119=0,0,IF('Técnicas de Ki'!I119=TS!V$119,'Técnicas de Ki'!C119-(IF($O224&lt;&gt;0,'Técnicas de Ki'!L119,0)+IF($P224&lt;&gt;0,'Técnicas de Ki'!M119,0)+IF($Q224&lt;&gt;0,'Técnicas de Ki'!N119,0)+IF($R224&lt;&gt;0,'Técnicas de Ki'!O119,0)+IF($S224&lt;&gt;0,'Técnicas de Ki'!P119,0)+IF($T224&lt;&gt;0,'Técnicas de Ki'!Q119,0)),0))</f>
        <v>0</v>
      </c>
      <c r="W224" s="538">
        <f>IF('Técnicas de Ki'!B119=0,0,IF('Técnicas de Ki'!I119=TS!W$119,'Técnicas de Ki'!C119-(IF($O224&lt;&gt;0,'Técnicas de Ki'!L119,0)+IF($P224&lt;&gt;0,'Técnicas de Ki'!M119,0)+IF($Q224&lt;&gt;0,'Técnicas de Ki'!N119,0)+IF($R224&lt;&gt;0,'Técnicas de Ki'!O119,0)+IF($S224&lt;&gt;0,'Técnicas de Ki'!P119,0)+IF($T224&lt;&gt;0,'Técnicas de Ki'!Q119,0)),0))</f>
        <v>0</v>
      </c>
      <c r="X224" s="538">
        <f>IF('Técnicas de Ki'!B119=0,0,IF('Técnicas de Ki'!I119=TS!X$119,'Técnicas de Ki'!C119-(IF($O224&lt;&gt;0,'Técnicas de Ki'!L119,0)+IF($P224&lt;&gt;0,'Técnicas de Ki'!M119,0)+IF($Q224&lt;&gt;0,'Técnicas de Ki'!N119,0)+IF($R224&lt;&gt;0,'Técnicas de Ki'!O119,0)+IF($S224&lt;&gt;0,'Técnicas de Ki'!P119,0)+IF($T224&lt;&gt;0,'Técnicas de Ki'!Q119,0)),0))</f>
        <v>0</v>
      </c>
      <c r="Y224" s="538">
        <f>IF('Técnicas de Ki'!B119=0,0,IF('Técnicas de Ki'!I119=TS!Y$119,'Técnicas de Ki'!C119-(IF($O224&lt;&gt;0,'Técnicas de Ki'!L119,0)+IF($P224&lt;&gt;0,'Técnicas de Ki'!M119,0)+IF($Q224&lt;&gt;0,'Técnicas de Ki'!N119,0)+IF($R224&lt;&gt;0,'Técnicas de Ki'!O119,0)+IF($S224&lt;&gt;0,'Técnicas de Ki'!P119,0)+IF($T224&lt;&gt;0,'Técnicas de Ki'!Q119,0)),0))</f>
        <v>0</v>
      </c>
      <c r="Z224" s="538">
        <f>IF('Técnicas de Ki'!B119=0,0,IF('Técnicas de Ki'!I119=TS!Z$119,'Técnicas de Ki'!C119-(IF($O224&lt;&gt;0,'Técnicas de Ki'!L119,0)+IF($P224&lt;&gt;0,'Técnicas de Ki'!M119,0)+IF($Q224&lt;&gt;0,'Técnicas de Ki'!N119,0)+IF($R224&lt;&gt;0,'Técnicas de Ki'!O119,0)+IF($S224&lt;&gt;0,'Técnicas de Ki'!P119,0)+IF($T224&lt;&gt;0,'Técnicas de Ki'!Q119,0)),0))</f>
        <v>0</v>
      </c>
      <c r="AA224" s="539">
        <f>IF('Técnicas de Ki'!B119=0,0,IF('Técnicas de Ki'!I119=TS!AA$119,'Técnicas de Ki'!C119-(IF($O224&lt;&gt;0,'Técnicas de Ki'!L119,0)+IF($P224&lt;&gt;0,'Técnicas de Ki'!M119,0)+IF($Q224&lt;&gt;0,'Técnicas de Ki'!N119,0)+IF($R224&lt;&gt;0,'Técnicas de Ki'!O119,0)+IF($S224&lt;&gt;0,'Técnicas de Ki'!P119,0)+IF($T224&lt;&gt;0,'Técnicas de Ki'!Q119,0)),0))</f>
        <v>0</v>
      </c>
      <c r="AB224" s="538">
        <f>IF('Técnicas de Ki'!B119=0,0,IFERROR(IF('Técnicas de Ki'!L119&lt;&gt;0,'Técnicas de Ki'!L119+TS!$O224,0)*$O224/$O224,0))</f>
        <v>0</v>
      </c>
      <c r="AC224" s="538">
        <f>IF('Técnicas de Ki'!B119=0,0,IFERROR(IF('Técnicas de Ki'!M119&lt;&gt;0,'Técnicas de Ki'!M119+TS!$P224,0)*$P224/$P224,0))</f>
        <v>0</v>
      </c>
      <c r="AD224" s="538">
        <f>IF('Técnicas de Ki'!B119=0,0,IFERROR(IF('Técnicas de Ki'!N119&lt;&gt;0,'Técnicas de Ki'!N119+TS!$Q224,0)*$Q224/$Q224,0))</f>
        <v>0</v>
      </c>
      <c r="AE224" s="538">
        <f>IF('Técnicas de Ki'!B119=0,0,IFERROR(IF('Técnicas de Ki'!O119&lt;&gt;0,'Técnicas de Ki'!O119+TS!$R224,0)*$R224/$R224,0))</f>
        <v>0</v>
      </c>
      <c r="AF224" s="538">
        <f>IF('Técnicas de Ki'!B119=0,0,IFERROR(IF('Técnicas de Ki'!P119&lt;&gt;0,'Técnicas de Ki'!P119+TS!$S224,0)*$S224/$S224,0))</f>
        <v>0</v>
      </c>
      <c r="AG224" s="539">
        <f>IF('Técnicas de Ki'!B119=0,0,IFERROR(IF('Técnicas de Ki'!Q119&lt;&gt;0,'Técnicas de Ki'!Q119+TS!$T224,0)*$T224/$T224,0))</f>
        <v>0</v>
      </c>
      <c r="AQ224" s="537">
        <f>IF('Técnicas de Ki'!W119=0,0,IF('Técnicas de Ki'!AD119=TS!AQ$119,'Técnicas de Ki'!X119-(IF($O224&lt;&gt;0,'Técnicas de Ki'!AG119,0)+IF($P224&lt;&gt;0,'Técnicas de Ki'!AH119,0)+IF($Q224&lt;&gt;0,'Técnicas de Ki'!AI119,0)+IF($R224&lt;&gt;0,'Técnicas de Ki'!AJ119,0)+IF($S224&lt;&gt;0,'Técnicas de Ki'!AK119,0)+IF($T224&lt;&gt;0,'Técnicas de Ki'!AL119,0)),0))</f>
        <v>0</v>
      </c>
      <c r="AR224" s="538">
        <f>IF('Técnicas de Ki'!W119=0,0,IF('Técnicas de Ki'!AD119=TS!AR$119,'Técnicas de Ki'!X119-(IF($O224&lt;&gt;0,'Técnicas de Ki'!AG119,0)+IF($P224&lt;&gt;0,'Técnicas de Ki'!AH119,0)+IF($Q224&lt;&gt;0,'Técnicas de Ki'!AI119,0)+IF($R224&lt;&gt;0,'Técnicas de Ki'!AJ119,0)+IF($S224&lt;&gt;0,'Técnicas de Ki'!AK119,0)+IF($T224&lt;&gt;0,'Técnicas de Ki'!AL119,0)),0))</f>
        <v>0</v>
      </c>
      <c r="AS224" s="538">
        <f>IF('Técnicas de Ki'!W119=0,0,IF('Técnicas de Ki'!AD119=TS!AS$119,'Técnicas de Ki'!X119-(IF($O224&lt;&gt;0,'Técnicas de Ki'!AG119,0)+IF($P224&lt;&gt;0,'Técnicas de Ki'!AH119,0)+IF($Q224&lt;&gt;0,'Técnicas de Ki'!AI119,0)+IF($R224&lt;&gt;0,'Técnicas de Ki'!AJ119,0)+IF($S224&lt;&gt;0,'Técnicas de Ki'!AK119,0)+IF($T224&lt;&gt;0,'Técnicas de Ki'!AL119,0)),0))</f>
        <v>0</v>
      </c>
      <c r="AT224" s="538">
        <f>IF('Técnicas de Ki'!W119=0,0,IF('Técnicas de Ki'!AD119=TS!AT$119,'Técnicas de Ki'!X119-(IF($O224&lt;&gt;0,'Técnicas de Ki'!AG119,0)+IF($P224&lt;&gt;0,'Técnicas de Ki'!AH119,0)+IF($Q224&lt;&gt;0,'Técnicas de Ki'!AI119,0)+IF($R224&lt;&gt;0,'Técnicas de Ki'!AJ119,0)+IF($S224&lt;&gt;0,'Técnicas de Ki'!AK119,0)+IF($T224&lt;&gt;0,'Técnicas de Ki'!AL119,0)),0))</f>
        <v>0</v>
      </c>
      <c r="AU224" s="538">
        <f>IF('Técnicas de Ki'!W119=0,0,IF('Técnicas de Ki'!AD119=TS!AU$119,'Técnicas de Ki'!X119-(IF($O224&lt;&gt;0,'Técnicas de Ki'!AG119,0)+IF($P224&lt;&gt;0,'Técnicas de Ki'!AH119,0)+IF($Q224&lt;&gt;0,'Técnicas de Ki'!AI119,0)+IF($R224&lt;&gt;0,'Técnicas de Ki'!AJ119,0)+IF($S224&lt;&gt;0,'Técnicas de Ki'!AK119,0)+IF($T224&lt;&gt;0,'Técnicas de Ki'!AL119,0)),0))</f>
        <v>0</v>
      </c>
      <c r="AV224" s="539">
        <f>IF('Técnicas de Ki'!W119=0,0,IF('Técnicas de Ki'!AD119=TS!AV$119,'Técnicas de Ki'!X119-(IF($O224&lt;&gt;0,'Técnicas de Ki'!AG119,0)+IF($P224&lt;&gt;0,'Técnicas de Ki'!AH119,0)+IF($Q224&lt;&gt;0,'Técnicas de Ki'!AI119,0)+IF($R224&lt;&gt;0,'Técnicas de Ki'!AJ119,0)+IF($S224&lt;&gt;0,'Técnicas de Ki'!AK119,0)+IF($T224&lt;&gt;0,'Técnicas de Ki'!AL119,0)),0))</f>
        <v>0</v>
      </c>
      <c r="AW224" s="538">
        <f>IF('Técnicas de Ki'!W119=0,0,IFERROR(IF('Técnicas de Ki'!AG119&lt;&gt;0,'Técnicas de Ki'!AG119+TS!$O224,0)*$O224/$O224,0))</f>
        <v>0</v>
      </c>
      <c r="AX224" s="538">
        <f>IF('Técnicas de Ki'!W119=0,0,IFERROR(IF('Técnicas de Ki'!AH119&lt;&gt;0,'Técnicas de Ki'!AH119+TS!$P224,0)*$P224/$P224,0))</f>
        <v>0</v>
      </c>
      <c r="AY224" s="538">
        <f>IF('Técnicas de Ki'!W119=0,0,IFERROR(IF('Técnicas de Ki'!AI119&lt;&gt;0,'Técnicas de Ki'!AI119+TS!$Q224,0)*$Q224/$Q224,0))</f>
        <v>0</v>
      </c>
      <c r="AZ224" s="538">
        <f>IF('Técnicas de Ki'!W119=0,0,IFERROR(IF('Técnicas de Ki'!AJ119&lt;&gt;0,'Técnicas de Ki'!AJ119+TS!$R224,0)*$R224/$R224,0))</f>
        <v>0</v>
      </c>
      <c r="BA224" s="538">
        <f>IF('Técnicas de Ki'!W119=0,0,IFERROR(IF('Técnicas de Ki'!AK119&lt;&gt;0,'Técnicas de Ki'!AK119+TS!$S224,0)*$S224/$S224,0))</f>
        <v>0</v>
      </c>
      <c r="BB224" s="539">
        <f>IF('Técnicas de Ki'!W119=0,0,IFERROR(IF('Técnicas de Ki'!AL119&lt;&gt;0,'Técnicas de Ki'!AL119+TS!$T224,0)*$T224/$T224,0))</f>
        <v>0</v>
      </c>
      <c r="BL224" s="537">
        <f>IF('Técnicas de Ki'!AR119=0,0,IF('Técnicas de Ki'!AY119=TS!BL$119,'Técnicas de Ki'!AS119-(IF($O224&lt;&gt;0,'Técnicas de Ki'!BB119,0)+IF($P224&lt;&gt;0,'Técnicas de Ki'!BC119,0)+IF($Q224&lt;&gt;0,'Técnicas de Ki'!BD119,0)+IF($R224&lt;&gt;0,'Técnicas de Ki'!BE119,0)+IF($S224&lt;&gt;0,'Técnicas de Ki'!BF119,0)+IF($T224&lt;&gt;0,'Técnicas de Ki'!BG119,0)),0))</f>
        <v>0</v>
      </c>
      <c r="BM224" s="538">
        <f>IF('Técnicas de Ki'!AR119=0,0,IF('Técnicas de Ki'!AY119=TS!BM$119,'Técnicas de Ki'!AS119-(IF($O224&lt;&gt;0,'Técnicas de Ki'!BB119,0)+IF($P224&lt;&gt;0,'Técnicas de Ki'!BC119,0)+IF($Q224&lt;&gt;0,'Técnicas de Ki'!BD119,0)+IF($R224&lt;&gt;0,'Técnicas de Ki'!BE119,0)+IF($S224&lt;&gt;0,'Técnicas de Ki'!BF119,0)+IF($T224&lt;&gt;0,'Técnicas de Ki'!BG119,0)),0))</f>
        <v>0</v>
      </c>
      <c r="BN224" s="538">
        <f>IF('Técnicas de Ki'!AR119=0,0,IF('Técnicas de Ki'!AY119=TS!BN$119,'Técnicas de Ki'!AS119-(IF($O224&lt;&gt;0,'Técnicas de Ki'!BB119,0)+IF($P224&lt;&gt;0,'Técnicas de Ki'!BC119,0)+IF($Q224&lt;&gt;0,'Técnicas de Ki'!BD119,0)+IF($R224&lt;&gt;0,'Técnicas de Ki'!BE119,0)+IF($S224&lt;&gt;0,'Técnicas de Ki'!BF119,0)+IF($T224&lt;&gt;0,'Técnicas de Ki'!BG119,0)),0))</f>
        <v>0</v>
      </c>
      <c r="BO224" s="538">
        <f>IF('Técnicas de Ki'!AR119=0,0,IF('Técnicas de Ki'!AY119=TS!BO$119,'Técnicas de Ki'!AS119-(IF($O224&lt;&gt;0,'Técnicas de Ki'!BB119,0)+IF($P224&lt;&gt;0,'Técnicas de Ki'!BC119,0)+IF($Q224&lt;&gt;0,'Técnicas de Ki'!BD119,0)+IF($R224&lt;&gt;0,'Técnicas de Ki'!BE119,0)+IF($S224&lt;&gt;0,'Técnicas de Ki'!BF119,0)+IF($T224&lt;&gt;0,'Técnicas de Ki'!BG119,0)),0))</f>
        <v>0</v>
      </c>
      <c r="BP224" s="538">
        <f>IF('Técnicas de Ki'!AR119=0,0,IF('Técnicas de Ki'!AY119=TS!BP$119,'Técnicas de Ki'!AS119-(IF($O224&lt;&gt;0,'Técnicas de Ki'!BB119,0)+IF($P224&lt;&gt;0,'Técnicas de Ki'!BC119,0)+IF($Q224&lt;&gt;0,'Técnicas de Ki'!BD119,0)+IF($R224&lt;&gt;0,'Técnicas de Ki'!BE119,0)+IF($S224&lt;&gt;0,'Técnicas de Ki'!BF119,0)+IF($T224&lt;&gt;0,'Técnicas de Ki'!BG119,0)),0))</f>
        <v>0</v>
      </c>
      <c r="BQ224" s="539">
        <f>IF('Técnicas de Ki'!AR119=0,0,IF('Técnicas de Ki'!AY119=TS!BQ$119,'Técnicas de Ki'!AS119-(IF($O224&lt;&gt;0,'Técnicas de Ki'!BB119,0)+IF($P224&lt;&gt;0,'Técnicas de Ki'!BC119,0)+IF($Q224&lt;&gt;0,'Técnicas de Ki'!BD119,0)+IF($R224&lt;&gt;0,'Técnicas de Ki'!BE119,0)+IF($S224&lt;&gt;0,'Técnicas de Ki'!BF119,0)+IF($T224&lt;&gt;0,'Técnicas de Ki'!BG119,0)),0))</f>
        <v>0</v>
      </c>
      <c r="BR224" s="538">
        <f>IF('Técnicas de Ki'!AR119=0,0,IFERROR(IF('Técnicas de Ki'!BB119&lt;&gt;0,'Técnicas de Ki'!BB119+TS!$O224,0)*$O224/$O224,0))</f>
        <v>0</v>
      </c>
      <c r="BS224" s="538">
        <f>IF('Técnicas de Ki'!AR119=0,0,IFERROR(IF('Técnicas de Ki'!BC119&lt;&gt;0,'Técnicas de Ki'!BC119+TS!$P224,0)*$P224/$P224,0))</f>
        <v>0</v>
      </c>
      <c r="BT224" s="538">
        <f>IF('Técnicas de Ki'!AR119=0,0,IFERROR(IF('Técnicas de Ki'!BD119&lt;&gt;0,'Técnicas de Ki'!BD119+TS!$Q224,0)*$Q224/$Q224,0))</f>
        <v>0</v>
      </c>
      <c r="BU224" s="538">
        <f>IF('Técnicas de Ki'!AR119=0,0,IFERROR(IF('Técnicas de Ki'!BE119&lt;&gt;0,'Técnicas de Ki'!BE119+TS!$R224,0)*$R224/$R224,0))</f>
        <v>0</v>
      </c>
      <c r="BV224" s="538">
        <f>IF('Técnicas de Ki'!AR119=0,0,IFERROR(IF('Técnicas de Ki'!BF119&lt;&gt;0,'Técnicas de Ki'!BF119+TS!$S224,0)*$S224/$S224,0))</f>
        <v>0</v>
      </c>
      <c r="BW224" s="539">
        <f>IF('Técnicas de Ki'!AR119=0,0,IFERROR(IF('Técnicas de Ki'!BG119&lt;&gt;0,'Técnicas de Ki'!BG119+TS!$T224,0)*$T224/$T224,0))</f>
        <v>0</v>
      </c>
      <c r="CG224" s="537">
        <f>IF('Técnicas de Ki'!BM119=0,0,IF('Técnicas de Ki'!BT119=TS!CG$119,'Técnicas de Ki'!BN119-(IF($O224&lt;&gt;0,'Técnicas de Ki'!BW119,0)+IF($P224&lt;&gt;0,'Técnicas de Ki'!BX119,0)+IF($Q224&lt;&gt;0,'Técnicas de Ki'!BY119,0)+IF($R224&lt;&gt;0,'Técnicas de Ki'!BZ119,0)+IF($S224&lt;&gt;0,'Técnicas de Ki'!CA119,0)+IF($T224&lt;&gt;0,'Técnicas de Ki'!CB119,0)),0))</f>
        <v>0</v>
      </c>
      <c r="CH224" s="538">
        <f>IF('Técnicas de Ki'!BM119=0,0,IF('Técnicas de Ki'!BT119=TS!CH$119,'Técnicas de Ki'!BN119-(IF($O224&lt;&gt;0,'Técnicas de Ki'!BW119,0)+IF($P224&lt;&gt;0,'Técnicas de Ki'!BX119,0)+IF($Q224&lt;&gt;0,'Técnicas de Ki'!BY119,0)+IF($R224&lt;&gt;0,'Técnicas de Ki'!BZ119,0)+IF($S224&lt;&gt;0,'Técnicas de Ki'!CA119,0)+IF($T224&lt;&gt;0,'Técnicas de Ki'!CB119,0)),0))</f>
        <v>0</v>
      </c>
      <c r="CI224" s="538">
        <f>IF('Técnicas de Ki'!BM119=0,0,IF('Técnicas de Ki'!BT119=TS!CI$119,'Técnicas de Ki'!BN119-(IF($O224&lt;&gt;0,'Técnicas de Ki'!BW119,0)+IF($P224&lt;&gt;0,'Técnicas de Ki'!BX119,0)+IF($Q224&lt;&gt;0,'Técnicas de Ki'!BY119,0)+IF($R224&lt;&gt;0,'Técnicas de Ki'!BZ119,0)+IF($S224&lt;&gt;0,'Técnicas de Ki'!CA119,0)+IF($T224&lt;&gt;0,'Técnicas de Ki'!CB119,0)),0))</f>
        <v>0</v>
      </c>
      <c r="CJ224" s="538">
        <f>IF('Técnicas de Ki'!BM119=0,0,IF('Técnicas de Ki'!BT119=TS!CJ$119,'Técnicas de Ki'!BN119-(IF($O224&lt;&gt;0,'Técnicas de Ki'!BW119,0)+IF($P224&lt;&gt;0,'Técnicas de Ki'!BX119,0)+IF($Q224&lt;&gt;0,'Técnicas de Ki'!BY119,0)+IF($R224&lt;&gt;0,'Técnicas de Ki'!BZ119,0)+IF($S224&lt;&gt;0,'Técnicas de Ki'!CA119,0)+IF($T224&lt;&gt;0,'Técnicas de Ki'!CB119,0)),0))</f>
        <v>0</v>
      </c>
      <c r="CK224" s="538">
        <f>IF('Técnicas de Ki'!BM119=0,0,IF('Técnicas de Ki'!BT119=TS!CK$119,'Técnicas de Ki'!BN119-(IF($O224&lt;&gt;0,'Técnicas de Ki'!BW119,0)+IF($P224&lt;&gt;0,'Técnicas de Ki'!BX119,0)+IF($Q224&lt;&gt;0,'Técnicas de Ki'!BY119,0)+IF($R224&lt;&gt;0,'Técnicas de Ki'!BZ119,0)+IF($S224&lt;&gt;0,'Técnicas de Ki'!CA119,0)+IF($T224&lt;&gt;0,'Técnicas de Ki'!CB119,0)),0))</f>
        <v>0</v>
      </c>
      <c r="CL224" s="539">
        <f>IF('Técnicas de Ki'!BM119=0,0,IF('Técnicas de Ki'!BT119=TS!CL$119,'Técnicas de Ki'!BN119-(IF($O224&lt;&gt;0,'Técnicas de Ki'!BW119,0)+IF($P224&lt;&gt;0,'Técnicas de Ki'!BX119,0)+IF($Q224&lt;&gt;0,'Técnicas de Ki'!BY119,0)+IF($R224&lt;&gt;0,'Técnicas de Ki'!BZ119,0)+IF($S224&lt;&gt;0,'Técnicas de Ki'!CA119,0)+IF($T224&lt;&gt;0,'Técnicas de Ki'!CB119,0)),0))</f>
        <v>0</v>
      </c>
      <c r="CM224" s="538">
        <f>IF('Técnicas de Ki'!BM119=0,0,IFERROR(IF('Técnicas de Ki'!BW119&lt;&gt;0,'Técnicas de Ki'!BW119+TS!$O224,0)*$O224/$O224,0))</f>
        <v>0</v>
      </c>
      <c r="CN224" s="538">
        <f>IF('Técnicas de Ki'!BM119=0,0,IFERROR(IF('Técnicas de Ki'!BX119&lt;&gt;0,'Técnicas de Ki'!BX119+TS!$P224,0)*$P224/$P224,0))</f>
        <v>0</v>
      </c>
      <c r="CO224" s="538">
        <f>IF('Técnicas de Ki'!BM119=0,0,IFERROR(IF('Técnicas de Ki'!BY119&lt;&gt;0,'Técnicas de Ki'!BY119+TS!$Q224,0)*$Q224/$Q224,0))</f>
        <v>0</v>
      </c>
      <c r="CP224" s="538">
        <f>IF('Técnicas de Ki'!BM119=0,0,IFERROR(IF('Técnicas de Ki'!BZ119&lt;&gt;0,'Técnicas de Ki'!BZ119+TS!$R224,0)*$R224/$R224,0))</f>
        <v>0</v>
      </c>
      <c r="CQ224" s="538">
        <f>IF('Técnicas de Ki'!BM119=0,0,IFERROR(IF('Técnicas de Ki'!CA119&lt;&gt;0,'Técnicas de Ki'!CA119+TS!$S224,0)*$S224/$S224,0))</f>
        <v>0</v>
      </c>
      <c r="CR224" s="539">
        <f>IF('Técnicas de Ki'!BM119=0,0,IFERROR(IF('Técnicas de Ki'!CB119&lt;&gt;0,'Técnicas de Ki'!CB119+TS!$T224,0)*$T224/$T224,0))</f>
        <v>0</v>
      </c>
    </row>
    <row r="225" spans="1:102" ht="13.5" thickBot="1" x14ac:dyDescent="0.25">
      <c r="A225" s="302" t="s">
        <v>6894</v>
      </c>
      <c r="B225" s="302" t="s">
        <v>6914</v>
      </c>
      <c r="C225" s="302" t="str">
        <f t="shared" si="43"/>
        <v>Ataque a distancia250 metros</v>
      </c>
      <c r="D225" s="302">
        <v>6</v>
      </c>
      <c r="E225" s="302">
        <v>9</v>
      </c>
      <c r="F225" s="302">
        <v>25</v>
      </c>
      <c r="G225" s="302">
        <v>5</v>
      </c>
      <c r="H225" s="302">
        <v>10</v>
      </c>
      <c r="I225" s="302">
        <v>18</v>
      </c>
      <c r="J225" s="302">
        <v>2</v>
      </c>
      <c r="N225" t="s">
        <v>6998</v>
      </c>
      <c r="O225" s="302">
        <v>2</v>
      </c>
      <c r="P225" s="302">
        <v>3</v>
      </c>
      <c r="Q225" s="302">
        <v>3</v>
      </c>
      <c r="S225" s="302">
        <v>1</v>
      </c>
      <c r="V225" s="537">
        <f>IF('Técnicas de Ki'!B120=0,0,IF('Técnicas de Ki'!I120=TS!V$119,'Técnicas de Ki'!C120-(IF($O225&lt;&gt;0,'Técnicas de Ki'!L120,0)+IF($P225&lt;&gt;0,'Técnicas de Ki'!M120,0)+IF($Q225&lt;&gt;0,'Técnicas de Ki'!N120,0)+IF($R225&lt;&gt;0,'Técnicas de Ki'!O120,0)+IF($S225&lt;&gt;0,'Técnicas de Ki'!P120,0)+IF($T225&lt;&gt;0,'Técnicas de Ki'!Q120,0)),0))</f>
        <v>0</v>
      </c>
      <c r="W225" s="538">
        <f>IF('Técnicas de Ki'!B120=0,0,IF('Técnicas de Ki'!I120=TS!W$119,'Técnicas de Ki'!C120-(IF($O225&lt;&gt;0,'Técnicas de Ki'!L120,0)+IF($P225&lt;&gt;0,'Técnicas de Ki'!M120,0)+IF($Q225&lt;&gt;0,'Técnicas de Ki'!N120,0)+IF($R225&lt;&gt;0,'Técnicas de Ki'!O120,0)+IF($S225&lt;&gt;0,'Técnicas de Ki'!P120,0)+IF($T225&lt;&gt;0,'Técnicas de Ki'!Q120,0)),0))</f>
        <v>0</v>
      </c>
      <c r="X225" s="538">
        <f>IF('Técnicas de Ki'!B120=0,0,IF('Técnicas de Ki'!I120=TS!X$119,'Técnicas de Ki'!C120-(IF($O225&lt;&gt;0,'Técnicas de Ki'!L120,0)+IF($P225&lt;&gt;0,'Técnicas de Ki'!M120,0)+IF($Q225&lt;&gt;0,'Técnicas de Ki'!N120,0)+IF($R225&lt;&gt;0,'Técnicas de Ki'!O120,0)+IF($S225&lt;&gt;0,'Técnicas de Ki'!P120,0)+IF($T225&lt;&gt;0,'Técnicas de Ki'!Q120,0)),0))</f>
        <v>0</v>
      </c>
      <c r="Y225" s="538">
        <f>IF('Técnicas de Ki'!B120=0,0,IF('Técnicas de Ki'!I120=TS!Y$119,'Técnicas de Ki'!C120-(IF($O225&lt;&gt;0,'Técnicas de Ki'!L120,0)+IF($P225&lt;&gt;0,'Técnicas de Ki'!M120,0)+IF($Q225&lt;&gt;0,'Técnicas de Ki'!N120,0)+IF($R225&lt;&gt;0,'Técnicas de Ki'!O120,0)+IF($S225&lt;&gt;0,'Técnicas de Ki'!P120,0)+IF($T225&lt;&gt;0,'Técnicas de Ki'!Q120,0)),0))</f>
        <v>0</v>
      </c>
      <c r="Z225" s="538">
        <f>IF('Técnicas de Ki'!B120=0,0,IF('Técnicas de Ki'!I120=TS!Z$119,'Técnicas de Ki'!C120-(IF($O225&lt;&gt;0,'Técnicas de Ki'!L120,0)+IF($P225&lt;&gt;0,'Técnicas de Ki'!M120,0)+IF($Q225&lt;&gt;0,'Técnicas de Ki'!N120,0)+IF($R225&lt;&gt;0,'Técnicas de Ki'!O120,0)+IF($S225&lt;&gt;0,'Técnicas de Ki'!P120,0)+IF($T225&lt;&gt;0,'Técnicas de Ki'!Q120,0)),0))</f>
        <v>0</v>
      </c>
      <c r="AA225" s="539">
        <f>IF('Técnicas de Ki'!B120=0,0,IF('Técnicas de Ki'!I120=TS!AA$119,'Técnicas de Ki'!C120-(IF($O225&lt;&gt;0,'Técnicas de Ki'!L120,0)+IF($P225&lt;&gt;0,'Técnicas de Ki'!M120,0)+IF($Q225&lt;&gt;0,'Técnicas de Ki'!N120,0)+IF($R225&lt;&gt;0,'Técnicas de Ki'!O120,0)+IF($S225&lt;&gt;0,'Técnicas de Ki'!P120,0)+IF($T225&lt;&gt;0,'Técnicas de Ki'!Q120,0)),0))</f>
        <v>0</v>
      </c>
      <c r="AB225" s="538">
        <f>IF('Técnicas de Ki'!B120=0,0,IFERROR(IF('Técnicas de Ki'!L120&lt;&gt;0,'Técnicas de Ki'!L120+TS!$O225,0)*$O225/$O225,0))</f>
        <v>0</v>
      </c>
      <c r="AC225" s="538">
        <f>IF('Técnicas de Ki'!B120=0,0,IFERROR(IF('Técnicas de Ki'!M120&lt;&gt;0,'Técnicas de Ki'!M120+TS!$P225,0)*$P225/$P225,0))</f>
        <v>0</v>
      </c>
      <c r="AD225" s="538">
        <f>IF('Técnicas de Ki'!B120=0,0,IFERROR(IF('Técnicas de Ki'!N120&lt;&gt;0,'Técnicas de Ki'!N120+TS!$Q225,0)*$Q225/$Q225,0))</f>
        <v>0</v>
      </c>
      <c r="AE225" s="538">
        <f>IF('Técnicas de Ki'!B120=0,0,IFERROR(IF('Técnicas de Ki'!O120&lt;&gt;0,'Técnicas de Ki'!O120+TS!$R225,0)*$R225/$R225,0))</f>
        <v>0</v>
      </c>
      <c r="AF225" s="538">
        <f>IF('Técnicas de Ki'!B120=0,0,IFERROR(IF('Técnicas de Ki'!P120&lt;&gt;0,'Técnicas de Ki'!P120+TS!$S225,0)*$S225/$S225,0))</f>
        <v>0</v>
      </c>
      <c r="AG225" s="539">
        <f>IF('Técnicas de Ki'!B120=0,0,IFERROR(IF('Técnicas de Ki'!Q120&lt;&gt;0,'Técnicas de Ki'!Q120+TS!$T225,0)*$T225/$T225,0))</f>
        <v>0</v>
      </c>
      <c r="AI225" s="570" t="str">
        <f>IF('Técnicas de Ki'!B125&lt;&gt;"",'Técnicas de Ki'!A125&amp;" "&amp;'Técnicas de Ki'!B125,"")</f>
        <v/>
      </c>
      <c r="AJ225" s="302" t="b">
        <v>0</v>
      </c>
      <c r="AK225" s="302" t="str">
        <f>IF(AI225&lt;&gt;"",IF(AJ225,", ","")&amp;AI225,"")</f>
        <v/>
      </c>
      <c r="AL225" s="573" t="str">
        <f>IF(AM225,"Desventajas: "&amp;CONCATENATE(AK225,AK226,AK227,AK228,AK229,AK230,AK231,AK232,AK233,AK234,AK235,AK236,AK237,AK238,AK239,AK240,AK241,AK242,AK243,AK244,AK245,AK246,AK247,AK248),"")</f>
        <v/>
      </c>
      <c r="AM225" s="302" t="b">
        <f>OR(AJ225:AJ248,AI248&lt;&gt;"")</f>
        <v>0</v>
      </c>
      <c r="AQ225" s="537">
        <f>IF('Técnicas de Ki'!W120=0,0,IF('Técnicas de Ki'!AD120=TS!AQ$119,'Técnicas de Ki'!X120-(IF($O225&lt;&gt;0,'Técnicas de Ki'!AG120,0)+IF($P225&lt;&gt;0,'Técnicas de Ki'!AH120,0)+IF($Q225&lt;&gt;0,'Técnicas de Ki'!AI120,0)+IF($R225&lt;&gt;0,'Técnicas de Ki'!AJ120,0)+IF($S225&lt;&gt;0,'Técnicas de Ki'!AK120,0)+IF($T225&lt;&gt;0,'Técnicas de Ki'!AL120,0)),0))</f>
        <v>0</v>
      </c>
      <c r="AR225" s="538">
        <f>IF('Técnicas de Ki'!W120=0,0,IF('Técnicas de Ki'!AD120=TS!AR$119,'Técnicas de Ki'!X120-(IF($O225&lt;&gt;0,'Técnicas de Ki'!AG120,0)+IF($P225&lt;&gt;0,'Técnicas de Ki'!AH120,0)+IF($Q225&lt;&gt;0,'Técnicas de Ki'!AI120,0)+IF($R225&lt;&gt;0,'Técnicas de Ki'!AJ120,0)+IF($S225&lt;&gt;0,'Técnicas de Ki'!AK120,0)+IF($T225&lt;&gt;0,'Técnicas de Ki'!AL120,0)),0))</f>
        <v>0</v>
      </c>
      <c r="AS225" s="538">
        <f>IF('Técnicas de Ki'!W120=0,0,IF('Técnicas de Ki'!AD120=TS!AS$119,'Técnicas de Ki'!X120-(IF($O225&lt;&gt;0,'Técnicas de Ki'!AG120,0)+IF($P225&lt;&gt;0,'Técnicas de Ki'!AH120,0)+IF($Q225&lt;&gt;0,'Técnicas de Ki'!AI120,0)+IF($R225&lt;&gt;0,'Técnicas de Ki'!AJ120,0)+IF($S225&lt;&gt;0,'Técnicas de Ki'!AK120,0)+IF($T225&lt;&gt;0,'Técnicas de Ki'!AL120,0)),0))</f>
        <v>0</v>
      </c>
      <c r="AT225" s="538">
        <f>IF('Técnicas de Ki'!W120=0,0,IF('Técnicas de Ki'!AD120=TS!AT$119,'Técnicas de Ki'!X120-(IF($O225&lt;&gt;0,'Técnicas de Ki'!AG120,0)+IF($P225&lt;&gt;0,'Técnicas de Ki'!AH120,0)+IF($Q225&lt;&gt;0,'Técnicas de Ki'!AI120,0)+IF($R225&lt;&gt;0,'Técnicas de Ki'!AJ120,0)+IF($S225&lt;&gt;0,'Técnicas de Ki'!AK120,0)+IF($T225&lt;&gt;0,'Técnicas de Ki'!AL120,0)),0))</f>
        <v>0</v>
      </c>
      <c r="AU225" s="538">
        <f>IF('Técnicas de Ki'!W120=0,0,IF('Técnicas de Ki'!AD120=TS!AU$119,'Técnicas de Ki'!X120-(IF($O225&lt;&gt;0,'Técnicas de Ki'!AG120,0)+IF($P225&lt;&gt;0,'Técnicas de Ki'!AH120,0)+IF($Q225&lt;&gt;0,'Técnicas de Ki'!AI120,0)+IF($R225&lt;&gt;0,'Técnicas de Ki'!AJ120,0)+IF($S225&lt;&gt;0,'Técnicas de Ki'!AK120,0)+IF($T225&lt;&gt;0,'Técnicas de Ki'!AL120,0)),0))</f>
        <v>0</v>
      </c>
      <c r="AV225" s="539">
        <f>IF('Técnicas de Ki'!W120=0,0,IF('Técnicas de Ki'!AD120=TS!AV$119,'Técnicas de Ki'!X120-(IF($O225&lt;&gt;0,'Técnicas de Ki'!AG120,0)+IF($P225&lt;&gt;0,'Técnicas de Ki'!AH120,0)+IF($Q225&lt;&gt;0,'Técnicas de Ki'!AI120,0)+IF($R225&lt;&gt;0,'Técnicas de Ki'!AJ120,0)+IF($S225&lt;&gt;0,'Técnicas de Ki'!AK120,0)+IF($T225&lt;&gt;0,'Técnicas de Ki'!AL120,0)),0))</f>
        <v>0</v>
      </c>
      <c r="AW225" s="538">
        <f>IF('Técnicas de Ki'!W120=0,0,IFERROR(IF('Técnicas de Ki'!AG120&lt;&gt;0,'Técnicas de Ki'!AG120+TS!$O225,0)*$O225/$O225,0))</f>
        <v>0</v>
      </c>
      <c r="AX225" s="538">
        <f>IF('Técnicas de Ki'!W120=0,0,IFERROR(IF('Técnicas de Ki'!AH120&lt;&gt;0,'Técnicas de Ki'!AH120+TS!$P225,0)*$P225/$P225,0))</f>
        <v>0</v>
      </c>
      <c r="AY225" s="538">
        <f>IF('Técnicas de Ki'!W120=0,0,IFERROR(IF('Técnicas de Ki'!AI120&lt;&gt;0,'Técnicas de Ki'!AI120+TS!$Q225,0)*$Q225/$Q225,0))</f>
        <v>0</v>
      </c>
      <c r="AZ225" s="538">
        <f>IF('Técnicas de Ki'!W120=0,0,IFERROR(IF('Técnicas de Ki'!AJ120&lt;&gt;0,'Técnicas de Ki'!AJ120+TS!$R225,0)*$R225/$R225,0))</f>
        <v>0</v>
      </c>
      <c r="BA225" s="538">
        <f>IF('Técnicas de Ki'!W120=0,0,IFERROR(IF('Técnicas de Ki'!AK120&lt;&gt;0,'Técnicas de Ki'!AK120+TS!$S225,0)*$S225/$S225,0))</f>
        <v>0</v>
      </c>
      <c r="BB225" s="539">
        <f>IF('Técnicas de Ki'!W120=0,0,IFERROR(IF('Técnicas de Ki'!AL120&lt;&gt;0,'Técnicas de Ki'!AL120+TS!$T225,0)*$T225/$T225,0))</f>
        <v>0</v>
      </c>
      <c r="BD225" s="570" t="str">
        <f>IF('Técnicas de Ki'!W125&lt;&gt;"",'Técnicas de Ki'!V125&amp;" "&amp;'Técnicas de Ki'!W125,"")</f>
        <v/>
      </c>
      <c r="BE225" s="302" t="b">
        <v>0</v>
      </c>
      <c r="BF225" s="302" t="str">
        <f>IF(BD225&lt;&gt;"",IF(BE225,", ","")&amp;BD225,"")</f>
        <v/>
      </c>
      <c r="BG225" s="573" t="str">
        <f>IF(BH225,"Desventajas: "&amp;CONCATENATE(BF225,BF226,BF227,BF228,BF229,BF230,BF231,BF232,BF233,BF234,BF235,BF236,BF237,BF238,BF239,BF240,BF241,BF242,BF243,BF244,BF245,BF246,BF247,BF248),"")</f>
        <v/>
      </c>
      <c r="BH225" s="302" t="b">
        <f>OR(BE225:BE248,BD248&lt;&gt;"")</f>
        <v>0</v>
      </c>
      <c r="BL225" s="537">
        <f>IF('Técnicas de Ki'!AR120=0,0,IF('Técnicas de Ki'!AY120=TS!BL$119,'Técnicas de Ki'!AS120-(IF($O225&lt;&gt;0,'Técnicas de Ki'!BB120,0)+IF($P225&lt;&gt;0,'Técnicas de Ki'!BC120,0)+IF($Q225&lt;&gt;0,'Técnicas de Ki'!BD120,0)+IF($R225&lt;&gt;0,'Técnicas de Ki'!BE120,0)+IF($S225&lt;&gt;0,'Técnicas de Ki'!BF120,0)+IF($T225&lt;&gt;0,'Técnicas de Ki'!BG120,0)),0))</f>
        <v>0</v>
      </c>
      <c r="BM225" s="538">
        <f>IF('Técnicas de Ki'!AR120=0,0,IF('Técnicas de Ki'!AY120=TS!BM$119,'Técnicas de Ki'!AS120-(IF($O225&lt;&gt;0,'Técnicas de Ki'!BB120,0)+IF($P225&lt;&gt;0,'Técnicas de Ki'!BC120,0)+IF($Q225&lt;&gt;0,'Técnicas de Ki'!BD120,0)+IF($R225&lt;&gt;0,'Técnicas de Ki'!BE120,0)+IF($S225&lt;&gt;0,'Técnicas de Ki'!BF120,0)+IF($T225&lt;&gt;0,'Técnicas de Ki'!BG120,0)),0))</f>
        <v>0</v>
      </c>
      <c r="BN225" s="538">
        <f>IF('Técnicas de Ki'!AR120=0,0,IF('Técnicas de Ki'!AY120=TS!BN$119,'Técnicas de Ki'!AS120-(IF($O225&lt;&gt;0,'Técnicas de Ki'!BB120,0)+IF($P225&lt;&gt;0,'Técnicas de Ki'!BC120,0)+IF($Q225&lt;&gt;0,'Técnicas de Ki'!BD120,0)+IF($R225&lt;&gt;0,'Técnicas de Ki'!BE120,0)+IF($S225&lt;&gt;0,'Técnicas de Ki'!BF120,0)+IF($T225&lt;&gt;0,'Técnicas de Ki'!BG120,0)),0))</f>
        <v>0</v>
      </c>
      <c r="BO225" s="538">
        <f>IF('Técnicas de Ki'!AR120=0,0,IF('Técnicas de Ki'!AY120=TS!BO$119,'Técnicas de Ki'!AS120-(IF($O225&lt;&gt;0,'Técnicas de Ki'!BB120,0)+IF($P225&lt;&gt;0,'Técnicas de Ki'!BC120,0)+IF($Q225&lt;&gt;0,'Técnicas de Ki'!BD120,0)+IF($R225&lt;&gt;0,'Técnicas de Ki'!BE120,0)+IF($S225&lt;&gt;0,'Técnicas de Ki'!BF120,0)+IF($T225&lt;&gt;0,'Técnicas de Ki'!BG120,0)),0))</f>
        <v>0</v>
      </c>
      <c r="BP225" s="538">
        <f>IF('Técnicas de Ki'!AR120=0,0,IF('Técnicas de Ki'!AY120=TS!BP$119,'Técnicas de Ki'!AS120-(IF($O225&lt;&gt;0,'Técnicas de Ki'!BB120,0)+IF($P225&lt;&gt;0,'Técnicas de Ki'!BC120,0)+IF($Q225&lt;&gt;0,'Técnicas de Ki'!BD120,0)+IF($R225&lt;&gt;0,'Técnicas de Ki'!BE120,0)+IF($S225&lt;&gt;0,'Técnicas de Ki'!BF120,0)+IF($T225&lt;&gt;0,'Técnicas de Ki'!BG120,0)),0))</f>
        <v>0</v>
      </c>
      <c r="BQ225" s="539">
        <f>IF('Técnicas de Ki'!AR120=0,0,IF('Técnicas de Ki'!AY120=TS!BQ$119,'Técnicas de Ki'!AS120-(IF($O225&lt;&gt;0,'Técnicas de Ki'!BB120,0)+IF($P225&lt;&gt;0,'Técnicas de Ki'!BC120,0)+IF($Q225&lt;&gt;0,'Técnicas de Ki'!BD120,0)+IF($R225&lt;&gt;0,'Técnicas de Ki'!BE120,0)+IF($S225&lt;&gt;0,'Técnicas de Ki'!BF120,0)+IF($T225&lt;&gt;0,'Técnicas de Ki'!BG120,0)),0))</f>
        <v>0</v>
      </c>
      <c r="BR225" s="538">
        <f>IF('Técnicas de Ki'!AR120=0,0,IFERROR(IF('Técnicas de Ki'!BB120&lt;&gt;0,'Técnicas de Ki'!BB120+TS!$O225,0)*$O225/$O225,0))</f>
        <v>0</v>
      </c>
      <c r="BS225" s="538">
        <f>IF('Técnicas de Ki'!AR120=0,0,IFERROR(IF('Técnicas de Ki'!BC120&lt;&gt;0,'Técnicas de Ki'!BC120+TS!$P225,0)*$P225/$P225,0))</f>
        <v>0</v>
      </c>
      <c r="BT225" s="538">
        <f>IF('Técnicas de Ki'!AR120=0,0,IFERROR(IF('Técnicas de Ki'!BD120&lt;&gt;0,'Técnicas de Ki'!BD120+TS!$Q225,0)*$Q225/$Q225,0))</f>
        <v>0</v>
      </c>
      <c r="BU225" s="538">
        <f>IF('Técnicas de Ki'!AR120=0,0,IFERROR(IF('Técnicas de Ki'!BE120&lt;&gt;0,'Técnicas de Ki'!BE120+TS!$R225,0)*$R225/$R225,0))</f>
        <v>0</v>
      </c>
      <c r="BV225" s="538">
        <f>IF('Técnicas de Ki'!AR120=0,0,IFERROR(IF('Técnicas de Ki'!BF120&lt;&gt;0,'Técnicas de Ki'!BF120+TS!$S225,0)*$S225/$S225,0))</f>
        <v>0</v>
      </c>
      <c r="BW225" s="539">
        <f>IF('Técnicas de Ki'!AR120=0,0,IFERROR(IF('Técnicas de Ki'!BG120&lt;&gt;0,'Técnicas de Ki'!BG120+TS!$T225,0)*$T225/$T225,0))</f>
        <v>0</v>
      </c>
      <c r="BY225" s="570" t="str">
        <f>IF('Técnicas de Ki'!AR125&lt;&gt;"",'Técnicas de Ki'!AQ125&amp;" "&amp;'Técnicas de Ki'!AR125,"")</f>
        <v/>
      </c>
      <c r="BZ225" s="302" t="b">
        <v>0</v>
      </c>
      <c r="CA225" s="302" t="str">
        <f>IF(BY225&lt;&gt;"",IF(BZ225,", ","")&amp;BY225,"")</f>
        <v/>
      </c>
      <c r="CB225" s="573" t="str">
        <f>IF(CC225,"Desventajas: "&amp;CONCATENATE(CA225,CA226,CA227,CA228,CA229,CA230,CA231,CA232,CA233,CA234,CA235,CA236,CA237,CA238,CA239,CA240,CA241,CA242,CA243,CA244,CA245,CA246,CA247,CA248),"")</f>
        <v/>
      </c>
      <c r="CC225" s="302" t="b">
        <f>OR(BZ225:BZ248,BY248&lt;&gt;"")</f>
        <v>0</v>
      </c>
      <c r="CG225" s="537">
        <f>IF('Técnicas de Ki'!BM120=0,0,IF('Técnicas de Ki'!BT120=TS!CG$119,'Técnicas de Ki'!BN120-(IF($O225&lt;&gt;0,'Técnicas de Ki'!BW120,0)+IF($P225&lt;&gt;0,'Técnicas de Ki'!BX120,0)+IF($Q225&lt;&gt;0,'Técnicas de Ki'!BY120,0)+IF($R225&lt;&gt;0,'Técnicas de Ki'!BZ120,0)+IF($S225&lt;&gt;0,'Técnicas de Ki'!CA120,0)+IF($T225&lt;&gt;0,'Técnicas de Ki'!CB120,0)),0))</f>
        <v>0</v>
      </c>
      <c r="CH225" s="538">
        <f>IF('Técnicas de Ki'!BM120=0,0,IF('Técnicas de Ki'!BT120=TS!CH$119,'Técnicas de Ki'!BN120-(IF($O225&lt;&gt;0,'Técnicas de Ki'!BW120,0)+IF($P225&lt;&gt;0,'Técnicas de Ki'!BX120,0)+IF($Q225&lt;&gt;0,'Técnicas de Ki'!BY120,0)+IF($R225&lt;&gt;0,'Técnicas de Ki'!BZ120,0)+IF($S225&lt;&gt;0,'Técnicas de Ki'!CA120,0)+IF($T225&lt;&gt;0,'Técnicas de Ki'!CB120,0)),0))</f>
        <v>0</v>
      </c>
      <c r="CI225" s="538">
        <f>IF('Técnicas de Ki'!BM120=0,0,IF('Técnicas de Ki'!BT120=TS!CI$119,'Técnicas de Ki'!BN120-(IF($O225&lt;&gt;0,'Técnicas de Ki'!BW120,0)+IF($P225&lt;&gt;0,'Técnicas de Ki'!BX120,0)+IF($Q225&lt;&gt;0,'Técnicas de Ki'!BY120,0)+IF($R225&lt;&gt;0,'Técnicas de Ki'!BZ120,0)+IF($S225&lt;&gt;0,'Técnicas de Ki'!CA120,0)+IF($T225&lt;&gt;0,'Técnicas de Ki'!CB120,0)),0))</f>
        <v>0</v>
      </c>
      <c r="CJ225" s="538">
        <f>IF('Técnicas de Ki'!BM120=0,0,IF('Técnicas de Ki'!BT120=TS!CJ$119,'Técnicas de Ki'!BN120-(IF($O225&lt;&gt;0,'Técnicas de Ki'!BW120,0)+IF($P225&lt;&gt;0,'Técnicas de Ki'!BX120,0)+IF($Q225&lt;&gt;0,'Técnicas de Ki'!BY120,0)+IF($R225&lt;&gt;0,'Técnicas de Ki'!BZ120,0)+IF($S225&lt;&gt;0,'Técnicas de Ki'!CA120,0)+IF($T225&lt;&gt;0,'Técnicas de Ki'!CB120,0)),0))</f>
        <v>0</v>
      </c>
      <c r="CK225" s="538">
        <f>IF('Técnicas de Ki'!BM120=0,0,IF('Técnicas de Ki'!BT120=TS!CK$119,'Técnicas de Ki'!BN120-(IF($O225&lt;&gt;0,'Técnicas de Ki'!BW120,0)+IF($P225&lt;&gt;0,'Técnicas de Ki'!BX120,0)+IF($Q225&lt;&gt;0,'Técnicas de Ki'!BY120,0)+IF($R225&lt;&gt;0,'Técnicas de Ki'!BZ120,0)+IF($S225&lt;&gt;0,'Técnicas de Ki'!CA120,0)+IF($T225&lt;&gt;0,'Técnicas de Ki'!CB120,0)),0))</f>
        <v>0</v>
      </c>
      <c r="CL225" s="539">
        <f>IF('Técnicas de Ki'!BM120=0,0,IF('Técnicas de Ki'!BT120=TS!CL$119,'Técnicas de Ki'!BN120-(IF($O225&lt;&gt;0,'Técnicas de Ki'!BW120,0)+IF($P225&lt;&gt;0,'Técnicas de Ki'!BX120,0)+IF($Q225&lt;&gt;0,'Técnicas de Ki'!BY120,0)+IF($R225&lt;&gt;0,'Técnicas de Ki'!BZ120,0)+IF($S225&lt;&gt;0,'Técnicas de Ki'!CA120,0)+IF($T225&lt;&gt;0,'Técnicas de Ki'!CB120,0)),0))</f>
        <v>0</v>
      </c>
      <c r="CM225" s="538">
        <f>IF('Técnicas de Ki'!BM120=0,0,IFERROR(IF('Técnicas de Ki'!BW120&lt;&gt;0,'Técnicas de Ki'!BW120+TS!$O225,0)*$O225/$O225,0))</f>
        <v>0</v>
      </c>
      <c r="CN225" s="538">
        <f>IF('Técnicas de Ki'!BM120=0,0,IFERROR(IF('Técnicas de Ki'!BX120&lt;&gt;0,'Técnicas de Ki'!BX120+TS!$P225,0)*$P225/$P225,0))</f>
        <v>0</v>
      </c>
      <c r="CO225" s="538">
        <f>IF('Técnicas de Ki'!BM120=0,0,IFERROR(IF('Técnicas de Ki'!BY120&lt;&gt;0,'Técnicas de Ki'!BY120+TS!$Q225,0)*$Q225/$Q225,0))</f>
        <v>0</v>
      </c>
      <c r="CP225" s="538">
        <f>IF('Técnicas de Ki'!BM120=0,0,IFERROR(IF('Técnicas de Ki'!BZ120&lt;&gt;0,'Técnicas de Ki'!BZ120+TS!$R225,0)*$R225/$R225,0))</f>
        <v>0</v>
      </c>
      <c r="CQ225" s="538">
        <f>IF('Técnicas de Ki'!BM120=0,0,IFERROR(IF('Técnicas de Ki'!CA120&lt;&gt;0,'Técnicas de Ki'!CA120+TS!$S225,0)*$S225/$S225,0))</f>
        <v>0</v>
      </c>
      <c r="CR225" s="539">
        <f>IF('Técnicas de Ki'!BM120=0,0,IFERROR(IF('Técnicas de Ki'!CB120&lt;&gt;0,'Técnicas de Ki'!CB120+TS!$T225,0)*$T225/$T225,0))</f>
        <v>0</v>
      </c>
      <c r="CT225" s="570" t="str">
        <f>IF('Técnicas de Ki'!BM125&lt;&gt;"",'Técnicas de Ki'!BL125&amp;" "&amp;'Técnicas de Ki'!BM125,"")</f>
        <v/>
      </c>
      <c r="CU225" s="302" t="b">
        <v>0</v>
      </c>
      <c r="CV225" s="302" t="str">
        <f>IF(CT225&lt;&gt;"",IF(CU225,", ","")&amp;CT225,"")</f>
        <v/>
      </c>
      <c r="CW225" s="573" t="str">
        <f>IF(CX225,"Desventajas: "&amp;CONCATENATE(CV225,CV226,CV227,CV228,CV229,CV230,CV231,CV232,CV233,CV234,CV235,CV236,CV237,CV238,CV239,CV240,CV241,CV242,CV243,CV244,CV245,CV246,CV247,CV248),"")</f>
        <v/>
      </c>
      <c r="CX225" s="302" t="b">
        <f>OR(CU225:CU248,CT248&lt;&gt;"")</f>
        <v>0</v>
      </c>
    </row>
    <row r="226" spans="1:102" x14ac:dyDescent="0.2">
      <c r="A226" s="302" t="s">
        <v>6894</v>
      </c>
      <c r="B226" s="302" t="s">
        <v>6915</v>
      </c>
      <c r="C226" s="302" t="str">
        <f t="shared" si="43"/>
        <v>Ataque a distancia500 metros</v>
      </c>
      <c r="D226" s="302">
        <v>8</v>
      </c>
      <c r="E226" s="302">
        <v>11</v>
      </c>
      <c r="F226" s="302">
        <v>30</v>
      </c>
      <c r="G226" s="302">
        <v>6</v>
      </c>
      <c r="H226" s="302">
        <v>12</v>
      </c>
      <c r="I226" s="302">
        <v>21</v>
      </c>
      <c r="J226" s="302">
        <v>2</v>
      </c>
      <c r="N226" t="s">
        <v>6899</v>
      </c>
      <c r="O226" s="302">
        <v>2</v>
      </c>
      <c r="P226" s="302">
        <v>3</v>
      </c>
      <c r="Q226" s="302">
        <v>3</v>
      </c>
      <c r="S226" s="302">
        <v>1</v>
      </c>
      <c r="V226" s="537">
        <f>IF('Técnicas de Ki'!B121=0,0,IF('Técnicas de Ki'!I121=TS!V$119,'Técnicas de Ki'!C121-(IF($O226&lt;&gt;0,'Técnicas de Ki'!L121,0)+IF($P226&lt;&gt;0,'Técnicas de Ki'!M121,0)+IF($Q226&lt;&gt;0,'Técnicas de Ki'!N121,0)+IF($R226&lt;&gt;0,'Técnicas de Ki'!O121,0)+IF($S226&lt;&gt;0,'Técnicas de Ki'!P121,0)+IF($T226&lt;&gt;0,'Técnicas de Ki'!Q121,0)),0))</f>
        <v>0</v>
      </c>
      <c r="W226" s="538">
        <f>IF('Técnicas de Ki'!B121=0,0,IF('Técnicas de Ki'!I121=TS!W$119,'Técnicas de Ki'!C121-(IF($O226&lt;&gt;0,'Técnicas de Ki'!L121,0)+IF($P226&lt;&gt;0,'Técnicas de Ki'!M121,0)+IF($Q226&lt;&gt;0,'Técnicas de Ki'!N121,0)+IF($R226&lt;&gt;0,'Técnicas de Ki'!O121,0)+IF($S226&lt;&gt;0,'Técnicas de Ki'!P121,0)+IF($T226&lt;&gt;0,'Técnicas de Ki'!Q121,0)),0))</f>
        <v>0</v>
      </c>
      <c r="X226" s="538">
        <f>IF('Técnicas de Ki'!B121=0,0,IF('Técnicas de Ki'!I121=TS!X$119,'Técnicas de Ki'!C121-(IF($O226&lt;&gt;0,'Técnicas de Ki'!L121,0)+IF($P226&lt;&gt;0,'Técnicas de Ki'!M121,0)+IF($Q226&lt;&gt;0,'Técnicas de Ki'!N121,0)+IF($R226&lt;&gt;0,'Técnicas de Ki'!O121,0)+IF($S226&lt;&gt;0,'Técnicas de Ki'!P121,0)+IF($T226&lt;&gt;0,'Técnicas de Ki'!Q121,0)),0))</f>
        <v>0</v>
      </c>
      <c r="Y226" s="538">
        <f>IF('Técnicas de Ki'!B121=0,0,IF('Técnicas de Ki'!I121=TS!Y$119,'Técnicas de Ki'!C121-(IF($O226&lt;&gt;0,'Técnicas de Ki'!L121,0)+IF($P226&lt;&gt;0,'Técnicas de Ki'!M121,0)+IF($Q226&lt;&gt;0,'Técnicas de Ki'!N121,0)+IF($R226&lt;&gt;0,'Técnicas de Ki'!O121,0)+IF($S226&lt;&gt;0,'Técnicas de Ki'!P121,0)+IF($T226&lt;&gt;0,'Técnicas de Ki'!Q121,0)),0))</f>
        <v>0</v>
      </c>
      <c r="Z226" s="538">
        <f>IF('Técnicas de Ki'!B121=0,0,IF('Técnicas de Ki'!I121=TS!Z$119,'Técnicas de Ki'!C121-(IF($O226&lt;&gt;0,'Técnicas de Ki'!L121,0)+IF($P226&lt;&gt;0,'Técnicas de Ki'!M121,0)+IF($Q226&lt;&gt;0,'Técnicas de Ki'!N121,0)+IF($R226&lt;&gt;0,'Técnicas de Ki'!O121,0)+IF($S226&lt;&gt;0,'Técnicas de Ki'!P121,0)+IF($T226&lt;&gt;0,'Técnicas de Ki'!Q121,0)),0))</f>
        <v>0</v>
      </c>
      <c r="AA226" s="539">
        <f>IF('Técnicas de Ki'!B121=0,0,IF('Técnicas de Ki'!I121=TS!AA$119,'Técnicas de Ki'!C121-(IF($O226&lt;&gt;0,'Técnicas de Ki'!L121,0)+IF($P226&lt;&gt;0,'Técnicas de Ki'!M121,0)+IF($Q226&lt;&gt;0,'Técnicas de Ki'!N121,0)+IF($R226&lt;&gt;0,'Técnicas de Ki'!O121,0)+IF($S226&lt;&gt;0,'Técnicas de Ki'!P121,0)+IF($T226&lt;&gt;0,'Técnicas de Ki'!Q121,0)),0))</f>
        <v>0</v>
      </c>
      <c r="AB226" s="538">
        <f>IF('Técnicas de Ki'!B121=0,0,IFERROR(IF('Técnicas de Ki'!L121&lt;&gt;0,'Técnicas de Ki'!L121+TS!$O226,0)*$O226/$O226,0))</f>
        <v>0</v>
      </c>
      <c r="AC226" s="538">
        <f>IF('Técnicas de Ki'!B121=0,0,IFERROR(IF('Técnicas de Ki'!M121&lt;&gt;0,'Técnicas de Ki'!M121+TS!$P226,0)*$P226/$P226,0))</f>
        <v>0</v>
      </c>
      <c r="AD226" s="538">
        <f>IF('Técnicas de Ki'!B121=0,0,IFERROR(IF('Técnicas de Ki'!N121&lt;&gt;0,'Técnicas de Ki'!N121+TS!$Q226,0)*$Q226/$Q226,0))</f>
        <v>0</v>
      </c>
      <c r="AE226" s="538">
        <f>IF('Técnicas de Ki'!B121=0,0,IFERROR(IF('Técnicas de Ki'!O121&lt;&gt;0,'Técnicas de Ki'!O121+TS!$R226,0)*$R226/$R226,0))</f>
        <v>0</v>
      </c>
      <c r="AF226" s="538">
        <f>IF('Técnicas de Ki'!B121=0,0,IFERROR(IF('Técnicas de Ki'!P121&lt;&gt;0,'Técnicas de Ki'!P121+TS!$S226,0)*$S226/$S226,0))</f>
        <v>0</v>
      </c>
      <c r="AG226" s="539">
        <f>IF('Técnicas de Ki'!B121=0,0,IFERROR(IF('Técnicas de Ki'!Q121&lt;&gt;0,'Técnicas de Ki'!Q121+TS!$T226,0)*$T226/$T226,0))</f>
        <v>0</v>
      </c>
      <c r="AI226" s="571" t="str">
        <f>IF('Técnicas de Ki'!B126&lt;&gt;"",'Técnicas de Ki'!A126&amp;" "&amp;'Técnicas de Ki'!B126,"")</f>
        <v/>
      </c>
      <c r="AJ226" s="302" t="b">
        <f>OR(AJ225,AI225&lt;&gt;"")</f>
        <v>0</v>
      </c>
      <c r="AK226" s="302" t="str">
        <f t="shared" ref="AK226:AK248" si="44">IF(AI226&lt;&gt;"",IF(AJ226,", ","")&amp;AI226,"")</f>
        <v/>
      </c>
      <c r="AQ226" s="537">
        <f>IF('Técnicas de Ki'!W121=0,0,IF('Técnicas de Ki'!AD121=TS!AQ$119,'Técnicas de Ki'!X121-(IF($O226&lt;&gt;0,'Técnicas de Ki'!AG121,0)+IF($P226&lt;&gt;0,'Técnicas de Ki'!AH121,0)+IF($Q226&lt;&gt;0,'Técnicas de Ki'!AI121,0)+IF($R226&lt;&gt;0,'Técnicas de Ki'!AJ121,0)+IF($S226&lt;&gt;0,'Técnicas de Ki'!AK121,0)+IF($T226&lt;&gt;0,'Técnicas de Ki'!AL121,0)),0))</f>
        <v>0</v>
      </c>
      <c r="AR226" s="538">
        <f>IF('Técnicas de Ki'!W121=0,0,IF('Técnicas de Ki'!AD121=TS!AR$119,'Técnicas de Ki'!X121-(IF($O226&lt;&gt;0,'Técnicas de Ki'!AG121,0)+IF($P226&lt;&gt;0,'Técnicas de Ki'!AH121,0)+IF($Q226&lt;&gt;0,'Técnicas de Ki'!AI121,0)+IF($R226&lt;&gt;0,'Técnicas de Ki'!AJ121,0)+IF($S226&lt;&gt;0,'Técnicas de Ki'!AK121,0)+IF($T226&lt;&gt;0,'Técnicas de Ki'!AL121,0)),0))</f>
        <v>0</v>
      </c>
      <c r="AS226" s="538">
        <f>IF('Técnicas de Ki'!W121=0,0,IF('Técnicas de Ki'!AD121=TS!AS$119,'Técnicas de Ki'!X121-(IF($O226&lt;&gt;0,'Técnicas de Ki'!AG121,0)+IF($P226&lt;&gt;0,'Técnicas de Ki'!AH121,0)+IF($Q226&lt;&gt;0,'Técnicas de Ki'!AI121,0)+IF($R226&lt;&gt;0,'Técnicas de Ki'!AJ121,0)+IF($S226&lt;&gt;0,'Técnicas de Ki'!AK121,0)+IF($T226&lt;&gt;0,'Técnicas de Ki'!AL121,0)),0))</f>
        <v>0</v>
      </c>
      <c r="AT226" s="538">
        <f>IF('Técnicas de Ki'!W121=0,0,IF('Técnicas de Ki'!AD121=TS!AT$119,'Técnicas de Ki'!X121-(IF($O226&lt;&gt;0,'Técnicas de Ki'!AG121,0)+IF($P226&lt;&gt;0,'Técnicas de Ki'!AH121,0)+IF($Q226&lt;&gt;0,'Técnicas de Ki'!AI121,0)+IF($R226&lt;&gt;0,'Técnicas de Ki'!AJ121,0)+IF($S226&lt;&gt;0,'Técnicas de Ki'!AK121,0)+IF($T226&lt;&gt;0,'Técnicas de Ki'!AL121,0)),0))</f>
        <v>0</v>
      </c>
      <c r="AU226" s="538">
        <f>IF('Técnicas de Ki'!W121=0,0,IF('Técnicas de Ki'!AD121=TS!AU$119,'Técnicas de Ki'!X121-(IF($O226&lt;&gt;0,'Técnicas de Ki'!AG121,0)+IF($P226&lt;&gt;0,'Técnicas de Ki'!AH121,0)+IF($Q226&lt;&gt;0,'Técnicas de Ki'!AI121,0)+IF($R226&lt;&gt;0,'Técnicas de Ki'!AJ121,0)+IF($S226&lt;&gt;0,'Técnicas de Ki'!AK121,0)+IF($T226&lt;&gt;0,'Técnicas de Ki'!AL121,0)),0))</f>
        <v>0</v>
      </c>
      <c r="AV226" s="539">
        <f>IF('Técnicas de Ki'!W121=0,0,IF('Técnicas de Ki'!AD121=TS!AV$119,'Técnicas de Ki'!X121-(IF($O226&lt;&gt;0,'Técnicas de Ki'!AG121,0)+IF($P226&lt;&gt;0,'Técnicas de Ki'!AH121,0)+IF($Q226&lt;&gt;0,'Técnicas de Ki'!AI121,0)+IF($R226&lt;&gt;0,'Técnicas de Ki'!AJ121,0)+IF($S226&lt;&gt;0,'Técnicas de Ki'!AK121,0)+IF($T226&lt;&gt;0,'Técnicas de Ki'!AL121,0)),0))</f>
        <v>0</v>
      </c>
      <c r="AW226" s="538">
        <f>IF('Técnicas de Ki'!W121=0,0,IFERROR(IF('Técnicas de Ki'!AG121&lt;&gt;0,'Técnicas de Ki'!AG121+TS!$O226,0)*$O226/$O226,0))</f>
        <v>0</v>
      </c>
      <c r="AX226" s="538">
        <f>IF('Técnicas de Ki'!W121=0,0,IFERROR(IF('Técnicas de Ki'!AH121&lt;&gt;0,'Técnicas de Ki'!AH121+TS!$P226,0)*$P226/$P226,0))</f>
        <v>0</v>
      </c>
      <c r="AY226" s="538">
        <f>IF('Técnicas de Ki'!W121=0,0,IFERROR(IF('Técnicas de Ki'!AI121&lt;&gt;0,'Técnicas de Ki'!AI121+TS!$Q226,0)*$Q226/$Q226,0))</f>
        <v>0</v>
      </c>
      <c r="AZ226" s="538">
        <f>IF('Técnicas de Ki'!W121=0,0,IFERROR(IF('Técnicas de Ki'!AJ121&lt;&gt;0,'Técnicas de Ki'!AJ121+TS!$R226,0)*$R226/$R226,0))</f>
        <v>0</v>
      </c>
      <c r="BA226" s="538">
        <f>IF('Técnicas de Ki'!W121=0,0,IFERROR(IF('Técnicas de Ki'!AK121&lt;&gt;0,'Técnicas de Ki'!AK121+TS!$S226,0)*$S226/$S226,0))</f>
        <v>0</v>
      </c>
      <c r="BB226" s="539">
        <f>IF('Técnicas de Ki'!W121=0,0,IFERROR(IF('Técnicas de Ki'!AL121&lt;&gt;0,'Técnicas de Ki'!AL121+TS!$T226,0)*$T226/$T226,0))</f>
        <v>0</v>
      </c>
      <c r="BD226" s="571" t="str">
        <f>IF('Técnicas de Ki'!W126&lt;&gt;"",'Técnicas de Ki'!V126&amp;" "&amp;'Técnicas de Ki'!W126,"")</f>
        <v/>
      </c>
      <c r="BE226" s="302" t="b">
        <f>OR(BE225,BD225&lt;&gt;"")</f>
        <v>0</v>
      </c>
      <c r="BF226" s="302" t="str">
        <f t="shared" ref="BF226:BF248" si="45">IF(BD226&lt;&gt;"",IF(BE226,", ","")&amp;BD226,"")</f>
        <v/>
      </c>
      <c r="BL226" s="537">
        <f>IF('Técnicas de Ki'!AR121=0,0,IF('Técnicas de Ki'!AY121=TS!BL$119,'Técnicas de Ki'!AS121-(IF($O226&lt;&gt;0,'Técnicas de Ki'!BB121,0)+IF($P226&lt;&gt;0,'Técnicas de Ki'!BC121,0)+IF($Q226&lt;&gt;0,'Técnicas de Ki'!BD121,0)+IF($R226&lt;&gt;0,'Técnicas de Ki'!BE121,0)+IF($S226&lt;&gt;0,'Técnicas de Ki'!BF121,0)+IF($T226&lt;&gt;0,'Técnicas de Ki'!BG121,0)),0))</f>
        <v>0</v>
      </c>
      <c r="BM226" s="538">
        <f>IF('Técnicas de Ki'!AR121=0,0,IF('Técnicas de Ki'!AY121=TS!BM$119,'Técnicas de Ki'!AS121-(IF($O226&lt;&gt;0,'Técnicas de Ki'!BB121,0)+IF($P226&lt;&gt;0,'Técnicas de Ki'!BC121,0)+IF($Q226&lt;&gt;0,'Técnicas de Ki'!BD121,0)+IF($R226&lt;&gt;0,'Técnicas de Ki'!BE121,0)+IF($S226&lt;&gt;0,'Técnicas de Ki'!BF121,0)+IF($T226&lt;&gt;0,'Técnicas de Ki'!BG121,0)),0))</f>
        <v>0</v>
      </c>
      <c r="BN226" s="538">
        <f>IF('Técnicas de Ki'!AR121=0,0,IF('Técnicas de Ki'!AY121=TS!BN$119,'Técnicas de Ki'!AS121-(IF($O226&lt;&gt;0,'Técnicas de Ki'!BB121,0)+IF($P226&lt;&gt;0,'Técnicas de Ki'!BC121,0)+IF($Q226&lt;&gt;0,'Técnicas de Ki'!BD121,0)+IF($R226&lt;&gt;0,'Técnicas de Ki'!BE121,0)+IF($S226&lt;&gt;0,'Técnicas de Ki'!BF121,0)+IF($T226&lt;&gt;0,'Técnicas de Ki'!BG121,0)),0))</f>
        <v>0</v>
      </c>
      <c r="BO226" s="538">
        <f>IF('Técnicas de Ki'!AR121=0,0,IF('Técnicas de Ki'!AY121=TS!BO$119,'Técnicas de Ki'!AS121-(IF($O226&lt;&gt;0,'Técnicas de Ki'!BB121,0)+IF($P226&lt;&gt;0,'Técnicas de Ki'!BC121,0)+IF($Q226&lt;&gt;0,'Técnicas de Ki'!BD121,0)+IF($R226&lt;&gt;0,'Técnicas de Ki'!BE121,0)+IF($S226&lt;&gt;0,'Técnicas de Ki'!BF121,0)+IF($T226&lt;&gt;0,'Técnicas de Ki'!BG121,0)),0))</f>
        <v>0</v>
      </c>
      <c r="BP226" s="538">
        <f>IF('Técnicas de Ki'!AR121=0,0,IF('Técnicas de Ki'!AY121=TS!BP$119,'Técnicas de Ki'!AS121-(IF($O226&lt;&gt;0,'Técnicas de Ki'!BB121,0)+IF($P226&lt;&gt;0,'Técnicas de Ki'!BC121,0)+IF($Q226&lt;&gt;0,'Técnicas de Ki'!BD121,0)+IF($R226&lt;&gt;0,'Técnicas de Ki'!BE121,0)+IF($S226&lt;&gt;0,'Técnicas de Ki'!BF121,0)+IF($T226&lt;&gt;0,'Técnicas de Ki'!BG121,0)),0))</f>
        <v>0</v>
      </c>
      <c r="BQ226" s="539">
        <f>IF('Técnicas de Ki'!AR121=0,0,IF('Técnicas de Ki'!AY121=TS!BQ$119,'Técnicas de Ki'!AS121-(IF($O226&lt;&gt;0,'Técnicas de Ki'!BB121,0)+IF($P226&lt;&gt;0,'Técnicas de Ki'!BC121,0)+IF($Q226&lt;&gt;0,'Técnicas de Ki'!BD121,0)+IF($R226&lt;&gt;0,'Técnicas de Ki'!BE121,0)+IF($S226&lt;&gt;0,'Técnicas de Ki'!BF121,0)+IF($T226&lt;&gt;0,'Técnicas de Ki'!BG121,0)),0))</f>
        <v>0</v>
      </c>
      <c r="BR226" s="538">
        <f>IF('Técnicas de Ki'!AR121=0,0,IFERROR(IF('Técnicas de Ki'!BB121&lt;&gt;0,'Técnicas de Ki'!BB121+TS!$O226,0)*$O226/$O226,0))</f>
        <v>0</v>
      </c>
      <c r="BS226" s="538">
        <f>IF('Técnicas de Ki'!AR121=0,0,IFERROR(IF('Técnicas de Ki'!BC121&lt;&gt;0,'Técnicas de Ki'!BC121+TS!$P226,0)*$P226/$P226,0))</f>
        <v>0</v>
      </c>
      <c r="BT226" s="538">
        <f>IF('Técnicas de Ki'!AR121=0,0,IFERROR(IF('Técnicas de Ki'!BD121&lt;&gt;0,'Técnicas de Ki'!BD121+TS!$Q226,0)*$Q226/$Q226,0))</f>
        <v>0</v>
      </c>
      <c r="BU226" s="538">
        <f>IF('Técnicas de Ki'!AR121=0,0,IFERROR(IF('Técnicas de Ki'!BE121&lt;&gt;0,'Técnicas de Ki'!BE121+TS!$R226,0)*$R226/$R226,0))</f>
        <v>0</v>
      </c>
      <c r="BV226" s="538">
        <f>IF('Técnicas de Ki'!AR121=0,0,IFERROR(IF('Técnicas de Ki'!BF121&lt;&gt;0,'Técnicas de Ki'!BF121+TS!$S226,0)*$S226/$S226,0))</f>
        <v>0</v>
      </c>
      <c r="BW226" s="539">
        <f>IF('Técnicas de Ki'!AR121=0,0,IFERROR(IF('Técnicas de Ki'!BG121&lt;&gt;0,'Técnicas de Ki'!BG121+TS!$T226,0)*$T226/$T226,0))</f>
        <v>0</v>
      </c>
      <c r="BY226" s="571" t="str">
        <f>IF('Técnicas de Ki'!AR126&lt;&gt;"",'Técnicas de Ki'!AQ126&amp;" "&amp;'Técnicas de Ki'!AR126,"")</f>
        <v/>
      </c>
      <c r="BZ226" s="302" t="b">
        <f>OR(BZ225,BY225&lt;&gt;"")</f>
        <v>0</v>
      </c>
      <c r="CA226" s="302" t="str">
        <f t="shared" ref="CA226:CA248" si="46">IF(BY226&lt;&gt;"",IF(BZ226,", ","")&amp;BY226,"")</f>
        <v/>
      </c>
      <c r="CG226" s="537">
        <f>IF('Técnicas de Ki'!BM121=0,0,IF('Técnicas de Ki'!BT121=TS!CG$119,'Técnicas de Ki'!BN121-(IF($O226&lt;&gt;0,'Técnicas de Ki'!BW121,0)+IF($P226&lt;&gt;0,'Técnicas de Ki'!BX121,0)+IF($Q226&lt;&gt;0,'Técnicas de Ki'!BY121,0)+IF($R226&lt;&gt;0,'Técnicas de Ki'!BZ121,0)+IF($S226&lt;&gt;0,'Técnicas de Ki'!CA121,0)+IF($T226&lt;&gt;0,'Técnicas de Ki'!CB121,0)),0))</f>
        <v>0</v>
      </c>
      <c r="CH226" s="538">
        <f>IF('Técnicas de Ki'!BM121=0,0,IF('Técnicas de Ki'!BT121=TS!CH$119,'Técnicas de Ki'!BN121-(IF($O226&lt;&gt;0,'Técnicas de Ki'!BW121,0)+IF($P226&lt;&gt;0,'Técnicas de Ki'!BX121,0)+IF($Q226&lt;&gt;0,'Técnicas de Ki'!BY121,0)+IF($R226&lt;&gt;0,'Técnicas de Ki'!BZ121,0)+IF($S226&lt;&gt;0,'Técnicas de Ki'!CA121,0)+IF($T226&lt;&gt;0,'Técnicas de Ki'!CB121,0)),0))</f>
        <v>0</v>
      </c>
      <c r="CI226" s="538">
        <f>IF('Técnicas de Ki'!BM121=0,0,IF('Técnicas de Ki'!BT121=TS!CI$119,'Técnicas de Ki'!BN121-(IF($O226&lt;&gt;0,'Técnicas de Ki'!BW121,0)+IF($P226&lt;&gt;0,'Técnicas de Ki'!BX121,0)+IF($Q226&lt;&gt;0,'Técnicas de Ki'!BY121,0)+IF($R226&lt;&gt;0,'Técnicas de Ki'!BZ121,0)+IF($S226&lt;&gt;0,'Técnicas de Ki'!CA121,0)+IF($T226&lt;&gt;0,'Técnicas de Ki'!CB121,0)),0))</f>
        <v>0</v>
      </c>
      <c r="CJ226" s="538">
        <f>IF('Técnicas de Ki'!BM121=0,0,IF('Técnicas de Ki'!BT121=TS!CJ$119,'Técnicas de Ki'!BN121-(IF($O226&lt;&gt;0,'Técnicas de Ki'!BW121,0)+IF($P226&lt;&gt;0,'Técnicas de Ki'!BX121,0)+IF($Q226&lt;&gt;0,'Técnicas de Ki'!BY121,0)+IF($R226&lt;&gt;0,'Técnicas de Ki'!BZ121,0)+IF($S226&lt;&gt;0,'Técnicas de Ki'!CA121,0)+IF($T226&lt;&gt;0,'Técnicas de Ki'!CB121,0)),0))</f>
        <v>0</v>
      </c>
      <c r="CK226" s="538">
        <f>IF('Técnicas de Ki'!BM121=0,0,IF('Técnicas de Ki'!BT121=TS!CK$119,'Técnicas de Ki'!BN121-(IF($O226&lt;&gt;0,'Técnicas de Ki'!BW121,0)+IF($P226&lt;&gt;0,'Técnicas de Ki'!BX121,0)+IF($Q226&lt;&gt;0,'Técnicas de Ki'!BY121,0)+IF($R226&lt;&gt;0,'Técnicas de Ki'!BZ121,0)+IF($S226&lt;&gt;0,'Técnicas de Ki'!CA121,0)+IF($T226&lt;&gt;0,'Técnicas de Ki'!CB121,0)),0))</f>
        <v>0</v>
      </c>
      <c r="CL226" s="539">
        <f>IF('Técnicas de Ki'!BM121=0,0,IF('Técnicas de Ki'!BT121=TS!CL$119,'Técnicas de Ki'!BN121-(IF($O226&lt;&gt;0,'Técnicas de Ki'!BW121,0)+IF($P226&lt;&gt;0,'Técnicas de Ki'!BX121,0)+IF($Q226&lt;&gt;0,'Técnicas de Ki'!BY121,0)+IF($R226&lt;&gt;0,'Técnicas de Ki'!BZ121,0)+IF($S226&lt;&gt;0,'Técnicas de Ki'!CA121,0)+IF($T226&lt;&gt;0,'Técnicas de Ki'!CB121,0)),0))</f>
        <v>0</v>
      </c>
      <c r="CM226" s="538">
        <f>IF('Técnicas de Ki'!BM121=0,0,IFERROR(IF('Técnicas de Ki'!BW121&lt;&gt;0,'Técnicas de Ki'!BW121+TS!$O226,0)*$O226/$O226,0))</f>
        <v>0</v>
      </c>
      <c r="CN226" s="538">
        <f>IF('Técnicas de Ki'!BM121=0,0,IFERROR(IF('Técnicas de Ki'!BX121&lt;&gt;0,'Técnicas de Ki'!BX121+TS!$P226,0)*$P226/$P226,0))</f>
        <v>0</v>
      </c>
      <c r="CO226" s="538">
        <f>IF('Técnicas de Ki'!BM121=0,0,IFERROR(IF('Técnicas de Ki'!BY121&lt;&gt;0,'Técnicas de Ki'!BY121+TS!$Q226,0)*$Q226/$Q226,0))</f>
        <v>0</v>
      </c>
      <c r="CP226" s="538">
        <f>IF('Técnicas de Ki'!BM121=0,0,IFERROR(IF('Técnicas de Ki'!BZ121&lt;&gt;0,'Técnicas de Ki'!BZ121+TS!$R226,0)*$R226/$R226,0))</f>
        <v>0</v>
      </c>
      <c r="CQ226" s="538">
        <f>IF('Técnicas de Ki'!BM121=0,0,IFERROR(IF('Técnicas de Ki'!CA121&lt;&gt;0,'Técnicas de Ki'!CA121+TS!$S226,0)*$S226/$S226,0))</f>
        <v>0</v>
      </c>
      <c r="CR226" s="539">
        <f>IF('Técnicas de Ki'!BM121=0,0,IFERROR(IF('Técnicas de Ki'!CB121&lt;&gt;0,'Técnicas de Ki'!CB121+TS!$T226,0)*$T226/$T226,0))</f>
        <v>0</v>
      </c>
      <c r="CT226" s="571" t="str">
        <f>IF('Técnicas de Ki'!BM126&lt;&gt;"",'Técnicas de Ki'!BL126&amp;" "&amp;'Técnicas de Ki'!BM126,"")</f>
        <v/>
      </c>
      <c r="CU226" s="302" t="b">
        <f>OR(CU225,CT225&lt;&gt;"")</f>
        <v>0</v>
      </c>
      <c r="CV226" s="302" t="str">
        <f t="shared" ref="CV226:CV248" si="47">IF(CT226&lt;&gt;"",IF(CU226,", ","")&amp;CT226,"")</f>
        <v/>
      </c>
    </row>
    <row r="227" spans="1:102" ht="13.5" thickBot="1" x14ac:dyDescent="0.25">
      <c r="A227" s="302" t="s">
        <v>6894</v>
      </c>
      <c r="B227" s="302" t="s">
        <v>6916</v>
      </c>
      <c r="C227" s="302" t="str">
        <f t="shared" si="43"/>
        <v>Ataque a distancia1 kilómetro</v>
      </c>
      <c r="D227" s="302">
        <v>10</v>
      </c>
      <c r="E227" s="302">
        <v>13</v>
      </c>
      <c r="F227" s="302">
        <v>35</v>
      </c>
      <c r="G227" s="302">
        <v>8</v>
      </c>
      <c r="H227" s="302">
        <v>16</v>
      </c>
      <c r="I227" s="302">
        <v>28</v>
      </c>
      <c r="J227" s="302">
        <v>2</v>
      </c>
      <c r="N227" t="s">
        <v>6999</v>
      </c>
      <c r="O227" s="302">
        <v>2</v>
      </c>
      <c r="P227" s="302">
        <v>3</v>
      </c>
      <c r="Q227" s="302">
        <v>3</v>
      </c>
      <c r="S227" s="302">
        <v>1</v>
      </c>
      <c r="V227" s="532">
        <f>IF('Técnicas de Ki'!B122=0,0,IF('Técnicas de Ki'!I122=TS!V$119,'Técnicas de Ki'!C122-(IF($O227&lt;&gt;0,'Técnicas de Ki'!L122,0)+IF($P227&lt;&gt;0,'Técnicas de Ki'!M122,0)+IF($Q227&lt;&gt;0,'Técnicas de Ki'!N122,0)+IF($R227&lt;&gt;0,'Técnicas de Ki'!O122,0)+IF($S227&lt;&gt;0,'Técnicas de Ki'!P122,0)+IF($T227&lt;&gt;0,'Técnicas de Ki'!Q122,0)),0))</f>
        <v>0</v>
      </c>
      <c r="W227" s="533">
        <f>IF('Técnicas de Ki'!B122=0,0,IF('Técnicas de Ki'!I122=TS!W$119,'Técnicas de Ki'!C122-(IF($O227&lt;&gt;0,'Técnicas de Ki'!L122,0)+IF($P227&lt;&gt;0,'Técnicas de Ki'!M122,0)+IF($Q227&lt;&gt;0,'Técnicas de Ki'!N122,0)+IF($R227&lt;&gt;0,'Técnicas de Ki'!O122,0)+IF($S227&lt;&gt;0,'Técnicas de Ki'!P122,0)+IF($T227&lt;&gt;0,'Técnicas de Ki'!Q122,0)),0))</f>
        <v>0</v>
      </c>
      <c r="X227" s="533">
        <f>IF('Técnicas de Ki'!B122=0,0,IF('Técnicas de Ki'!I122=TS!X$119,'Técnicas de Ki'!C122-(IF($O227&lt;&gt;0,'Técnicas de Ki'!L122,0)+IF($P227&lt;&gt;0,'Técnicas de Ki'!M122,0)+IF($Q227&lt;&gt;0,'Técnicas de Ki'!N122,0)+IF($R227&lt;&gt;0,'Técnicas de Ki'!O122,0)+IF($S227&lt;&gt;0,'Técnicas de Ki'!P122,0)+IF($T227&lt;&gt;0,'Técnicas de Ki'!Q122,0)),0))</f>
        <v>0</v>
      </c>
      <c r="Y227" s="533">
        <f>IF('Técnicas de Ki'!B122=0,0,IF('Técnicas de Ki'!I122=TS!Y$119,'Técnicas de Ki'!C122-(IF($O227&lt;&gt;0,'Técnicas de Ki'!L122,0)+IF($P227&lt;&gt;0,'Técnicas de Ki'!M122,0)+IF($Q227&lt;&gt;0,'Técnicas de Ki'!N122,0)+IF($R227&lt;&gt;0,'Técnicas de Ki'!O122,0)+IF($S227&lt;&gt;0,'Técnicas de Ki'!P122,0)+IF($T227&lt;&gt;0,'Técnicas de Ki'!Q122,0)),0))</f>
        <v>0</v>
      </c>
      <c r="Z227" s="533">
        <f>IF('Técnicas de Ki'!B122=0,0,IF('Técnicas de Ki'!I122=TS!Z$119,'Técnicas de Ki'!C122-(IF($O227&lt;&gt;0,'Técnicas de Ki'!L122,0)+IF($P227&lt;&gt;0,'Técnicas de Ki'!M122,0)+IF($Q227&lt;&gt;0,'Técnicas de Ki'!N122,0)+IF($R227&lt;&gt;0,'Técnicas de Ki'!O122,0)+IF($S227&lt;&gt;0,'Técnicas de Ki'!P122,0)+IF($T227&lt;&gt;0,'Técnicas de Ki'!Q122,0)),0))</f>
        <v>0</v>
      </c>
      <c r="AA227" s="534">
        <f>IF('Técnicas de Ki'!B122=0,0,IF('Técnicas de Ki'!I122=TS!AA$119,'Técnicas de Ki'!C122-(IF($O227&lt;&gt;0,'Técnicas de Ki'!L122,0)+IF($P227&lt;&gt;0,'Técnicas de Ki'!M122,0)+IF($Q227&lt;&gt;0,'Técnicas de Ki'!N122,0)+IF($R227&lt;&gt;0,'Técnicas de Ki'!O122,0)+IF($S227&lt;&gt;0,'Técnicas de Ki'!P122,0)+IF($T227&lt;&gt;0,'Técnicas de Ki'!Q122,0)),0))</f>
        <v>0</v>
      </c>
      <c r="AB227" s="533">
        <f>IF('Técnicas de Ki'!B122=0,0,IFERROR(IF('Técnicas de Ki'!L122&lt;&gt;0,'Técnicas de Ki'!L122+TS!$O227,0)*$O227/$O227,0))</f>
        <v>0</v>
      </c>
      <c r="AC227" s="533">
        <f>IF('Técnicas de Ki'!B122=0,0,IFERROR(IF('Técnicas de Ki'!M122&lt;&gt;0,'Técnicas de Ki'!M122+TS!$P227,0)*$P227/$P227,0))</f>
        <v>0</v>
      </c>
      <c r="AD227" s="533">
        <f>IF('Técnicas de Ki'!B122=0,0,IFERROR(IF('Técnicas de Ki'!N122&lt;&gt;0,'Técnicas de Ki'!N122+TS!$Q227,0)*$Q227/$Q227,0))</f>
        <v>0</v>
      </c>
      <c r="AE227" s="533">
        <f>IF('Técnicas de Ki'!B122=0,0,IFERROR(IF('Técnicas de Ki'!O122&lt;&gt;0,'Técnicas de Ki'!O122+TS!$R227,0)*$R227/$R227,0))</f>
        <v>0</v>
      </c>
      <c r="AF227" s="533">
        <f>IF('Técnicas de Ki'!B122=0,0,IFERROR(IF('Técnicas de Ki'!P122&lt;&gt;0,'Técnicas de Ki'!P122+TS!$S227,0)*$S227/$S227,0))</f>
        <v>0</v>
      </c>
      <c r="AG227" s="534">
        <f>IF('Técnicas de Ki'!B122=0,0,IFERROR(IF('Técnicas de Ki'!Q122&lt;&gt;0,'Técnicas de Ki'!Q122+TS!$T227,0)*$T227/$T227,0))</f>
        <v>0</v>
      </c>
      <c r="AI227" s="571" t="str">
        <f>IF('Técnicas de Ki'!B127&lt;&gt;"",'Técnicas de Ki'!A127&amp;" "&amp;'Técnicas de Ki'!B127,"")</f>
        <v/>
      </c>
      <c r="AJ227" s="302" t="b">
        <f t="shared" ref="AJ227:AJ248" si="48">OR(AJ226,AI226&lt;&gt;"")</f>
        <v>0</v>
      </c>
      <c r="AK227" s="302" t="str">
        <f t="shared" si="44"/>
        <v/>
      </c>
      <c r="AQ227" s="532">
        <f>IF('Técnicas de Ki'!W122=0,0,IF('Técnicas de Ki'!AD122=TS!AQ$119,'Técnicas de Ki'!X122-(IF($O227&lt;&gt;0,'Técnicas de Ki'!AG122,0)+IF($P227&lt;&gt;0,'Técnicas de Ki'!AH122,0)+IF($Q227&lt;&gt;0,'Técnicas de Ki'!AI122,0)+IF($R227&lt;&gt;0,'Técnicas de Ki'!AJ122,0)+IF($S227&lt;&gt;0,'Técnicas de Ki'!AK122,0)+IF($T227&lt;&gt;0,'Técnicas de Ki'!AL122,0)),0))</f>
        <v>0</v>
      </c>
      <c r="AR227" s="533">
        <f>IF('Técnicas de Ki'!W122=0,0,IF('Técnicas de Ki'!AD122=TS!AR$119,'Técnicas de Ki'!X122-(IF($O227&lt;&gt;0,'Técnicas de Ki'!AG122,0)+IF($P227&lt;&gt;0,'Técnicas de Ki'!AH122,0)+IF($Q227&lt;&gt;0,'Técnicas de Ki'!AI122,0)+IF($R227&lt;&gt;0,'Técnicas de Ki'!AJ122,0)+IF($S227&lt;&gt;0,'Técnicas de Ki'!AK122,0)+IF($T227&lt;&gt;0,'Técnicas de Ki'!AL122,0)),0))</f>
        <v>0</v>
      </c>
      <c r="AS227" s="533">
        <f>IF('Técnicas de Ki'!W122=0,0,IF('Técnicas de Ki'!AD122=TS!AS$119,'Técnicas de Ki'!X122-(IF($O227&lt;&gt;0,'Técnicas de Ki'!AG122,0)+IF($P227&lt;&gt;0,'Técnicas de Ki'!AH122,0)+IF($Q227&lt;&gt;0,'Técnicas de Ki'!AI122,0)+IF($R227&lt;&gt;0,'Técnicas de Ki'!AJ122,0)+IF($S227&lt;&gt;0,'Técnicas de Ki'!AK122,0)+IF($T227&lt;&gt;0,'Técnicas de Ki'!AL122,0)),0))</f>
        <v>0</v>
      </c>
      <c r="AT227" s="533">
        <f>IF('Técnicas de Ki'!W122=0,0,IF('Técnicas de Ki'!AD122=TS!AT$119,'Técnicas de Ki'!X122-(IF($O227&lt;&gt;0,'Técnicas de Ki'!AG122,0)+IF($P227&lt;&gt;0,'Técnicas de Ki'!AH122,0)+IF($Q227&lt;&gt;0,'Técnicas de Ki'!AI122,0)+IF($R227&lt;&gt;0,'Técnicas de Ki'!AJ122,0)+IF($S227&lt;&gt;0,'Técnicas de Ki'!AK122,0)+IF($T227&lt;&gt;0,'Técnicas de Ki'!AL122,0)),0))</f>
        <v>0</v>
      </c>
      <c r="AU227" s="533">
        <f>IF('Técnicas de Ki'!W122=0,0,IF('Técnicas de Ki'!AD122=TS!AU$119,'Técnicas de Ki'!X122-(IF($O227&lt;&gt;0,'Técnicas de Ki'!AG122,0)+IF($P227&lt;&gt;0,'Técnicas de Ki'!AH122,0)+IF($Q227&lt;&gt;0,'Técnicas de Ki'!AI122,0)+IF($R227&lt;&gt;0,'Técnicas de Ki'!AJ122,0)+IF($S227&lt;&gt;0,'Técnicas de Ki'!AK122,0)+IF($T227&lt;&gt;0,'Técnicas de Ki'!AL122,0)),0))</f>
        <v>0</v>
      </c>
      <c r="AV227" s="534">
        <f>IF('Técnicas de Ki'!W122=0,0,IF('Técnicas de Ki'!AD122=TS!AV$119,'Técnicas de Ki'!X122-(IF($O227&lt;&gt;0,'Técnicas de Ki'!AG122,0)+IF($P227&lt;&gt;0,'Técnicas de Ki'!AH122,0)+IF($Q227&lt;&gt;0,'Técnicas de Ki'!AI122,0)+IF($R227&lt;&gt;0,'Técnicas de Ki'!AJ122,0)+IF($S227&lt;&gt;0,'Técnicas de Ki'!AK122,0)+IF($T227&lt;&gt;0,'Técnicas de Ki'!AL122,0)),0))</f>
        <v>0</v>
      </c>
      <c r="AW227" s="533">
        <f>IF('Técnicas de Ki'!W122=0,0,IFERROR(IF('Técnicas de Ki'!AG122&lt;&gt;0,'Técnicas de Ki'!AG122+TS!$O227,0)*$O227/$O227,0))</f>
        <v>0</v>
      </c>
      <c r="AX227" s="533">
        <f>IF('Técnicas de Ki'!W122=0,0,IFERROR(IF('Técnicas de Ki'!AH122&lt;&gt;0,'Técnicas de Ki'!AH122+TS!$P227,0)*$P227/$P227,0))</f>
        <v>0</v>
      </c>
      <c r="AY227" s="533">
        <f>IF('Técnicas de Ki'!W122=0,0,IFERROR(IF('Técnicas de Ki'!AI122&lt;&gt;0,'Técnicas de Ki'!AI122+TS!$Q227,0)*$Q227/$Q227,0))</f>
        <v>0</v>
      </c>
      <c r="AZ227" s="533">
        <f>IF('Técnicas de Ki'!W122=0,0,IFERROR(IF('Técnicas de Ki'!AJ122&lt;&gt;0,'Técnicas de Ki'!AJ122+TS!$R227,0)*$R227/$R227,0))</f>
        <v>0</v>
      </c>
      <c r="BA227" s="533">
        <f>IF('Técnicas de Ki'!W122=0,0,IFERROR(IF('Técnicas de Ki'!AK122&lt;&gt;0,'Técnicas de Ki'!AK122+TS!$S227,0)*$S227/$S227,0))</f>
        <v>0</v>
      </c>
      <c r="BB227" s="534">
        <f>IF('Técnicas de Ki'!W122=0,0,IFERROR(IF('Técnicas de Ki'!AL122&lt;&gt;0,'Técnicas de Ki'!AL122+TS!$T227,0)*$T227/$T227,0))</f>
        <v>0</v>
      </c>
      <c r="BD227" s="571" t="str">
        <f>IF('Técnicas de Ki'!W127&lt;&gt;"",'Técnicas de Ki'!V127&amp;" "&amp;'Técnicas de Ki'!W127,"")</f>
        <v/>
      </c>
      <c r="BE227" s="302" t="b">
        <f t="shared" ref="BE227:BE248" si="49">OR(BE226,BD226&lt;&gt;"")</f>
        <v>0</v>
      </c>
      <c r="BF227" s="302" t="str">
        <f t="shared" si="45"/>
        <v/>
      </c>
      <c r="BL227" s="532">
        <f>IF('Técnicas de Ki'!AR122=0,0,IF('Técnicas de Ki'!AY122=TS!BL$119,'Técnicas de Ki'!AS122-(IF($O227&lt;&gt;0,'Técnicas de Ki'!BB122,0)+IF($P227&lt;&gt;0,'Técnicas de Ki'!BC122,0)+IF($Q227&lt;&gt;0,'Técnicas de Ki'!BD122,0)+IF($R227&lt;&gt;0,'Técnicas de Ki'!BE122,0)+IF($S227&lt;&gt;0,'Técnicas de Ki'!BF122,0)+IF($T227&lt;&gt;0,'Técnicas de Ki'!BG122,0)),0))</f>
        <v>0</v>
      </c>
      <c r="BM227" s="533">
        <f>IF('Técnicas de Ki'!AR122=0,0,IF('Técnicas de Ki'!AY122=TS!BM$119,'Técnicas de Ki'!AS122-(IF($O227&lt;&gt;0,'Técnicas de Ki'!BB122,0)+IF($P227&lt;&gt;0,'Técnicas de Ki'!BC122,0)+IF($Q227&lt;&gt;0,'Técnicas de Ki'!BD122,0)+IF($R227&lt;&gt;0,'Técnicas de Ki'!BE122,0)+IF($S227&lt;&gt;0,'Técnicas de Ki'!BF122,0)+IF($T227&lt;&gt;0,'Técnicas de Ki'!BG122,0)),0))</f>
        <v>0</v>
      </c>
      <c r="BN227" s="533">
        <f>IF('Técnicas de Ki'!AR122=0,0,IF('Técnicas de Ki'!AY122=TS!BN$119,'Técnicas de Ki'!AS122-(IF($O227&lt;&gt;0,'Técnicas de Ki'!BB122,0)+IF($P227&lt;&gt;0,'Técnicas de Ki'!BC122,0)+IF($Q227&lt;&gt;0,'Técnicas de Ki'!BD122,0)+IF($R227&lt;&gt;0,'Técnicas de Ki'!BE122,0)+IF($S227&lt;&gt;0,'Técnicas de Ki'!BF122,0)+IF($T227&lt;&gt;0,'Técnicas de Ki'!BG122,0)),0))</f>
        <v>0</v>
      </c>
      <c r="BO227" s="533">
        <f>IF('Técnicas de Ki'!AR122=0,0,IF('Técnicas de Ki'!AY122=TS!BO$119,'Técnicas de Ki'!AS122-(IF($O227&lt;&gt;0,'Técnicas de Ki'!BB122,0)+IF($P227&lt;&gt;0,'Técnicas de Ki'!BC122,0)+IF($Q227&lt;&gt;0,'Técnicas de Ki'!BD122,0)+IF($R227&lt;&gt;0,'Técnicas de Ki'!BE122,0)+IF($S227&lt;&gt;0,'Técnicas de Ki'!BF122,0)+IF($T227&lt;&gt;0,'Técnicas de Ki'!BG122,0)),0))</f>
        <v>0</v>
      </c>
      <c r="BP227" s="533">
        <f>IF('Técnicas de Ki'!AR122=0,0,IF('Técnicas de Ki'!AY122=TS!BP$119,'Técnicas de Ki'!AS122-(IF($O227&lt;&gt;0,'Técnicas de Ki'!BB122,0)+IF($P227&lt;&gt;0,'Técnicas de Ki'!BC122,0)+IF($Q227&lt;&gt;0,'Técnicas de Ki'!BD122,0)+IF($R227&lt;&gt;0,'Técnicas de Ki'!BE122,0)+IF($S227&lt;&gt;0,'Técnicas de Ki'!BF122,0)+IF($T227&lt;&gt;0,'Técnicas de Ki'!BG122,0)),0))</f>
        <v>0</v>
      </c>
      <c r="BQ227" s="534">
        <f>IF('Técnicas de Ki'!AR122=0,0,IF('Técnicas de Ki'!AY122=TS!BQ$119,'Técnicas de Ki'!AS122-(IF($O227&lt;&gt;0,'Técnicas de Ki'!BB122,0)+IF($P227&lt;&gt;0,'Técnicas de Ki'!BC122,0)+IF($Q227&lt;&gt;0,'Técnicas de Ki'!BD122,0)+IF($R227&lt;&gt;0,'Técnicas de Ki'!BE122,0)+IF($S227&lt;&gt;0,'Técnicas de Ki'!BF122,0)+IF($T227&lt;&gt;0,'Técnicas de Ki'!BG122,0)),0))</f>
        <v>0</v>
      </c>
      <c r="BR227" s="533">
        <f>IF('Técnicas de Ki'!AR122=0,0,IFERROR(IF('Técnicas de Ki'!BB122&lt;&gt;0,'Técnicas de Ki'!BB122+TS!$O227,0)*$O227/$O227,0))</f>
        <v>0</v>
      </c>
      <c r="BS227" s="533">
        <f>IF('Técnicas de Ki'!AR122=0,0,IFERROR(IF('Técnicas de Ki'!BC122&lt;&gt;0,'Técnicas de Ki'!BC122+TS!$P227,0)*$P227/$P227,0))</f>
        <v>0</v>
      </c>
      <c r="BT227" s="533">
        <f>IF('Técnicas de Ki'!AR122=0,0,IFERROR(IF('Técnicas de Ki'!BD122&lt;&gt;0,'Técnicas de Ki'!BD122+TS!$Q227,0)*$Q227/$Q227,0))</f>
        <v>0</v>
      </c>
      <c r="BU227" s="533">
        <f>IF('Técnicas de Ki'!AR122=0,0,IFERROR(IF('Técnicas de Ki'!BE122&lt;&gt;0,'Técnicas de Ki'!BE122+TS!$R227,0)*$R227/$R227,0))</f>
        <v>0</v>
      </c>
      <c r="BV227" s="533">
        <f>IF('Técnicas de Ki'!AR122=0,0,IFERROR(IF('Técnicas de Ki'!BF122&lt;&gt;0,'Técnicas de Ki'!BF122+TS!$S227,0)*$S227/$S227,0))</f>
        <v>0</v>
      </c>
      <c r="BW227" s="534">
        <f>IF('Técnicas de Ki'!AR122=0,0,IFERROR(IF('Técnicas de Ki'!BG122&lt;&gt;0,'Técnicas de Ki'!BG122+TS!$T227,0)*$T227/$T227,0))</f>
        <v>0</v>
      </c>
      <c r="BY227" s="571" t="str">
        <f>IF('Técnicas de Ki'!AR127&lt;&gt;"",'Técnicas de Ki'!AQ127&amp;" "&amp;'Técnicas de Ki'!AR127,"")</f>
        <v/>
      </c>
      <c r="BZ227" s="302" t="b">
        <f t="shared" ref="BZ227:BZ248" si="50">OR(BZ226,BY226&lt;&gt;"")</f>
        <v>0</v>
      </c>
      <c r="CA227" s="302" t="str">
        <f t="shared" si="46"/>
        <v/>
      </c>
      <c r="CG227" s="532">
        <f>IF('Técnicas de Ki'!BM122=0,0,IF('Técnicas de Ki'!BT122=TS!CG$119,'Técnicas de Ki'!BN122-(IF($O227&lt;&gt;0,'Técnicas de Ki'!BW122,0)+IF($P227&lt;&gt;0,'Técnicas de Ki'!BX122,0)+IF($Q227&lt;&gt;0,'Técnicas de Ki'!BY122,0)+IF($R227&lt;&gt;0,'Técnicas de Ki'!BZ122,0)+IF($S227&lt;&gt;0,'Técnicas de Ki'!CA122,0)+IF($T227&lt;&gt;0,'Técnicas de Ki'!CB122,0)),0))</f>
        <v>0</v>
      </c>
      <c r="CH227" s="533">
        <f>IF('Técnicas de Ki'!BM122=0,0,IF('Técnicas de Ki'!BT122=TS!CH$119,'Técnicas de Ki'!BN122-(IF($O227&lt;&gt;0,'Técnicas de Ki'!BW122,0)+IF($P227&lt;&gt;0,'Técnicas de Ki'!BX122,0)+IF($Q227&lt;&gt;0,'Técnicas de Ki'!BY122,0)+IF($R227&lt;&gt;0,'Técnicas de Ki'!BZ122,0)+IF($S227&lt;&gt;0,'Técnicas de Ki'!CA122,0)+IF($T227&lt;&gt;0,'Técnicas de Ki'!CB122,0)),0))</f>
        <v>0</v>
      </c>
      <c r="CI227" s="533">
        <f>IF('Técnicas de Ki'!BM122=0,0,IF('Técnicas de Ki'!BT122=TS!CI$119,'Técnicas de Ki'!BN122-(IF($O227&lt;&gt;0,'Técnicas de Ki'!BW122,0)+IF($P227&lt;&gt;0,'Técnicas de Ki'!BX122,0)+IF($Q227&lt;&gt;0,'Técnicas de Ki'!BY122,0)+IF($R227&lt;&gt;0,'Técnicas de Ki'!BZ122,0)+IF($S227&lt;&gt;0,'Técnicas de Ki'!CA122,0)+IF($T227&lt;&gt;0,'Técnicas de Ki'!CB122,0)),0))</f>
        <v>0</v>
      </c>
      <c r="CJ227" s="533">
        <f>IF('Técnicas de Ki'!BM122=0,0,IF('Técnicas de Ki'!BT122=TS!CJ$119,'Técnicas de Ki'!BN122-(IF($O227&lt;&gt;0,'Técnicas de Ki'!BW122,0)+IF($P227&lt;&gt;0,'Técnicas de Ki'!BX122,0)+IF($Q227&lt;&gt;0,'Técnicas de Ki'!BY122,0)+IF($R227&lt;&gt;0,'Técnicas de Ki'!BZ122,0)+IF($S227&lt;&gt;0,'Técnicas de Ki'!CA122,0)+IF($T227&lt;&gt;0,'Técnicas de Ki'!CB122,0)),0))</f>
        <v>0</v>
      </c>
      <c r="CK227" s="533">
        <f>IF('Técnicas de Ki'!BM122=0,0,IF('Técnicas de Ki'!BT122=TS!CK$119,'Técnicas de Ki'!BN122-(IF($O227&lt;&gt;0,'Técnicas de Ki'!BW122,0)+IF($P227&lt;&gt;0,'Técnicas de Ki'!BX122,0)+IF($Q227&lt;&gt;0,'Técnicas de Ki'!BY122,0)+IF($R227&lt;&gt;0,'Técnicas de Ki'!BZ122,0)+IF($S227&lt;&gt;0,'Técnicas de Ki'!CA122,0)+IF($T227&lt;&gt;0,'Técnicas de Ki'!CB122,0)),0))</f>
        <v>0</v>
      </c>
      <c r="CL227" s="534">
        <f>IF('Técnicas de Ki'!BM122=0,0,IF('Técnicas de Ki'!BT122=TS!CL$119,'Técnicas de Ki'!BN122-(IF($O227&lt;&gt;0,'Técnicas de Ki'!BW122,0)+IF($P227&lt;&gt;0,'Técnicas de Ki'!BX122,0)+IF($Q227&lt;&gt;0,'Técnicas de Ki'!BY122,0)+IF($R227&lt;&gt;0,'Técnicas de Ki'!BZ122,0)+IF($S227&lt;&gt;0,'Técnicas de Ki'!CA122,0)+IF($T227&lt;&gt;0,'Técnicas de Ki'!CB122,0)),0))</f>
        <v>0</v>
      </c>
      <c r="CM227" s="533">
        <f>IF('Técnicas de Ki'!BM122=0,0,IFERROR(IF('Técnicas de Ki'!BW122&lt;&gt;0,'Técnicas de Ki'!BW122+TS!$O227,0)*$O227/$O227,0))</f>
        <v>0</v>
      </c>
      <c r="CN227" s="533">
        <f>IF('Técnicas de Ki'!BM122=0,0,IFERROR(IF('Técnicas de Ki'!BX122&lt;&gt;0,'Técnicas de Ki'!BX122+TS!$P227,0)*$P227/$P227,0))</f>
        <v>0</v>
      </c>
      <c r="CO227" s="533">
        <f>IF('Técnicas de Ki'!BM122=0,0,IFERROR(IF('Técnicas de Ki'!BY122&lt;&gt;0,'Técnicas de Ki'!BY122+TS!$Q227,0)*$Q227/$Q227,0))</f>
        <v>0</v>
      </c>
      <c r="CP227" s="533">
        <f>IF('Técnicas de Ki'!BM122=0,0,IFERROR(IF('Técnicas de Ki'!BZ122&lt;&gt;0,'Técnicas de Ki'!BZ122+TS!$R227,0)*$R227/$R227,0))</f>
        <v>0</v>
      </c>
      <c r="CQ227" s="533">
        <f>IF('Técnicas de Ki'!BM122=0,0,IFERROR(IF('Técnicas de Ki'!CA122&lt;&gt;0,'Técnicas de Ki'!CA122+TS!$S227,0)*$S227/$S227,0))</f>
        <v>0</v>
      </c>
      <c r="CR227" s="534">
        <f>IF('Técnicas de Ki'!BM122=0,0,IFERROR(IF('Técnicas de Ki'!CB122&lt;&gt;0,'Técnicas de Ki'!CB122+TS!$T227,0)*$T227/$T227,0))</f>
        <v>0</v>
      </c>
      <c r="CT227" s="571" t="str">
        <f>IF('Técnicas de Ki'!BM127&lt;&gt;"",'Técnicas de Ki'!BL127&amp;" "&amp;'Técnicas de Ki'!BM127,"")</f>
        <v/>
      </c>
      <c r="CU227" s="302" t="b">
        <f t="shared" ref="CU227:CU248" si="51">OR(CU226,CT226&lt;&gt;"")</f>
        <v>0</v>
      </c>
      <c r="CV227" s="302" t="str">
        <f t="shared" si="47"/>
        <v/>
      </c>
    </row>
    <row r="228" spans="1:102" ht="13.5" thickBot="1" x14ac:dyDescent="0.25">
      <c r="A228" s="302" t="s">
        <v>6894</v>
      </c>
      <c r="B228" s="302" t="s">
        <v>6917</v>
      </c>
      <c r="C228" s="302" t="str">
        <f t="shared" si="43"/>
        <v>Ataque a distancia5 kilómetros</v>
      </c>
      <c r="D228" s="302">
        <v>14</v>
      </c>
      <c r="E228" s="302">
        <v>18</v>
      </c>
      <c r="F228" s="302">
        <v>40</v>
      </c>
      <c r="G228" s="302">
        <v>10</v>
      </c>
      <c r="H228" s="302">
        <v>20</v>
      </c>
      <c r="I228" s="302">
        <v>35</v>
      </c>
      <c r="J228" s="302">
        <v>3</v>
      </c>
      <c r="V228" s="532">
        <f>SUM(V120:V227)</f>
        <v>0</v>
      </c>
      <c r="W228" s="533">
        <f>SUM(W120:W227)</f>
        <v>0</v>
      </c>
      <c r="X228" s="533">
        <f>SUM(X120:X227)</f>
        <v>0</v>
      </c>
      <c r="Y228" s="533">
        <f>SUM(Y120:Y227)</f>
        <v>0</v>
      </c>
      <c r="Z228" s="533">
        <f>SUM(Z120:Z227)</f>
        <v>0</v>
      </c>
      <c r="AA228" s="534">
        <f>SUM(AA120:AA227)</f>
        <v>0</v>
      </c>
      <c r="AB228" s="532">
        <f>SUM(AB120:AB227)</f>
        <v>0</v>
      </c>
      <c r="AC228" s="533">
        <f t="shared" ref="AC228:AG228" si="52">SUM(AC120:AC227)</f>
        <v>0</v>
      </c>
      <c r="AD228" s="533">
        <f t="shared" si="52"/>
        <v>0</v>
      </c>
      <c r="AE228" s="533">
        <f t="shared" si="52"/>
        <v>0</v>
      </c>
      <c r="AF228" s="533">
        <f t="shared" si="52"/>
        <v>0</v>
      </c>
      <c r="AG228" s="534">
        <f t="shared" si="52"/>
        <v>0</v>
      </c>
      <c r="AI228" s="571" t="str">
        <f>IF('Técnicas de Ki'!B128&lt;&gt;"",'Técnicas de Ki'!A128&amp;" "&amp;'Técnicas de Ki'!B128,"")</f>
        <v/>
      </c>
      <c r="AJ228" s="302" t="b">
        <f t="shared" si="48"/>
        <v>0</v>
      </c>
      <c r="AK228" s="302" t="str">
        <f t="shared" si="44"/>
        <v/>
      </c>
      <c r="AQ228" s="532">
        <f>SUM(AQ120:AQ227)</f>
        <v>0</v>
      </c>
      <c r="AR228" s="533">
        <f>SUM(AR120:AR227)</f>
        <v>0</v>
      </c>
      <c r="AS228" s="533">
        <f>SUM(AS120:AS227)</f>
        <v>0</v>
      </c>
      <c r="AT228" s="533">
        <f>SUM(AT120:AT227)</f>
        <v>0</v>
      </c>
      <c r="AU228" s="533">
        <f>SUM(AU120:AU227)</f>
        <v>0</v>
      </c>
      <c r="AV228" s="534">
        <f>SUM(AV120:AV227)</f>
        <v>0</v>
      </c>
      <c r="AW228" s="532">
        <f>SUM(AW120:AW227)</f>
        <v>0</v>
      </c>
      <c r="AX228" s="533">
        <f t="shared" ref="AX228" si="53">SUM(AX120:AX227)</f>
        <v>0</v>
      </c>
      <c r="AY228" s="533">
        <f t="shared" ref="AY228" si="54">SUM(AY120:AY227)</f>
        <v>0</v>
      </c>
      <c r="AZ228" s="533">
        <f t="shared" ref="AZ228" si="55">SUM(AZ120:AZ227)</f>
        <v>0</v>
      </c>
      <c r="BA228" s="533">
        <f t="shared" ref="BA228" si="56">SUM(BA120:BA227)</f>
        <v>0</v>
      </c>
      <c r="BB228" s="534">
        <f t="shared" ref="BB228" si="57">SUM(BB120:BB227)</f>
        <v>0</v>
      </c>
      <c r="BD228" s="571" t="str">
        <f>IF('Técnicas de Ki'!W128&lt;&gt;"",'Técnicas de Ki'!V128&amp;" "&amp;'Técnicas de Ki'!W128,"")</f>
        <v/>
      </c>
      <c r="BE228" s="302" t="b">
        <f t="shared" si="49"/>
        <v>0</v>
      </c>
      <c r="BF228" s="302" t="str">
        <f t="shared" si="45"/>
        <v/>
      </c>
      <c r="BL228" s="532">
        <f>SUM(BL120:BL227)</f>
        <v>0</v>
      </c>
      <c r="BM228" s="533">
        <f>SUM(BM120:BM227)</f>
        <v>0</v>
      </c>
      <c r="BN228" s="533">
        <f>SUM(BN120:BN227)</f>
        <v>0</v>
      </c>
      <c r="BO228" s="533">
        <f>SUM(BO120:BO227)</f>
        <v>0</v>
      </c>
      <c r="BP228" s="533">
        <f>SUM(BP120:BP227)</f>
        <v>0</v>
      </c>
      <c r="BQ228" s="534">
        <f>SUM(BQ120:BQ227)</f>
        <v>0</v>
      </c>
      <c r="BR228" s="532">
        <f>SUM(BR120:BR227)</f>
        <v>0</v>
      </c>
      <c r="BS228" s="533">
        <f t="shared" ref="BS228" si="58">SUM(BS120:BS227)</f>
        <v>0</v>
      </c>
      <c r="BT228" s="533">
        <f t="shared" ref="BT228" si="59">SUM(BT120:BT227)</f>
        <v>0</v>
      </c>
      <c r="BU228" s="533">
        <f t="shared" ref="BU228" si="60">SUM(BU120:BU227)</f>
        <v>0</v>
      </c>
      <c r="BV228" s="533">
        <f t="shared" ref="BV228" si="61">SUM(BV120:BV227)</f>
        <v>0</v>
      </c>
      <c r="BW228" s="534">
        <f t="shared" ref="BW228" si="62">SUM(BW120:BW227)</f>
        <v>0</v>
      </c>
      <c r="BY228" s="571" t="str">
        <f>IF('Técnicas de Ki'!AR128&lt;&gt;"",'Técnicas de Ki'!AQ128&amp;" "&amp;'Técnicas de Ki'!AR128,"")</f>
        <v/>
      </c>
      <c r="BZ228" s="302" t="b">
        <f t="shared" si="50"/>
        <v>0</v>
      </c>
      <c r="CA228" s="302" t="str">
        <f t="shared" si="46"/>
        <v/>
      </c>
      <c r="CG228" s="532">
        <f>SUM(CG120:CG227)</f>
        <v>0</v>
      </c>
      <c r="CH228" s="533">
        <f>SUM(CH120:CH227)</f>
        <v>0</v>
      </c>
      <c r="CI228" s="533">
        <f>SUM(CI120:CI227)</f>
        <v>0</v>
      </c>
      <c r="CJ228" s="533">
        <f>SUM(CJ120:CJ227)</f>
        <v>0</v>
      </c>
      <c r="CK228" s="533">
        <f>SUM(CK120:CK227)</f>
        <v>0</v>
      </c>
      <c r="CL228" s="534">
        <f>SUM(CL120:CL227)</f>
        <v>0</v>
      </c>
      <c r="CM228" s="532">
        <f>SUM(CM120:CM227)</f>
        <v>0</v>
      </c>
      <c r="CN228" s="533">
        <f t="shared" ref="CN228" si="63">SUM(CN120:CN227)</f>
        <v>0</v>
      </c>
      <c r="CO228" s="533">
        <f t="shared" ref="CO228" si="64">SUM(CO120:CO227)</f>
        <v>0</v>
      </c>
      <c r="CP228" s="533">
        <f t="shared" ref="CP228" si="65">SUM(CP120:CP227)</f>
        <v>0</v>
      </c>
      <c r="CQ228" s="533">
        <f t="shared" ref="CQ228" si="66">SUM(CQ120:CQ227)</f>
        <v>0</v>
      </c>
      <c r="CR228" s="534">
        <f t="shared" ref="CR228" si="67">SUM(CR120:CR227)</f>
        <v>0</v>
      </c>
      <c r="CT228" s="571" t="str">
        <f>IF('Técnicas de Ki'!BM128&lt;&gt;"",'Técnicas de Ki'!BL128&amp;" "&amp;'Técnicas de Ki'!BM128,"")</f>
        <v/>
      </c>
      <c r="CU228" s="302" t="b">
        <f t="shared" si="51"/>
        <v>0</v>
      </c>
      <c r="CV228" s="302" t="str">
        <f t="shared" si="47"/>
        <v/>
      </c>
    </row>
    <row r="229" spans="1:102" x14ac:dyDescent="0.2">
      <c r="A229" s="302" t="s">
        <v>6894</v>
      </c>
      <c r="B229" s="302" t="s">
        <v>6918</v>
      </c>
      <c r="C229" s="302" t="str">
        <f t="shared" si="43"/>
        <v>Ataque a distancia10 kilómetros</v>
      </c>
      <c r="D229" s="302">
        <v>18</v>
      </c>
      <c r="E229" s="302">
        <v>22</v>
      </c>
      <c r="F229" s="302">
        <v>45</v>
      </c>
      <c r="G229" s="302">
        <v>12</v>
      </c>
      <c r="H229" s="302">
        <v>24</v>
      </c>
      <c r="I229" s="302">
        <v>42</v>
      </c>
      <c r="J229" s="302">
        <v>3</v>
      </c>
      <c r="V229" s="529" t="s">
        <v>36</v>
      </c>
      <c r="W229" s="530" t="s">
        <v>46</v>
      </c>
      <c r="X229" s="530" t="s">
        <v>57</v>
      </c>
      <c r="Y229" s="530" t="s">
        <v>66</v>
      </c>
      <c r="Z229" s="530" t="s">
        <v>59</v>
      </c>
      <c r="AA229" s="531" t="s">
        <v>58</v>
      </c>
      <c r="AI229" s="571" t="str">
        <f>IF('Técnicas de Ki'!B129&lt;&gt;"",'Técnicas de Ki'!A129&amp;" "&amp;'Técnicas de Ki'!B129,"")</f>
        <v/>
      </c>
      <c r="AJ229" s="302" t="b">
        <f t="shared" si="48"/>
        <v>0</v>
      </c>
      <c r="AK229" s="302" t="str">
        <f t="shared" si="44"/>
        <v/>
      </c>
      <c r="AQ229" s="529" t="s">
        <v>36</v>
      </c>
      <c r="AR229" s="530" t="s">
        <v>46</v>
      </c>
      <c r="AS229" s="530" t="s">
        <v>57</v>
      </c>
      <c r="AT229" s="530" t="s">
        <v>66</v>
      </c>
      <c r="AU229" s="530" t="s">
        <v>59</v>
      </c>
      <c r="AV229" s="531" t="s">
        <v>58</v>
      </c>
      <c r="BD229" s="571" t="str">
        <f>IF('Técnicas de Ki'!W129&lt;&gt;"",'Técnicas de Ki'!V129&amp;" "&amp;'Técnicas de Ki'!W129,"")</f>
        <v/>
      </c>
      <c r="BE229" s="302" t="b">
        <f t="shared" si="49"/>
        <v>0</v>
      </c>
      <c r="BF229" s="302" t="str">
        <f t="shared" si="45"/>
        <v/>
      </c>
      <c r="BL229" s="529" t="s">
        <v>36</v>
      </c>
      <c r="BM229" s="530" t="s">
        <v>46</v>
      </c>
      <c r="BN229" s="530" t="s">
        <v>57</v>
      </c>
      <c r="BO229" s="530" t="s">
        <v>66</v>
      </c>
      <c r="BP229" s="530" t="s">
        <v>59</v>
      </c>
      <c r="BQ229" s="531" t="s">
        <v>58</v>
      </c>
      <c r="BY229" s="571" t="str">
        <f>IF('Técnicas de Ki'!AR129&lt;&gt;"",'Técnicas de Ki'!AQ129&amp;" "&amp;'Técnicas de Ki'!AR129,"")</f>
        <v/>
      </c>
      <c r="BZ229" s="302" t="b">
        <f t="shared" si="50"/>
        <v>0</v>
      </c>
      <c r="CA229" s="302" t="str">
        <f t="shared" si="46"/>
        <v/>
      </c>
      <c r="CG229" s="529" t="s">
        <v>36</v>
      </c>
      <c r="CH229" s="530" t="s">
        <v>46</v>
      </c>
      <c r="CI229" s="530" t="s">
        <v>57</v>
      </c>
      <c r="CJ229" s="530" t="s">
        <v>66</v>
      </c>
      <c r="CK229" s="530" t="s">
        <v>59</v>
      </c>
      <c r="CL229" s="531" t="s">
        <v>58</v>
      </c>
      <c r="CT229" s="571" t="str">
        <f>IF('Técnicas de Ki'!BM129&lt;&gt;"",'Técnicas de Ki'!BL129&amp;" "&amp;'Técnicas de Ki'!BM129,"")</f>
        <v/>
      </c>
      <c r="CU229" s="302" t="b">
        <f t="shared" si="51"/>
        <v>0</v>
      </c>
      <c r="CV229" s="302" t="str">
        <f t="shared" si="47"/>
        <v/>
      </c>
    </row>
    <row r="230" spans="1:102" ht="13.5" thickBot="1" x14ac:dyDescent="0.25">
      <c r="A230" s="302" t="s">
        <v>6894</v>
      </c>
      <c r="B230" s="302" t="s">
        <v>6919</v>
      </c>
      <c r="C230" s="302" t="str">
        <f t="shared" si="43"/>
        <v>Ataque a distancia100 kilómetros</v>
      </c>
      <c r="D230" s="302">
        <v>22</v>
      </c>
      <c r="E230" s="302">
        <v>26</v>
      </c>
      <c r="F230" s="302">
        <v>50</v>
      </c>
      <c r="G230" s="302">
        <v>14</v>
      </c>
      <c r="H230" s="302">
        <v>28</v>
      </c>
      <c r="I230" s="302">
        <v>49</v>
      </c>
      <c r="J230" s="302">
        <v>3</v>
      </c>
      <c r="V230" s="532">
        <f>V228+AB228</f>
        <v>0</v>
      </c>
      <c r="W230" s="533">
        <f t="shared" ref="W230:AA230" si="68">W228+AC228</f>
        <v>0</v>
      </c>
      <c r="X230" s="533">
        <f>X228+AD228</f>
        <v>0</v>
      </c>
      <c r="Y230" s="533">
        <f t="shared" si="68"/>
        <v>0</v>
      </c>
      <c r="Z230" s="533">
        <f t="shared" si="68"/>
        <v>0</v>
      </c>
      <c r="AA230" s="534">
        <f t="shared" si="68"/>
        <v>0</v>
      </c>
      <c r="AI230" s="571" t="str">
        <f>IF('Técnicas de Ki'!B130&lt;&gt;"",'Técnicas de Ki'!A130&amp;" "&amp;'Técnicas de Ki'!B130,"")</f>
        <v/>
      </c>
      <c r="AJ230" s="302" t="b">
        <f t="shared" si="48"/>
        <v>0</v>
      </c>
      <c r="AK230" s="302" t="str">
        <f t="shared" si="44"/>
        <v/>
      </c>
      <c r="AQ230" s="532">
        <f>AQ228+AW228</f>
        <v>0</v>
      </c>
      <c r="AR230" s="533">
        <f t="shared" ref="AR230" si="69">AR228+AX228</f>
        <v>0</v>
      </c>
      <c r="AS230" s="533">
        <f>AS228+AY228</f>
        <v>0</v>
      </c>
      <c r="AT230" s="533">
        <f t="shared" ref="AT230" si="70">AT228+AZ228</f>
        <v>0</v>
      </c>
      <c r="AU230" s="533">
        <f t="shared" ref="AU230" si="71">AU228+BA228</f>
        <v>0</v>
      </c>
      <c r="AV230" s="534">
        <f t="shared" ref="AV230" si="72">AV228+BB228</f>
        <v>0</v>
      </c>
      <c r="BD230" s="571" t="str">
        <f>IF('Técnicas de Ki'!W130&lt;&gt;"",'Técnicas de Ki'!V130&amp;" "&amp;'Técnicas de Ki'!W130,"")</f>
        <v/>
      </c>
      <c r="BE230" s="302" t="b">
        <f t="shared" si="49"/>
        <v>0</v>
      </c>
      <c r="BF230" s="302" t="str">
        <f t="shared" si="45"/>
        <v/>
      </c>
      <c r="BL230" s="532">
        <f>BL228+BR228</f>
        <v>0</v>
      </c>
      <c r="BM230" s="533">
        <f t="shared" ref="BM230" si="73">BM228+BS228</f>
        <v>0</v>
      </c>
      <c r="BN230" s="533">
        <f>BN228+BT228</f>
        <v>0</v>
      </c>
      <c r="BO230" s="533">
        <f t="shared" ref="BO230" si="74">BO228+BU228</f>
        <v>0</v>
      </c>
      <c r="BP230" s="533">
        <f t="shared" ref="BP230" si="75">BP228+BV228</f>
        <v>0</v>
      </c>
      <c r="BQ230" s="534">
        <f t="shared" ref="BQ230" si="76">BQ228+BW228</f>
        <v>0</v>
      </c>
      <c r="BY230" s="571" t="str">
        <f>IF('Técnicas de Ki'!AR130&lt;&gt;"",'Técnicas de Ki'!AQ130&amp;" "&amp;'Técnicas de Ki'!AR130,"")</f>
        <v/>
      </c>
      <c r="BZ230" s="302" t="b">
        <f t="shared" si="50"/>
        <v>0</v>
      </c>
      <c r="CA230" s="302" t="str">
        <f t="shared" si="46"/>
        <v/>
      </c>
      <c r="CG230" s="532">
        <f>CG228+CM228</f>
        <v>0</v>
      </c>
      <c r="CH230" s="533">
        <f t="shared" ref="CH230" si="77">CH228+CN228</f>
        <v>0</v>
      </c>
      <c r="CI230" s="533">
        <f>CI228+CO228</f>
        <v>0</v>
      </c>
      <c r="CJ230" s="533">
        <f t="shared" ref="CJ230" si="78">CJ228+CP228</f>
        <v>0</v>
      </c>
      <c r="CK230" s="533">
        <f t="shared" ref="CK230" si="79">CK228+CQ228</f>
        <v>0</v>
      </c>
      <c r="CL230" s="534">
        <f t="shared" ref="CL230" si="80">CL228+CR228</f>
        <v>0</v>
      </c>
      <c r="CT230" s="571" t="str">
        <f>IF('Técnicas de Ki'!BM130&lt;&gt;"",'Técnicas de Ki'!BL130&amp;" "&amp;'Técnicas de Ki'!BM130,"")</f>
        <v/>
      </c>
      <c r="CU230" s="302" t="b">
        <f t="shared" si="51"/>
        <v>0</v>
      </c>
      <c r="CV230" s="302" t="str">
        <f t="shared" si="47"/>
        <v/>
      </c>
    </row>
    <row r="231" spans="1:102" x14ac:dyDescent="0.2">
      <c r="A231" s="302" t="s">
        <v>6895</v>
      </c>
      <c r="B231" s="302" t="s">
        <v>6907</v>
      </c>
      <c r="C231" s="302" t="str">
        <f>A230&amp;A231&amp;B231</f>
        <v>Ataque a distanciaVentaja opcional: ProyecciónProyección</v>
      </c>
      <c r="D231" s="302">
        <v>4</v>
      </c>
      <c r="E231" s="302">
        <v>4</v>
      </c>
      <c r="F231" s="302">
        <v>10</v>
      </c>
      <c r="G231" s="302">
        <v>1</v>
      </c>
      <c r="H231" s="302">
        <v>2</v>
      </c>
      <c r="I231" s="302">
        <v>4</v>
      </c>
      <c r="J231" s="302">
        <v>1</v>
      </c>
      <c r="AI231" s="571" t="str">
        <f>IF('Técnicas de Ki'!B131&lt;&gt;"",'Técnicas de Ki'!A131&amp;" "&amp;'Técnicas de Ki'!B131,"")</f>
        <v/>
      </c>
      <c r="AJ231" s="302" t="b">
        <f t="shared" si="48"/>
        <v>0</v>
      </c>
      <c r="AK231" s="302" t="str">
        <f t="shared" si="44"/>
        <v/>
      </c>
      <c r="BD231" s="571" t="str">
        <f>IF('Técnicas de Ki'!W131&lt;&gt;"",'Técnicas de Ki'!V131&amp;" "&amp;'Técnicas de Ki'!W131,"")</f>
        <v/>
      </c>
      <c r="BE231" s="302" t="b">
        <f t="shared" si="49"/>
        <v>0</v>
      </c>
      <c r="BF231" s="302" t="str">
        <f t="shared" si="45"/>
        <v/>
      </c>
      <c r="BY231" s="571" t="str">
        <f>IF('Técnicas de Ki'!AR131&lt;&gt;"",'Técnicas de Ki'!AQ131&amp;" "&amp;'Técnicas de Ki'!AR131,"")</f>
        <v/>
      </c>
      <c r="BZ231" s="302" t="b">
        <f t="shared" si="50"/>
        <v>0</v>
      </c>
      <c r="CA231" s="302" t="str">
        <f t="shared" si="46"/>
        <v/>
      </c>
      <c r="CT231" s="571" t="str">
        <f>IF('Técnicas de Ki'!BM131&lt;&gt;"",'Técnicas de Ki'!BL131&amp;" "&amp;'Técnicas de Ki'!BM131,"")</f>
        <v/>
      </c>
      <c r="CU231" s="302" t="b">
        <f t="shared" si="51"/>
        <v>0</v>
      </c>
      <c r="CV231" s="302" t="str">
        <f t="shared" si="47"/>
        <v/>
      </c>
    </row>
    <row r="232" spans="1:102" x14ac:dyDescent="0.2">
      <c r="A232" s="302" t="s">
        <v>6896</v>
      </c>
      <c r="B232" s="302" t="s">
        <v>6908</v>
      </c>
      <c r="C232" s="302" t="str">
        <f>A230&amp;A232&amp;B232</f>
        <v>Ataque a distanciaVentaja opcional: Estela de destrucciónEstela de destrucción</v>
      </c>
      <c r="D232" s="302">
        <v>8</v>
      </c>
      <c r="E232" s="302">
        <v>8</v>
      </c>
      <c r="F232" s="302">
        <v>20</v>
      </c>
      <c r="G232" s="302">
        <v>1</v>
      </c>
      <c r="H232" s="302">
        <v>2</v>
      </c>
      <c r="I232" s="302">
        <v>4</v>
      </c>
      <c r="J232" s="302">
        <v>1</v>
      </c>
      <c r="AI232" s="571" t="str">
        <f>IF('Técnicas de Ki'!B132&lt;&gt;"",'Técnicas de Ki'!A132&amp;" "&amp;'Técnicas de Ki'!B132,"")</f>
        <v/>
      </c>
      <c r="AJ232" s="302" t="b">
        <f t="shared" si="48"/>
        <v>0</v>
      </c>
      <c r="AK232" s="302" t="str">
        <f t="shared" si="44"/>
        <v/>
      </c>
      <c r="BD232" s="571" t="str">
        <f>IF('Técnicas de Ki'!W132&lt;&gt;"",'Técnicas de Ki'!V132&amp;" "&amp;'Técnicas de Ki'!W132,"")</f>
        <v/>
      </c>
      <c r="BE232" s="302" t="b">
        <f t="shared" si="49"/>
        <v>0</v>
      </c>
      <c r="BF232" s="302" t="str">
        <f t="shared" si="45"/>
        <v/>
      </c>
      <c r="BY232" s="571" t="str">
        <f>IF('Técnicas de Ki'!AR132&lt;&gt;"",'Técnicas de Ki'!AQ132&amp;" "&amp;'Técnicas de Ki'!AR132,"")</f>
        <v/>
      </c>
      <c r="BZ232" s="302" t="b">
        <f t="shared" si="50"/>
        <v>0</v>
      </c>
      <c r="CA232" s="302" t="str">
        <f t="shared" si="46"/>
        <v/>
      </c>
      <c r="CT232" s="571" t="str">
        <f>IF('Técnicas de Ki'!BM132&lt;&gt;"",'Técnicas de Ki'!BL132&amp;" "&amp;'Técnicas de Ki'!BM132,"")</f>
        <v/>
      </c>
      <c r="CU232" s="302" t="b">
        <f t="shared" si="51"/>
        <v>0</v>
      </c>
      <c r="CV232" s="302" t="str">
        <f t="shared" si="47"/>
        <v/>
      </c>
    </row>
    <row r="233" spans="1:102" x14ac:dyDescent="0.2">
      <c r="A233" s="302" t="s">
        <v>6897</v>
      </c>
      <c r="B233" s="302" t="s">
        <v>6906</v>
      </c>
      <c r="C233" s="302" t="str">
        <f t="shared" si="43"/>
        <v>Ataque a distancia real5 metros</v>
      </c>
      <c r="D233" s="302">
        <v>2</v>
      </c>
      <c r="E233" s="302">
        <v>4</v>
      </c>
      <c r="F233" s="302">
        <v>10</v>
      </c>
      <c r="G233" s="302">
        <v>2</v>
      </c>
      <c r="H233" s="302">
        <v>4</v>
      </c>
      <c r="I233" s="302">
        <v>7</v>
      </c>
      <c r="J233" s="302">
        <v>1</v>
      </c>
      <c r="AI233" s="571" t="str">
        <f>IF('Técnicas de Ki'!B133&lt;&gt;"",'Técnicas de Ki'!A133&amp;" "&amp;'Técnicas de Ki'!B133,"")</f>
        <v/>
      </c>
      <c r="AJ233" s="302" t="b">
        <f t="shared" si="48"/>
        <v>0</v>
      </c>
      <c r="AK233" s="302" t="str">
        <f t="shared" si="44"/>
        <v/>
      </c>
      <c r="BD233" s="571" t="str">
        <f>IF('Técnicas de Ki'!W133&lt;&gt;"",'Técnicas de Ki'!V133&amp;" "&amp;'Técnicas de Ki'!W133,"")</f>
        <v/>
      </c>
      <c r="BE233" s="302" t="b">
        <f t="shared" si="49"/>
        <v>0</v>
      </c>
      <c r="BF233" s="302" t="str">
        <f t="shared" si="45"/>
        <v/>
      </c>
      <c r="BY233" s="571" t="str">
        <f>IF('Técnicas de Ki'!AR133&lt;&gt;"",'Técnicas de Ki'!AQ133&amp;" "&amp;'Técnicas de Ki'!AR133,"")</f>
        <v/>
      </c>
      <c r="BZ233" s="302" t="b">
        <f t="shared" si="50"/>
        <v>0</v>
      </c>
      <c r="CA233" s="302" t="str">
        <f t="shared" si="46"/>
        <v/>
      </c>
      <c r="CT233" s="571" t="str">
        <f>IF('Técnicas de Ki'!BM133&lt;&gt;"",'Técnicas de Ki'!BL133&amp;" "&amp;'Técnicas de Ki'!BM133,"")</f>
        <v/>
      </c>
      <c r="CU233" s="302" t="b">
        <f t="shared" si="51"/>
        <v>0</v>
      </c>
      <c r="CV233" s="302" t="str">
        <f t="shared" si="47"/>
        <v/>
      </c>
    </row>
    <row r="234" spans="1:102" x14ac:dyDescent="0.2">
      <c r="A234" s="302" t="s">
        <v>6897</v>
      </c>
      <c r="B234" s="302" t="s">
        <v>6910</v>
      </c>
      <c r="C234" s="302" t="str">
        <f t="shared" si="43"/>
        <v>Ataque a distancia real10 metros</v>
      </c>
      <c r="D234" s="302">
        <v>4</v>
      </c>
      <c r="E234" s="302">
        <v>6</v>
      </c>
      <c r="F234" s="302">
        <v>15</v>
      </c>
      <c r="G234" s="302">
        <v>3</v>
      </c>
      <c r="H234" s="302">
        <v>6</v>
      </c>
      <c r="I234" s="302">
        <v>11</v>
      </c>
      <c r="J234" s="302">
        <v>1</v>
      </c>
      <c r="AI234" s="571" t="str">
        <f>IF('Técnicas de Ki'!B134&lt;&gt;"",'Técnicas de Ki'!A134&amp;" "&amp;'Técnicas de Ki'!B134,"")</f>
        <v/>
      </c>
      <c r="AJ234" s="302" t="b">
        <f t="shared" si="48"/>
        <v>0</v>
      </c>
      <c r="AK234" s="302" t="str">
        <f t="shared" si="44"/>
        <v/>
      </c>
      <c r="BD234" s="571" t="str">
        <f>IF('Técnicas de Ki'!W134&lt;&gt;"",'Técnicas de Ki'!V134&amp;" "&amp;'Técnicas de Ki'!W134,"")</f>
        <v/>
      </c>
      <c r="BE234" s="302" t="b">
        <f t="shared" si="49"/>
        <v>0</v>
      </c>
      <c r="BF234" s="302" t="str">
        <f t="shared" si="45"/>
        <v/>
      </c>
      <c r="BY234" s="571" t="str">
        <f>IF('Técnicas de Ki'!AR134&lt;&gt;"",'Técnicas de Ki'!AQ134&amp;" "&amp;'Técnicas de Ki'!AR134,"")</f>
        <v/>
      </c>
      <c r="BZ234" s="302" t="b">
        <f t="shared" si="50"/>
        <v>0</v>
      </c>
      <c r="CA234" s="302" t="str">
        <f t="shared" si="46"/>
        <v/>
      </c>
      <c r="CT234" s="571" t="str">
        <f>IF('Técnicas de Ki'!BM134&lt;&gt;"",'Técnicas de Ki'!BL134&amp;" "&amp;'Técnicas de Ki'!BM134,"")</f>
        <v/>
      </c>
      <c r="CU234" s="302" t="b">
        <f t="shared" si="51"/>
        <v>0</v>
      </c>
      <c r="CV234" s="302" t="str">
        <f t="shared" si="47"/>
        <v/>
      </c>
    </row>
    <row r="235" spans="1:102" x14ac:dyDescent="0.2">
      <c r="A235" s="302" t="s">
        <v>6897</v>
      </c>
      <c r="B235" s="302" t="s">
        <v>6911</v>
      </c>
      <c r="C235" s="302" t="str">
        <f t="shared" si="43"/>
        <v>Ataque a distancia real20 metros</v>
      </c>
      <c r="D235" s="302">
        <v>6</v>
      </c>
      <c r="E235" s="302">
        <v>9</v>
      </c>
      <c r="F235" s="302">
        <v>20</v>
      </c>
      <c r="G235" s="302">
        <v>4</v>
      </c>
      <c r="H235" s="302">
        <v>8</v>
      </c>
      <c r="I235" s="302">
        <v>14</v>
      </c>
      <c r="J235" s="302">
        <v>1</v>
      </c>
      <c r="AI235" s="571" t="str">
        <f>IF('Técnicas de Ki'!B135&lt;&gt;"",'Técnicas de Ki'!A135&amp;" "&amp;'Técnicas de Ki'!B135,"")</f>
        <v/>
      </c>
      <c r="AJ235" s="302" t="b">
        <f t="shared" si="48"/>
        <v>0</v>
      </c>
      <c r="AK235" s="302" t="str">
        <f t="shared" si="44"/>
        <v/>
      </c>
      <c r="BD235" s="571" t="str">
        <f>IF('Técnicas de Ki'!W135&lt;&gt;"",'Técnicas de Ki'!V135&amp;" "&amp;'Técnicas de Ki'!W135,"")</f>
        <v/>
      </c>
      <c r="BE235" s="302" t="b">
        <f t="shared" si="49"/>
        <v>0</v>
      </c>
      <c r="BF235" s="302" t="str">
        <f t="shared" si="45"/>
        <v/>
      </c>
      <c r="BY235" s="571" t="str">
        <f>IF('Técnicas de Ki'!AR135&lt;&gt;"",'Técnicas de Ki'!AQ135&amp;" "&amp;'Técnicas de Ki'!AR135,"")</f>
        <v/>
      </c>
      <c r="BZ235" s="302" t="b">
        <f t="shared" si="50"/>
        <v>0</v>
      </c>
      <c r="CA235" s="302" t="str">
        <f t="shared" si="46"/>
        <v/>
      </c>
      <c r="CT235" s="571" t="str">
        <f>IF('Técnicas de Ki'!BM135&lt;&gt;"",'Técnicas de Ki'!BL135&amp;" "&amp;'Técnicas de Ki'!BM135,"")</f>
        <v/>
      </c>
      <c r="CU235" s="302" t="b">
        <f t="shared" si="51"/>
        <v>0</v>
      </c>
      <c r="CV235" s="302" t="str">
        <f t="shared" si="47"/>
        <v/>
      </c>
    </row>
    <row r="236" spans="1:102" x14ac:dyDescent="0.2">
      <c r="A236" s="302" t="s">
        <v>6897</v>
      </c>
      <c r="B236" s="302" t="s">
        <v>6912</v>
      </c>
      <c r="C236" s="302" t="str">
        <f t="shared" si="43"/>
        <v>Ataque a distancia real50 metros</v>
      </c>
      <c r="D236" s="302">
        <v>8</v>
      </c>
      <c r="E236" s="302">
        <v>11</v>
      </c>
      <c r="F236" s="302">
        <v>25</v>
      </c>
      <c r="G236" s="302">
        <v>5</v>
      </c>
      <c r="H236" s="302">
        <v>10</v>
      </c>
      <c r="I236" s="302">
        <v>18</v>
      </c>
      <c r="J236" s="302">
        <v>1</v>
      </c>
      <c r="AI236" s="571" t="str">
        <f>IF('Técnicas de Ki'!B136&lt;&gt;"",'Técnicas de Ki'!A136&amp;" "&amp;'Técnicas de Ki'!B136,"")</f>
        <v/>
      </c>
      <c r="AJ236" s="302" t="b">
        <f t="shared" si="48"/>
        <v>0</v>
      </c>
      <c r="AK236" s="302" t="str">
        <f t="shared" si="44"/>
        <v/>
      </c>
      <c r="BD236" s="571" t="str">
        <f>IF('Técnicas de Ki'!W136&lt;&gt;"",'Técnicas de Ki'!V136&amp;" "&amp;'Técnicas de Ki'!W136,"")</f>
        <v/>
      </c>
      <c r="BE236" s="302" t="b">
        <f t="shared" si="49"/>
        <v>0</v>
      </c>
      <c r="BF236" s="302" t="str">
        <f t="shared" si="45"/>
        <v/>
      </c>
      <c r="BY236" s="571" t="str">
        <f>IF('Técnicas de Ki'!AR136&lt;&gt;"",'Técnicas de Ki'!AQ136&amp;" "&amp;'Técnicas de Ki'!AR136,"")</f>
        <v/>
      </c>
      <c r="BZ236" s="302" t="b">
        <f t="shared" si="50"/>
        <v>0</v>
      </c>
      <c r="CA236" s="302" t="str">
        <f t="shared" si="46"/>
        <v/>
      </c>
      <c r="CT236" s="571" t="str">
        <f>IF('Técnicas de Ki'!BM136&lt;&gt;"",'Técnicas de Ki'!BL136&amp;" "&amp;'Técnicas de Ki'!BM136,"")</f>
        <v/>
      </c>
      <c r="CU236" s="302" t="b">
        <f t="shared" si="51"/>
        <v>0</v>
      </c>
      <c r="CV236" s="302" t="str">
        <f t="shared" si="47"/>
        <v/>
      </c>
    </row>
    <row r="237" spans="1:102" x14ac:dyDescent="0.2">
      <c r="A237" s="302" t="s">
        <v>6897</v>
      </c>
      <c r="B237" s="302" t="s">
        <v>6913</v>
      </c>
      <c r="C237" s="302" t="str">
        <f t="shared" si="43"/>
        <v>Ataque a distancia real100 metros</v>
      </c>
      <c r="D237" s="302">
        <v>10</v>
      </c>
      <c r="E237" s="302">
        <v>13</v>
      </c>
      <c r="F237" s="302">
        <v>35</v>
      </c>
      <c r="G237" s="302">
        <v>6</v>
      </c>
      <c r="H237" s="302">
        <v>12</v>
      </c>
      <c r="I237" s="302">
        <v>21</v>
      </c>
      <c r="J237" s="302">
        <v>2</v>
      </c>
      <c r="AI237" s="571" t="str">
        <f>IF('Técnicas de Ki'!B137&lt;&gt;"",'Técnicas de Ki'!A137&amp;" "&amp;'Técnicas de Ki'!B137,"")</f>
        <v/>
      </c>
      <c r="AJ237" s="302" t="b">
        <f t="shared" si="48"/>
        <v>0</v>
      </c>
      <c r="AK237" s="302" t="str">
        <f t="shared" si="44"/>
        <v/>
      </c>
      <c r="BD237" s="571" t="str">
        <f>IF('Técnicas de Ki'!W137&lt;&gt;"",'Técnicas de Ki'!V137&amp;" "&amp;'Técnicas de Ki'!W137,"")</f>
        <v/>
      </c>
      <c r="BE237" s="302" t="b">
        <f t="shared" si="49"/>
        <v>0</v>
      </c>
      <c r="BF237" s="302" t="str">
        <f t="shared" si="45"/>
        <v/>
      </c>
      <c r="BY237" s="571" t="str">
        <f>IF('Técnicas de Ki'!AR137&lt;&gt;"",'Técnicas de Ki'!AQ137&amp;" "&amp;'Técnicas de Ki'!AR137,"")</f>
        <v/>
      </c>
      <c r="BZ237" s="302" t="b">
        <f t="shared" si="50"/>
        <v>0</v>
      </c>
      <c r="CA237" s="302" t="str">
        <f t="shared" si="46"/>
        <v/>
      </c>
      <c r="CT237" s="571" t="str">
        <f>IF('Técnicas de Ki'!BM137&lt;&gt;"",'Técnicas de Ki'!BL137&amp;" "&amp;'Técnicas de Ki'!BM137,"")</f>
        <v/>
      </c>
      <c r="CU237" s="302" t="b">
        <f t="shared" si="51"/>
        <v>0</v>
      </c>
      <c r="CV237" s="302" t="str">
        <f t="shared" si="47"/>
        <v/>
      </c>
    </row>
    <row r="238" spans="1:102" x14ac:dyDescent="0.2">
      <c r="A238" s="302" t="s">
        <v>6897</v>
      </c>
      <c r="B238" s="302" t="s">
        <v>6914</v>
      </c>
      <c r="C238" s="302" t="str">
        <f t="shared" si="43"/>
        <v>Ataque a distancia real250 metros</v>
      </c>
      <c r="D238" s="302">
        <v>12</v>
      </c>
      <c r="E238" s="302">
        <v>15</v>
      </c>
      <c r="F238" s="302">
        <v>45</v>
      </c>
      <c r="G238" s="302">
        <v>8</v>
      </c>
      <c r="H238" s="302">
        <v>16</v>
      </c>
      <c r="I238" s="302">
        <v>28</v>
      </c>
      <c r="J238" s="302">
        <v>2</v>
      </c>
      <c r="AI238" s="571" t="str">
        <f>IF('Técnicas de Ki'!B138&lt;&gt;"",'Técnicas de Ki'!A138&amp;" "&amp;'Técnicas de Ki'!B138,"")</f>
        <v/>
      </c>
      <c r="AJ238" s="302" t="b">
        <f t="shared" si="48"/>
        <v>0</v>
      </c>
      <c r="AK238" s="302" t="str">
        <f t="shared" si="44"/>
        <v/>
      </c>
      <c r="BD238" s="571" t="str">
        <f>IF('Técnicas de Ki'!W138&lt;&gt;"",'Técnicas de Ki'!V138&amp;" "&amp;'Técnicas de Ki'!W138,"")</f>
        <v/>
      </c>
      <c r="BE238" s="302" t="b">
        <f t="shared" si="49"/>
        <v>0</v>
      </c>
      <c r="BF238" s="302" t="str">
        <f t="shared" si="45"/>
        <v/>
      </c>
      <c r="BY238" s="571" t="str">
        <f>IF('Técnicas de Ki'!AR138&lt;&gt;"",'Técnicas de Ki'!AQ138&amp;" "&amp;'Técnicas de Ki'!AR138,"")</f>
        <v/>
      </c>
      <c r="BZ238" s="302" t="b">
        <f t="shared" si="50"/>
        <v>0</v>
      </c>
      <c r="CA238" s="302" t="str">
        <f t="shared" si="46"/>
        <v/>
      </c>
      <c r="CT238" s="571" t="str">
        <f>IF('Técnicas de Ki'!BM138&lt;&gt;"",'Técnicas de Ki'!BL138&amp;" "&amp;'Técnicas de Ki'!BM138,"")</f>
        <v/>
      </c>
      <c r="CU238" s="302" t="b">
        <f t="shared" si="51"/>
        <v>0</v>
      </c>
      <c r="CV238" s="302" t="str">
        <f t="shared" si="47"/>
        <v/>
      </c>
    </row>
    <row r="239" spans="1:102" x14ac:dyDescent="0.2">
      <c r="A239" s="302" t="s">
        <v>6897</v>
      </c>
      <c r="B239" s="302" t="s">
        <v>6915</v>
      </c>
      <c r="C239" s="302" t="str">
        <f t="shared" si="43"/>
        <v>Ataque a distancia real500 metros</v>
      </c>
      <c r="D239" s="302">
        <v>16</v>
      </c>
      <c r="E239" s="302">
        <v>20</v>
      </c>
      <c r="F239" s="302">
        <v>55</v>
      </c>
      <c r="G239" s="302">
        <v>10</v>
      </c>
      <c r="H239" s="302">
        <v>20</v>
      </c>
      <c r="I239" s="302">
        <v>35</v>
      </c>
      <c r="J239" s="302">
        <v>2</v>
      </c>
      <c r="AI239" s="571" t="str">
        <f>IF('Técnicas de Ki'!B139&lt;&gt;"",'Técnicas de Ki'!A139&amp;" "&amp;'Técnicas de Ki'!B139,"")</f>
        <v/>
      </c>
      <c r="AJ239" s="302" t="b">
        <f t="shared" si="48"/>
        <v>0</v>
      </c>
      <c r="AK239" s="302" t="str">
        <f t="shared" si="44"/>
        <v/>
      </c>
      <c r="BD239" s="571" t="str">
        <f>IF('Técnicas de Ki'!W139&lt;&gt;"",'Técnicas de Ki'!V139&amp;" "&amp;'Técnicas de Ki'!W139,"")</f>
        <v/>
      </c>
      <c r="BE239" s="302" t="b">
        <f t="shared" si="49"/>
        <v>0</v>
      </c>
      <c r="BF239" s="302" t="str">
        <f t="shared" si="45"/>
        <v/>
      </c>
      <c r="BY239" s="571" t="str">
        <f>IF('Técnicas de Ki'!AR139&lt;&gt;"",'Técnicas de Ki'!AQ139&amp;" "&amp;'Técnicas de Ki'!AR139,"")</f>
        <v/>
      </c>
      <c r="BZ239" s="302" t="b">
        <f t="shared" si="50"/>
        <v>0</v>
      </c>
      <c r="CA239" s="302" t="str">
        <f t="shared" si="46"/>
        <v/>
      </c>
      <c r="CT239" s="571" t="str">
        <f>IF('Técnicas de Ki'!BM139&lt;&gt;"",'Técnicas de Ki'!BL139&amp;" "&amp;'Técnicas de Ki'!BM139,"")</f>
        <v/>
      </c>
      <c r="CU239" s="302" t="b">
        <f t="shared" si="51"/>
        <v>0</v>
      </c>
      <c r="CV239" s="302" t="str">
        <f t="shared" si="47"/>
        <v/>
      </c>
    </row>
    <row r="240" spans="1:102" x14ac:dyDescent="0.2">
      <c r="A240" s="302" t="s">
        <v>6897</v>
      </c>
      <c r="B240" s="302" t="s">
        <v>6916</v>
      </c>
      <c r="C240" s="302" t="str">
        <f>A240&amp;B240</f>
        <v>Ataque a distancia real1 kilómetro</v>
      </c>
      <c r="D240" s="302">
        <v>20</v>
      </c>
      <c r="E240" s="302">
        <v>24</v>
      </c>
      <c r="F240" s="302">
        <v>70</v>
      </c>
      <c r="G240" s="302">
        <v>12</v>
      </c>
      <c r="H240" s="302">
        <v>24</v>
      </c>
      <c r="I240" s="302">
        <v>42</v>
      </c>
      <c r="J240" s="302">
        <v>3</v>
      </c>
      <c r="AI240" s="571" t="str">
        <f>IF('Técnicas de Ki'!B140&lt;&gt;"",'Técnicas de Ki'!A140&amp;" "&amp;'Técnicas de Ki'!B140,"")</f>
        <v/>
      </c>
      <c r="AJ240" s="302" t="b">
        <f t="shared" si="48"/>
        <v>0</v>
      </c>
      <c r="AK240" s="302" t="str">
        <f t="shared" si="44"/>
        <v/>
      </c>
      <c r="BD240" s="571" t="str">
        <f>IF('Técnicas de Ki'!W140&lt;&gt;"",'Técnicas de Ki'!V140&amp;" "&amp;'Técnicas de Ki'!W140,"")</f>
        <v/>
      </c>
      <c r="BE240" s="302" t="b">
        <f t="shared" si="49"/>
        <v>0</v>
      </c>
      <c r="BF240" s="302" t="str">
        <f t="shared" si="45"/>
        <v/>
      </c>
      <c r="BY240" s="571" t="str">
        <f>IF('Técnicas de Ki'!AR140&lt;&gt;"",'Técnicas de Ki'!AQ140&amp;" "&amp;'Técnicas de Ki'!AR140,"")</f>
        <v/>
      </c>
      <c r="BZ240" s="302" t="b">
        <f t="shared" si="50"/>
        <v>0</v>
      </c>
      <c r="CA240" s="302" t="str">
        <f t="shared" si="46"/>
        <v/>
      </c>
      <c r="CT240" s="571" t="str">
        <f>IF('Técnicas de Ki'!BM140&lt;&gt;"",'Técnicas de Ki'!BL140&amp;" "&amp;'Técnicas de Ki'!BM140,"")</f>
        <v/>
      </c>
      <c r="CU240" s="302" t="b">
        <f t="shared" si="51"/>
        <v>0</v>
      </c>
      <c r="CV240" s="302" t="str">
        <f t="shared" si="47"/>
        <v/>
      </c>
    </row>
    <row r="241" spans="1:100" x14ac:dyDescent="0.2">
      <c r="A241" s="302" t="s">
        <v>6898</v>
      </c>
      <c r="B241" s="302" t="s">
        <v>6920</v>
      </c>
      <c r="C241" s="302" t="str">
        <f t="shared" ref="C241:C246" si="81">A241&amp;B241</f>
        <v>Ataque con área1 metro</v>
      </c>
      <c r="D241" s="302">
        <v>1</v>
      </c>
      <c r="E241" s="302">
        <v>2</v>
      </c>
      <c r="F241" s="302">
        <v>5</v>
      </c>
      <c r="G241" s="302">
        <v>1</v>
      </c>
      <c r="H241" s="302">
        <v>2</v>
      </c>
      <c r="I241" s="302">
        <v>4</v>
      </c>
      <c r="J241" s="302">
        <v>1</v>
      </c>
      <c r="AI241" s="571" t="str">
        <f>IF('Técnicas de Ki'!B141&lt;&gt;"",'Técnicas de Ki'!A141&amp;" "&amp;'Técnicas de Ki'!B141,"")</f>
        <v/>
      </c>
      <c r="AJ241" s="302" t="b">
        <f t="shared" si="48"/>
        <v>0</v>
      </c>
      <c r="AK241" s="302" t="str">
        <f t="shared" si="44"/>
        <v/>
      </c>
      <c r="BD241" s="571" t="str">
        <f>IF('Técnicas de Ki'!W141&lt;&gt;"",'Técnicas de Ki'!V141&amp;" "&amp;'Técnicas de Ki'!W141,"")</f>
        <v/>
      </c>
      <c r="BE241" s="302" t="b">
        <f t="shared" si="49"/>
        <v>0</v>
      </c>
      <c r="BF241" s="302" t="str">
        <f t="shared" si="45"/>
        <v/>
      </c>
      <c r="BY241" s="571" t="str">
        <f>IF('Técnicas de Ki'!AR141&lt;&gt;"",'Técnicas de Ki'!AQ141&amp;" "&amp;'Técnicas de Ki'!AR141,"")</f>
        <v/>
      </c>
      <c r="BZ241" s="302" t="b">
        <f t="shared" si="50"/>
        <v>0</v>
      </c>
      <c r="CA241" s="302" t="str">
        <f t="shared" si="46"/>
        <v/>
      </c>
      <c r="CT241" s="571" t="str">
        <f>IF('Técnicas de Ki'!BM141&lt;&gt;"",'Técnicas de Ki'!BL141&amp;" "&amp;'Técnicas de Ki'!BM141,"")</f>
        <v/>
      </c>
      <c r="CU241" s="302" t="b">
        <f t="shared" si="51"/>
        <v>0</v>
      </c>
      <c r="CV241" s="302" t="str">
        <f t="shared" si="47"/>
        <v/>
      </c>
    </row>
    <row r="242" spans="1:100" x14ac:dyDescent="0.2">
      <c r="A242" s="302" t="s">
        <v>6898</v>
      </c>
      <c r="B242" s="302" t="s">
        <v>6906</v>
      </c>
      <c r="C242" s="302" t="str">
        <f t="shared" si="81"/>
        <v>Ataque con área5 metros</v>
      </c>
      <c r="D242" s="302">
        <v>2</v>
      </c>
      <c r="E242" s="302">
        <v>4</v>
      </c>
      <c r="F242" s="302">
        <v>10</v>
      </c>
      <c r="G242" s="302">
        <v>1</v>
      </c>
      <c r="H242" s="302">
        <v>2</v>
      </c>
      <c r="I242" s="302">
        <v>4</v>
      </c>
      <c r="J242" s="302">
        <v>1</v>
      </c>
      <c r="AI242" s="571" t="str">
        <f>IF('Técnicas de Ki'!B142&lt;&gt;"",'Técnicas de Ki'!A142&amp;" "&amp;'Técnicas de Ki'!B142,"")</f>
        <v/>
      </c>
      <c r="AJ242" s="302" t="b">
        <f t="shared" si="48"/>
        <v>0</v>
      </c>
      <c r="AK242" s="302" t="str">
        <f t="shared" si="44"/>
        <v/>
      </c>
      <c r="BD242" s="571" t="str">
        <f>IF('Técnicas de Ki'!W142&lt;&gt;"",'Técnicas de Ki'!V142&amp;" "&amp;'Técnicas de Ki'!W142,"")</f>
        <v/>
      </c>
      <c r="BE242" s="302" t="b">
        <f t="shared" si="49"/>
        <v>0</v>
      </c>
      <c r="BF242" s="302" t="str">
        <f t="shared" si="45"/>
        <v/>
      </c>
      <c r="BY242" s="571" t="str">
        <f>IF('Técnicas de Ki'!AR142&lt;&gt;"",'Técnicas de Ki'!AQ142&amp;" "&amp;'Técnicas de Ki'!AR142,"")</f>
        <v/>
      </c>
      <c r="BZ242" s="302" t="b">
        <f t="shared" si="50"/>
        <v>0</v>
      </c>
      <c r="CA242" s="302" t="str">
        <f t="shared" si="46"/>
        <v/>
      </c>
      <c r="CT242" s="571" t="str">
        <f>IF('Técnicas de Ki'!BM142&lt;&gt;"",'Técnicas de Ki'!BL142&amp;" "&amp;'Técnicas de Ki'!BM142,"")</f>
        <v/>
      </c>
      <c r="CU242" s="302" t="b">
        <f t="shared" si="51"/>
        <v>0</v>
      </c>
      <c r="CV242" s="302" t="str">
        <f t="shared" si="47"/>
        <v/>
      </c>
    </row>
    <row r="243" spans="1:100" x14ac:dyDescent="0.2">
      <c r="A243" s="302" t="s">
        <v>6898</v>
      </c>
      <c r="B243" s="302" t="s">
        <v>6910</v>
      </c>
      <c r="C243" s="302" t="str">
        <f t="shared" si="81"/>
        <v>Ataque con área10 metros</v>
      </c>
      <c r="D243" s="302">
        <v>3</v>
      </c>
      <c r="E243" s="302">
        <v>5</v>
      </c>
      <c r="F243" s="302">
        <v>15</v>
      </c>
      <c r="G243" s="302">
        <v>2</v>
      </c>
      <c r="H243" s="302">
        <v>4</v>
      </c>
      <c r="I243" s="302">
        <v>7</v>
      </c>
      <c r="J243" s="302">
        <v>1</v>
      </c>
      <c r="AI243" s="571" t="str">
        <f>IF('Técnicas de Ki'!B143&lt;&gt;"",'Técnicas de Ki'!A143&amp;" "&amp;'Técnicas de Ki'!B143,"")</f>
        <v/>
      </c>
      <c r="AJ243" s="302" t="b">
        <f t="shared" si="48"/>
        <v>0</v>
      </c>
      <c r="AK243" s="302" t="str">
        <f t="shared" si="44"/>
        <v/>
      </c>
      <c r="BD243" s="571" t="str">
        <f>IF('Técnicas de Ki'!W143&lt;&gt;"",'Técnicas de Ki'!V143&amp;" "&amp;'Técnicas de Ki'!W143,"")</f>
        <v/>
      </c>
      <c r="BE243" s="302" t="b">
        <f t="shared" si="49"/>
        <v>0</v>
      </c>
      <c r="BF243" s="302" t="str">
        <f t="shared" si="45"/>
        <v/>
      </c>
      <c r="BY243" s="571" t="str">
        <f>IF('Técnicas de Ki'!AR143&lt;&gt;"",'Técnicas de Ki'!AQ143&amp;" "&amp;'Técnicas de Ki'!AR143,"")</f>
        <v/>
      </c>
      <c r="BZ243" s="302" t="b">
        <f t="shared" si="50"/>
        <v>0</v>
      </c>
      <c r="CA243" s="302" t="str">
        <f t="shared" si="46"/>
        <v/>
      </c>
      <c r="CT243" s="571" t="str">
        <f>IF('Técnicas de Ki'!BM143&lt;&gt;"",'Técnicas de Ki'!BL143&amp;" "&amp;'Técnicas de Ki'!BM143,"")</f>
        <v/>
      </c>
      <c r="CU243" s="302" t="b">
        <f t="shared" si="51"/>
        <v>0</v>
      </c>
      <c r="CV243" s="302" t="str">
        <f t="shared" si="47"/>
        <v/>
      </c>
    </row>
    <row r="244" spans="1:100" x14ac:dyDescent="0.2">
      <c r="A244" s="302" t="s">
        <v>6898</v>
      </c>
      <c r="B244" s="302" t="s">
        <v>6921</v>
      </c>
      <c r="C244" s="302" t="str">
        <f t="shared" si="81"/>
        <v>Ataque con área25 metros</v>
      </c>
      <c r="D244" s="302">
        <v>4</v>
      </c>
      <c r="E244" s="302">
        <v>6</v>
      </c>
      <c r="F244" s="302">
        <v>20</v>
      </c>
      <c r="G244" s="302">
        <v>3</v>
      </c>
      <c r="H244" s="302">
        <v>6</v>
      </c>
      <c r="I244" s="302">
        <v>11</v>
      </c>
      <c r="J244" s="302">
        <v>1</v>
      </c>
      <c r="AI244" s="571" t="str">
        <f>IF('Técnicas de Ki'!B144&lt;&gt;"",'Técnicas de Ki'!A144&amp;" "&amp;'Técnicas de Ki'!B144,"")</f>
        <v/>
      </c>
      <c r="AJ244" s="302" t="b">
        <f t="shared" si="48"/>
        <v>0</v>
      </c>
      <c r="AK244" s="302" t="str">
        <f t="shared" si="44"/>
        <v/>
      </c>
      <c r="BD244" s="571" t="str">
        <f>IF('Técnicas de Ki'!W144&lt;&gt;"",'Técnicas de Ki'!V144&amp;" "&amp;'Técnicas de Ki'!W144,"")</f>
        <v/>
      </c>
      <c r="BE244" s="302" t="b">
        <f t="shared" si="49"/>
        <v>0</v>
      </c>
      <c r="BF244" s="302" t="str">
        <f t="shared" si="45"/>
        <v/>
      </c>
      <c r="BY244" s="571" t="str">
        <f>IF('Técnicas de Ki'!AR144&lt;&gt;"",'Técnicas de Ki'!AQ144&amp;" "&amp;'Técnicas de Ki'!AR144,"")</f>
        <v/>
      </c>
      <c r="BZ244" s="302" t="b">
        <f t="shared" si="50"/>
        <v>0</v>
      </c>
      <c r="CA244" s="302" t="str">
        <f t="shared" si="46"/>
        <v/>
      </c>
      <c r="CT244" s="571" t="str">
        <f>IF('Técnicas de Ki'!BM144&lt;&gt;"",'Técnicas de Ki'!BL144&amp;" "&amp;'Técnicas de Ki'!BM144,"")</f>
        <v/>
      </c>
      <c r="CU244" s="302" t="b">
        <f t="shared" si="51"/>
        <v>0</v>
      </c>
      <c r="CV244" s="302" t="str">
        <f t="shared" si="47"/>
        <v/>
      </c>
    </row>
    <row r="245" spans="1:100" x14ac:dyDescent="0.2">
      <c r="A245" s="302" t="s">
        <v>6898</v>
      </c>
      <c r="B245" s="302" t="s">
        <v>6912</v>
      </c>
      <c r="C245" s="302" t="str">
        <f t="shared" si="81"/>
        <v>Ataque con área50 metros</v>
      </c>
      <c r="D245" s="302">
        <v>6</v>
      </c>
      <c r="E245" s="302">
        <v>9</v>
      </c>
      <c r="F245" s="302">
        <v>25</v>
      </c>
      <c r="G245" s="302">
        <v>4</v>
      </c>
      <c r="H245" s="302">
        <v>8</v>
      </c>
      <c r="I245" s="302">
        <v>14</v>
      </c>
      <c r="J245" s="302">
        <v>2</v>
      </c>
      <c r="AI245" s="571" t="str">
        <f>IF('Técnicas de Ki'!B145&lt;&gt;"",'Técnicas de Ki'!A145&amp;" "&amp;'Técnicas de Ki'!B145,"")</f>
        <v/>
      </c>
      <c r="AJ245" s="302" t="b">
        <f t="shared" si="48"/>
        <v>0</v>
      </c>
      <c r="AK245" s="302" t="str">
        <f t="shared" si="44"/>
        <v/>
      </c>
      <c r="BD245" s="571" t="str">
        <f>IF('Técnicas de Ki'!W145&lt;&gt;"",'Técnicas de Ki'!V145&amp;" "&amp;'Técnicas de Ki'!W145,"")</f>
        <v/>
      </c>
      <c r="BE245" s="302" t="b">
        <f t="shared" si="49"/>
        <v>0</v>
      </c>
      <c r="BF245" s="302" t="str">
        <f t="shared" si="45"/>
        <v/>
      </c>
      <c r="BY245" s="571" t="str">
        <f>IF('Técnicas de Ki'!AR145&lt;&gt;"",'Técnicas de Ki'!AQ145&amp;" "&amp;'Técnicas de Ki'!AR145,"")</f>
        <v/>
      </c>
      <c r="BZ245" s="302" t="b">
        <f t="shared" si="50"/>
        <v>0</v>
      </c>
      <c r="CA245" s="302" t="str">
        <f t="shared" si="46"/>
        <v/>
      </c>
      <c r="CT245" s="571" t="str">
        <f>IF('Técnicas de Ki'!BM145&lt;&gt;"",'Técnicas de Ki'!BL145&amp;" "&amp;'Técnicas de Ki'!BM145,"")</f>
        <v/>
      </c>
      <c r="CU245" s="302" t="b">
        <f t="shared" si="51"/>
        <v>0</v>
      </c>
      <c r="CV245" s="302" t="str">
        <f t="shared" si="47"/>
        <v/>
      </c>
    </row>
    <row r="246" spans="1:100" x14ac:dyDescent="0.2">
      <c r="A246" s="302" t="s">
        <v>6898</v>
      </c>
      <c r="B246" s="302" t="s">
        <v>6913</v>
      </c>
      <c r="C246" s="302" t="str">
        <f t="shared" si="81"/>
        <v>Ataque con área100 metros</v>
      </c>
      <c r="D246" s="302">
        <v>8</v>
      </c>
      <c r="E246" s="302">
        <v>11</v>
      </c>
      <c r="F246" s="302">
        <v>30</v>
      </c>
      <c r="G246" s="302">
        <v>5</v>
      </c>
      <c r="H246" s="302">
        <v>10</v>
      </c>
      <c r="I246" s="302">
        <v>18</v>
      </c>
      <c r="J246" s="302">
        <v>2</v>
      </c>
      <c r="AI246" s="571" t="str">
        <f>IF('Técnicas de Ki'!B146&lt;&gt;"",'Técnicas de Ki'!A146&amp;" "&amp;'Técnicas de Ki'!B146,"")</f>
        <v/>
      </c>
      <c r="AJ246" s="302" t="b">
        <f t="shared" si="48"/>
        <v>0</v>
      </c>
      <c r="AK246" s="302" t="str">
        <f t="shared" si="44"/>
        <v/>
      </c>
      <c r="BD246" s="571" t="str">
        <f>IF('Técnicas de Ki'!W146&lt;&gt;"",'Técnicas de Ki'!V146&amp;" "&amp;'Técnicas de Ki'!W146,"")</f>
        <v/>
      </c>
      <c r="BE246" s="302" t="b">
        <f t="shared" si="49"/>
        <v>0</v>
      </c>
      <c r="BF246" s="302" t="str">
        <f t="shared" si="45"/>
        <v/>
      </c>
      <c r="BY246" s="571" t="str">
        <f>IF('Técnicas de Ki'!AR146&lt;&gt;"",'Técnicas de Ki'!AQ146&amp;" "&amp;'Técnicas de Ki'!AR146,"")</f>
        <v/>
      </c>
      <c r="BZ246" s="302" t="b">
        <f t="shared" si="50"/>
        <v>0</v>
      </c>
      <c r="CA246" s="302" t="str">
        <f t="shared" si="46"/>
        <v/>
      </c>
      <c r="CT246" s="571" t="str">
        <f>IF('Técnicas de Ki'!BM146&lt;&gt;"",'Técnicas de Ki'!BL146&amp;" "&amp;'Técnicas de Ki'!BM146,"")</f>
        <v/>
      </c>
      <c r="CU246" s="302" t="b">
        <f t="shared" si="51"/>
        <v>0</v>
      </c>
      <c r="CV246" s="302" t="str">
        <f t="shared" si="47"/>
        <v/>
      </c>
    </row>
    <row r="247" spans="1:100" x14ac:dyDescent="0.2">
      <c r="A247" s="302" t="s">
        <v>6898</v>
      </c>
      <c r="B247" s="302" t="s">
        <v>6915</v>
      </c>
      <c r="C247" s="302" t="str">
        <f>A247&amp;B247</f>
        <v>Ataque con área500 metros</v>
      </c>
      <c r="D247" s="302">
        <v>10</v>
      </c>
      <c r="E247" s="302">
        <v>13</v>
      </c>
      <c r="F247" s="302">
        <v>40</v>
      </c>
      <c r="G247" s="302">
        <v>6</v>
      </c>
      <c r="H247" s="302">
        <v>12</v>
      </c>
      <c r="I247" s="302">
        <v>21</v>
      </c>
      <c r="J247" s="302">
        <v>2</v>
      </c>
      <c r="AI247" s="571" t="str">
        <f>IF('Técnicas de Ki'!B147&lt;&gt;"",'Técnicas de Ki'!A147&amp;" "&amp;'Técnicas de Ki'!B147,"")</f>
        <v/>
      </c>
      <c r="AJ247" s="302" t="b">
        <f t="shared" si="48"/>
        <v>0</v>
      </c>
      <c r="AK247" s="302" t="str">
        <f t="shared" si="44"/>
        <v/>
      </c>
      <c r="BD247" s="571" t="str">
        <f>IF('Técnicas de Ki'!W147&lt;&gt;"",'Técnicas de Ki'!V147&amp;" "&amp;'Técnicas de Ki'!W147,"")</f>
        <v/>
      </c>
      <c r="BE247" s="302" t="b">
        <f t="shared" si="49"/>
        <v>0</v>
      </c>
      <c r="BF247" s="302" t="str">
        <f t="shared" si="45"/>
        <v/>
      </c>
      <c r="BY247" s="571" t="str">
        <f>IF('Técnicas de Ki'!AR147&lt;&gt;"",'Técnicas de Ki'!AQ147&amp;" "&amp;'Técnicas de Ki'!AR147,"")</f>
        <v/>
      </c>
      <c r="BZ247" s="302" t="b">
        <f t="shared" si="50"/>
        <v>0</v>
      </c>
      <c r="CA247" s="302" t="str">
        <f t="shared" si="46"/>
        <v/>
      </c>
      <c r="CT247" s="571" t="str">
        <f>IF('Técnicas de Ki'!BM147&lt;&gt;"",'Técnicas de Ki'!BL147&amp;" "&amp;'Técnicas de Ki'!BM147,"")</f>
        <v/>
      </c>
      <c r="CU247" s="302" t="b">
        <f t="shared" si="51"/>
        <v>0</v>
      </c>
      <c r="CV247" s="302" t="str">
        <f t="shared" si="47"/>
        <v/>
      </c>
    </row>
    <row r="248" spans="1:100" ht="13.5" thickBot="1" x14ac:dyDescent="0.25">
      <c r="A248" s="302" t="s">
        <v>6898</v>
      </c>
      <c r="B248" s="302" t="s">
        <v>6916</v>
      </c>
      <c r="C248" s="302" t="str">
        <f>A248&amp;B248</f>
        <v>Ataque con área1 kilómetro</v>
      </c>
      <c r="D248" s="302">
        <v>12</v>
      </c>
      <c r="E248" s="302">
        <v>15</v>
      </c>
      <c r="F248" s="302">
        <v>50</v>
      </c>
      <c r="G248" s="302">
        <v>8</v>
      </c>
      <c r="H248" s="302">
        <v>16</v>
      </c>
      <c r="I248" s="302">
        <v>28</v>
      </c>
      <c r="J248" s="302">
        <v>3</v>
      </c>
      <c r="AI248" s="572" t="str">
        <f>IF('Técnicas de Ki'!B148&lt;&gt;"",'Técnicas de Ki'!A148&amp;" "&amp;'Técnicas de Ki'!B148,"")</f>
        <v/>
      </c>
      <c r="AJ248" s="302" t="b">
        <f t="shared" si="48"/>
        <v>0</v>
      </c>
      <c r="AK248" s="302" t="str">
        <f t="shared" si="44"/>
        <v/>
      </c>
      <c r="BD248" s="572" t="str">
        <f>IF('Técnicas de Ki'!W148&lt;&gt;"",'Técnicas de Ki'!V148&amp;" "&amp;'Técnicas de Ki'!W148,"")</f>
        <v/>
      </c>
      <c r="BE248" s="302" t="b">
        <f t="shared" si="49"/>
        <v>0</v>
      </c>
      <c r="BF248" s="302" t="str">
        <f t="shared" si="45"/>
        <v/>
      </c>
      <c r="BY248" s="572" t="str">
        <f>IF('Técnicas de Ki'!AR148&lt;&gt;"",'Técnicas de Ki'!AQ148&amp;" "&amp;'Técnicas de Ki'!AR148,"")</f>
        <v/>
      </c>
      <c r="BZ248" s="302" t="b">
        <f t="shared" si="50"/>
        <v>0</v>
      </c>
      <c r="CA248" s="302" t="str">
        <f t="shared" si="46"/>
        <v/>
      </c>
      <c r="CT248" s="572" t="str">
        <f>IF('Técnicas de Ki'!BM148&lt;&gt;"",'Técnicas de Ki'!BL148&amp;" "&amp;'Técnicas de Ki'!BM148,"")</f>
        <v/>
      </c>
      <c r="CU248" s="302" t="b">
        <f t="shared" si="51"/>
        <v>0</v>
      </c>
      <c r="CV248" s="302" t="str">
        <f t="shared" si="47"/>
        <v/>
      </c>
    </row>
    <row r="249" spans="1:100" x14ac:dyDescent="0.2">
      <c r="A249" s="302" t="s">
        <v>6898</v>
      </c>
      <c r="B249" s="302" t="s">
        <v>6917</v>
      </c>
      <c r="C249" s="302" t="str">
        <f>A249&amp;B249</f>
        <v>Ataque con área5 kilómetros</v>
      </c>
      <c r="D249" s="302">
        <v>16</v>
      </c>
      <c r="E249" s="302">
        <v>20</v>
      </c>
      <c r="F249" s="302">
        <v>60</v>
      </c>
      <c r="G249" s="302">
        <v>10</v>
      </c>
      <c r="H249" s="302">
        <v>20</v>
      </c>
      <c r="I249" s="302">
        <v>35</v>
      </c>
      <c r="J249" s="302">
        <v>3</v>
      </c>
    </row>
    <row r="250" spans="1:100" x14ac:dyDescent="0.2">
      <c r="A250" s="302" t="s">
        <v>6899</v>
      </c>
      <c r="B250" s="302" t="s">
        <v>6909</v>
      </c>
      <c r="C250" s="302" t="str">
        <f>A249&amp;A250&amp;B250</f>
        <v>Ataque con áreaVentaja opcional: Elección de blancoElección de blanco</v>
      </c>
      <c r="D250" s="302">
        <v>2</v>
      </c>
      <c r="E250" s="302">
        <v>2</v>
      </c>
      <c r="F250" s="302">
        <v>10</v>
      </c>
      <c r="G250" s="302">
        <v>1</v>
      </c>
      <c r="H250" s="302">
        <v>2</v>
      </c>
      <c r="I250" s="302">
        <v>4</v>
      </c>
      <c r="J250" s="302">
        <v>1</v>
      </c>
    </row>
    <row r="251" spans="1:100" x14ac:dyDescent="0.2">
      <c r="A251" s="302" t="s">
        <v>6900</v>
      </c>
      <c r="B251" s="302" t="s">
        <v>6920</v>
      </c>
      <c r="C251" s="302" t="str">
        <f t="shared" ref="C251:C256" si="82">A251&amp;B251</f>
        <v>Ataque con área real1 metro</v>
      </c>
      <c r="D251" s="302">
        <v>2</v>
      </c>
      <c r="E251" s="302">
        <v>4</v>
      </c>
      <c r="F251" s="302">
        <v>10</v>
      </c>
      <c r="G251" s="302">
        <v>2</v>
      </c>
      <c r="H251" s="302">
        <v>4</v>
      </c>
      <c r="I251" s="302">
        <v>7</v>
      </c>
      <c r="J251" s="302">
        <v>1</v>
      </c>
    </row>
    <row r="252" spans="1:100" x14ac:dyDescent="0.2">
      <c r="A252" s="302" t="s">
        <v>6900</v>
      </c>
      <c r="B252" s="302" t="s">
        <v>6906</v>
      </c>
      <c r="C252" s="302" t="str">
        <f t="shared" si="82"/>
        <v>Ataque con área real5 metros</v>
      </c>
      <c r="D252" s="302">
        <v>4</v>
      </c>
      <c r="E252" s="302">
        <v>6</v>
      </c>
      <c r="F252" s="302">
        <v>15</v>
      </c>
      <c r="G252" s="302">
        <v>3</v>
      </c>
      <c r="H252" s="302">
        <v>6</v>
      </c>
      <c r="I252" s="302">
        <v>11</v>
      </c>
      <c r="J252" s="302">
        <v>1</v>
      </c>
    </row>
    <row r="253" spans="1:100" x14ac:dyDescent="0.2">
      <c r="A253" s="302" t="s">
        <v>6900</v>
      </c>
      <c r="B253" s="302" t="s">
        <v>6910</v>
      </c>
      <c r="C253" s="302" t="str">
        <f t="shared" si="82"/>
        <v>Ataque con área real10 metros</v>
      </c>
      <c r="D253" s="302">
        <v>6</v>
      </c>
      <c r="E253" s="302">
        <v>9</v>
      </c>
      <c r="F253" s="302">
        <v>20</v>
      </c>
      <c r="G253" s="302">
        <v>4</v>
      </c>
      <c r="H253" s="302">
        <v>8</v>
      </c>
      <c r="I253" s="302">
        <v>14</v>
      </c>
      <c r="J253" s="302">
        <v>1</v>
      </c>
    </row>
    <row r="254" spans="1:100" x14ac:dyDescent="0.2">
      <c r="A254" s="302" t="s">
        <v>6900</v>
      </c>
      <c r="B254" s="302" t="s">
        <v>6921</v>
      </c>
      <c r="C254" s="302" t="str">
        <f t="shared" si="82"/>
        <v>Ataque con área real25 metros</v>
      </c>
      <c r="D254" s="302">
        <v>8</v>
      </c>
      <c r="E254" s="302">
        <v>11</v>
      </c>
      <c r="F254" s="302">
        <v>30</v>
      </c>
      <c r="G254" s="302">
        <v>5</v>
      </c>
      <c r="H254" s="302">
        <v>10</v>
      </c>
      <c r="I254" s="302">
        <v>18</v>
      </c>
      <c r="J254" s="302">
        <v>2</v>
      </c>
    </row>
    <row r="255" spans="1:100" x14ac:dyDescent="0.2">
      <c r="A255" s="302" t="s">
        <v>6900</v>
      </c>
      <c r="B255" s="302" t="s">
        <v>6912</v>
      </c>
      <c r="C255" s="302" t="str">
        <f t="shared" si="82"/>
        <v>Ataque con área real50 metros</v>
      </c>
      <c r="D255" s="302">
        <v>12</v>
      </c>
      <c r="E255" s="302">
        <v>15</v>
      </c>
      <c r="F255" s="302">
        <v>45</v>
      </c>
      <c r="G255" s="302">
        <v>6</v>
      </c>
      <c r="H255" s="302">
        <v>12</v>
      </c>
      <c r="I255" s="302">
        <v>21</v>
      </c>
      <c r="J255" s="302">
        <v>2</v>
      </c>
    </row>
    <row r="256" spans="1:100" x14ac:dyDescent="0.2">
      <c r="A256" s="302" t="s">
        <v>6900</v>
      </c>
      <c r="B256" s="302" t="s">
        <v>6913</v>
      </c>
      <c r="C256" s="302" t="str">
        <f t="shared" si="82"/>
        <v>Ataque con área real100 metros</v>
      </c>
      <c r="D256" s="302">
        <v>16</v>
      </c>
      <c r="E256" s="302">
        <v>20</v>
      </c>
      <c r="F256" s="302">
        <v>65</v>
      </c>
      <c r="G256" s="302">
        <v>8</v>
      </c>
      <c r="H256" s="302">
        <v>16</v>
      </c>
      <c r="I256" s="302">
        <v>28</v>
      </c>
      <c r="J256" s="302">
        <v>3</v>
      </c>
    </row>
    <row r="257" spans="1:10" x14ac:dyDescent="0.2">
      <c r="A257" s="302" t="s">
        <v>6899</v>
      </c>
      <c r="B257" s="302" t="s">
        <v>6909</v>
      </c>
      <c r="C257" s="302" t="str">
        <f>A256&amp;A257&amp;B257</f>
        <v>Ataque con área realVentaja opcional: Elección de blancoElección de blanco</v>
      </c>
      <c r="D257" s="302">
        <v>2</v>
      </c>
      <c r="E257" s="302">
        <v>2</v>
      </c>
      <c r="F257" s="302">
        <v>10</v>
      </c>
      <c r="G257" s="302">
        <v>1</v>
      </c>
      <c r="H257" s="302">
        <v>2</v>
      </c>
      <c r="I257" s="302">
        <v>4</v>
      </c>
      <c r="J257" s="302">
        <v>1</v>
      </c>
    </row>
    <row r="258" spans="1:10" x14ac:dyDescent="0.2">
      <c r="A258" s="302" t="s">
        <v>6901</v>
      </c>
      <c r="B258" s="302" t="s">
        <v>6920</v>
      </c>
      <c r="C258" s="302" t="str">
        <f>A258&amp;B258</f>
        <v>Parada en área1 metro</v>
      </c>
      <c r="D258" s="302">
        <v>1</v>
      </c>
      <c r="E258" s="302">
        <v>2</v>
      </c>
      <c r="F258" s="302">
        <v>5</v>
      </c>
      <c r="G258" s="302">
        <v>1</v>
      </c>
      <c r="H258" s="302">
        <v>2</v>
      </c>
      <c r="I258" s="302">
        <v>4</v>
      </c>
      <c r="J258" s="302">
        <v>1</v>
      </c>
    </row>
    <row r="259" spans="1:10" x14ac:dyDescent="0.2">
      <c r="A259" s="302" t="s">
        <v>6901</v>
      </c>
      <c r="B259" s="302" t="s">
        <v>6906</v>
      </c>
      <c r="C259" s="302" t="str">
        <f>A259&amp;B259</f>
        <v>Parada en área5 metros</v>
      </c>
      <c r="D259" s="302">
        <v>2</v>
      </c>
      <c r="E259" s="302">
        <v>4</v>
      </c>
      <c r="F259" s="302">
        <v>5</v>
      </c>
      <c r="G259" s="302">
        <v>2</v>
      </c>
      <c r="H259" s="302">
        <v>4</v>
      </c>
      <c r="I259" s="302">
        <v>7</v>
      </c>
      <c r="J259" s="302">
        <v>1</v>
      </c>
    </row>
    <row r="260" spans="1:10" x14ac:dyDescent="0.2">
      <c r="A260" s="302" t="s">
        <v>6901</v>
      </c>
      <c r="B260" s="302" t="s">
        <v>6910</v>
      </c>
      <c r="C260" s="302" t="str">
        <f t="shared" ref="C260:C265" si="83">A260&amp;B260</f>
        <v>Parada en área10 metros</v>
      </c>
      <c r="D260" s="302">
        <v>3</v>
      </c>
      <c r="E260" s="302">
        <v>5</v>
      </c>
      <c r="F260" s="302">
        <v>10</v>
      </c>
      <c r="G260" s="302">
        <v>3</v>
      </c>
      <c r="H260" s="302">
        <v>6</v>
      </c>
      <c r="I260" s="302">
        <v>11</v>
      </c>
      <c r="J260" s="302">
        <v>1</v>
      </c>
    </row>
    <row r="261" spans="1:10" x14ac:dyDescent="0.2">
      <c r="A261" s="302" t="s">
        <v>6901</v>
      </c>
      <c r="B261" s="302" t="s">
        <v>6921</v>
      </c>
      <c r="C261" s="302" t="str">
        <f t="shared" si="83"/>
        <v>Parada en área25 metros</v>
      </c>
      <c r="D261" s="302">
        <v>4</v>
      </c>
      <c r="E261" s="302">
        <v>6</v>
      </c>
      <c r="F261" s="302">
        <v>15</v>
      </c>
      <c r="G261" s="302">
        <v>4</v>
      </c>
      <c r="H261" s="302">
        <v>8</v>
      </c>
      <c r="I261" s="302">
        <v>14</v>
      </c>
      <c r="J261" s="302">
        <v>1</v>
      </c>
    </row>
    <row r="262" spans="1:10" x14ac:dyDescent="0.2">
      <c r="A262" s="302" t="s">
        <v>6901</v>
      </c>
      <c r="B262" s="302" t="s">
        <v>6912</v>
      </c>
      <c r="C262" s="302" t="str">
        <f t="shared" si="83"/>
        <v>Parada en área50 metros</v>
      </c>
      <c r="D262" s="302">
        <v>5</v>
      </c>
      <c r="E262" s="302">
        <v>8</v>
      </c>
      <c r="F262" s="302">
        <v>20</v>
      </c>
      <c r="G262" s="302">
        <v>5</v>
      </c>
      <c r="H262" s="302">
        <v>10</v>
      </c>
      <c r="I262" s="302">
        <v>18</v>
      </c>
      <c r="J262" s="302">
        <v>2</v>
      </c>
    </row>
    <row r="263" spans="1:10" x14ac:dyDescent="0.2">
      <c r="A263" s="302" t="s">
        <v>6901</v>
      </c>
      <c r="B263" s="302" t="s">
        <v>6913</v>
      </c>
      <c r="C263" s="302" t="str">
        <f t="shared" si="83"/>
        <v>Parada en área100 metros</v>
      </c>
      <c r="D263" s="302">
        <v>6</v>
      </c>
      <c r="E263" s="302">
        <v>9</v>
      </c>
      <c r="F263" s="302">
        <v>25</v>
      </c>
      <c r="G263" s="302">
        <v>6</v>
      </c>
      <c r="H263" s="302">
        <v>12</v>
      </c>
      <c r="I263" s="302">
        <v>21</v>
      </c>
      <c r="J263" s="302">
        <v>2</v>
      </c>
    </row>
    <row r="264" spans="1:10" x14ac:dyDescent="0.2">
      <c r="A264" s="302" t="s">
        <v>6901</v>
      </c>
      <c r="B264" s="302" t="s">
        <v>6915</v>
      </c>
      <c r="C264" s="302" t="str">
        <f t="shared" si="83"/>
        <v>Parada en área500 metros</v>
      </c>
      <c r="D264" s="302">
        <v>8</v>
      </c>
      <c r="E264" s="302">
        <v>11</v>
      </c>
      <c r="F264" s="302">
        <v>30</v>
      </c>
      <c r="G264" s="302">
        <v>7</v>
      </c>
      <c r="H264" s="302">
        <v>14</v>
      </c>
      <c r="I264" s="302">
        <v>25</v>
      </c>
      <c r="J264" s="302">
        <v>3</v>
      </c>
    </row>
    <row r="265" spans="1:10" x14ac:dyDescent="0.2">
      <c r="A265" s="302" t="s">
        <v>6901</v>
      </c>
      <c r="B265" s="302" t="s">
        <v>6916</v>
      </c>
      <c r="C265" s="302" t="str">
        <f t="shared" si="83"/>
        <v>Parada en área1 kilómetro</v>
      </c>
      <c r="D265" s="302">
        <v>10</v>
      </c>
      <c r="E265" s="302">
        <v>13</v>
      </c>
      <c r="F265" s="302">
        <v>35</v>
      </c>
      <c r="G265" s="302">
        <v>8</v>
      </c>
      <c r="H265" s="302">
        <v>16</v>
      </c>
      <c r="I265" s="302">
        <v>28</v>
      </c>
      <c r="J265" s="302">
        <v>3</v>
      </c>
    </row>
    <row r="266" spans="1:10" x14ac:dyDescent="0.2">
      <c r="A266" s="302" t="s">
        <v>6902</v>
      </c>
      <c r="B266" s="302" t="s">
        <v>6910</v>
      </c>
      <c r="C266" s="302" t="str">
        <f>A266&amp;B266</f>
        <v>Transporte automático10 metros</v>
      </c>
      <c r="D266" s="302">
        <v>2</v>
      </c>
      <c r="E266" s="302">
        <v>4</v>
      </c>
      <c r="F266" s="302">
        <v>5</v>
      </c>
      <c r="G266" s="302">
        <v>1</v>
      </c>
      <c r="H266" s="302">
        <v>2</v>
      </c>
      <c r="I266" s="302">
        <v>4</v>
      </c>
      <c r="J266" s="302">
        <v>1</v>
      </c>
    </row>
    <row r="267" spans="1:10" x14ac:dyDescent="0.2">
      <c r="A267" s="302" t="s">
        <v>6902</v>
      </c>
      <c r="B267" s="302" t="s">
        <v>6911</v>
      </c>
      <c r="C267" s="302" t="str">
        <f t="shared" ref="C267:C272" si="84">A267&amp;B267</f>
        <v>Transporte automático20 metros</v>
      </c>
      <c r="D267" s="302">
        <v>3</v>
      </c>
      <c r="E267" s="302">
        <v>5</v>
      </c>
      <c r="F267" s="302">
        <v>10</v>
      </c>
      <c r="G267" s="302">
        <v>2</v>
      </c>
      <c r="H267" s="302">
        <v>4</v>
      </c>
      <c r="I267" s="302">
        <v>7</v>
      </c>
      <c r="J267" s="302">
        <v>1</v>
      </c>
    </row>
    <row r="268" spans="1:10" x14ac:dyDescent="0.2">
      <c r="A268" s="302" t="s">
        <v>6902</v>
      </c>
      <c r="B268" s="302" t="s">
        <v>6912</v>
      </c>
      <c r="C268" s="302" t="str">
        <f t="shared" si="84"/>
        <v>Transporte automático50 metros</v>
      </c>
      <c r="D268" s="302">
        <v>4</v>
      </c>
      <c r="E268" s="302">
        <v>6</v>
      </c>
      <c r="F268" s="302">
        <v>10</v>
      </c>
      <c r="G268" s="302">
        <v>3</v>
      </c>
      <c r="H268" s="302">
        <v>6</v>
      </c>
      <c r="I268" s="302">
        <v>11</v>
      </c>
      <c r="J268" s="302">
        <v>1</v>
      </c>
    </row>
    <row r="269" spans="1:10" x14ac:dyDescent="0.2">
      <c r="A269" s="302" t="s">
        <v>6902</v>
      </c>
      <c r="B269" s="302" t="s">
        <v>6913</v>
      </c>
      <c r="C269" s="302" t="str">
        <f t="shared" si="84"/>
        <v>Transporte automático100 metros</v>
      </c>
      <c r="D269" s="302">
        <v>5</v>
      </c>
      <c r="E269" s="302">
        <v>8</v>
      </c>
      <c r="F269" s="302">
        <v>15</v>
      </c>
      <c r="G269" s="302">
        <v>4</v>
      </c>
      <c r="H269" s="302">
        <v>8</v>
      </c>
      <c r="I269" s="302">
        <v>14</v>
      </c>
      <c r="J269" s="302">
        <v>1</v>
      </c>
    </row>
    <row r="270" spans="1:10" x14ac:dyDescent="0.2">
      <c r="A270" s="302" t="s">
        <v>6902</v>
      </c>
      <c r="B270" s="302" t="s">
        <v>6914</v>
      </c>
      <c r="C270" s="302" t="str">
        <f t="shared" si="84"/>
        <v>Transporte automático250 metros</v>
      </c>
      <c r="D270" s="302">
        <v>6</v>
      </c>
      <c r="E270" s="302">
        <v>9</v>
      </c>
      <c r="F270" s="302">
        <v>20</v>
      </c>
      <c r="G270" s="302">
        <v>5</v>
      </c>
      <c r="H270" s="302">
        <v>10</v>
      </c>
      <c r="I270" s="302">
        <v>18</v>
      </c>
      <c r="J270" s="302">
        <v>1</v>
      </c>
    </row>
    <row r="271" spans="1:10" x14ac:dyDescent="0.2">
      <c r="A271" s="302" t="s">
        <v>6902</v>
      </c>
      <c r="B271" s="302" t="s">
        <v>6915</v>
      </c>
      <c r="C271" s="302" t="str">
        <f t="shared" si="84"/>
        <v>Transporte automático500 metros</v>
      </c>
      <c r="D271" s="302">
        <v>8</v>
      </c>
      <c r="E271" s="302">
        <v>11</v>
      </c>
      <c r="F271" s="302">
        <v>25</v>
      </c>
      <c r="G271" s="302">
        <v>6</v>
      </c>
      <c r="H271" s="302">
        <v>12</v>
      </c>
      <c r="I271" s="302">
        <v>21</v>
      </c>
      <c r="J271" s="302">
        <v>2</v>
      </c>
    </row>
    <row r="272" spans="1:10" x14ac:dyDescent="0.2">
      <c r="A272" s="302" t="s">
        <v>6902</v>
      </c>
      <c r="B272" s="302" t="s">
        <v>6916</v>
      </c>
      <c r="C272" s="302" t="str">
        <f t="shared" si="84"/>
        <v>Transporte automático1 kilómetro</v>
      </c>
      <c r="D272" s="302">
        <v>10</v>
      </c>
      <c r="E272" s="302">
        <v>13</v>
      </c>
      <c r="F272" s="302">
        <v>30</v>
      </c>
      <c r="G272" s="302">
        <v>7</v>
      </c>
      <c r="H272" s="302">
        <v>14</v>
      </c>
      <c r="I272" s="302">
        <v>25</v>
      </c>
      <c r="J272" s="302">
        <v>2</v>
      </c>
    </row>
    <row r="273" spans="1:10" x14ac:dyDescent="0.2">
      <c r="A273" s="302" t="s">
        <v>6902</v>
      </c>
      <c r="B273" s="302" t="s">
        <v>6917</v>
      </c>
      <c r="C273" s="302" t="str">
        <f>A273&amp;B273</f>
        <v>Transporte automático5 kilómetros</v>
      </c>
      <c r="D273" s="302">
        <v>14</v>
      </c>
      <c r="E273" s="302">
        <v>18</v>
      </c>
      <c r="F273" s="302">
        <v>35</v>
      </c>
      <c r="G273" s="302">
        <v>8</v>
      </c>
      <c r="H273" s="302">
        <v>16</v>
      </c>
      <c r="I273" s="302">
        <v>28</v>
      </c>
      <c r="J273" s="302">
        <v>2</v>
      </c>
    </row>
    <row r="274" spans="1:10" x14ac:dyDescent="0.2">
      <c r="A274" s="302" t="s">
        <v>6902</v>
      </c>
      <c r="B274" s="302" t="s">
        <v>6918</v>
      </c>
      <c r="C274" s="302" t="str">
        <f>A274&amp;B274</f>
        <v>Transporte automático10 kilómetros</v>
      </c>
      <c r="D274" s="302">
        <v>18</v>
      </c>
      <c r="E274" s="302">
        <v>22</v>
      </c>
      <c r="F274" s="302">
        <v>40</v>
      </c>
      <c r="G274" s="302">
        <v>10</v>
      </c>
      <c r="H274" s="302">
        <v>20</v>
      </c>
      <c r="I274" s="302">
        <v>35</v>
      </c>
      <c r="J274" s="302">
        <v>3</v>
      </c>
    </row>
    <row r="275" spans="1:10" x14ac:dyDescent="0.2">
      <c r="A275" s="302" t="s">
        <v>6902</v>
      </c>
      <c r="B275" s="302" t="s">
        <v>6919</v>
      </c>
      <c r="C275" s="302" t="str">
        <f>A275&amp;B275</f>
        <v>Transporte automático100 kilómetros</v>
      </c>
      <c r="D275" s="302">
        <v>22</v>
      </c>
      <c r="E275" s="302">
        <v>26</v>
      </c>
      <c r="F275" s="302">
        <v>50</v>
      </c>
      <c r="G275" s="302">
        <v>12</v>
      </c>
      <c r="H275" s="302">
        <v>24</v>
      </c>
      <c r="I275" s="302">
        <v>42</v>
      </c>
      <c r="J275" s="302">
        <v>3</v>
      </c>
    </row>
    <row r="276" spans="1:10" x14ac:dyDescent="0.2">
      <c r="A276" s="302" t="s">
        <v>6924</v>
      </c>
      <c r="B276" s="301" t="s">
        <v>6777</v>
      </c>
      <c r="C276" s="302" t="str">
        <f t="shared" ref="C276:C282" si="85">A276&amp;B276</f>
        <v>Aumentar rotura+5</v>
      </c>
      <c r="D276" s="302">
        <v>1</v>
      </c>
      <c r="E276" s="302">
        <v>2</v>
      </c>
      <c r="F276" s="302">
        <v>5</v>
      </c>
      <c r="G276" s="302">
        <v>1</v>
      </c>
      <c r="H276" s="302">
        <v>2</v>
      </c>
      <c r="I276" s="302">
        <v>4</v>
      </c>
      <c r="J276" s="302">
        <v>1</v>
      </c>
    </row>
    <row r="277" spans="1:10" x14ac:dyDescent="0.2">
      <c r="A277" s="302" t="s">
        <v>6924</v>
      </c>
      <c r="B277" s="301" t="s">
        <v>6799</v>
      </c>
      <c r="C277" s="302" t="str">
        <f t="shared" si="85"/>
        <v>Aumentar rotura+10</v>
      </c>
      <c r="D277" s="302">
        <v>2</v>
      </c>
      <c r="E277" s="302">
        <v>4</v>
      </c>
      <c r="F277" s="302">
        <v>10</v>
      </c>
      <c r="G277" s="302">
        <v>1</v>
      </c>
      <c r="H277" s="302">
        <v>2</v>
      </c>
      <c r="I277" s="302">
        <v>4</v>
      </c>
      <c r="J277" s="302">
        <v>1</v>
      </c>
    </row>
    <row r="278" spans="1:10" x14ac:dyDescent="0.2">
      <c r="A278" s="302" t="s">
        <v>6924</v>
      </c>
      <c r="B278" s="301" t="s">
        <v>6932</v>
      </c>
      <c r="C278" s="302" t="str">
        <f t="shared" si="85"/>
        <v>Aumentar rotura+15</v>
      </c>
      <c r="D278" s="302">
        <v>4</v>
      </c>
      <c r="E278" s="302">
        <v>6</v>
      </c>
      <c r="F278" s="302">
        <v>15</v>
      </c>
      <c r="G278" s="302">
        <v>2</v>
      </c>
      <c r="H278" s="302">
        <v>4</v>
      </c>
      <c r="I278" s="302">
        <v>7</v>
      </c>
      <c r="J278" s="302">
        <v>1</v>
      </c>
    </row>
    <row r="279" spans="1:10" x14ac:dyDescent="0.2">
      <c r="A279" s="302" t="s">
        <v>6924</v>
      </c>
      <c r="B279" s="301" t="s">
        <v>6933</v>
      </c>
      <c r="C279" s="302" t="str">
        <f t="shared" si="85"/>
        <v>Aumentar rotura+20</v>
      </c>
      <c r="D279" s="302">
        <v>6</v>
      </c>
      <c r="E279" s="302">
        <v>9</v>
      </c>
      <c r="F279" s="302">
        <v>20</v>
      </c>
      <c r="G279" s="302">
        <v>3</v>
      </c>
      <c r="H279" s="302">
        <v>6</v>
      </c>
      <c r="I279" s="302">
        <v>11</v>
      </c>
      <c r="J279" s="302">
        <v>1</v>
      </c>
    </row>
    <row r="280" spans="1:10" x14ac:dyDescent="0.2">
      <c r="A280" s="302" t="s">
        <v>6924</v>
      </c>
      <c r="B280" s="301" t="s">
        <v>6804</v>
      </c>
      <c r="C280" s="302" t="str">
        <f t="shared" si="85"/>
        <v>Aumentar rotura+25</v>
      </c>
      <c r="D280" s="302">
        <v>8</v>
      </c>
      <c r="E280" s="302">
        <v>11</v>
      </c>
      <c r="F280" s="302">
        <v>25</v>
      </c>
      <c r="G280" s="302">
        <v>4</v>
      </c>
      <c r="H280" s="302">
        <v>8</v>
      </c>
      <c r="I280" s="302">
        <v>14</v>
      </c>
      <c r="J280" s="302">
        <v>2</v>
      </c>
    </row>
    <row r="281" spans="1:10" x14ac:dyDescent="0.2">
      <c r="A281" s="302" t="s">
        <v>6924</v>
      </c>
      <c r="B281" s="301" t="s">
        <v>6934</v>
      </c>
      <c r="C281" s="302" t="str">
        <f t="shared" si="85"/>
        <v>Aumentar rotura+30</v>
      </c>
      <c r="D281" s="302">
        <v>12</v>
      </c>
      <c r="E281" s="302">
        <v>15</v>
      </c>
      <c r="F281" s="302">
        <v>30</v>
      </c>
      <c r="G281" s="302">
        <v>5</v>
      </c>
      <c r="H281" s="302">
        <v>10</v>
      </c>
      <c r="I281" s="302">
        <v>18</v>
      </c>
      <c r="J281" s="302">
        <v>2</v>
      </c>
    </row>
    <row r="282" spans="1:10" x14ac:dyDescent="0.2">
      <c r="A282" s="302" t="s">
        <v>6924</v>
      </c>
      <c r="B282" s="301" t="s">
        <v>6935</v>
      </c>
      <c r="C282" s="302" t="str">
        <f t="shared" si="85"/>
        <v>Aumentar rotura+35</v>
      </c>
      <c r="D282" s="302">
        <v>14</v>
      </c>
      <c r="E282" s="302">
        <v>18</v>
      </c>
      <c r="F282" s="302">
        <v>35</v>
      </c>
      <c r="G282" s="302">
        <v>6</v>
      </c>
      <c r="H282" s="302">
        <v>12</v>
      </c>
      <c r="I282" s="302">
        <v>21</v>
      </c>
      <c r="J282" s="302">
        <v>2</v>
      </c>
    </row>
    <row r="283" spans="1:10" x14ac:dyDescent="0.2">
      <c r="A283" s="302" t="s">
        <v>6924</v>
      </c>
      <c r="B283" s="301" t="s">
        <v>6805</v>
      </c>
      <c r="C283" s="302" t="str">
        <f>A283&amp;B283</f>
        <v>Aumentar rotura+40</v>
      </c>
      <c r="D283" s="302">
        <v>18</v>
      </c>
      <c r="E283" s="302">
        <v>22</v>
      </c>
      <c r="F283" s="302">
        <v>40</v>
      </c>
      <c r="G283" s="302">
        <v>8</v>
      </c>
      <c r="H283" s="302">
        <v>16</v>
      </c>
      <c r="I283" s="302">
        <v>28</v>
      </c>
      <c r="J283" s="302">
        <v>3</v>
      </c>
    </row>
    <row r="284" spans="1:10" x14ac:dyDescent="0.2">
      <c r="A284" s="302" t="s">
        <v>6925</v>
      </c>
      <c r="B284" s="301" t="s">
        <v>6799</v>
      </c>
      <c r="C284" s="302" t="str">
        <f t="shared" ref="C284:C289" si="86">A284&amp;B284</f>
        <v>Aumentar entereza+10</v>
      </c>
      <c r="D284" s="302">
        <v>1</v>
      </c>
      <c r="E284" s="302">
        <v>2</v>
      </c>
      <c r="F284" s="302">
        <v>5</v>
      </c>
      <c r="G284" s="302">
        <v>1</v>
      </c>
      <c r="H284" s="302">
        <v>2</v>
      </c>
      <c r="I284" s="302">
        <v>4</v>
      </c>
      <c r="J284" s="302">
        <v>1</v>
      </c>
    </row>
    <row r="285" spans="1:10" x14ac:dyDescent="0.2">
      <c r="A285" s="302" t="s">
        <v>6925</v>
      </c>
      <c r="B285" s="301" t="s">
        <v>6932</v>
      </c>
      <c r="C285" s="302" t="str">
        <f t="shared" si="86"/>
        <v>Aumentar entereza+15</v>
      </c>
      <c r="D285" s="302">
        <v>2</v>
      </c>
      <c r="E285" s="302">
        <v>4</v>
      </c>
      <c r="F285" s="302">
        <v>5</v>
      </c>
      <c r="G285" s="302">
        <v>1</v>
      </c>
      <c r="H285" s="302">
        <v>2</v>
      </c>
      <c r="I285" s="302">
        <v>4</v>
      </c>
      <c r="J285" s="302">
        <v>1</v>
      </c>
    </row>
    <row r="286" spans="1:10" x14ac:dyDescent="0.2">
      <c r="A286" s="302" t="s">
        <v>6925</v>
      </c>
      <c r="B286" s="301" t="s">
        <v>6933</v>
      </c>
      <c r="C286" s="302" t="str">
        <f t="shared" si="86"/>
        <v>Aumentar entereza+20</v>
      </c>
      <c r="D286" s="302">
        <v>3</v>
      </c>
      <c r="E286" s="302">
        <v>5</v>
      </c>
      <c r="F286" s="302">
        <v>10</v>
      </c>
      <c r="G286" s="302">
        <v>2</v>
      </c>
      <c r="H286" s="302">
        <v>4</v>
      </c>
      <c r="I286" s="302">
        <v>7</v>
      </c>
      <c r="J286" s="302">
        <v>1</v>
      </c>
    </row>
    <row r="287" spans="1:10" x14ac:dyDescent="0.2">
      <c r="A287" s="302" t="s">
        <v>6925</v>
      </c>
      <c r="B287" s="301" t="s">
        <v>6804</v>
      </c>
      <c r="C287" s="302" t="str">
        <f t="shared" si="86"/>
        <v>Aumentar entereza+25</v>
      </c>
      <c r="D287" s="302">
        <v>4</v>
      </c>
      <c r="E287" s="302">
        <v>6</v>
      </c>
      <c r="F287" s="302">
        <v>10</v>
      </c>
      <c r="G287" s="302">
        <v>2</v>
      </c>
      <c r="H287" s="302">
        <v>4</v>
      </c>
      <c r="I287" s="302">
        <v>7</v>
      </c>
      <c r="J287" s="302">
        <v>1</v>
      </c>
    </row>
    <row r="288" spans="1:10" x14ac:dyDescent="0.2">
      <c r="A288" s="302" t="s">
        <v>6925</v>
      </c>
      <c r="B288" s="301" t="s">
        <v>6934</v>
      </c>
      <c r="C288" s="302" t="str">
        <f t="shared" si="86"/>
        <v>Aumentar entereza+30</v>
      </c>
      <c r="D288" s="302">
        <v>5</v>
      </c>
      <c r="E288" s="302">
        <v>8</v>
      </c>
      <c r="F288" s="302">
        <v>15</v>
      </c>
      <c r="G288" s="302">
        <v>3</v>
      </c>
      <c r="H288" s="302">
        <v>6</v>
      </c>
      <c r="I288" s="302">
        <v>11</v>
      </c>
      <c r="J288" s="302">
        <v>2</v>
      </c>
    </row>
    <row r="289" spans="1:10" x14ac:dyDescent="0.2">
      <c r="A289" s="302" t="s">
        <v>6925</v>
      </c>
      <c r="B289" s="301" t="s">
        <v>6935</v>
      </c>
      <c r="C289" s="302" t="str">
        <f t="shared" si="86"/>
        <v>Aumentar entereza+35</v>
      </c>
      <c r="D289" s="302">
        <v>6</v>
      </c>
      <c r="E289" s="302">
        <v>9</v>
      </c>
      <c r="F289" s="302">
        <v>20</v>
      </c>
      <c r="G289" s="302">
        <v>3</v>
      </c>
      <c r="H289" s="302">
        <v>6</v>
      </c>
      <c r="I289" s="302">
        <v>11</v>
      </c>
      <c r="J289" s="302">
        <v>2</v>
      </c>
    </row>
    <row r="290" spans="1:10" x14ac:dyDescent="0.2">
      <c r="A290" s="302" t="s">
        <v>6925</v>
      </c>
      <c r="B290" s="301" t="s">
        <v>6805</v>
      </c>
      <c r="C290" s="302" t="str">
        <f t="shared" ref="C290:C307" si="87">A290&amp;B290</f>
        <v>Aumentar entereza+40</v>
      </c>
      <c r="D290" s="302">
        <v>7</v>
      </c>
      <c r="E290" s="302">
        <v>10</v>
      </c>
      <c r="F290" s="302">
        <v>25</v>
      </c>
      <c r="G290" s="302">
        <v>4</v>
      </c>
      <c r="H290" s="302">
        <v>8</v>
      </c>
      <c r="I290" s="302">
        <v>14</v>
      </c>
      <c r="J290" s="302">
        <v>3</v>
      </c>
    </row>
    <row r="291" spans="1:10" x14ac:dyDescent="0.2">
      <c r="A291" s="302" t="s">
        <v>6926</v>
      </c>
      <c r="B291" s="301" t="s">
        <v>6936</v>
      </c>
      <c r="C291" s="302" t="str">
        <f t="shared" si="87"/>
        <v>Destruir armadura-1 TA</v>
      </c>
      <c r="D291" s="302">
        <v>1</v>
      </c>
      <c r="E291" s="302">
        <v>2</v>
      </c>
      <c r="F291" s="302">
        <v>5</v>
      </c>
      <c r="G291" s="302">
        <v>1</v>
      </c>
      <c r="H291" s="302">
        <v>2</v>
      </c>
      <c r="I291" s="302">
        <v>4</v>
      </c>
      <c r="J291" s="302">
        <v>1</v>
      </c>
    </row>
    <row r="292" spans="1:10" x14ac:dyDescent="0.2">
      <c r="A292" s="302" t="s">
        <v>6926</v>
      </c>
      <c r="B292" s="301" t="s">
        <v>6937</v>
      </c>
      <c r="C292" s="302" t="str">
        <f t="shared" si="87"/>
        <v>Destruir armadura-2 TA</v>
      </c>
      <c r="D292" s="302">
        <v>2</v>
      </c>
      <c r="E292" s="302">
        <v>4</v>
      </c>
      <c r="F292" s="302">
        <v>5</v>
      </c>
      <c r="G292" s="302">
        <v>1</v>
      </c>
      <c r="H292" s="302">
        <v>2</v>
      </c>
      <c r="I292" s="302">
        <v>4</v>
      </c>
      <c r="J292" s="302">
        <v>1</v>
      </c>
    </row>
    <row r="293" spans="1:10" x14ac:dyDescent="0.2">
      <c r="A293" s="302" t="s">
        <v>6926</v>
      </c>
      <c r="B293" s="301" t="s">
        <v>6938</v>
      </c>
      <c r="C293" s="302" t="str">
        <f t="shared" si="87"/>
        <v>Destruir armadura-3 TA</v>
      </c>
      <c r="D293" s="302">
        <v>3</v>
      </c>
      <c r="E293" s="302">
        <v>5</v>
      </c>
      <c r="F293" s="302">
        <v>10</v>
      </c>
      <c r="G293" s="302">
        <v>2</v>
      </c>
      <c r="H293" s="302">
        <v>4</v>
      </c>
      <c r="I293" s="302">
        <v>7</v>
      </c>
      <c r="J293" s="302">
        <v>1</v>
      </c>
    </row>
    <row r="294" spans="1:10" x14ac:dyDescent="0.2">
      <c r="A294" s="302" t="s">
        <v>6926</v>
      </c>
      <c r="B294" s="301" t="s">
        <v>6939</v>
      </c>
      <c r="C294" s="302" t="str">
        <f t="shared" si="87"/>
        <v>Destruir armadura-4 TA</v>
      </c>
      <c r="D294" s="302">
        <v>4</v>
      </c>
      <c r="E294" s="302">
        <v>6</v>
      </c>
      <c r="F294" s="302">
        <v>10</v>
      </c>
      <c r="G294" s="302">
        <v>2</v>
      </c>
      <c r="H294" s="302">
        <v>4</v>
      </c>
      <c r="I294" s="302">
        <v>7</v>
      </c>
      <c r="J294" s="302">
        <v>1</v>
      </c>
    </row>
    <row r="295" spans="1:10" x14ac:dyDescent="0.2">
      <c r="A295" s="302" t="s">
        <v>6926</v>
      </c>
      <c r="B295" s="301" t="s">
        <v>6940</v>
      </c>
      <c r="C295" s="302" t="str">
        <f t="shared" si="87"/>
        <v>Destruir armadura-5 TA</v>
      </c>
      <c r="D295" s="302">
        <v>5</v>
      </c>
      <c r="E295" s="302">
        <v>8</v>
      </c>
      <c r="F295" s="302">
        <v>15</v>
      </c>
      <c r="G295" s="302">
        <v>3</v>
      </c>
      <c r="H295" s="302">
        <v>6</v>
      </c>
      <c r="I295" s="302">
        <v>11</v>
      </c>
      <c r="J295" s="302">
        <v>2</v>
      </c>
    </row>
    <row r="296" spans="1:10" x14ac:dyDescent="0.2">
      <c r="A296" s="302" t="s">
        <v>6926</v>
      </c>
      <c r="B296" s="301" t="s">
        <v>6941</v>
      </c>
      <c r="C296" s="302" t="str">
        <f t="shared" si="87"/>
        <v>Destruir armadura-6 TA</v>
      </c>
      <c r="D296" s="302">
        <v>6</v>
      </c>
      <c r="E296" s="302">
        <v>9</v>
      </c>
      <c r="F296" s="302">
        <v>20</v>
      </c>
      <c r="G296" s="302">
        <v>3</v>
      </c>
      <c r="H296" s="302">
        <v>6</v>
      </c>
      <c r="I296" s="302">
        <v>11</v>
      </c>
      <c r="J296" s="302">
        <v>2</v>
      </c>
    </row>
    <row r="297" spans="1:10" x14ac:dyDescent="0.2">
      <c r="A297" s="302" t="s">
        <v>6926</v>
      </c>
      <c r="B297" s="301" t="s">
        <v>6942</v>
      </c>
      <c r="C297" s="302" t="str">
        <f t="shared" si="87"/>
        <v>Destruir armadura-7 TA</v>
      </c>
      <c r="D297" s="302">
        <v>8</v>
      </c>
      <c r="E297" s="302">
        <v>11</v>
      </c>
      <c r="F297" s="302">
        <v>25</v>
      </c>
      <c r="G297" s="302">
        <v>4</v>
      </c>
      <c r="H297" s="302">
        <v>8</v>
      </c>
      <c r="I297" s="302">
        <v>14</v>
      </c>
      <c r="J297" s="302">
        <v>2</v>
      </c>
    </row>
    <row r="298" spans="1:10" x14ac:dyDescent="0.2">
      <c r="A298" s="302" t="s">
        <v>6926</v>
      </c>
      <c r="B298" s="301" t="s">
        <v>6943</v>
      </c>
      <c r="C298" s="302" t="str">
        <f t="shared" si="87"/>
        <v>Destruir armadura-8 TA</v>
      </c>
      <c r="D298" s="302">
        <v>10</v>
      </c>
      <c r="E298" s="302">
        <v>13</v>
      </c>
      <c r="F298" s="302">
        <v>30</v>
      </c>
      <c r="G298" s="302">
        <v>5</v>
      </c>
      <c r="H298" s="302">
        <v>10</v>
      </c>
      <c r="I298" s="302">
        <v>18</v>
      </c>
      <c r="J298" s="302">
        <v>3</v>
      </c>
    </row>
    <row r="299" spans="1:10" x14ac:dyDescent="0.2">
      <c r="A299" s="302" t="s">
        <v>6926</v>
      </c>
      <c r="B299" s="302" t="s">
        <v>6944</v>
      </c>
      <c r="C299" s="302" t="str">
        <f t="shared" si="87"/>
        <v>Destruir armaduraSin armadura</v>
      </c>
      <c r="D299" s="302">
        <v>12</v>
      </c>
      <c r="E299" s="302">
        <v>15</v>
      </c>
      <c r="F299" s="302">
        <v>40</v>
      </c>
      <c r="G299" s="302">
        <v>6</v>
      </c>
      <c r="H299" s="302">
        <v>12</v>
      </c>
      <c r="I299" s="302">
        <v>21</v>
      </c>
      <c r="J299" s="302">
        <v>3</v>
      </c>
    </row>
    <row r="300" spans="1:10" x14ac:dyDescent="0.2">
      <c r="A300" s="302" t="s">
        <v>33</v>
      </c>
      <c r="B300" s="302">
        <v>1</v>
      </c>
      <c r="C300" s="302" t="str">
        <f t="shared" si="87"/>
        <v>Armadura1</v>
      </c>
      <c r="D300" s="302">
        <v>1</v>
      </c>
      <c r="E300" s="302">
        <v>2</v>
      </c>
      <c r="F300" s="302">
        <v>5</v>
      </c>
      <c r="G300" s="302">
        <v>1</v>
      </c>
      <c r="H300" s="302">
        <v>2</v>
      </c>
      <c r="I300" s="302">
        <v>4</v>
      </c>
      <c r="J300" s="302">
        <v>1</v>
      </c>
    </row>
    <row r="301" spans="1:10" x14ac:dyDescent="0.2">
      <c r="A301" s="302" t="s">
        <v>33</v>
      </c>
      <c r="B301" s="302">
        <v>2</v>
      </c>
      <c r="C301" s="302" t="str">
        <f t="shared" si="87"/>
        <v>Armadura2</v>
      </c>
      <c r="D301" s="302">
        <v>2</v>
      </c>
      <c r="E301" s="302">
        <v>4</v>
      </c>
      <c r="F301" s="302">
        <v>5</v>
      </c>
      <c r="G301" s="302">
        <v>1</v>
      </c>
      <c r="H301" s="302">
        <v>2</v>
      </c>
      <c r="I301" s="302">
        <v>4</v>
      </c>
      <c r="J301" s="302">
        <v>1</v>
      </c>
    </row>
    <row r="302" spans="1:10" x14ac:dyDescent="0.2">
      <c r="A302" s="302" t="s">
        <v>33</v>
      </c>
      <c r="B302" s="302">
        <v>3</v>
      </c>
      <c r="C302" s="302" t="str">
        <f t="shared" si="87"/>
        <v>Armadura3</v>
      </c>
      <c r="D302" s="302">
        <v>4</v>
      </c>
      <c r="E302" s="302">
        <v>6</v>
      </c>
      <c r="F302" s="302">
        <v>10</v>
      </c>
      <c r="G302" s="302">
        <v>2</v>
      </c>
      <c r="H302" s="302">
        <v>4</v>
      </c>
      <c r="I302" s="302">
        <v>7</v>
      </c>
      <c r="J302" s="302">
        <v>1</v>
      </c>
    </row>
    <row r="303" spans="1:10" x14ac:dyDescent="0.2">
      <c r="A303" s="302" t="s">
        <v>33</v>
      </c>
      <c r="B303" s="302">
        <v>4</v>
      </c>
      <c r="C303" s="302" t="str">
        <f t="shared" si="87"/>
        <v>Armadura4</v>
      </c>
      <c r="D303" s="302">
        <v>6</v>
      </c>
      <c r="E303" s="302">
        <v>9</v>
      </c>
      <c r="F303" s="302">
        <v>15</v>
      </c>
      <c r="G303" s="302">
        <v>2</v>
      </c>
      <c r="H303" s="302">
        <v>4</v>
      </c>
      <c r="I303" s="302">
        <v>7</v>
      </c>
      <c r="J303" s="302">
        <v>1</v>
      </c>
    </row>
    <row r="304" spans="1:10" x14ac:dyDescent="0.2">
      <c r="A304" s="302" t="s">
        <v>33</v>
      </c>
      <c r="B304" s="302">
        <v>5</v>
      </c>
      <c r="C304" s="302" t="str">
        <f t="shared" si="87"/>
        <v>Armadura5</v>
      </c>
      <c r="D304" s="302">
        <v>8</v>
      </c>
      <c r="E304" s="302">
        <v>11</v>
      </c>
      <c r="F304" s="302">
        <v>20</v>
      </c>
      <c r="G304" s="302">
        <v>3</v>
      </c>
      <c r="H304" s="302">
        <v>6</v>
      </c>
      <c r="I304" s="302">
        <v>11</v>
      </c>
      <c r="J304" s="302">
        <v>2</v>
      </c>
    </row>
    <row r="305" spans="1:10" x14ac:dyDescent="0.2">
      <c r="A305" s="302" t="s">
        <v>33</v>
      </c>
      <c r="B305" s="302">
        <v>6</v>
      </c>
      <c r="C305" s="302" t="str">
        <f t="shared" si="87"/>
        <v>Armadura6</v>
      </c>
      <c r="D305" s="302">
        <v>10</v>
      </c>
      <c r="E305" s="302">
        <v>13</v>
      </c>
      <c r="F305" s="302">
        <v>25</v>
      </c>
      <c r="G305" s="302">
        <v>3</v>
      </c>
      <c r="H305" s="302">
        <v>6</v>
      </c>
      <c r="I305" s="302">
        <v>11</v>
      </c>
      <c r="J305" s="302">
        <v>2</v>
      </c>
    </row>
    <row r="306" spans="1:10" x14ac:dyDescent="0.2">
      <c r="A306" s="302" t="s">
        <v>33</v>
      </c>
      <c r="B306" s="302">
        <v>7</v>
      </c>
      <c r="C306" s="302" t="str">
        <f t="shared" si="87"/>
        <v>Armadura7</v>
      </c>
      <c r="D306" s="302">
        <v>12</v>
      </c>
      <c r="E306" s="302">
        <v>15</v>
      </c>
      <c r="F306" s="302">
        <v>30</v>
      </c>
      <c r="G306" s="302">
        <v>4</v>
      </c>
      <c r="H306" s="302">
        <v>8</v>
      </c>
      <c r="I306" s="302">
        <v>14</v>
      </c>
      <c r="J306" s="302">
        <v>3</v>
      </c>
    </row>
    <row r="307" spans="1:10" x14ac:dyDescent="0.2">
      <c r="A307" s="302" t="s">
        <v>33</v>
      </c>
      <c r="B307" s="302">
        <v>8</v>
      </c>
      <c r="C307" s="302" t="str">
        <f t="shared" si="87"/>
        <v>Armadura8</v>
      </c>
      <c r="D307" s="302">
        <v>14</v>
      </c>
      <c r="E307" s="302">
        <v>18</v>
      </c>
      <c r="F307" s="302">
        <v>40</v>
      </c>
      <c r="G307" s="302">
        <v>5</v>
      </c>
      <c r="H307" s="302">
        <v>10</v>
      </c>
      <c r="I307" s="302">
        <v>18</v>
      </c>
      <c r="J307" s="302">
        <v>3</v>
      </c>
    </row>
    <row r="308" spans="1:10" x14ac:dyDescent="0.2">
      <c r="A308" s="302" t="s">
        <v>6927</v>
      </c>
      <c r="B308" s="302" t="s">
        <v>6945</v>
      </c>
      <c r="C308" s="302" t="str">
        <f>A307&amp;A308&amp;B308</f>
        <v>ArmaduraVentaja opcional: InmodificableInmmodificable</v>
      </c>
      <c r="D308" s="302">
        <v>4</v>
      </c>
      <c r="E308" s="302">
        <v>4</v>
      </c>
      <c r="F308" s="302">
        <v>15</v>
      </c>
      <c r="G308" s="302">
        <v>2</v>
      </c>
      <c r="H308" s="302">
        <v>4</v>
      </c>
      <c r="I308" s="302">
        <v>7</v>
      </c>
      <c r="J308" s="302">
        <v>1</v>
      </c>
    </row>
    <row r="309" spans="1:10" x14ac:dyDescent="0.2">
      <c r="A309" s="302" t="s">
        <v>6928</v>
      </c>
      <c r="B309" s="302" t="s">
        <v>6946</v>
      </c>
      <c r="C309" s="302" t="str">
        <f>A307&amp;A309&amp;B309</f>
        <v>ArmaduraDesventaja opcional: Armadura físicaArmadura física</v>
      </c>
      <c r="D309" s="302">
        <v>-1</v>
      </c>
      <c r="E309" s="302">
        <v>-1</v>
      </c>
      <c r="F309" s="302">
        <v>-5</v>
      </c>
      <c r="G309" s="302">
        <v>0</v>
      </c>
      <c r="H309" s="302">
        <v>0</v>
      </c>
      <c r="I309" s="302">
        <v>0</v>
      </c>
      <c r="J309" s="302">
        <v>1</v>
      </c>
    </row>
    <row r="310" spans="1:10" x14ac:dyDescent="0.2">
      <c r="A310" s="302" t="s">
        <v>6929</v>
      </c>
      <c r="B310" s="302" t="s">
        <v>2527</v>
      </c>
      <c r="C310" s="302" t="str">
        <f>A307&amp;A310&amp;B310</f>
        <v>ArmaduraDesventaja opcional: LentitudLentitud</v>
      </c>
      <c r="D310" s="302">
        <v>-1</v>
      </c>
      <c r="E310" s="302">
        <v>-1</v>
      </c>
      <c r="F310" s="302">
        <v>-10</v>
      </c>
      <c r="G310" s="302">
        <v>0</v>
      </c>
      <c r="H310" s="302">
        <v>0</v>
      </c>
      <c r="I310" s="302">
        <v>0</v>
      </c>
      <c r="J310" s="302">
        <v>1</v>
      </c>
    </row>
    <row r="311" spans="1:10" x14ac:dyDescent="0.2">
      <c r="A311" t="s">
        <v>6948</v>
      </c>
      <c r="B311" s="301" t="s">
        <v>6803</v>
      </c>
      <c r="C311" s="302" t="str">
        <f>A311&amp;B311</f>
        <v>Incremento de movimiento+1</v>
      </c>
      <c r="D311" s="302">
        <v>1</v>
      </c>
      <c r="E311" s="302">
        <v>2</v>
      </c>
      <c r="F311" s="302">
        <v>5</v>
      </c>
      <c r="G311" s="302">
        <v>1</v>
      </c>
      <c r="H311" s="302">
        <v>2</v>
      </c>
      <c r="I311" s="302">
        <v>4</v>
      </c>
      <c r="J311" s="302">
        <v>1</v>
      </c>
    </row>
    <row r="312" spans="1:10" x14ac:dyDescent="0.2">
      <c r="A312" t="s">
        <v>6948</v>
      </c>
      <c r="B312" s="301" t="s">
        <v>6778</v>
      </c>
      <c r="C312" s="302" t="str">
        <f t="shared" ref="C312:C319" si="88">A312&amp;B312</f>
        <v>Incremento de movimiento+2</v>
      </c>
      <c r="D312" s="302">
        <v>2</v>
      </c>
      <c r="E312" s="302">
        <v>4</v>
      </c>
      <c r="F312" s="302">
        <v>10</v>
      </c>
      <c r="G312" s="302">
        <v>2</v>
      </c>
      <c r="H312" s="302">
        <v>4</v>
      </c>
      <c r="I312" s="302">
        <v>7</v>
      </c>
      <c r="J312" s="302">
        <v>1</v>
      </c>
    </row>
    <row r="313" spans="1:10" x14ac:dyDescent="0.2">
      <c r="A313" t="s">
        <v>6948</v>
      </c>
      <c r="B313" s="301" t="s">
        <v>6802</v>
      </c>
      <c r="C313" s="302" t="str">
        <f t="shared" si="88"/>
        <v>Incremento de movimiento+3</v>
      </c>
      <c r="D313" s="302">
        <v>4</v>
      </c>
      <c r="E313" s="302">
        <v>6</v>
      </c>
      <c r="F313" s="302">
        <v>15</v>
      </c>
      <c r="G313" s="302">
        <v>3</v>
      </c>
      <c r="H313" s="302">
        <v>6</v>
      </c>
      <c r="I313" s="302">
        <v>11</v>
      </c>
      <c r="J313" s="302">
        <v>1</v>
      </c>
    </row>
    <row r="314" spans="1:10" x14ac:dyDescent="0.2">
      <c r="A314" t="s">
        <v>6948</v>
      </c>
      <c r="B314" s="301" t="s">
        <v>6871</v>
      </c>
      <c r="C314" s="302" t="str">
        <f t="shared" si="88"/>
        <v>Incremento de movimiento+4</v>
      </c>
      <c r="D314" s="302">
        <v>6</v>
      </c>
      <c r="E314" s="302">
        <v>9</v>
      </c>
      <c r="F314" s="302">
        <v>20</v>
      </c>
      <c r="G314" s="302">
        <v>4</v>
      </c>
      <c r="H314" s="302">
        <v>8</v>
      </c>
      <c r="I314" s="302">
        <v>14</v>
      </c>
      <c r="J314" s="302">
        <v>2</v>
      </c>
    </row>
    <row r="315" spans="1:10" x14ac:dyDescent="0.2">
      <c r="A315" t="s">
        <v>6948</v>
      </c>
      <c r="B315" s="301" t="s">
        <v>6777</v>
      </c>
      <c r="C315" s="302" t="str">
        <f t="shared" si="88"/>
        <v>Incremento de movimiento+5</v>
      </c>
      <c r="D315" s="302">
        <v>8</v>
      </c>
      <c r="E315" s="302">
        <v>11</v>
      </c>
      <c r="F315" s="302">
        <v>25</v>
      </c>
      <c r="G315" s="302">
        <v>5</v>
      </c>
      <c r="H315" s="302">
        <v>10</v>
      </c>
      <c r="I315" s="302">
        <v>18</v>
      </c>
      <c r="J315" s="302">
        <v>3</v>
      </c>
    </row>
    <row r="316" spans="1:10" x14ac:dyDescent="0.2">
      <c r="A316" t="s">
        <v>6949</v>
      </c>
      <c r="B316" s="301" t="s">
        <v>6804</v>
      </c>
      <c r="C316" s="302" t="str">
        <f t="shared" si="88"/>
        <v>Incremento de habilidad+25</v>
      </c>
      <c r="D316" s="302">
        <v>2</v>
      </c>
      <c r="E316" s="302">
        <v>4</v>
      </c>
      <c r="F316" s="302">
        <v>5</v>
      </c>
      <c r="G316" s="302">
        <v>1</v>
      </c>
      <c r="H316" s="302">
        <v>2</v>
      </c>
      <c r="I316" s="302">
        <v>4</v>
      </c>
      <c r="J316" s="302">
        <v>1</v>
      </c>
    </row>
    <row r="317" spans="1:10" x14ac:dyDescent="0.2">
      <c r="A317" t="s">
        <v>6949</v>
      </c>
      <c r="B317" s="301" t="s">
        <v>6806</v>
      </c>
      <c r="C317" s="302" t="str">
        <f t="shared" si="88"/>
        <v>Incremento de habilidad+50</v>
      </c>
      <c r="D317" s="302">
        <v>4</v>
      </c>
      <c r="E317" s="302">
        <v>6</v>
      </c>
      <c r="F317" s="302">
        <v>5</v>
      </c>
      <c r="G317" s="302">
        <v>2</v>
      </c>
      <c r="H317" s="302">
        <v>4</v>
      </c>
      <c r="I317" s="302">
        <v>7</v>
      </c>
      <c r="J317" s="302">
        <v>1</v>
      </c>
    </row>
    <row r="318" spans="1:10" x14ac:dyDescent="0.2">
      <c r="A318" t="s">
        <v>6949</v>
      </c>
      <c r="B318" s="301" t="s">
        <v>6807</v>
      </c>
      <c r="C318" s="302" t="str">
        <f t="shared" si="88"/>
        <v>Incremento de habilidad+75</v>
      </c>
      <c r="D318" s="302">
        <v>6</v>
      </c>
      <c r="E318" s="302">
        <v>9</v>
      </c>
      <c r="F318" s="302">
        <v>10</v>
      </c>
      <c r="G318" s="302">
        <v>3</v>
      </c>
      <c r="H318" s="302">
        <v>6</v>
      </c>
      <c r="I318" s="302">
        <v>11</v>
      </c>
      <c r="J318" s="302">
        <v>2</v>
      </c>
    </row>
    <row r="319" spans="1:10" x14ac:dyDescent="0.2">
      <c r="A319" t="s">
        <v>6949</v>
      </c>
      <c r="B319" s="301" t="s">
        <v>6809</v>
      </c>
      <c r="C319" s="302" t="str">
        <f t="shared" si="88"/>
        <v>Incremento de habilidad+100</v>
      </c>
      <c r="D319" s="302">
        <v>9</v>
      </c>
      <c r="E319" s="302">
        <v>12</v>
      </c>
      <c r="F319" s="302">
        <v>15</v>
      </c>
      <c r="G319" s="302">
        <v>4</v>
      </c>
      <c r="H319" s="302">
        <v>8</v>
      </c>
      <c r="I319" s="302">
        <v>14</v>
      </c>
      <c r="J319" s="302">
        <v>2</v>
      </c>
    </row>
    <row r="320" spans="1:10" x14ac:dyDescent="0.2">
      <c r="A320" t="s">
        <v>6949</v>
      </c>
      <c r="B320" s="301" t="s">
        <v>6810</v>
      </c>
      <c r="C320" s="302" t="str">
        <f t="shared" ref="C320:C329" si="89">A320&amp;B320</f>
        <v>Incremento de habilidad+125</v>
      </c>
      <c r="D320" s="302">
        <v>12</v>
      </c>
      <c r="E320" s="302">
        <v>15</v>
      </c>
      <c r="F320" s="302">
        <v>20</v>
      </c>
      <c r="G320" s="302">
        <v>5</v>
      </c>
      <c r="H320" s="302">
        <v>10</v>
      </c>
      <c r="I320" s="302">
        <v>18</v>
      </c>
      <c r="J320" s="302">
        <v>3</v>
      </c>
    </row>
    <row r="321" spans="1:10" x14ac:dyDescent="0.2">
      <c r="A321" t="s">
        <v>6949</v>
      </c>
      <c r="B321" s="301" t="s">
        <v>6816</v>
      </c>
      <c r="C321" s="302" t="str">
        <f t="shared" si="89"/>
        <v>Incremento de habilidad+150</v>
      </c>
      <c r="D321" s="302">
        <v>15</v>
      </c>
      <c r="E321" s="302">
        <v>19</v>
      </c>
      <c r="F321" s="302">
        <v>25</v>
      </c>
      <c r="G321" s="302">
        <v>6</v>
      </c>
      <c r="H321" s="302">
        <v>12</v>
      </c>
      <c r="I321" s="302">
        <v>21</v>
      </c>
      <c r="J321" s="302">
        <v>3</v>
      </c>
    </row>
    <row r="322" spans="1:10" x14ac:dyDescent="0.2">
      <c r="A322" t="s">
        <v>6950</v>
      </c>
      <c r="B322" s="301" t="s">
        <v>6803</v>
      </c>
      <c r="C322" s="302" t="str">
        <f t="shared" si="89"/>
        <v>Capacidad incrementada+1</v>
      </c>
      <c r="D322" s="302">
        <v>1</v>
      </c>
      <c r="E322" s="302">
        <v>2</v>
      </c>
      <c r="F322" s="302">
        <v>5</v>
      </c>
      <c r="G322" s="302">
        <v>1</v>
      </c>
      <c r="H322" s="302">
        <v>2</v>
      </c>
      <c r="I322" s="302">
        <v>4</v>
      </c>
      <c r="J322" s="302">
        <v>1</v>
      </c>
    </row>
    <row r="323" spans="1:10" x14ac:dyDescent="0.2">
      <c r="A323" t="s">
        <v>6950</v>
      </c>
      <c r="B323" s="301" t="s">
        <v>6778</v>
      </c>
      <c r="C323" s="302" t="str">
        <f t="shared" si="89"/>
        <v>Capacidad incrementada+2</v>
      </c>
      <c r="D323" s="302">
        <v>2</v>
      </c>
      <c r="E323" s="302">
        <v>4</v>
      </c>
      <c r="F323" s="302">
        <v>5</v>
      </c>
      <c r="G323" s="302">
        <v>2</v>
      </c>
      <c r="H323" s="302">
        <v>4</v>
      </c>
      <c r="I323" s="302">
        <v>7</v>
      </c>
      <c r="J323" s="302">
        <v>1</v>
      </c>
    </row>
    <row r="324" spans="1:10" x14ac:dyDescent="0.2">
      <c r="A324" t="s">
        <v>6950</v>
      </c>
      <c r="B324" s="301" t="s">
        <v>6802</v>
      </c>
      <c r="C324" s="302" t="str">
        <f t="shared" si="89"/>
        <v>Capacidad incrementada+3</v>
      </c>
      <c r="D324" s="302">
        <v>4</v>
      </c>
      <c r="E324" s="302">
        <v>6</v>
      </c>
      <c r="F324" s="302">
        <v>5</v>
      </c>
      <c r="G324" s="302">
        <v>3</v>
      </c>
      <c r="H324" s="302">
        <v>6</v>
      </c>
      <c r="I324" s="302">
        <v>11</v>
      </c>
      <c r="J324" s="302">
        <v>1</v>
      </c>
    </row>
    <row r="325" spans="1:10" x14ac:dyDescent="0.2">
      <c r="A325" t="s">
        <v>6950</v>
      </c>
      <c r="B325" s="301" t="s">
        <v>6871</v>
      </c>
      <c r="C325" s="302" t="str">
        <f t="shared" si="89"/>
        <v>Capacidad incrementada+4</v>
      </c>
      <c r="D325" s="302">
        <v>6</v>
      </c>
      <c r="E325" s="302">
        <v>9</v>
      </c>
      <c r="F325" s="302">
        <v>10</v>
      </c>
      <c r="G325" s="302">
        <v>4</v>
      </c>
      <c r="H325" s="302">
        <v>8</v>
      </c>
      <c r="I325" s="302">
        <v>14</v>
      </c>
      <c r="J325" s="302">
        <v>1</v>
      </c>
    </row>
    <row r="326" spans="1:10" x14ac:dyDescent="0.2">
      <c r="A326" t="s">
        <v>6950</v>
      </c>
      <c r="B326" s="301" t="s">
        <v>6777</v>
      </c>
      <c r="C326" s="302" t="str">
        <f t="shared" si="89"/>
        <v>Capacidad incrementada+5</v>
      </c>
      <c r="D326" s="302">
        <v>8</v>
      </c>
      <c r="E326" s="302">
        <v>11</v>
      </c>
      <c r="F326" s="302">
        <v>15</v>
      </c>
      <c r="G326" s="302">
        <v>5</v>
      </c>
      <c r="H326" s="302">
        <v>10</v>
      </c>
      <c r="I326" s="302">
        <v>18</v>
      </c>
      <c r="J326" s="302">
        <v>2</v>
      </c>
    </row>
    <row r="327" spans="1:10" x14ac:dyDescent="0.2">
      <c r="A327" t="s">
        <v>6950</v>
      </c>
      <c r="B327" s="301" t="s">
        <v>6875</v>
      </c>
      <c r="C327" s="302" t="str">
        <f t="shared" si="89"/>
        <v>Capacidad incrementada+6</v>
      </c>
      <c r="D327" s="302">
        <v>10</v>
      </c>
      <c r="E327" s="302">
        <v>13</v>
      </c>
      <c r="F327" s="302">
        <v>20</v>
      </c>
      <c r="G327" s="302">
        <v>6</v>
      </c>
      <c r="H327" s="302">
        <v>12</v>
      </c>
      <c r="I327" s="302">
        <v>21</v>
      </c>
      <c r="J327" s="302">
        <v>2</v>
      </c>
    </row>
    <row r="328" spans="1:10" x14ac:dyDescent="0.2">
      <c r="A328" t="s">
        <v>6950</v>
      </c>
      <c r="B328" s="301" t="s">
        <v>6958</v>
      </c>
      <c r="C328" s="302" t="str">
        <f t="shared" si="89"/>
        <v>Capacidad incrementada+7</v>
      </c>
      <c r="D328" s="302">
        <v>12</v>
      </c>
      <c r="E328" s="302">
        <v>15</v>
      </c>
      <c r="F328" s="302">
        <v>25</v>
      </c>
      <c r="G328" s="302">
        <v>7</v>
      </c>
      <c r="H328" s="302">
        <v>14</v>
      </c>
      <c r="I328" s="302">
        <v>25</v>
      </c>
      <c r="J328" s="302">
        <v>3</v>
      </c>
    </row>
    <row r="329" spans="1:10" x14ac:dyDescent="0.2">
      <c r="A329" t="s">
        <v>6950</v>
      </c>
      <c r="B329" s="301" t="s">
        <v>6876</v>
      </c>
      <c r="C329" s="302" t="str">
        <f t="shared" si="89"/>
        <v>Capacidad incrementada+8</v>
      </c>
      <c r="D329" s="302">
        <v>14</v>
      </c>
      <c r="E329" s="302">
        <v>18</v>
      </c>
      <c r="F329" s="302">
        <v>30</v>
      </c>
      <c r="G329" s="302">
        <v>8</v>
      </c>
      <c r="H329" s="302">
        <v>16</v>
      </c>
      <c r="I329" s="302">
        <v>28</v>
      </c>
      <c r="J329" s="302">
        <v>3</v>
      </c>
    </row>
    <row r="330" spans="1:10" x14ac:dyDescent="0.2">
      <c r="A330" s="302" t="s">
        <v>6951</v>
      </c>
      <c r="B330" s="301" t="s">
        <v>6799</v>
      </c>
      <c r="C330" s="302" t="str">
        <f t="shared" ref="C330:C335" si="90">A330&amp;B330</f>
        <v>Incremento de resistencia física+10</v>
      </c>
      <c r="D330" s="302">
        <v>1</v>
      </c>
      <c r="E330" s="302">
        <v>2</v>
      </c>
      <c r="F330" s="302">
        <v>5</v>
      </c>
      <c r="G330" s="302">
        <v>1</v>
      </c>
      <c r="H330" s="302">
        <v>2</v>
      </c>
      <c r="I330" s="302">
        <v>4</v>
      </c>
      <c r="J330" s="302">
        <v>1</v>
      </c>
    </row>
    <row r="331" spans="1:10" x14ac:dyDescent="0.2">
      <c r="A331" s="302" t="s">
        <v>6951</v>
      </c>
      <c r="B331" s="301" t="s">
        <v>6933</v>
      </c>
      <c r="C331" s="302" t="str">
        <f t="shared" si="90"/>
        <v>Incremento de resistencia física+20</v>
      </c>
      <c r="D331" s="302">
        <v>2</v>
      </c>
      <c r="E331" s="302">
        <v>4</v>
      </c>
      <c r="F331" s="302">
        <v>5</v>
      </c>
      <c r="G331" s="302">
        <v>2</v>
      </c>
      <c r="H331" s="302">
        <v>4</v>
      </c>
      <c r="I331" s="302">
        <v>7</v>
      </c>
      <c r="J331" s="302">
        <v>1</v>
      </c>
    </row>
    <row r="332" spans="1:10" x14ac:dyDescent="0.2">
      <c r="A332" s="302" t="s">
        <v>6951</v>
      </c>
      <c r="B332" s="301" t="s">
        <v>6934</v>
      </c>
      <c r="C332" s="302" t="str">
        <f t="shared" si="90"/>
        <v>Incremento de resistencia física+30</v>
      </c>
      <c r="D332" s="302">
        <v>4</v>
      </c>
      <c r="E332" s="302">
        <v>6</v>
      </c>
      <c r="F332" s="302">
        <v>10</v>
      </c>
      <c r="G332" s="302">
        <v>3</v>
      </c>
      <c r="H332" s="302">
        <v>6</v>
      </c>
      <c r="I332" s="302">
        <v>11</v>
      </c>
      <c r="J332" s="302">
        <v>1</v>
      </c>
    </row>
    <row r="333" spans="1:10" x14ac:dyDescent="0.2">
      <c r="A333" s="302" t="s">
        <v>6951</v>
      </c>
      <c r="B333" s="301" t="s">
        <v>6805</v>
      </c>
      <c r="C333" s="302" t="str">
        <f t="shared" si="90"/>
        <v>Incremento de resistencia física+40</v>
      </c>
      <c r="D333" s="302">
        <v>6</v>
      </c>
      <c r="E333" s="302">
        <v>9</v>
      </c>
      <c r="F333" s="302">
        <v>15</v>
      </c>
      <c r="G333" s="302">
        <v>4</v>
      </c>
      <c r="H333" s="302">
        <v>8</v>
      </c>
      <c r="I333" s="302">
        <v>14</v>
      </c>
      <c r="J333" s="302">
        <v>1</v>
      </c>
    </row>
    <row r="334" spans="1:10" x14ac:dyDescent="0.2">
      <c r="A334" s="302" t="s">
        <v>6951</v>
      </c>
      <c r="B334" s="301" t="s">
        <v>6806</v>
      </c>
      <c r="C334" s="302" t="str">
        <f t="shared" si="90"/>
        <v>Incremento de resistencia física+50</v>
      </c>
      <c r="D334" s="302">
        <v>8</v>
      </c>
      <c r="E334" s="302">
        <v>11</v>
      </c>
      <c r="F334" s="302">
        <v>20</v>
      </c>
      <c r="G334" s="302">
        <v>5</v>
      </c>
      <c r="H334" s="302">
        <v>10</v>
      </c>
      <c r="I334" s="302">
        <v>18</v>
      </c>
      <c r="J334" s="302">
        <v>2</v>
      </c>
    </row>
    <row r="335" spans="1:10" x14ac:dyDescent="0.2">
      <c r="A335" s="302" t="s">
        <v>6951</v>
      </c>
      <c r="B335" s="301" t="s">
        <v>6959</v>
      </c>
      <c r="C335" s="302" t="str">
        <f t="shared" si="90"/>
        <v>Incremento de resistencia física+60</v>
      </c>
      <c r="D335" s="302">
        <v>10</v>
      </c>
      <c r="E335" s="302">
        <v>13</v>
      </c>
      <c r="F335" s="302">
        <v>25</v>
      </c>
      <c r="G335" s="302">
        <v>6</v>
      </c>
      <c r="H335" s="302">
        <v>12</v>
      </c>
      <c r="I335" s="302">
        <v>21</v>
      </c>
      <c r="J335" s="302">
        <v>2</v>
      </c>
    </row>
    <row r="336" spans="1:10" x14ac:dyDescent="0.2">
      <c r="A336" s="302" t="s">
        <v>6951</v>
      </c>
      <c r="B336" s="301" t="s">
        <v>6960</v>
      </c>
      <c r="C336" s="302" t="str">
        <f>A336&amp;B336</f>
        <v>Incremento de resistencia física+80</v>
      </c>
      <c r="D336" s="302">
        <v>14</v>
      </c>
      <c r="E336" s="302">
        <v>18</v>
      </c>
      <c r="F336" s="302">
        <v>30</v>
      </c>
      <c r="G336" s="302">
        <v>7</v>
      </c>
      <c r="H336" s="302">
        <v>14</v>
      </c>
      <c r="I336" s="302">
        <v>25</v>
      </c>
      <c r="J336" s="302">
        <v>3</v>
      </c>
    </row>
    <row r="337" spans="1:10" x14ac:dyDescent="0.2">
      <c r="A337" s="302" t="s">
        <v>6951</v>
      </c>
      <c r="B337" s="301" t="s">
        <v>6809</v>
      </c>
      <c r="C337" s="302" t="str">
        <f>A337&amp;B337</f>
        <v>Incremento de resistencia física+100</v>
      </c>
      <c r="D337" s="302">
        <v>18</v>
      </c>
      <c r="E337" s="302">
        <v>22</v>
      </c>
      <c r="F337" s="302">
        <v>40</v>
      </c>
      <c r="G337" s="302">
        <v>8</v>
      </c>
      <c r="H337" s="302">
        <v>16</v>
      </c>
      <c r="I337" s="302">
        <v>28</v>
      </c>
      <c r="J337" s="302">
        <v>3</v>
      </c>
    </row>
    <row r="338" spans="1:10" x14ac:dyDescent="0.2">
      <c r="A338" s="302" t="s">
        <v>6952</v>
      </c>
      <c r="B338" s="302" t="s">
        <v>5716</v>
      </c>
      <c r="C338" s="302" t="str">
        <f>A337&amp;A338&amp;B338</f>
        <v>Incremento de resistencia físicaVentaja opcional: Otros incrementosRE</v>
      </c>
      <c r="D338" s="302">
        <v>1</v>
      </c>
      <c r="E338" s="302">
        <v>1</v>
      </c>
      <c r="F338" s="302">
        <v>5</v>
      </c>
      <c r="G338" s="302">
        <v>1</v>
      </c>
      <c r="H338" s="302">
        <v>2</v>
      </c>
      <c r="I338" s="302">
        <v>4</v>
      </c>
      <c r="J338" s="302">
        <v>1</v>
      </c>
    </row>
    <row r="339" spans="1:10" x14ac:dyDescent="0.2">
      <c r="A339" s="302" t="s">
        <v>6952</v>
      </c>
      <c r="B339" s="302" t="s">
        <v>5717</v>
      </c>
      <c r="C339" s="302" t="str">
        <f>A337&amp;A339&amp;B339</f>
        <v>Incremento de resistencia físicaVentaja opcional: Otros incrementosRV</v>
      </c>
      <c r="D339" s="302">
        <v>1</v>
      </c>
      <c r="E339" s="302">
        <v>1</v>
      </c>
      <c r="F339" s="302">
        <v>5</v>
      </c>
      <c r="G339" s="302">
        <v>1</v>
      </c>
      <c r="H339" s="302">
        <v>2</v>
      </c>
      <c r="I339" s="302">
        <v>4</v>
      </c>
      <c r="J339" s="302">
        <v>1</v>
      </c>
    </row>
    <row r="340" spans="1:10" x14ac:dyDescent="0.2">
      <c r="A340" s="302" t="s">
        <v>6953</v>
      </c>
      <c r="B340" s="301" t="s">
        <v>6799</v>
      </c>
      <c r="C340" s="302" t="str">
        <f t="shared" ref="C340:C347" si="91">A340&amp;B340</f>
        <v>Incremento de resistencia mágica+10</v>
      </c>
      <c r="D340" s="302">
        <v>1</v>
      </c>
      <c r="E340" s="302">
        <v>2</v>
      </c>
      <c r="F340" s="302">
        <v>5</v>
      </c>
      <c r="G340" s="302">
        <v>1</v>
      </c>
      <c r="H340" s="302">
        <v>2</v>
      </c>
      <c r="I340" s="302">
        <v>4</v>
      </c>
      <c r="J340" s="302">
        <v>1</v>
      </c>
    </row>
    <row r="341" spans="1:10" x14ac:dyDescent="0.2">
      <c r="A341" s="302" t="s">
        <v>6953</v>
      </c>
      <c r="B341" s="301" t="s">
        <v>6933</v>
      </c>
      <c r="C341" s="302" t="str">
        <f t="shared" si="91"/>
        <v>Incremento de resistencia mágica+20</v>
      </c>
      <c r="D341" s="302">
        <v>2</v>
      </c>
      <c r="E341" s="302">
        <v>4</v>
      </c>
      <c r="F341" s="302">
        <v>5</v>
      </c>
      <c r="G341" s="302">
        <v>2</v>
      </c>
      <c r="H341" s="302">
        <v>4</v>
      </c>
      <c r="I341" s="302">
        <v>7</v>
      </c>
      <c r="J341" s="302">
        <v>1</v>
      </c>
    </row>
    <row r="342" spans="1:10" x14ac:dyDescent="0.2">
      <c r="A342" s="302" t="s">
        <v>6953</v>
      </c>
      <c r="B342" s="301" t="s">
        <v>6934</v>
      </c>
      <c r="C342" s="302" t="str">
        <f t="shared" si="91"/>
        <v>Incremento de resistencia mágica+30</v>
      </c>
      <c r="D342" s="302">
        <v>4</v>
      </c>
      <c r="E342" s="302">
        <v>6</v>
      </c>
      <c r="F342" s="302">
        <v>10</v>
      </c>
      <c r="G342" s="302">
        <v>3</v>
      </c>
      <c r="H342" s="302">
        <v>6</v>
      </c>
      <c r="I342" s="302">
        <v>11</v>
      </c>
      <c r="J342" s="302">
        <v>1</v>
      </c>
    </row>
    <row r="343" spans="1:10" x14ac:dyDescent="0.2">
      <c r="A343" s="302" t="s">
        <v>6953</v>
      </c>
      <c r="B343" s="301" t="s">
        <v>6805</v>
      </c>
      <c r="C343" s="302" t="str">
        <f t="shared" si="91"/>
        <v>Incremento de resistencia mágica+40</v>
      </c>
      <c r="D343" s="302">
        <v>6</v>
      </c>
      <c r="E343" s="302">
        <v>9</v>
      </c>
      <c r="F343" s="302">
        <v>15</v>
      </c>
      <c r="G343" s="302">
        <v>4</v>
      </c>
      <c r="H343" s="302">
        <v>8</v>
      </c>
      <c r="I343" s="302">
        <v>14</v>
      </c>
      <c r="J343" s="302">
        <v>1</v>
      </c>
    </row>
    <row r="344" spans="1:10" x14ac:dyDescent="0.2">
      <c r="A344" s="302" t="s">
        <v>6953</v>
      </c>
      <c r="B344" s="301" t="s">
        <v>6806</v>
      </c>
      <c r="C344" s="302" t="str">
        <f t="shared" si="91"/>
        <v>Incremento de resistencia mágica+50</v>
      </c>
      <c r="D344" s="302">
        <v>8</v>
      </c>
      <c r="E344" s="302">
        <v>11</v>
      </c>
      <c r="F344" s="302">
        <v>20</v>
      </c>
      <c r="G344" s="302">
        <v>5</v>
      </c>
      <c r="H344" s="302">
        <v>10</v>
      </c>
      <c r="I344" s="302">
        <v>18</v>
      </c>
      <c r="J344" s="302">
        <v>2</v>
      </c>
    </row>
    <row r="345" spans="1:10" x14ac:dyDescent="0.2">
      <c r="A345" s="302" t="s">
        <v>6953</v>
      </c>
      <c r="B345" s="301" t="s">
        <v>6959</v>
      </c>
      <c r="C345" s="302" t="str">
        <f t="shared" si="91"/>
        <v>Incremento de resistencia mágica+60</v>
      </c>
      <c r="D345" s="302">
        <v>10</v>
      </c>
      <c r="E345" s="302">
        <v>13</v>
      </c>
      <c r="F345" s="302">
        <v>25</v>
      </c>
      <c r="G345" s="302">
        <v>6</v>
      </c>
      <c r="H345" s="302">
        <v>12</v>
      </c>
      <c r="I345" s="302">
        <v>21</v>
      </c>
      <c r="J345" s="302">
        <v>2</v>
      </c>
    </row>
    <row r="346" spans="1:10" x14ac:dyDescent="0.2">
      <c r="A346" s="302" t="s">
        <v>6953</v>
      </c>
      <c r="B346" s="301" t="s">
        <v>6960</v>
      </c>
      <c r="C346" s="302" t="str">
        <f t="shared" si="91"/>
        <v>Incremento de resistencia mágica+80</v>
      </c>
      <c r="D346" s="302">
        <v>14</v>
      </c>
      <c r="E346" s="302">
        <v>18</v>
      </c>
      <c r="F346" s="302">
        <v>30</v>
      </c>
      <c r="G346" s="302">
        <v>7</v>
      </c>
      <c r="H346" s="302">
        <v>14</v>
      </c>
      <c r="I346" s="302">
        <v>25</v>
      </c>
      <c r="J346" s="302">
        <v>3</v>
      </c>
    </row>
    <row r="347" spans="1:10" x14ac:dyDescent="0.2">
      <c r="A347" s="302" t="s">
        <v>6953</v>
      </c>
      <c r="B347" s="301" t="s">
        <v>6809</v>
      </c>
      <c r="C347" s="302" t="str">
        <f t="shared" si="91"/>
        <v>Incremento de resistencia mágica+100</v>
      </c>
      <c r="D347" s="302">
        <v>18</v>
      </c>
      <c r="E347" s="302">
        <v>22</v>
      </c>
      <c r="F347" s="302">
        <v>40</v>
      </c>
      <c r="G347" s="302">
        <v>8</v>
      </c>
      <c r="H347" s="302">
        <v>16</v>
      </c>
      <c r="I347" s="302">
        <v>28</v>
      </c>
      <c r="J347" s="302">
        <v>3</v>
      </c>
    </row>
    <row r="348" spans="1:10" x14ac:dyDescent="0.2">
      <c r="A348" s="302" t="s">
        <v>6954</v>
      </c>
      <c r="B348" s="301" t="s">
        <v>6799</v>
      </c>
      <c r="C348" s="302" t="str">
        <f t="shared" ref="C348:C355" si="92">A348&amp;B348</f>
        <v>Incremento de resistencia psíquica+10</v>
      </c>
      <c r="D348" s="302">
        <v>1</v>
      </c>
      <c r="E348" s="302">
        <v>2</v>
      </c>
      <c r="F348" s="302">
        <v>5</v>
      </c>
      <c r="G348" s="302">
        <v>1</v>
      </c>
      <c r="H348" s="302">
        <v>2</v>
      </c>
      <c r="I348" s="302">
        <v>4</v>
      </c>
      <c r="J348" s="302">
        <v>1</v>
      </c>
    </row>
    <row r="349" spans="1:10" x14ac:dyDescent="0.2">
      <c r="A349" s="302" t="s">
        <v>6954</v>
      </c>
      <c r="B349" s="301" t="s">
        <v>6933</v>
      </c>
      <c r="C349" s="302" t="str">
        <f t="shared" si="92"/>
        <v>Incremento de resistencia psíquica+20</v>
      </c>
      <c r="D349" s="302">
        <v>2</v>
      </c>
      <c r="E349" s="302">
        <v>4</v>
      </c>
      <c r="F349" s="302">
        <v>5</v>
      </c>
      <c r="G349" s="302">
        <v>2</v>
      </c>
      <c r="H349" s="302">
        <v>4</v>
      </c>
      <c r="I349" s="302">
        <v>7</v>
      </c>
      <c r="J349" s="302">
        <v>1</v>
      </c>
    </row>
    <row r="350" spans="1:10" x14ac:dyDescent="0.2">
      <c r="A350" s="302" t="s">
        <v>6954</v>
      </c>
      <c r="B350" s="301" t="s">
        <v>6934</v>
      </c>
      <c r="C350" s="302" t="str">
        <f t="shared" si="92"/>
        <v>Incremento de resistencia psíquica+30</v>
      </c>
      <c r="D350" s="302">
        <v>4</v>
      </c>
      <c r="E350" s="302">
        <v>6</v>
      </c>
      <c r="F350" s="302">
        <v>10</v>
      </c>
      <c r="G350" s="302">
        <v>3</v>
      </c>
      <c r="H350" s="302">
        <v>6</v>
      </c>
      <c r="I350" s="302">
        <v>11</v>
      </c>
      <c r="J350" s="302">
        <v>1</v>
      </c>
    </row>
    <row r="351" spans="1:10" x14ac:dyDescent="0.2">
      <c r="A351" s="302" t="s">
        <v>6954</v>
      </c>
      <c r="B351" s="301" t="s">
        <v>6805</v>
      </c>
      <c r="C351" s="302" t="str">
        <f t="shared" si="92"/>
        <v>Incremento de resistencia psíquica+40</v>
      </c>
      <c r="D351" s="302">
        <v>6</v>
      </c>
      <c r="E351" s="302">
        <v>9</v>
      </c>
      <c r="F351" s="302">
        <v>15</v>
      </c>
      <c r="G351" s="302">
        <v>4</v>
      </c>
      <c r="H351" s="302">
        <v>8</v>
      </c>
      <c r="I351" s="302">
        <v>14</v>
      </c>
      <c r="J351" s="302">
        <v>1</v>
      </c>
    </row>
    <row r="352" spans="1:10" x14ac:dyDescent="0.2">
      <c r="A352" s="302" t="s">
        <v>6954</v>
      </c>
      <c r="B352" s="301" t="s">
        <v>6806</v>
      </c>
      <c r="C352" s="302" t="str">
        <f t="shared" si="92"/>
        <v>Incremento de resistencia psíquica+50</v>
      </c>
      <c r="D352" s="302">
        <v>8</v>
      </c>
      <c r="E352" s="302">
        <v>11</v>
      </c>
      <c r="F352" s="302">
        <v>20</v>
      </c>
      <c r="G352" s="302">
        <v>5</v>
      </c>
      <c r="H352" s="302">
        <v>10</v>
      </c>
      <c r="I352" s="302">
        <v>18</v>
      </c>
      <c r="J352" s="302">
        <v>2</v>
      </c>
    </row>
    <row r="353" spans="1:10" x14ac:dyDescent="0.2">
      <c r="A353" s="302" t="s">
        <v>6954</v>
      </c>
      <c r="B353" s="301" t="s">
        <v>6959</v>
      </c>
      <c r="C353" s="302" t="str">
        <f t="shared" si="92"/>
        <v>Incremento de resistencia psíquica+60</v>
      </c>
      <c r="D353" s="302">
        <v>10</v>
      </c>
      <c r="E353" s="302">
        <v>13</v>
      </c>
      <c r="F353" s="302">
        <v>25</v>
      </c>
      <c r="G353" s="302">
        <v>6</v>
      </c>
      <c r="H353" s="302">
        <v>12</v>
      </c>
      <c r="I353" s="302">
        <v>21</v>
      </c>
      <c r="J353" s="302">
        <v>2</v>
      </c>
    </row>
    <row r="354" spans="1:10" x14ac:dyDescent="0.2">
      <c r="A354" s="302" t="s">
        <v>6954</v>
      </c>
      <c r="B354" s="301" t="s">
        <v>6960</v>
      </c>
      <c r="C354" s="302" t="str">
        <f t="shared" si="92"/>
        <v>Incremento de resistencia psíquica+80</v>
      </c>
      <c r="D354" s="302">
        <v>14</v>
      </c>
      <c r="E354" s="302">
        <v>18</v>
      </c>
      <c r="F354" s="302">
        <v>30</v>
      </c>
      <c r="G354" s="302">
        <v>7</v>
      </c>
      <c r="H354" s="302">
        <v>14</v>
      </c>
      <c r="I354" s="302">
        <v>25</v>
      </c>
      <c r="J354" s="302">
        <v>3</v>
      </c>
    </row>
    <row r="355" spans="1:10" x14ac:dyDescent="0.2">
      <c r="A355" s="302" t="s">
        <v>6954</v>
      </c>
      <c r="B355" s="301" t="s">
        <v>6809</v>
      </c>
      <c r="C355" s="302" t="str">
        <f t="shared" si="92"/>
        <v>Incremento de resistencia psíquica+100</v>
      </c>
      <c r="D355" s="302">
        <v>18</v>
      </c>
      <c r="E355" s="302">
        <v>22</v>
      </c>
      <c r="F355" s="302">
        <v>40</v>
      </c>
      <c r="G355" s="302">
        <v>8</v>
      </c>
      <c r="H355" s="302">
        <v>16</v>
      </c>
      <c r="I355" s="302">
        <v>28</v>
      </c>
      <c r="J355" s="302">
        <v>3</v>
      </c>
    </row>
    <row r="356" spans="1:10" x14ac:dyDescent="0.2">
      <c r="A356" s="302" t="s">
        <v>6955</v>
      </c>
      <c r="B356" s="302" t="s">
        <v>6961</v>
      </c>
      <c r="C356" s="302" t="str">
        <f t="shared" ref="C356:C362" si="93">A356&amp;B356</f>
        <v>Habilidades perceptivasVisión Nocturna</v>
      </c>
      <c r="D356" s="302">
        <v>2</v>
      </c>
      <c r="E356" s="302">
        <v>4</v>
      </c>
      <c r="F356" s="302">
        <v>5</v>
      </c>
      <c r="G356" s="302">
        <v>1</v>
      </c>
      <c r="H356" s="302">
        <v>2</v>
      </c>
      <c r="I356" s="302">
        <v>4</v>
      </c>
      <c r="J356" s="302">
        <v>1</v>
      </c>
    </row>
    <row r="357" spans="1:10" x14ac:dyDescent="0.2">
      <c r="A357" s="302" t="s">
        <v>6955</v>
      </c>
      <c r="B357" s="302" t="s">
        <v>6962</v>
      </c>
      <c r="C357" s="302" t="str">
        <f t="shared" si="93"/>
        <v>Habilidades perceptivasVisión Radial</v>
      </c>
      <c r="D357" s="302">
        <v>4</v>
      </c>
      <c r="E357" s="302">
        <v>6</v>
      </c>
      <c r="F357" s="302">
        <v>10</v>
      </c>
      <c r="G357" s="302">
        <v>2</v>
      </c>
      <c r="H357" s="302">
        <v>4</v>
      </c>
      <c r="I357" s="302">
        <v>7</v>
      </c>
      <c r="J357" s="302">
        <v>1</v>
      </c>
    </row>
    <row r="358" spans="1:10" x14ac:dyDescent="0.2">
      <c r="A358" s="302" t="s">
        <v>6955</v>
      </c>
      <c r="B358" s="302" t="s">
        <v>6966</v>
      </c>
      <c r="C358" s="302" t="str">
        <f t="shared" si="93"/>
        <v>Habilidades perceptivasVisión Espiritual</v>
      </c>
      <c r="D358" s="302">
        <v>3</v>
      </c>
      <c r="E358" s="302">
        <v>5</v>
      </c>
      <c r="F358" s="302">
        <v>5</v>
      </c>
      <c r="G358" s="302">
        <v>1</v>
      </c>
      <c r="H358" s="302">
        <v>2</v>
      </c>
      <c r="I358" s="302">
        <v>4</v>
      </c>
      <c r="J358" s="302">
        <v>1</v>
      </c>
    </row>
    <row r="359" spans="1:10" x14ac:dyDescent="0.2">
      <c r="A359" s="302" t="s">
        <v>6955</v>
      </c>
      <c r="B359" s="302" t="s">
        <v>6963</v>
      </c>
      <c r="C359" s="302" t="str">
        <f t="shared" si="93"/>
        <v>Habilidades perceptivasVisión de magia</v>
      </c>
      <c r="D359" s="302">
        <v>3</v>
      </c>
      <c r="E359" s="302">
        <v>5</v>
      </c>
      <c r="F359" s="302">
        <v>5</v>
      </c>
      <c r="G359" s="302">
        <v>1</v>
      </c>
      <c r="H359" s="302">
        <v>2</v>
      </c>
      <c r="I359" s="302">
        <v>4</v>
      </c>
      <c r="J359" s="302">
        <v>1</v>
      </c>
    </row>
    <row r="360" spans="1:10" x14ac:dyDescent="0.2">
      <c r="A360" s="302" t="s">
        <v>6955</v>
      </c>
      <c r="B360" s="302" t="s">
        <v>6964</v>
      </c>
      <c r="C360" s="302" t="str">
        <f t="shared" si="93"/>
        <v>Habilidades perceptivasVisión de matrices</v>
      </c>
      <c r="D360" s="302">
        <v>3</v>
      </c>
      <c r="E360" s="302">
        <v>5</v>
      </c>
      <c r="F360" s="302">
        <v>5</v>
      </c>
      <c r="G360" s="302">
        <v>1</v>
      </c>
      <c r="H360" s="302">
        <v>2</v>
      </c>
      <c r="I360" s="302">
        <v>4</v>
      </c>
      <c r="J360" s="302">
        <v>1</v>
      </c>
    </row>
    <row r="361" spans="1:10" x14ac:dyDescent="0.2">
      <c r="A361" s="302" t="s">
        <v>6955</v>
      </c>
      <c r="B361" s="302" t="s">
        <v>6965</v>
      </c>
      <c r="C361" s="302" t="str">
        <f t="shared" si="93"/>
        <v>Habilidades perceptivasVer lo sobrenatural</v>
      </c>
      <c r="D361" s="302">
        <v>5</v>
      </c>
      <c r="E361" s="302">
        <v>8</v>
      </c>
      <c r="F361" s="302">
        <v>15</v>
      </c>
      <c r="G361" s="302">
        <v>2</v>
      </c>
      <c r="H361" s="302">
        <v>4</v>
      </c>
      <c r="I361" s="302">
        <v>7</v>
      </c>
      <c r="J361" s="302">
        <v>1</v>
      </c>
    </row>
    <row r="362" spans="1:10" x14ac:dyDescent="0.2">
      <c r="A362" s="302" t="s">
        <v>6955</v>
      </c>
      <c r="B362" s="302" t="s">
        <v>3782</v>
      </c>
      <c r="C362" s="302" t="str">
        <f t="shared" si="93"/>
        <v>Habilidades perceptivasVer realmente</v>
      </c>
      <c r="D362" s="302">
        <v>8</v>
      </c>
      <c r="E362" s="302">
        <v>11</v>
      </c>
      <c r="F362" s="302">
        <v>25</v>
      </c>
      <c r="G362" s="302">
        <v>2</v>
      </c>
      <c r="H362" s="302">
        <v>4</v>
      </c>
      <c r="I362" s="302">
        <v>7</v>
      </c>
      <c r="J362" s="302">
        <v>2</v>
      </c>
    </row>
    <row r="363" spans="1:10" x14ac:dyDescent="0.2">
      <c r="A363" s="302" t="s">
        <v>6968</v>
      </c>
      <c r="B363" s="302" t="s">
        <v>7006</v>
      </c>
      <c r="C363" s="302" t="str">
        <f t="shared" ref="C363:C400" si="94">A363&amp;B363</f>
        <v>Ataque capaz de dañar energíaDañar energía</v>
      </c>
      <c r="D363" s="302">
        <v>1</v>
      </c>
      <c r="E363" s="302">
        <v>2</v>
      </c>
      <c r="F363" s="302">
        <v>5</v>
      </c>
      <c r="G363" s="302">
        <v>1</v>
      </c>
      <c r="H363" s="302">
        <v>2</v>
      </c>
      <c r="I363" s="302">
        <v>4</v>
      </c>
      <c r="J363" s="302">
        <v>1</v>
      </c>
    </row>
    <row r="364" spans="1:10" x14ac:dyDescent="0.2">
      <c r="A364" s="302" t="s">
        <v>5549</v>
      </c>
      <c r="B364" s="302" t="s">
        <v>7012</v>
      </c>
      <c r="C364" s="302" t="str">
        <f t="shared" si="94"/>
        <v>Ataque elementalElemental</v>
      </c>
      <c r="D364" s="302">
        <v>2</v>
      </c>
      <c r="E364" s="302">
        <v>4</v>
      </c>
      <c r="F364" s="302">
        <v>5</v>
      </c>
      <c r="G364" s="302">
        <v>1</v>
      </c>
      <c r="H364" s="302">
        <v>2</v>
      </c>
      <c r="I364" s="302">
        <v>4</v>
      </c>
      <c r="J364" s="302">
        <v>1</v>
      </c>
    </row>
    <row r="365" spans="1:10" x14ac:dyDescent="0.2">
      <c r="A365" s="302" t="s">
        <v>6969</v>
      </c>
      <c r="B365" s="301" t="s">
        <v>7013</v>
      </c>
      <c r="C365" s="302" t="str">
        <f t="shared" si="94"/>
        <v>Armas físicas de Ki+0</v>
      </c>
      <c r="D365" s="302">
        <v>2</v>
      </c>
      <c r="E365" s="302">
        <v>4</v>
      </c>
      <c r="F365" s="302">
        <v>5</v>
      </c>
      <c r="G365" s="302">
        <v>1</v>
      </c>
      <c r="H365" s="302">
        <v>2</v>
      </c>
      <c r="I365" s="302">
        <v>4</v>
      </c>
      <c r="J365" s="302">
        <v>1</v>
      </c>
    </row>
    <row r="366" spans="1:10" x14ac:dyDescent="0.2">
      <c r="A366" s="302" t="s">
        <v>6969</v>
      </c>
      <c r="B366" s="301" t="s">
        <v>6777</v>
      </c>
      <c r="C366" s="302" t="str">
        <f t="shared" si="94"/>
        <v>Armas físicas de Ki+5</v>
      </c>
      <c r="D366" s="302">
        <v>4</v>
      </c>
      <c r="E366" s="302">
        <v>6</v>
      </c>
      <c r="F366" s="302">
        <v>5</v>
      </c>
      <c r="G366" s="302">
        <v>1</v>
      </c>
      <c r="H366" s="302">
        <v>2</v>
      </c>
      <c r="I366" s="302">
        <v>4</v>
      </c>
      <c r="J366" s="302">
        <v>1</v>
      </c>
    </row>
    <row r="367" spans="1:10" x14ac:dyDescent="0.2">
      <c r="A367" s="302" t="s">
        <v>6969</v>
      </c>
      <c r="B367" s="301" t="s">
        <v>6799</v>
      </c>
      <c r="C367" s="302" t="str">
        <f t="shared" si="94"/>
        <v>Armas físicas de Ki+10</v>
      </c>
      <c r="D367" s="302">
        <v>6</v>
      </c>
      <c r="E367" s="302">
        <v>9</v>
      </c>
      <c r="F367" s="302">
        <v>10</v>
      </c>
      <c r="G367" s="302">
        <v>2</v>
      </c>
      <c r="H367" s="302">
        <v>4</v>
      </c>
      <c r="I367" s="302">
        <v>7</v>
      </c>
      <c r="J367" s="302">
        <v>1</v>
      </c>
    </row>
    <row r="368" spans="1:10" x14ac:dyDescent="0.2">
      <c r="A368" s="302" t="s">
        <v>6969</v>
      </c>
      <c r="B368" s="301" t="s">
        <v>6932</v>
      </c>
      <c r="C368" s="302" t="str">
        <f t="shared" si="94"/>
        <v>Armas físicas de Ki+15</v>
      </c>
      <c r="D368" s="302">
        <v>8</v>
      </c>
      <c r="E368" s="302">
        <v>11</v>
      </c>
      <c r="F368" s="302">
        <v>15</v>
      </c>
      <c r="G368" s="302">
        <v>3</v>
      </c>
      <c r="H368" s="302">
        <v>6</v>
      </c>
      <c r="I368" s="302">
        <v>11</v>
      </c>
      <c r="J368" s="302">
        <v>2</v>
      </c>
    </row>
    <row r="369" spans="1:10" x14ac:dyDescent="0.2">
      <c r="A369" s="302" t="s">
        <v>6969</v>
      </c>
      <c r="B369" s="301" t="s">
        <v>6933</v>
      </c>
      <c r="C369" s="302" t="str">
        <f t="shared" si="94"/>
        <v>Armas físicas de Ki+20</v>
      </c>
      <c r="D369" s="302">
        <v>10</v>
      </c>
      <c r="E369" s="302">
        <v>13</v>
      </c>
      <c r="F369" s="302">
        <v>20</v>
      </c>
      <c r="G369" s="302">
        <v>4</v>
      </c>
      <c r="H369" s="302">
        <v>8</v>
      </c>
      <c r="I369" s="302">
        <v>14</v>
      </c>
      <c r="J369" s="302">
        <v>3</v>
      </c>
    </row>
    <row r="370" spans="1:10" x14ac:dyDescent="0.2">
      <c r="A370" s="302" t="s">
        <v>6970</v>
      </c>
      <c r="B370" s="302" t="s">
        <v>7014</v>
      </c>
      <c r="C370" s="302" t="str">
        <f>A369&amp;A370&amp;B370</f>
        <v>Armas físicas de KiVentaja opcional: ProyectilesArma de proyectil</v>
      </c>
      <c r="D370" s="302">
        <v>2</v>
      </c>
      <c r="E370" s="302">
        <v>2</v>
      </c>
      <c r="F370" s="302">
        <v>10</v>
      </c>
      <c r="G370" s="302">
        <v>1</v>
      </c>
      <c r="H370" s="302">
        <v>2</v>
      </c>
      <c r="I370" s="302">
        <v>4</v>
      </c>
      <c r="J370" s="302">
        <v>1</v>
      </c>
    </row>
    <row r="371" spans="1:10" x14ac:dyDescent="0.2">
      <c r="A371" s="302" t="s">
        <v>6971</v>
      </c>
      <c r="B371" s="302" t="s">
        <v>7015</v>
      </c>
      <c r="C371" s="302" t="str">
        <f>A369&amp;A371&amp;B371</f>
        <v>Armas físicas de KiVentaja opcional: Armas adicionales1 arma adicional</v>
      </c>
      <c r="D371" s="302">
        <v>1</v>
      </c>
      <c r="E371" s="302">
        <v>1</v>
      </c>
      <c r="F371" s="302">
        <v>5</v>
      </c>
      <c r="G371" s="302">
        <v>1</v>
      </c>
      <c r="H371" s="302">
        <v>2</v>
      </c>
      <c r="I371" s="302">
        <v>4</v>
      </c>
      <c r="J371" s="302">
        <v>1</v>
      </c>
    </row>
    <row r="372" spans="1:10" x14ac:dyDescent="0.2">
      <c r="A372" s="302" t="s">
        <v>6971</v>
      </c>
      <c r="B372" s="302" t="s">
        <v>7016</v>
      </c>
      <c r="C372" s="302" t="str">
        <f>A369&amp;A372&amp;B372</f>
        <v>Armas físicas de KiVentaja opcional: Armas adicionalesDe 2 a 3 armas adicionales</v>
      </c>
      <c r="D372" s="302">
        <v>2</v>
      </c>
      <c r="E372" s="302">
        <v>2</v>
      </c>
      <c r="F372" s="302">
        <v>10</v>
      </c>
      <c r="G372" s="302">
        <v>2</v>
      </c>
      <c r="H372" s="302">
        <v>4</v>
      </c>
      <c r="I372" s="302">
        <v>7</v>
      </c>
      <c r="J372" s="302">
        <v>1</v>
      </c>
    </row>
    <row r="373" spans="1:10" x14ac:dyDescent="0.2">
      <c r="A373" s="302" t="s">
        <v>6971</v>
      </c>
      <c r="B373" s="302" t="s">
        <v>7017</v>
      </c>
      <c r="C373" s="302" t="str">
        <f>A369&amp;A373&amp;B373</f>
        <v>Armas físicas de KiVentaja opcional: Armas adicionalesDe 4 a 10 armas adicionales</v>
      </c>
      <c r="D373" s="302">
        <v>4</v>
      </c>
      <c r="E373" s="302">
        <v>4</v>
      </c>
      <c r="F373" s="302">
        <v>15</v>
      </c>
      <c r="G373" s="302">
        <v>3</v>
      </c>
      <c r="H373" s="302">
        <v>6</v>
      </c>
      <c r="I373" s="302">
        <v>11</v>
      </c>
      <c r="J373" s="302">
        <v>1</v>
      </c>
    </row>
    <row r="374" spans="1:10" x14ac:dyDescent="0.2">
      <c r="A374" s="302" t="s">
        <v>6971</v>
      </c>
      <c r="B374" s="302" t="s">
        <v>6877</v>
      </c>
      <c r="C374" s="302" t="str">
        <f>A369&amp;A374&amp;B374</f>
        <v>Armas físicas de KiVentaja opcional: Armas adicionalesIlimitadas</v>
      </c>
      <c r="D374" s="302">
        <v>6</v>
      </c>
      <c r="E374" s="302">
        <v>6</v>
      </c>
      <c r="F374" s="302">
        <v>20</v>
      </c>
      <c r="G374" s="302">
        <v>4</v>
      </c>
      <c r="H374" s="302">
        <v>8</v>
      </c>
      <c r="I374" s="302">
        <v>14</v>
      </c>
      <c r="J374" s="302">
        <v>1</v>
      </c>
    </row>
    <row r="375" spans="1:10" x14ac:dyDescent="0.2">
      <c r="A375" s="302" t="s">
        <v>6972</v>
      </c>
      <c r="B375" s="302" t="s">
        <v>4272</v>
      </c>
      <c r="C375" s="302" t="str">
        <f t="shared" si="94"/>
        <v>Ataque sobrenaturalEnergía</v>
      </c>
      <c r="D375" s="302">
        <v>5</v>
      </c>
      <c r="E375" s="302">
        <v>8</v>
      </c>
      <c r="F375" s="302">
        <v>10</v>
      </c>
      <c r="G375" s="302">
        <v>1</v>
      </c>
      <c r="H375" s="302">
        <v>2</v>
      </c>
      <c r="I375" s="302">
        <v>4</v>
      </c>
      <c r="J375" s="302">
        <v>1</v>
      </c>
    </row>
    <row r="376" spans="1:10" x14ac:dyDescent="0.2">
      <c r="A376" s="302" t="s">
        <v>6973</v>
      </c>
      <c r="B376" s="302" t="s">
        <v>7018</v>
      </c>
      <c r="C376" s="302" t="str">
        <f t="shared" si="94"/>
        <v>Absorción de KiHasta 5</v>
      </c>
      <c r="D376" s="302">
        <v>1</v>
      </c>
      <c r="E376" s="302">
        <v>2</v>
      </c>
      <c r="F376" s="302">
        <v>5</v>
      </c>
      <c r="G376" s="302">
        <v>1</v>
      </c>
      <c r="H376" s="302">
        <v>2</v>
      </c>
      <c r="I376" s="302">
        <v>4</v>
      </c>
      <c r="J376" s="302">
        <v>1</v>
      </c>
    </row>
    <row r="377" spans="1:10" x14ac:dyDescent="0.2">
      <c r="A377" s="302" t="s">
        <v>6973</v>
      </c>
      <c r="B377" s="302" t="s">
        <v>7019</v>
      </c>
      <c r="C377" s="302" t="str">
        <f t="shared" si="94"/>
        <v>Absorción de KiHasta 10</v>
      </c>
      <c r="D377" s="302">
        <v>2</v>
      </c>
      <c r="E377" s="302">
        <v>4</v>
      </c>
      <c r="F377" s="302">
        <v>10</v>
      </c>
      <c r="G377" s="302">
        <v>2</v>
      </c>
      <c r="H377" s="302">
        <v>4</v>
      </c>
      <c r="I377" s="302">
        <v>7</v>
      </c>
      <c r="J377" s="302">
        <v>1</v>
      </c>
    </row>
    <row r="378" spans="1:10" x14ac:dyDescent="0.2">
      <c r="A378" s="302" t="s">
        <v>6973</v>
      </c>
      <c r="B378" s="302" t="s">
        <v>7020</v>
      </c>
      <c r="C378" s="302" t="str">
        <f t="shared" si="94"/>
        <v>Absorción de KiHasta 15</v>
      </c>
      <c r="D378" s="302">
        <v>4</v>
      </c>
      <c r="E378" s="302">
        <v>6</v>
      </c>
      <c r="F378" s="302">
        <v>15</v>
      </c>
      <c r="G378" s="302">
        <v>3</v>
      </c>
      <c r="H378" s="302">
        <v>6</v>
      </c>
      <c r="I378" s="302">
        <v>11</v>
      </c>
      <c r="J378" s="302">
        <v>2</v>
      </c>
    </row>
    <row r="379" spans="1:10" x14ac:dyDescent="0.2">
      <c r="A379" s="302" t="s">
        <v>6973</v>
      </c>
      <c r="B379" s="302" t="s">
        <v>7021</v>
      </c>
      <c r="C379" s="302" t="str">
        <f t="shared" si="94"/>
        <v>Absorción de KiHasta 20</v>
      </c>
      <c r="D379" s="302">
        <v>6</v>
      </c>
      <c r="E379" s="302">
        <v>9</v>
      </c>
      <c r="F379" s="302">
        <v>20</v>
      </c>
      <c r="G379" s="302">
        <v>4</v>
      </c>
      <c r="H379" s="302">
        <v>8</v>
      </c>
      <c r="I379" s="302">
        <v>14</v>
      </c>
      <c r="J379" s="302">
        <v>2</v>
      </c>
    </row>
    <row r="380" spans="1:10" x14ac:dyDescent="0.2">
      <c r="A380" s="302" t="s">
        <v>6973</v>
      </c>
      <c r="B380" s="302" t="s">
        <v>7022</v>
      </c>
      <c r="C380" s="302" t="str">
        <f t="shared" si="94"/>
        <v>Absorción de KiHasta 25</v>
      </c>
      <c r="D380" s="302">
        <v>8</v>
      </c>
      <c r="E380" s="302">
        <v>11</v>
      </c>
      <c r="F380" s="302">
        <v>25</v>
      </c>
      <c r="G380" s="302">
        <v>6</v>
      </c>
      <c r="H380" s="302">
        <v>12</v>
      </c>
      <c r="I380" s="302">
        <v>21</v>
      </c>
      <c r="J380" s="302">
        <v>2</v>
      </c>
    </row>
    <row r="381" spans="1:10" x14ac:dyDescent="0.2">
      <c r="A381" s="302" t="s">
        <v>6973</v>
      </c>
      <c r="B381" s="302" t="s">
        <v>2874</v>
      </c>
      <c r="C381" s="302" t="str">
        <f t="shared" si="94"/>
        <v>Absorción de KiSin límite</v>
      </c>
      <c r="D381" s="302">
        <v>10</v>
      </c>
      <c r="E381" s="302">
        <v>13</v>
      </c>
      <c r="F381" s="302">
        <v>30</v>
      </c>
      <c r="G381" s="302">
        <v>8</v>
      </c>
      <c r="H381" s="302">
        <v>16</v>
      </c>
      <c r="I381" s="302">
        <v>28</v>
      </c>
      <c r="J381" s="302">
        <v>3</v>
      </c>
    </row>
    <row r="382" spans="1:10" x14ac:dyDescent="0.2">
      <c r="A382" s="302" t="s">
        <v>6974</v>
      </c>
      <c r="B382" s="302">
        <v>4</v>
      </c>
      <c r="C382" s="302" t="str">
        <f t="shared" si="94"/>
        <v>Apresamiento4</v>
      </c>
      <c r="D382" s="302">
        <v>2</v>
      </c>
      <c r="E382" s="302">
        <v>4</v>
      </c>
      <c r="F382" s="302">
        <v>5</v>
      </c>
      <c r="G382" s="302">
        <v>1</v>
      </c>
      <c r="H382" s="302">
        <v>2</v>
      </c>
      <c r="I382" s="302">
        <v>4</v>
      </c>
      <c r="J382" s="302">
        <v>1</v>
      </c>
    </row>
    <row r="383" spans="1:10" x14ac:dyDescent="0.2">
      <c r="A383" s="302" t="s">
        <v>6974</v>
      </c>
      <c r="B383" s="302">
        <v>6</v>
      </c>
      <c r="C383" s="302" t="str">
        <f t="shared" si="94"/>
        <v>Apresamiento6</v>
      </c>
      <c r="D383" s="302">
        <v>3</v>
      </c>
      <c r="E383" s="302">
        <v>5</v>
      </c>
      <c r="F383" s="302">
        <v>10</v>
      </c>
      <c r="G383" s="302">
        <v>2</v>
      </c>
      <c r="H383" s="302">
        <v>4</v>
      </c>
      <c r="I383" s="302">
        <v>7</v>
      </c>
      <c r="J383" s="302">
        <v>1</v>
      </c>
    </row>
    <row r="384" spans="1:10" x14ac:dyDescent="0.2">
      <c r="A384" s="302" t="s">
        <v>6974</v>
      </c>
      <c r="B384" s="302">
        <v>8</v>
      </c>
      <c r="C384" s="302" t="str">
        <f t="shared" si="94"/>
        <v>Apresamiento8</v>
      </c>
      <c r="D384" s="302">
        <v>4</v>
      </c>
      <c r="E384" s="302">
        <v>6</v>
      </c>
      <c r="F384" s="302">
        <v>10</v>
      </c>
      <c r="G384" s="302">
        <v>3</v>
      </c>
      <c r="H384" s="302">
        <v>6</v>
      </c>
      <c r="I384" s="302">
        <v>11</v>
      </c>
      <c r="J384" s="302">
        <v>1</v>
      </c>
    </row>
    <row r="385" spans="1:10" x14ac:dyDescent="0.2">
      <c r="A385" s="302" t="s">
        <v>6974</v>
      </c>
      <c r="B385" s="302">
        <v>10</v>
      </c>
      <c r="C385" s="302" t="str">
        <f t="shared" si="94"/>
        <v>Apresamiento10</v>
      </c>
      <c r="D385" s="302">
        <v>5</v>
      </c>
      <c r="E385" s="302">
        <v>8</v>
      </c>
      <c r="F385" s="302">
        <v>15</v>
      </c>
      <c r="G385" s="302">
        <v>4</v>
      </c>
      <c r="H385" s="302">
        <v>8</v>
      </c>
      <c r="I385" s="302">
        <v>14</v>
      </c>
      <c r="J385" s="302">
        <v>1</v>
      </c>
    </row>
    <row r="386" spans="1:10" x14ac:dyDescent="0.2">
      <c r="A386" s="302" t="s">
        <v>6974</v>
      </c>
      <c r="B386" s="302">
        <v>12</v>
      </c>
      <c r="C386" s="302" t="str">
        <f t="shared" si="94"/>
        <v>Apresamiento12</v>
      </c>
      <c r="D386" s="302">
        <v>6</v>
      </c>
      <c r="E386" s="302">
        <v>9</v>
      </c>
      <c r="F386" s="302">
        <v>20</v>
      </c>
      <c r="G386" s="302">
        <v>5</v>
      </c>
      <c r="H386" s="302">
        <v>10</v>
      </c>
      <c r="I386" s="302">
        <v>18</v>
      </c>
      <c r="J386" s="302">
        <v>1</v>
      </c>
    </row>
    <row r="387" spans="1:10" x14ac:dyDescent="0.2">
      <c r="A387" s="302" t="s">
        <v>6974</v>
      </c>
      <c r="B387" s="302">
        <v>14</v>
      </c>
      <c r="C387" s="302" t="str">
        <f t="shared" si="94"/>
        <v>Apresamiento14</v>
      </c>
      <c r="D387" s="302">
        <v>8</v>
      </c>
      <c r="E387" s="302">
        <v>11</v>
      </c>
      <c r="F387" s="302">
        <v>25</v>
      </c>
      <c r="G387" s="302">
        <v>6</v>
      </c>
      <c r="H387" s="302">
        <v>12</v>
      </c>
      <c r="I387" s="302">
        <v>21</v>
      </c>
      <c r="J387" s="302">
        <v>2</v>
      </c>
    </row>
    <row r="388" spans="1:10" x14ac:dyDescent="0.2">
      <c r="A388" s="302" t="s">
        <v>6974</v>
      </c>
      <c r="B388" s="302">
        <v>16</v>
      </c>
      <c r="C388" s="302" t="str">
        <f t="shared" si="94"/>
        <v>Apresamiento16</v>
      </c>
      <c r="D388" s="302">
        <v>10</v>
      </c>
      <c r="E388" s="302">
        <v>13</v>
      </c>
      <c r="F388" s="302">
        <v>30</v>
      </c>
      <c r="G388" s="302">
        <v>7</v>
      </c>
      <c r="H388" s="302">
        <v>14</v>
      </c>
      <c r="I388" s="302">
        <v>25</v>
      </c>
      <c r="J388" s="302">
        <v>2</v>
      </c>
    </row>
    <row r="389" spans="1:10" x14ac:dyDescent="0.2">
      <c r="A389" s="302" t="s">
        <v>6974</v>
      </c>
      <c r="B389" s="302">
        <v>18</v>
      </c>
      <c r="C389" s="302" t="str">
        <f t="shared" si="94"/>
        <v>Apresamiento18</v>
      </c>
      <c r="D389" s="302">
        <v>14</v>
      </c>
      <c r="E389" s="302">
        <v>18</v>
      </c>
      <c r="F389" s="302">
        <v>35</v>
      </c>
      <c r="G389" s="302">
        <v>8</v>
      </c>
      <c r="H389" s="302">
        <v>16</v>
      </c>
      <c r="I389" s="302">
        <v>28</v>
      </c>
      <c r="J389" s="302">
        <v>3</v>
      </c>
    </row>
    <row r="390" spans="1:10" x14ac:dyDescent="0.2">
      <c r="A390" s="302" t="s">
        <v>6974</v>
      </c>
      <c r="B390" s="302">
        <v>20</v>
      </c>
      <c r="C390" s="302" t="str">
        <f t="shared" si="94"/>
        <v>Apresamiento20</v>
      </c>
      <c r="D390" s="302">
        <v>18</v>
      </c>
      <c r="E390" s="302">
        <v>22</v>
      </c>
      <c r="F390" s="302">
        <v>40</v>
      </c>
      <c r="G390" s="302">
        <v>10</v>
      </c>
      <c r="H390" s="302">
        <v>20</v>
      </c>
      <c r="I390" s="302">
        <v>35</v>
      </c>
      <c r="J390" s="302">
        <v>3</v>
      </c>
    </row>
    <row r="391" spans="1:10" x14ac:dyDescent="0.2">
      <c r="A391" s="302" t="s">
        <v>6975</v>
      </c>
      <c r="B391" s="302" t="s">
        <v>7007</v>
      </c>
      <c r="C391" s="302" t="str">
        <f>A390&amp;A391&amp;B391</f>
        <v>ApresamientoVentaja opcional: Presa existencialPresa existencial</v>
      </c>
      <c r="D391" s="302">
        <v>1</v>
      </c>
      <c r="E391" s="302">
        <v>1</v>
      </c>
      <c r="F391" s="302">
        <v>5</v>
      </c>
      <c r="G391" s="302">
        <v>1</v>
      </c>
      <c r="H391" s="302">
        <v>2</v>
      </c>
      <c r="I391" s="302">
        <v>4</v>
      </c>
      <c r="J391" s="302">
        <v>1</v>
      </c>
    </row>
    <row r="392" spans="1:10" x14ac:dyDescent="0.2">
      <c r="A392" s="302" t="s">
        <v>6976</v>
      </c>
      <c r="B392" s="302" t="s">
        <v>7000</v>
      </c>
      <c r="C392" s="302" t="str">
        <f t="shared" si="94"/>
        <v>Choque físicoChoque</v>
      </c>
      <c r="D392" s="302">
        <v>1</v>
      </c>
      <c r="E392" s="302">
        <v>2</v>
      </c>
      <c r="F392" s="302">
        <v>5</v>
      </c>
      <c r="G392" s="302">
        <v>1</v>
      </c>
      <c r="H392" s="302">
        <v>2</v>
      </c>
      <c r="I392" s="302">
        <v>4</v>
      </c>
      <c r="J392" s="302">
        <v>1</v>
      </c>
    </row>
    <row r="393" spans="1:10" x14ac:dyDescent="0.2">
      <c r="A393" s="302" t="s">
        <v>28</v>
      </c>
      <c r="B393" s="302">
        <v>100</v>
      </c>
      <c r="C393" s="302" t="str">
        <f t="shared" si="94"/>
        <v>Acumulación100</v>
      </c>
      <c r="D393" s="302">
        <v>2</v>
      </c>
      <c r="E393" s="302">
        <v>4</v>
      </c>
      <c r="F393" s="302">
        <v>5</v>
      </c>
      <c r="G393" s="302">
        <v>1</v>
      </c>
      <c r="H393" s="302">
        <v>2</v>
      </c>
      <c r="I393" s="302">
        <v>4</v>
      </c>
      <c r="J393" s="302">
        <v>1</v>
      </c>
    </row>
    <row r="394" spans="1:10" x14ac:dyDescent="0.2">
      <c r="A394" s="302" t="s">
        <v>28</v>
      </c>
      <c r="B394" s="302">
        <v>200</v>
      </c>
      <c r="C394" s="302" t="str">
        <f t="shared" si="94"/>
        <v>Acumulación200</v>
      </c>
      <c r="D394" s="302">
        <v>3</v>
      </c>
      <c r="E394" s="302">
        <v>5</v>
      </c>
      <c r="F394" s="302">
        <v>5</v>
      </c>
      <c r="G394" s="302">
        <v>1</v>
      </c>
      <c r="H394" s="302">
        <v>2</v>
      </c>
      <c r="I394" s="302">
        <v>4</v>
      </c>
      <c r="J394" s="302">
        <v>1</v>
      </c>
    </row>
    <row r="395" spans="1:10" x14ac:dyDescent="0.2">
      <c r="A395" s="302" t="s">
        <v>28</v>
      </c>
      <c r="B395" s="302">
        <v>300</v>
      </c>
      <c r="C395" s="302" t="str">
        <f t="shared" si="94"/>
        <v>Acumulación300</v>
      </c>
      <c r="D395" s="302">
        <v>4</v>
      </c>
      <c r="E395" s="302">
        <v>6</v>
      </c>
      <c r="F395" s="302">
        <v>10</v>
      </c>
      <c r="G395" s="302">
        <v>2</v>
      </c>
      <c r="H395" s="302">
        <v>4</v>
      </c>
      <c r="I395" s="302">
        <v>7</v>
      </c>
      <c r="J395" s="302">
        <v>1</v>
      </c>
    </row>
    <row r="396" spans="1:10" x14ac:dyDescent="0.2">
      <c r="A396" s="302" t="s">
        <v>28</v>
      </c>
      <c r="B396" s="302">
        <v>400</v>
      </c>
      <c r="C396" s="302" t="str">
        <f t="shared" si="94"/>
        <v>Acumulación400</v>
      </c>
      <c r="D396" s="302">
        <v>5</v>
      </c>
      <c r="E396" s="302">
        <v>8</v>
      </c>
      <c r="F396" s="302">
        <v>15</v>
      </c>
      <c r="G396" s="302">
        <v>3</v>
      </c>
      <c r="H396" s="302">
        <v>6</v>
      </c>
      <c r="I396" s="302">
        <v>11</v>
      </c>
      <c r="J396" s="302">
        <v>1</v>
      </c>
    </row>
    <row r="397" spans="1:10" x14ac:dyDescent="0.2">
      <c r="A397" s="302" t="s">
        <v>28</v>
      </c>
      <c r="B397" s="302">
        <v>600</v>
      </c>
      <c r="C397" s="302" t="str">
        <f t="shared" si="94"/>
        <v>Acumulación600</v>
      </c>
      <c r="D397" s="302">
        <v>8</v>
      </c>
      <c r="E397" s="302">
        <v>11</v>
      </c>
      <c r="F397" s="302">
        <v>20</v>
      </c>
      <c r="G397" s="302">
        <v>4</v>
      </c>
      <c r="H397" s="302">
        <v>8</v>
      </c>
      <c r="I397" s="302">
        <v>14</v>
      </c>
      <c r="J397" s="302">
        <v>1</v>
      </c>
    </row>
    <row r="398" spans="1:10" x14ac:dyDescent="0.2">
      <c r="A398" s="302" t="s">
        <v>28</v>
      </c>
      <c r="B398" s="302">
        <v>800</v>
      </c>
      <c r="C398" s="302" t="str">
        <f t="shared" si="94"/>
        <v>Acumulación800</v>
      </c>
      <c r="D398" s="302">
        <v>12</v>
      </c>
      <c r="E398" s="302">
        <v>15</v>
      </c>
      <c r="F398" s="302">
        <v>25</v>
      </c>
      <c r="G398" s="302">
        <v>5</v>
      </c>
      <c r="H398" s="302">
        <v>10</v>
      </c>
      <c r="I398" s="302">
        <v>18</v>
      </c>
      <c r="J398" s="302">
        <v>1</v>
      </c>
    </row>
    <row r="399" spans="1:10" x14ac:dyDescent="0.2">
      <c r="A399" s="302" t="s">
        <v>28</v>
      </c>
      <c r="B399" s="302">
        <v>1000</v>
      </c>
      <c r="C399" s="302" t="str">
        <f t="shared" si="94"/>
        <v>Acumulación1000</v>
      </c>
      <c r="D399" s="302">
        <v>14</v>
      </c>
      <c r="E399" s="302">
        <v>18</v>
      </c>
      <c r="F399" s="302">
        <v>30</v>
      </c>
      <c r="G399" s="302">
        <v>8</v>
      </c>
      <c r="H399" s="302">
        <v>16</v>
      </c>
      <c r="I399" s="302">
        <v>28</v>
      </c>
      <c r="J399" s="302">
        <v>2</v>
      </c>
    </row>
    <row r="400" spans="1:10" x14ac:dyDescent="0.2">
      <c r="A400" s="302" t="s">
        <v>28</v>
      </c>
      <c r="B400" s="302">
        <v>1200</v>
      </c>
      <c r="C400" s="302" t="str">
        <f t="shared" si="94"/>
        <v>Acumulación1200</v>
      </c>
      <c r="D400" s="302">
        <v>18</v>
      </c>
      <c r="E400" s="302">
        <v>22</v>
      </c>
      <c r="F400" s="302">
        <v>35</v>
      </c>
      <c r="G400" s="302">
        <v>10</v>
      </c>
      <c r="H400" s="302">
        <v>20</v>
      </c>
      <c r="I400" s="302">
        <v>35</v>
      </c>
      <c r="J400" s="302">
        <v>2</v>
      </c>
    </row>
    <row r="401" spans="1:10" x14ac:dyDescent="0.2">
      <c r="A401" s="302" t="s">
        <v>28</v>
      </c>
      <c r="B401" s="302">
        <v>1500</v>
      </c>
      <c r="C401" s="302" t="str">
        <f>A401&amp;B401</f>
        <v>Acumulación1500</v>
      </c>
      <c r="D401" s="302">
        <v>22</v>
      </c>
      <c r="E401" s="302">
        <v>26</v>
      </c>
      <c r="F401" s="302">
        <v>40</v>
      </c>
      <c r="G401" s="302">
        <v>12</v>
      </c>
      <c r="H401" s="302">
        <v>24</v>
      </c>
      <c r="I401" s="302">
        <v>42</v>
      </c>
      <c r="J401" s="302">
        <v>3</v>
      </c>
    </row>
    <row r="402" spans="1:10" x14ac:dyDescent="0.2">
      <c r="A402" s="302" t="s">
        <v>6977</v>
      </c>
      <c r="B402" s="302" t="s">
        <v>7023</v>
      </c>
      <c r="C402" s="302" t="str">
        <f>A393&amp;A402&amp;B402</f>
        <v>AcumulaciónVentaja opcional: RegeneraciónRegeneración 100</v>
      </c>
      <c r="D402" s="302">
        <v>1</v>
      </c>
      <c r="E402" s="302">
        <v>1</v>
      </c>
      <c r="F402" s="302">
        <v>5</v>
      </c>
      <c r="G402" s="302">
        <v>1</v>
      </c>
      <c r="H402" s="302">
        <v>2</v>
      </c>
      <c r="I402" s="302">
        <v>4</v>
      </c>
      <c r="J402" s="302">
        <v>1</v>
      </c>
    </row>
    <row r="403" spans="1:10" x14ac:dyDescent="0.2">
      <c r="A403" s="302" t="s">
        <v>6977</v>
      </c>
      <c r="B403" s="302" t="s">
        <v>7024</v>
      </c>
      <c r="C403" s="302" t="str">
        <f>A394&amp;A403&amp;B403</f>
        <v>AcumulaciónVentaja opcional: RegeneraciónRegeneración 250</v>
      </c>
      <c r="D403" s="302">
        <v>2</v>
      </c>
      <c r="E403" s="302">
        <v>2</v>
      </c>
      <c r="F403" s="302">
        <v>10</v>
      </c>
      <c r="G403" s="302">
        <v>2</v>
      </c>
      <c r="H403" s="302">
        <v>4</v>
      </c>
      <c r="I403" s="302">
        <v>7</v>
      </c>
      <c r="J403" s="302">
        <v>1</v>
      </c>
    </row>
    <row r="404" spans="1:10" x14ac:dyDescent="0.2">
      <c r="A404" s="302" t="s">
        <v>6977</v>
      </c>
      <c r="B404" s="302" t="s">
        <v>7025</v>
      </c>
      <c r="C404" s="302" t="str">
        <f>A395&amp;A404&amp;B404</f>
        <v>AcumulaciónVentaja opcional: RegeneraciónRegeneración 500</v>
      </c>
      <c r="D404" s="302">
        <v>4</v>
      </c>
      <c r="E404" s="302">
        <v>4</v>
      </c>
      <c r="F404" s="302">
        <v>15</v>
      </c>
      <c r="G404" s="302">
        <v>3</v>
      </c>
      <c r="H404" s="302">
        <v>6</v>
      </c>
      <c r="I404" s="302">
        <v>11</v>
      </c>
      <c r="J404" s="302">
        <v>1</v>
      </c>
    </row>
    <row r="405" spans="1:10" x14ac:dyDescent="0.2">
      <c r="A405" s="302" t="s">
        <v>6978</v>
      </c>
      <c r="B405" s="302">
        <v>1</v>
      </c>
      <c r="C405" s="302" t="str">
        <f t="shared" ref="C405:C412" si="95">A405&amp;B405</f>
        <v>Espejismo1</v>
      </c>
      <c r="D405" s="302">
        <v>1</v>
      </c>
      <c r="E405" s="302">
        <v>2</v>
      </c>
      <c r="F405" s="302">
        <v>5</v>
      </c>
      <c r="G405" s="302">
        <v>1</v>
      </c>
      <c r="H405" s="302">
        <v>2</v>
      </c>
      <c r="I405" s="302">
        <v>4</v>
      </c>
      <c r="J405" s="302">
        <v>1</v>
      </c>
    </row>
    <row r="406" spans="1:10" x14ac:dyDescent="0.2">
      <c r="A406" s="302" t="s">
        <v>6978</v>
      </c>
      <c r="B406" s="302">
        <v>2</v>
      </c>
      <c r="C406" s="302" t="str">
        <f t="shared" si="95"/>
        <v>Espejismo2</v>
      </c>
      <c r="D406" s="302">
        <v>2</v>
      </c>
      <c r="E406" s="302">
        <v>4</v>
      </c>
      <c r="F406" s="302">
        <v>5</v>
      </c>
      <c r="G406" s="302">
        <v>2</v>
      </c>
      <c r="H406" s="302">
        <v>4</v>
      </c>
      <c r="I406" s="302">
        <v>7</v>
      </c>
      <c r="J406" s="302">
        <v>1</v>
      </c>
    </row>
    <row r="407" spans="1:10" x14ac:dyDescent="0.2">
      <c r="A407" s="302" t="s">
        <v>6978</v>
      </c>
      <c r="B407" s="302">
        <v>4</v>
      </c>
      <c r="C407" s="302" t="str">
        <f t="shared" si="95"/>
        <v>Espejismo4</v>
      </c>
      <c r="D407" s="302">
        <v>4</v>
      </c>
      <c r="E407" s="302">
        <v>6</v>
      </c>
      <c r="F407" s="302">
        <v>10</v>
      </c>
      <c r="G407" s="302">
        <v>3</v>
      </c>
      <c r="H407" s="302">
        <v>6</v>
      </c>
      <c r="I407" s="302">
        <v>11</v>
      </c>
      <c r="J407" s="302">
        <v>1</v>
      </c>
    </row>
    <row r="408" spans="1:10" x14ac:dyDescent="0.2">
      <c r="A408" s="302" t="s">
        <v>6978</v>
      </c>
      <c r="B408" s="302">
        <v>6</v>
      </c>
      <c r="C408" s="302" t="str">
        <f t="shared" si="95"/>
        <v>Espejismo6</v>
      </c>
      <c r="D408" s="302">
        <v>6</v>
      </c>
      <c r="E408" s="302">
        <v>9</v>
      </c>
      <c r="F408" s="302">
        <v>10</v>
      </c>
      <c r="G408" s="302">
        <v>4</v>
      </c>
      <c r="H408" s="302">
        <v>8</v>
      </c>
      <c r="I408" s="302">
        <v>14</v>
      </c>
      <c r="J408" s="302">
        <v>1</v>
      </c>
    </row>
    <row r="409" spans="1:10" x14ac:dyDescent="0.2">
      <c r="A409" s="302" t="s">
        <v>6978</v>
      </c>
      <c r="B409" s="302">
        <v>10</v>
      </c>
      <c r="C409" s="302" t="str">
        <f t="shared" si="95"/>
        <v>Espejismo10</v>
      </c>
      <c r="D409" s="302">
        <v>8</v>
      </c>
      <c r="E409" s="302">
        <v>11</v>
      </c>
      <c r="F409" s="302">
        <v>15</v>
      </c>
      <c r="G409" s="302">
        <v>6</v>
      </c>
      <c r="H409" s="302">
        <v>12</v>
      </c>
      <c r="I409" s="302">
        <v>21</v>
      </c>
      <c r="J409" s="302">
        <v>2</v>
      </c>
    </row>
    <row r="410" spans="1:10" x14ac:dyDescent="0.2">
      <c r="A410" s="302" t="s">
        <v>6978</v>
      </c>
      <c r="B410" s="302">
        <v>15</v>
      </c>
      <c r="C410" s="302" t="str">
        <f t="shared" si="95"/>
        <v>Espejismo15</v>
      </c>
      <c r="D410" s="302">
        <v>10</v>
      </c>
      <c r="E410" s="302">
        <v>13</v>
      </c>
      <c r="F410" s="302">
        <v>20</v>
      </c>
      <c r="G410" s="302">
        <v>8</v>
      </c>
      <c r="H410" s="302">
        <v>16</v>
      </c>
      <c r="I410" s="302">
        <v>28</v>
      </c>
      <c r="J410" s="302">
        <v>2</v>
      </c>
    </row>
    <row r="411" spans="1:10" x14ac:dyDescent="0.2">
      <c r="A411" s="302" t="s">
        <v>6978</v>
      </c>
      <c r="B411" s="302">
        <v>20</v>
      </c>
      <c r="C411" s="302" t="str">
        <f t="shared" si="95"/>
        <v>Espejismo20</v>
      </c>
      <c r="D411" s="302">
        <v>12</v>
      </c>
      <c r="E411" s="302">
        <v>15</v>
      </c>
      <c r="F411" s="302">
        <v>25</v>
      </c>
      <c r="G411" s="302">
        <v>10</v>
      </c>
      <c r="H411" s="302">
        <v>20</v>
      </c>
      <c r="I411" s="302">
        <v>35</v>
      </c>
      <c r="J411" s="302">
        <v>2</v>
      </c>
    </row>
    <row r="412" spans="1:10" x14ac:dyDescent="0.2">
      <c r="A412" s="302" t="s">
        <v>6978</v>
      </c>
      <c r="B412" s="302">
        <v>25</v>
      </c>
      <c r="C412" s="302" t="str">
        <f t="shared" si="95"/>
        <v>Espejismo25</v>
      </c>
      <c r="D412" s="302">
        <v>14</v>
      </c>
      <c r="E412" s="302">
        <v>18</v>
      </c>
      <c r="F412" s="302">
        <v>30</v>
      </c>
      <c r="G412" s="302">
        <v>12</v>
      </c>
      <c r="H412" s="302">
        <v>24</v>
      </c>
      <c r="I412" s="302">
        <v>42</v>
      </c>
      <c r="J412" s="302">
        <v>3</v>
      </c>
    </row>
    <row r="413" spans="1:10" x14ac:dyDescent="0.2">
      <c r="A413" s="302" t="s">
        <v>6979</v>
      </c>
      <c r="B413" s="302" t="s">
        <v>6819</v>
      </c>
      <c r="C413" s="302" t="str">
        <f>A405&amp;A413&amp;B413</f>
        <v>EspejismoVentaja opcional: IndetecciónMedia (80)</v>
      </c>
      <c r="D413" s="302">
        <v>1</v>
      </c>
      <c r="E413" s="302">
        <v>1</v>
      </c>
      <c r="F413" s="302">
        <v>5</v>
      </c>
      <c r="G413" s="302">
        <v>1</v>
      </c>
      <c r="H413" s="302">
        <v>2</v>
      </c>
      <c r="I413" s="302">
        <v>4</v>
      </c>
      <c r="J413" s="302">
        <v>1</v>
      </c>
    </row>
    <row r="414" spans="1:10" x14ac:dyDescent="0.2">
      <c r="A414" s="302" t="s">
        <v>6979</v>
      </c>
      <c r="B414" s="302" t="s">
        <v>6820</v>
      </c>
      <c r="C414" s="302" t="str">
        <f t="shared" ref="C414:C420" si="96">A406&amp;A414&amp;B414</f>
        <v>EspejismoVentaja opcional: IndetecciónDifícil (120)</v>
      </c>
      <c r="D414" s="302">
        <v>2</v>
      </c>
      <c r="E414" s="302">
        <v>2</v>
      </c>
      <c r="F414" s="302">
        <v>10</v>
      </c>
      <c r="G414" s="302">
        <v>1</v>
      </c>
      <c r="H414" s="302">
        <v>2</v>
      </c>
      <c r="I414" s="302">
        <v>4</v>
      </c>
      <c r="J414" s="302">
        <v>1</v>
      </c>
    </row>
    <row r="415" spans="1:10" x14ac:dyDescent="0.2">
      <c r="A415" s="302" t="s">
        <v>6979</v>
      </c>
      <c r="B415" s="302" t="s">
        <v>6821</v>
      </c>
      <c r="C415" s="302" t="str">
        <f t="shared" si="96"/>
        <v>EspejismoVentaja opcional: IndetecciónMuy Difícil (140)</v>
      </c>
      <c r="D415" s="302">
        <v>3</v>
      </c>
      <c r="E415" s="302">
        <v>3</v>
      </c>
      <c r="F415" s="302">
        <v>10</v>
      </c>
      <c r="G415" s="302">
        <v>2</v>
      </c>
      <c r="H415" s="302">
        <v>4</v>
      </c>
      <c r="I415" s="302">
        <v>7</v>
      </c>
      <c r="J415" s="302">
        <v>1</v>
      </c>
    </row>
    <row r="416" spans="1:10" x14ac:dyDescent="0.2">
      <c r="A416" s="302" t="s">
        <v>6979</v>
      </c>
      <c r="B416" s="302" t="s">
        <v>6822</v>
      </c>
      <c r="C416" s="302" t="str">
        <f t="shared" si="96"/>
        <v>EspejismoVentaja opcional: IndetecciónAbsurdo (180)</v>
      </c>
      <c r="D416" s="302">
        <v>4</v>
      </c>
      <c r="E416" s="302">
        <v>4</v>
      </c>
      <c r="F416" s="302">
        <v>15</v>
      </c>
      <c r="G416" s="302">
        <v>2</v>
      </c>
      <c r="H416" s="302">
        <v>4</v>
      </c>
      <c r="I416" s="302">
        <v>7</v>
      </c>
      <c r="J416" s="302">
        <v>1</v>
      </c>
    </row>
    <row r="417" spans="1:10" x14ac:dyDescent="0.2">
      <c r="A417" s="302" t="s">
        <v>6979</v>
      </c>
      <c r="B417" s="302" t="s">
        <v>6823</v>
      </c>
      <c r="C417" s="302" t="str">
        <f t="shared" si="96"/>
        <v>EspejismoVentaja opcional: IndetecciónCasi Imposible (240)</v>
      </c>
      <c r="D417" s="302">
        <v>5</v>
      </c>
      <c r="E417" s="302">
        <v>5</v>
      </c>
      <c r="F417" s="302">
        <v>15</v>
      </c>
      <c r="G417" s="302">
        <v>3</v>
      </c>
      <c r="H417" s="302">
        <v>6</v>
      </c>
      <c r="I417" s="302">
        <v>11</v>
      </c>
      <c r="J417" s="302">
        <v>1</v>
      </c>
    </row>
    <row r="418" spans="1:10" x14ac:dyDescent="0.2">
      <c r="A418" s="302" t="s">
        <v>6979</v>
      </c>
      <c r="B418" s="302" t="s">
        <v>6824</v>
      </c>
      <c r="C418" s="302" t="str">
        <f t="shared" si="96"/>
        <v>EspejismoVentaja opcional: IndetecciónImposible (280)</v>
      </c>
      <c r="D418" s="302">
        <v>6</v>
      </c>
      <c r="E418" s="302">
        <v>6</v>
      </c>
      <c r="F418" s="302">
        <v>20</v>
      </c>
      <c r="G418" s="302">
        <v>3</v>
      </c>
      <c r="H418" s="302">
        <v>6</v>
      </c>
      <c r="I418" s="302">
        <v>11</v>
      </c>
      <c r="J418" s="302">
        <v>2</v>
      </c>
    </row>
    <row r="419" spans="1:10" x14ac:dyDescent="0.2">
      <c r="A419" s="302" t="s">
        <v>6979</v>
      </c>
      <c r="B419" s="302" t="s">
        <v>6825</v>
      </c>
      <c r="C419" s="302" t="str">
        <f t="shared" si="96"/>
        <v>EspejismoVentaja opcional: IndetecciónInhumano (320)</v>
      </c>
      <c r="D419" s="302">
        <v>7</v>
      </c>
      <c r="E419" s="302">
        <v>7</v>
      </c>
      <c r="F419" s="302">
        <v>20</v>
      </c>
      <c r="G419" s="302">
        <v>4</v>
      </c>
      <c r="H419" s="302">
        <v>8</v>
      </c>
      <c r="I419" s="302">
        <v>14</v>
      </c>
      <c r="J419" s="302">
        <v>2</v>
      </c>
    </row>
    <row r="420" spans="1:10" x14ac:dyDescent="0.2">
      <c r="A420" s="302" t="s">
        <v>6979</v>
      </c>
      <c r="B420" s="302" t="s">
        <v>6826</v>
      </c>
      <c r="C420" s="302" t="str">
        <f t="shared" si="96"/>
        <v>EspejismoVentaja opcional: IndetecciónZen (440)</v>
      </c>
      <c r="D420" s="302">
        <v>8</v>
      </c>
      <c r="E420" s="302">
        <v>8</v>
      </c>
      <c r="F420" s="302">
        <v>30</v>
      </c>
      <c r="G420" s="302">
        <v>4</v>
      </c>
      <c r="H420" s="302">
        <v>8</v>
      </c>
      <c r="I420" s="302">
        <v>14</v>
      </c>
      <c r="J420" s="302">
        <v>3</v>
      </c>
    </row>
    <row r="421" spans="1:10" x14ac:dyDescent="0.2">
      <c r="A421" s="302" t="s">
        <v>6980</v>
      </c>
      <c r="B421" s="302" t="s">
        <v>7008</v>
      </c>
      <c r="C421" s="302" t="str">
        <f>A405&amp;A421&amp;B421</f>
        <v>EspejismoVentaja opcional: Modificación de aspectoModificación de aspecto</v>
      </c>
      <c r="D421" s="302">
        <v>2</v>
      </c>
      <c r="E421" s="302">
        <v>2</v>
      </c>
      <c r="F421" s="302">
        <v>10</v>
      </c>
      <c r="G421" s="302">
        <v>2</v>
      </c>
      <c r="H421" s="302">
        <v>4</v>
      </c>
      <c r="I421" s="302">
        <v>7</v>
      </c>
      <c r="J421" s="302">
        <v>1</v>
      </c>
    </row>
    <row r="422" spans="1:10" x14ac:dyDescent="0.2">
      <c r="A422" s="302" t="s">
        <v>6981</v>
      </c>
      <c r="B422" s="302" t="s">
        <v>7026</v>
      </c>
      <c r="C422" s="302" t="str">
        <f>A406&amp;A422&amp;B422</f>
        <v>EspejismoVentaja opcional: Ilusiones fantasmalesRP 140</v>
      </c>
      <c r="D422" s="302">
        <v>3</v>
      </c>
      <c r="E422" s="302">
        <v>3</v>
      </c>
      <c r="F422" s="302">
        <v>10</v>
      </c>
      <c r="G422" s="302">
        <v>2</v>
      </c>
      <c r="H422" s="302">
        <v>4</v>
      </c>
      <c r="I422" s="302">
        <v>7</v>
      </c>
      <c r="J422" s="302">
        <v>1</v>
      </c>
    </row>
    <row r="423" spans="1:10" x14ac:dyDescent="0.2">
      <c r="A423" s="302" t="s">
        <v>6981</v>
      </c>
      <c r="B423" s="302" t="s">
        <v>7027</v>
      </c>
      <c r="C423" s="302" t="str">
        <f>A407&amp;A423&amp;B423</f>
        <v>EspejismoVentaja opcional: Ilusiones fantasmalesRP 180</v>
      </c>
      <c r="D423" s="302">
        <v>4</v>
      </c>
      <c r="E423" s="302">
        <v>4</v>
      </c>
      <c r="F423" s="302">
        <v>15</v>
      </c>
      <c r="G423" s="302">
        <v>3</v>
      </c>
      <c r="H423" s="302">
        <v>6</v>
      </c>
      <c r="I423" s="302">
        <v>11</v>
      </c>
      <c r="J423" s="302">
        <v>1</v>
      </c>
    </row>
    <row r="424" spans="1:10" x14ac:dyDescent="0.2">
      <c r="A424" s="302" t="s">
        <v>6981</v>
      </c>
      <c r="B424" s="302" t="s">
        <v>7028</v>
      </c>
      <c r="C424" s="302" t="str">
        <f>A408&amp;A424&amp;B424</f>
        <v>EspejismoVentaja opcional: Ilusiones fantasmalesRP 240</v>
      </c>
      <c r="D424" s="302">
        <v>6</v>
      </c>
      <c r="E424" s="302">
        <v>6</v>
      </c>
      <c r="F424" s="302">
        <v>20</v>
      </c>
      <c r="G424" s="302">
        <v>4</v>
      </c>
      <c r="H424" s="302">
        <v>8</v>
      </c>
      <c r="I424" s="302">
        <v>14</v>
      </c>
      <c r="J424" s="302">
        <v>1</v>
      </c>
    </row>
    <row r="425" spans="1:10" x14ac:dyDescent="0.2">
      <c r="A425" s="302" t="s">
        <v>4741</v>
      </c>
      <c r="B425" s="302">
        <v>100</v>
      </c>
      <c r="C425" s="302" t="str">
        <f t="shared" ref="C425:C428" si="97">A425&amp;B425</f>
        <v>Escudo de energía100</v>
      </c>
      <c r="D425" s="302">
        <v>2</v>
      </c>
      <c r="E425" s="302">
        <v>4</v>
      </c>
      <c r="F425" s="302">
        <v>5</v>
      </c>
      <c r="G425" s="302">
        <v>1</v>
      </c>
      <c r="H425" s="302">
        <v>2</v>
      </c>
      <c r="I425" s="302">
        <v>4</v>
      </c>
      <c r="J425" s="302">
        <v>1</v>
      </c>
    </row>
    <row r="426" spans="1:10" x14ac:dyDescent="0.2">
      <c r="A426" s="302" t="s">
        <v>4741</v>
      </c>
      <c r="B426" s="302">
        <v>200</v>
      </c>
      <c r="C426" s="302" t="str">
        <f t="shared" si="97"/>
        <v>Escudo de energía200</v>
      </c>
      <c r="D426" s="302">
        <v>3</v>
      </c>
      <c r="E426" s="302">
        <v>5</v>
      </c>
      <c r="F426" s="302">
        <v>5</v>
      </c>
      <c r="G426" s="302">
        <v>1</v>
      </c>
      <c r="H426" s="302">
        <v>2</v>
      </c>
      <c r="I426" s="302">
        <v>4</v>
      </c>
      <c r="J426" s="302">
        <v>1</v>
      </c>
    </row>
    <row r="427" spans="1:10" x14ac:dyDescent="0.2">
      <c r="A427" s="302" t="s">
        <v>4741</v>
      </c>
      <c r="B427" s="302">
        <v>300</v>
      </c>
      <c r="C427" s="302" t="str">
        <f t="shared" si="97"/>
        <v>Escudo de energía300</v>
      </c>
      <c r="D427" s="302">
        <v>4</v>
      </c>
      <c r="E427" s="302">
        <v>6</v>
      </c>
      <c r="F427" s="302">
        <v>10</v>
      </c>
      <c r="G427" s="302">
        <v>2</v>
      </c>
      <c r="H427" s="302">
        <v>4</v>
      </c>
      <c r="I427" s="302">
        <v>7</v>
      </c>
      <c r="J427" s="302">
        <v>1</v>
      </c>
    </row>
    <row r="428" spans="1:10" x14ac:dyDescent="0.2">
      <c r="A428" s="302" t="s">
        <v>4741</v>
      </c>
      <c r="B428" s="302">
        <v>400</v>
      </c>
      <c r="C428" s="302" t="str">
        <f t="shared" si="97"/>
        <v>Escudo de energía400</v>
      </c>
      <c r="D428" s="302">
        <v>5</v>
      </c>
      <c r="E428" s="302">
        <v>8</v>
      </c>
      <c r="F428" s="302">
        <v>15</v>
      </c>
      <c r="G428" s="302">
        <v>3</v>
      </c>
      <c r="H428" s="302">
        <v>6</v>
      </c>
      <c r="I428" s="302">
        <v>11</v>
      </c>
      <c r="J428" s="302">
        <v>1</v>
      </c>
    </row>
    <row r="429" spans="1:10" x14ac:dyDescent="0.2">
      <c r="A429" s="302" t="s">
        <v>4741</v>
      </c>
      <c r="B429" s="302">
        <v>500</v>
      </c>
      <c r="C429" s="302" t="str">
        <f>A429&amp;B429</f>
        <v>Escudo de energía500</v>
      </c>
      <c r="D429" s="302">
        <v>8</v>
      </c>
      <c r="E429" s="302">
        <v>11</v>
      </c>
      <c r="F429" s="302">
        <v>20</v>
      </c>
      <c r="G429" s="302">
        <v>4</v>
      </c>
      <c r="H429" s="302">
        <v>8</v>
      </c>
      <c r="I429" s="302">
        <v>14</v>
      </c>
      <c r="J429" s="302">
        <v>1</v>
      </c>
    </row>
    <row r="430" spans="1:10" x14ac:dyDescent="0.2">
      <c r="A430" s="302" t="s">
        <v>4741</v>
      </c>
      <c r="B430" s="302">
        <v>800</v>
      </c>
      <c r="C430" s="302" t="str">
        <f>A430&amp;B430</f>
        <v>Escudo de energía800</v>
      </c>
      <c r="D430" s="302">
        <v>12</v>
      </c>
      <c r="E430" s="302">
        <v>15</v>
      </c>
      <c r="F430" s="302">
        <v>25</v>
      </c>
      <c r="G430" s="302">
        <v>5</v>
      </c>
      <c r="H430" s="302">
        <v>10</v>
      </c>
      <c r="I430" s="302">
        <v>18</v>
      </c>
      <c r="J430" s="302">
        <v>2</v>
      </c>
    </row>
    <row r="431" spans="1:10" x14ac:dyDescent="0.2">
      <c r="A431" s="302" t="s">
        <v>4741</v>
      </c>
      <c r="B431" s="302">
        <v>1000</v>
      </c>
      <c r="C431" s="302" t="str">
        <f t="shared" ref="C431:C434" si="98">A431&amp;B431</f>
        <v>Escudo de energía1000</v>
      </c>
      <c r="D431" s="302">
        <v>14</v>
      </c>
      <c r="E431" s="302">
        <v>18</v>
      </c>
      <c r="F431" s="302">
        <v>30</v>
      </c>
      <c r="G431" s="302">
        <v>8</v>
      </c>
      <c r="H431" s="302">
        <v>16</v>
      </c>
      <c r="I431" s="302">
        <v>28</v>
      </c>
      <c r="J431" s="302">
        <v>2</v>
      </c>
    </row>
    <row r="432" spans="1:10" x14ac:dyDescent="0.2">
      <c r="A432" s="302" t="s">
        <v>4741</v>
      </c>
      <c r="B432" s="302">
        <v>1250</v>
      </c>
      <c r="C432" s="302" t="str">
        <f t="shared" si="98"/>
        <v>Escudo de energía1250</v>
      </c>
      <c r="D432" s="302">
        <v>18</v>
      </c>
      <c r="E432" s="302">
        <v>22</v>
      </c>
      <c r="F432" s="302">
        <v>35</v>
      </c>
      <c r="G432" s="302">
        <v>10</v>
      </c>
      <c r="H432" s="302">
        <v>20</v>
      </c>
      <c r="I432" s="302">
        <v>35</v>
      </c>
      <c r="J432" s="302">
        <v>2</v>
      </c>
    </row>
    <row r="433" spans="1:10" x14ac:dyDescent="0.2">
      <c r="A433" s="302" t="s">
        <v>4741</v>
      </c>
      <c r="B433" s="302">
        <v>1500</v>
      </c>
      <c r="C433" s="302" t="str">
        <f t="shared" si="98"/>
        <v>Escudo de energía1500</v>
      </c>
      <c r="D433" s="302">
        <v>22</v>
      </c>
      <c r="E433" s="302">
        <v>26</v>
      </c>
      <c r="F433" s="302">
        <v>40</v>
      </c>
      <c r="G433" s="302">
        <v>12</v>
      </c>
      <c r="H433" s="302">
        <v>24</v>
      </c>
      <c r="I433" s="302">
        <v>42</v>
      </c>
      <c r="J433" s="302">
        <v>3</v>
      </c>
    </row>
    <row r="434" spans="1:10" x14ac:dyDescent="0.2">
      <c r="A434" s="302" t="s">
        <v>4741</v>
      </c>
      <c r="B434" s="302">
        <v>2000</v>
      </c>
      <c r="C434" s="302" t="str">
        <f t="shared" si="98"/>
        <v>Escudo de energía2000</v>
      </c>
      <c r="D434" s="302">
        <v>26</v>
      </c>
      <c r="E434" s="302">
        <v>32</v>
      </c>
      <c r="F434" s="302">
        <v>45</v>
      </c>
      <c r="G434" s="302">
        <v>14</v>
      </c>
      <c r="H434" s="302">
        <v>28</v>
      </c>
      <c r="I434" s="302">
        <v>49</v>
      </c>
      <c r="J434" s="302">
        <v>3</v>
      </c>
    </row>
    <row r="435" spans="1:10" x14ac:dyDescent="0.2">
      <c r="A435" s="302" t="s">
        <v>6977</v>
      </c>
      <c r="B435" s="302" t="s">
        <v>7023</v>
      </c>
      <c r="C435" s="302" t="str">
        <f>A429&amp;A435&amp;B435</f>
        <v>Escudo de energíaVentaja opcional: RegeneraciónRegeneración 100</v>
      </c>
      <c r="D435" s="302">
        <v>1</v>
      </c>
      <c r="E435" s="302">
        <v>1</v>
      </c>
      <c r="F435" s="302">
        <v>5</v>
      </c>
      <c r="G435" s="302">
        <v>1</v>
      </c>
      <c r="H435" s="302">
        <v>2</v>
      </c>
      <c r="I435" s="302">
        <v>4</v>
      </c>
      <c r="J435" s="302">
        <v>1</v>
      </c>
    </row>
    <row r="436" spans="1:10" x14ac:dyDescent="0.2">
      <c r="A436" s="302" t="s">
        <v>6977</v>
      </c>
      <c r="B436" s="302" t="s">
        <v>7024</v>
      </c>
      <c r="C436" s="302" t="str">
        <f>A430&amp;A436&amp;B436</f>
        <v>Escudo de energíaVentaja opcional: RegeneraciónRegeneración 250</v>
      </c>
      <c r="D436" s="302">
        <v>2</v>
      </c>
      <c r="E436" s="302">
        <v>2</v>
      </c>
      <c r="F436" s="302">
        <v>10</v>
      </c>
      <c r="G436" s="302">
        <v>2</v>
      </c>
      <c r="H436" s="302">
        <v>4</v>
      </c>
      <c r="I436" s="302">
        <v>7</v>
      </c>
      <c r="J436" s="302">
        <v>1</v>
      </c>
    </row>
    <row r="437" spans="1:10" x14ac:dyDescent="0.2">
      <c r="A437" s="302" t="s">
        <v>6977</v>
      </c>
      <c r="B437" s="302" t="s">
        <v>7025</v>
      </c>
      <c r="C437" s="302" t="str">
        <f>A431&amp;A437&amp;B437</f>
        <v>Escudo de energíaVentaja opcional: RegeneraciónRegeneración 500</v>
      </c>
      <c r="D437" s="302">
        <v>4</v>
      </c>
      <c r="E437" s="302">
        <v>4</v>
      </c>
      <c r="F437" s="302">
        <v>15</v>
      </c>
      <c r="G437" s="302">
        <v>3</v>
      </c>
      <c r="H437" s="302">
        <v>6</v>
      </c>
      <c r="I437" s="302">
        <v>11</v>
      </c>
      <c r="J437" s="302">
        <v>1</v>
      </c>
    </row>
    <row r="438" spans="1:10" x14ac:dyDescent="0.2">
      <c r="A438" s="302" t="s">
        <v>6982</v>
      </c>
      <c r="B438" s="302" t="s">
        <v>7029</v>
      </c>
      <c r="C438" s="302" t="str">
        <f t="shared" ref="C438:C444" si="99">A438&amp;B438</f>
        <v>Estados sobrenaturalesRF 40</v>
      </c>
      <c r="D438" s="302">
        <v>1</v>
      </c>
      <c r="E438" s="302">
        <v>2</v>
      </c>
      <c r="F438" s="302">
        <v>5</v>
      </c>
      <c r="G438" s="302">
        <v>1</v>
      </c>
      <c r="H438" s="302">
        <v>2</v>
      </c>
      <c r="I438" s="302">
        <v>4</v>
      </c>
      <c r="J438" s="302">
        <v>1</v>
      </c>
    </row>
    <row r="439" spans="1:10" x14ac:dyDescent="0.2">
      <c r="A439" s="302" t="s">
        <v>6982</v>
      </c>
      <c r="B439" s="302" t="s">
        <v>7030</v>
      </c>
      <c r="C439" s="302" t="str">
        <f t="shared" si="99"/>
        <v>Estados sobrenaturalesRF 60</v>
      </c>
      <c r="D439" s="302">
        <v>2</v>
      </c>
      <c r="E439" s="302">
        <v>4</v>
      </c>
      <c r="F439" s="302">
        <v>5</v>
      </c>
      <c r="G439" s="302">
        <v>1</v>
      </c>
      <c r="H439" s="302">
        <v>2</v>
      </c>
      <c r="I439" s="302">
        <v>4</v>
      </c>
      <c r="J439" s="302">
        <v>1</v>
      </c>
    </row>
    <row r="440" spans="1:10" x14ac:dyDescent="0.2">
      <c r="A440" s="302" t="s">
        <v>6982</v>
      </c>
      <c r="B440" s="302" t="s">
        <v>7031</v>
      </c>
      <c r="C440" s="302" t="str">
        <f t="shared" si="99"/>
        <v>Estados sobrenaturalesRF 80</v>
      </c>
      <c r="D440" s="302">
        <v>3</v>
      </c>
      <c r="E440" s="302">
        <v>5</v>
      </c>
      <c r="F440" s="302">
        <v>10</v>
      </c>
      <c r="G440" s="302">
        <v>2</v>
      </c>
      <c r="H440" s="302">
        <v>4</v>
      </c>
      <c r="I440" s="302">
        <v>7</v>
      </c>
      <c r="J440" s="302">
        <v>1</v>
      </c>
    </row>
    <row r="441" spans="1:10" x14ac:dyDescent="0.2">
      <c r="A441" s="302" t="s">
        <v>6982</v>
      </c>
      <c r="B441" s="302" t="s">
        <v>7032</v>
      </c>
      <c r="C441" s="302" t="str">
        <f t="shared" si="99"/>
        <v>Estados sobrenaturalesRF 100</v>
      </c>
      <c r="D441" s="302">
        <v>5</v>
      </c>
      <c r="E441" s="302">
        <v>8</v>
      </c>
      <c r="F441" s="302">
        <v>15</v>
      </c>
      <c r="G441" s="302">
        <v>3</v>
      </c>
      <c r="H441" s="302">
        <v>6</v>
      </c>
      <c r="I441" s="302">
        <v>11</v>
      </c>
      <c r="J441" s="302">
        <v>1</v>
      </c>
    </row>
    <row r="442" spans="1:10" x14ac:dyDescent="0.2">
      <c r="A442" s="302" t="s">
        <v>6982</v>
      </c>
      <c r="B442" s="302" t="s">
        <v>7033</v>
      </c>
      <c r="C442" s="302" t="str">
        <f t="shared" si="99"/>
        <v>Estados sobrenaturalesRF 120</v>
      </c>
      <c r="D442" s="302">
        <v>6</v>
      </c>
      <c r="E442" s="302">
        <v>9</v>
      </c>
      <c r="F442" s="302">
        <v>20</v>
      </c>
      <c r="G442" s="302">
        <v>4</v>
      </c>
      <c r="H442" s="302">
        <v>8</v>
      </c>
      <c r="I442" s="302">
        <v>14</v>
      </c>
      <c r="J442" s="302">
        <v>1</v>
      </c>
    </row>
    <row r="443" spans="1:10" x14ac:dyDescent="0.2">
      <c r="A443" s="302" t="s">
        <v>6982</v>
      </c>
      <c r="B443" s="302" t="s">
        <v>7034</v>
      </c>
      <c r="C443" s="302" t="str">
        <f t="shared" si="99"/>
        <v>Estados sobrenaturalesRF 140</v>
      </c>
      <c r="D443" s="302">
        <v>8</v>
      </c>
      <c r="E443" s="302">
        <v>11</v>
      </c>
      <c r="F443" s="302">
        <v>20</v>
      </c>
      <c r="G443" s="302">
        <v>5</v>
      </c>
      <c r="H443" s="302">
        <v>10</v>
      </c>
      <c r="I443" s="302">
        <v>18</v>
      </c>
      <c r="J443" s="302">
        <v>2</v>
      </c>
    </row>
    <row r="444" spans="1:10" x14ac:dyDescent="0.2">
      <c r="A444" s="302" t="s">
        <v>6982</v>
      </c>
      <c r="B444" s="302" t="s">
        <v>7035</v>
      </c>
      <c r="C444" s="302" t="str">
        <f t="shared" si="99"/>
        <v>Estados sobrenaturalesRF 160</v>
      </c>
      <c r="D444" s="302">
        <v>14</v>
      </c>
      <c r="E444" s="302">
        <v>18</v>
      </c>
      <c r="F444" s="302">
        <v>35</v>
      </c>
      <c r="G444" s="302">
        <v>6</v>
      </c>
      <c r="H444" s="302">
        <v>12</v>
      </c>
      <c r="I444" s="302">
        <v>21</v>
      </c>
      <c r="J444" s="302">
        <v>2</v>
      </c>
    </row>
    <row r="445" spans="1:10" x14ac:dyDescent="0.2">
      <c r="A445" s="302" t="s">
        <v>6982</v>
      </c>
      <c r="B445" s="302" t="s">
        <v>7036</v>
      </c>
      <c r="C445" s="302" t="str">
        <f>A445&amp;B445</f>
        <v>Estados sobrenaturalesRF 180</v>
      </c>
      <c r="D445" s="302">
        <v>20</v>
      </c>
      <c r="E445" s="302">
        <v>24</v>
      </c>
      <c r="F445" s="302">
        <v>50</v>
      </c>
      <c r="G445" s="302">
        <v>8</v>
      </c>
      <c r="H445" s="302">
        <v>16</v>
      </c>
      <c r="I445" s="302">
        <v>28</v>
      </c>
      <c r="J445" s="302">
        <v>3</v>
      </c>
    </row>
    <row r="446" spans="1:10" x14ac:dyDescent="0.2">
      <c r="A446" s="302" t="s">
        <v>6982</v>
      </c>
      <c r="B446" s="302" t="s">
        <v>7037</v>
      </c>
      <c r="C446" s="302" t="str">
        <f>A446&amp;B446</f>
        <v>Estados sobrenaturalesRF 200</v>
      </c>
      <c r="D446" s="302">
        <v>28</v>
      </c>
      <c r="E446" s="302">
        <v>32</v>
      </c>
      <c r="F446" s="302">
        <v>80</v>
      </c>
      <c r="G446" s="302">
        <v>10</v>
      </c>
      <c r="H446" s="302">
        <v>20</v>
      </c>
      <c r="I446" s="302">
        <v>35</v>
      </c>
      <c r="J446" s="302">
        <v>3</v>
      </c>
    </row>
    <row r="447" spans="1:10" x14ac:dyDescent="0.2">
      <c r="A447" s="302" t="s">
        <v>6983</v>
      </c>
      <c r="B447" s="302" t="s">
        <v>1647</v>
      </c>
      <c r="C447" s="302" t="str">
        <f>A438&amp;A447&amp;B447</f>
        <v>Estados sobrenaturalesVentaja opcional: Estado añadidoCeguera</v>
      </c>
      <c r="D447" s="302">
        <v>6</v>
      </c>
      <c r="E447" s="302">
        <v>6</v>
      </c>
      <c r="F447" s="302">
        <v>15</v>
      </c>
      <c r="G447" s="302">
        <v>0</v>
      </c>
      <c r="H447" s="302">
        <v>0</v>
      </c>
      <c r="I447" s="302">
        <v>0</v>
      </c>
      <c r="J447" s="302">
        <v>1</v>
      </c>
    </row>
    <row r="448" spans="1:10" x14ac:dyDescent="0.2">
      <c r="A448" s="302" t="s">
        <v>6983</v>
      </c>
      <c r="B448" s="302" t="s">
        <v>7038</v>
      </c>
      <c r="C448" s="302" t="str">
        <f t="shared" ref="C448:C454" si="100">A439&amp;A448&amp;B448</f>
        <v>Estados sobrenaturalesVentaja opcional: Estado añadidoComa</v>
      </c>
      <c r="D448" s="302">
        <v>14</v>
      </c>
      <c r="E448" s="302">
        <v>14</v>
      </c>
      <c r="F448" s="302">
        <v>40</v>
      </c>
      <c r="G448" s="302">
        <v>0</v>
      </c>
      <c r="H448" s="302">
        <v>0</v>
      </c>
      <c r="I448" s="302">
        <v>0</v>
      </c>
      <c r="J448" s="302">
        <v>2</v>
      </c>
    </row>
    <row r="449" spans="1:10" x14ac:dyDescent="0.2">
      <c r="A449" s="302" t="s">
        <v>6983</v>
      </c>
      <c r="B449" s="302" t="s">
        <v>7039</v>
      </c>
      <c r="C449" s="302" t="str">
        <f t="shared" si="100"/>
        <v>Estados sobrenaturalesVentaja opcional: Estado añadidoControl</v>
      </c>
      <c r="D449" s="302">
        <v>14</v>
      </c>
      <c r="E449" s="302">
        <v>14</v>
      </c>
      <c r="F449" s="302">
        <v>40</v>
      </c>
      <c r="G449" s="302">
        <v>0</v>
      </c>
      <c r="H449" s="302">
        <v>0</v>
      </c>
      <c r="I449" s="302">
        <v>0</v>
      </c>
      <c r="J449" s="302">
        <v>2</v>
      </c>
    </row>
    <row r="450" spans="1:10" x14ac:dyDescent="0.2">
      <c r="A450" s="302" t="s">
        <v>6983</v>
      </c>
      <c r="B450" s="302" t="s">
        <v>229</v>
      </c>
      <c r="C450" s="302" t="str">
        <f t="shared" si="100"/>
        <v>Estados sobrenaturalesVentaja opcional: Estado añadidoDaño</v>
      </c>
      <c r="D450" s="302">
        <v>1</v>
      </c>
      <c r="E450" s="302">
        <v>1</v>
      </c>
      <c r="F450" s="302">
        <v>5</v>
      </c>
      <c r="G450" s="302">
        <v>0</v>
      </c>
      <c r="H450" s="302">
        <v>0</v>
      </c>
      <c r="I450" s="302">
        <v>0</v>
      </c>
      <c r="J450" s="302">
        <v>1</v>
      </c>
    </row>
    <row r="451" spans="1:10" x14ac:dyDescent="0.2">
      <c r="A451" s="302" t="s">
        <v>6983</v>
      </c>
      <c r="B451" s="302" t="s">
        <v>7040</v>
      </c>
      <c r="C451" s="302" t="str">
        <f t="shared" si="100"/>
        <v>Estados sobrenaturalesVentaja opcional: Estado añadidoDoble daño</v>
      </c>
      <c r="D451" s="302">
        <v>5</v>
      </c>
      <c r="E451" s="302">
        <v>5</v>
      </c>
      <c r="F451" s="302">
        <v>10</v>
      </c>
      <c r="G451" s="302">
        <v>0</v>
      </c>
      <c r="H451" s="302">
        <v>0</v>
      </c>
      <c r="I451" s="302">
        <v>0</v>
      </c>
      <c r="J451" s="302">
        <v>1</v>
      </c>
    </row>
    <row r="452" spans="1:10" x14ac:dyDescent="0.2">
      <c r="A452" s="302" t="s">
        <v>6983</v>
      </c>
      <c r="B452" s="302" t="s">
        <v>7041</v>
      </c>
      <c r="C452" s="302" t="str">
        <f t="shared" si="100"/>
        <v>Estados sobrenaturalesVentaja opcional: Estado añadidoDolor</v>
      </c>
      <c r="D452" s="302">
        <v>3</v>
      </c>
      <c r="E452" s="302">
        <v>3</v>
      </c>
      <c r="F452" s="302">
        <v>10</v>
      </c>
      <c r="G452" s="302">
        <v>0</v>
      </c>
      <c r="H452" s="302">
        <v>0</v>
      </c>
      <c r="I452" s="302">
        <v>0</v>
      </c>
      <c r="J452" s="302">
        <v>1</v>
      </c>
    </row>
    <row r="453" spans="1:10" x14ac:dyDescent="0.2">
      <c r="A453" s="302" t="s">
        <v>6983</v>
      </c>
      <c r="B453" s="302" t="s">
        <v>7042</v>
      </c>
      <c r="C453" s="302" t="str">
        <f t="shared" si="100"/>
        <v>Estados sobrenaturalesVentaja opcional: Estado añadidoDolor extremo</v>
      </c>
      <c r="D453" s="302">
        <v>6</v>
      </c>
      <c r="E453" s="302">
        <v>6</v>
      </c>
      <c r="F453" s="302">
        <v>15</v>
      </c>
      <c r="G453" s="302">
        <v>0</v>
      </c>
      <c r="H453" s="302">
        <v>0</v>
      </c>
      <c r="I453" s="302">
        <v>0</v>
      </c>
      <c r="J453" s="302">
        <v>1</v>
      </c>
    </row>
    <row r="454" spans="1:10" x14ac:dyDescent="0.2">
      <c r="A454" s="302" t="s">
        <v>6983</v>
      </c>
      <c r="B454" s="302" t="s">
        <v>7043</v>
      </c>
      <c r="C454" s="302" t="str">
        <f t="shared" si="100"/>
        <v>Estados sobrenaturalesVentaja opcional: Estado añadidoDrenaje de vida</v>
      </c>
      <c r="D454" s="302">
        <v>8</v>
      </c>
      <c r="E454" s="302">
        <v>8</v>
      </c>
      <c r="F454" s="302">
        <v>15</v>
      </c>
      <c r="G454" s="302">
        <v>0</v>
      </c>
      <c r="H454" s="302">
        <v>0</v>
      </c>
      <c r="I454" s="302">
        <v>0</v>
      </c>
      <c r="J454" s="302">
        <v>2</v>
      </c>
    </row>
    <row r="455" spans="1:10" x14ac:dyDescent="0.2">
      <c r="A455" s="302" t="s">
        <v>6983</v>
      </c>
      <c r="B455" s="302" t="s">
        <v>7044</v>
      </c>
      <c r="C455" s="302" t="str">
        <f>A446&amp;A455&amp;B455</f>
        <v>Estados sobrenaturalesVentaja opcional: Estado añadidoDrenaje de Ki</v>
      </c>
      <c r="D455" s="302">
        <v>8</v>
      </c>
      <c r="E455" s="302">
        <v>8</v>
      </c>
      <c r="F455" s="302">
        <v>20</v>
      </c>
      <c r="G455" s="302">
        <v>0</v>
      </c>
      <c r="H455" s="302">
        <v>0</v>
      </c>
      <c r="I455" s="302">
        <v>0</v>
      </c>
      <c r="J455" s="302">
        <v>1</v>
      </c>
    </row>
    <row r="456" spans="1:10" x14ac:dyDescent="0.2">
      <c r="A456" s="302" t="s">
        <v>6983</v>
      </c>
      <c r="B456" s="302" t="s">
        <v>7045</v>
      </c>
      <c r="C456" s="302" t="str">
        <f>A438&amp;A456&amp;B456</f>
        <v>Estados sobrenaturalesVentaja opcional: Estado añadidoFascinación</v>
      </c>
      <c r="D456" s="302">
        <v>6</v>
      </c>
      <c r="E456" s="302">
        <v>6</v>
      </c>
      <c r="F456" s="302">
        <v>10</v>
      </c>
      <c r="G456" s="302">
        <v>0</v>
      </c>
      <c r="H456" s="302">
        <v>0</v>
      </c>
      <c r="I456" s="302">
        <v>0</v>
      </c>
      <c r="J456" s="302">
        <v>1</v>
      </c>
    </row>
    <row r="457" spans="1:10" x14ac:dyDescent="0.2">
      <c r="A457" s="302" t="s">
        <v>6983</v>
      </c>
      <c r="B457" s="302" t="s">
        <v>94</v>
      </c>
      <c r="C457" s="302" t="str">
        <f t="shared" ref="C457:C464" si="101">A439&amp;A457&amp;B457</f>
        <v>Estados sobrenaturalesVentaja opcional: Estado añadidoIlusión</v>
      </c>
      <c r="D457" s="302">
        <v>7</v>
      </c>
      <c r="E457" s="302">
        <v>7</v>
      </c>
      <c r="F457" s="302">
        <v>10</v>
      </c>
      <c r="G457" s="302">
        <v>0</v>
      </c>
      <c r="H457" s="302">
        <v>0</v>
      </c>
      <c r="I457" s="302">
        <v>0</v>
      </c>
      <c r="J457" s="302">
        <v>1</v>
      </c>
    </row>
    <row r="458" spans="1:10" x14ac:dyDescent="0.2">
      <c r="A458" s="302" t="s">
        <v>6983</v>
      </c>
      <c r="B458" s="302" t="s">
        <v>7046</v>
      </c>
      <c r="C458" s="302" t="str">
        <f t="shared" si="101"/>
        <v>Estados sobrenaturalesVentaja opcional: Estado añadidoIlusión fantasmal</v>
      </c>
      <c r="D458" s="302">
        <v>11</v>
      </c>
      <c r="E458" s="302">
        <v>11</v>
      </c>
      <c r="F458" s="302">
        <v>20</v>
      </c>
      <c r="G458" s="302">
        <v>0</v>
      </c>
      <c r="H458" s="302">
        <v>0</v>
      </c>
      <c r="I458" s="302">
        <v>0</v>
      </c>
      <c r="J458" s="302">
        <v>1</v>
      </c>
    </row>
    <row r="459" spans="1:10" x14ac:dyDescent="0.2">
      <c r="A459" s="302" t="s">
        <v>6983</v>
      </c>
      <c r="B459" s="302" t="s">
        <v>7047</v>
      </c>
      <c r="C459" s="302" t="str">
        <f t="shared" si="101"/>
        <v>Estados sobrenaturalesVentaja opcional: Estado añadidoIlusión mayor</v>
      </c>
      <c r="D459" s="302">
        <v>9</v>
      </c>
      <c r="E459" s="302">
        <v>9</v>
      </c>
      <c r="F459" s="302">
        <v>15</v>
      </c>
      <c r="G459" s="302">
        <v>0</v>
      </c>
      <c r="H459" s="302">
        <v>0</v>
      </c>
      <c r="I459" s="302">
        <v>0</v>
      </c>
      <c r="J459" s="302">
        <v>1</v>
      </c>
    </row>
    <row r="460" spans="1:10" x14ac:dyDescent="0.2">
      <c r="A460" s="302" t="s">
        <v>6983</v>
      </c>
      <c r="B460" s="302" t="s">
        <v>7048</v>
      </c>
      <c r="C460" s="302" t="str">
        <f t="shared" si="101"/>
        <v>Estados sobrenaturalesVentaja opcional: Estado añadidoInconsciencia</v>
      </c>
      <c r="D460" s="302">
        <v>12</v>
      </c>
      <c r="E460" s="302">
        <v>12</v>
      </c>
      <c r="F460" s="302">
        <v>35</v>
      </c>
      <c r="G460" s="302">
        <v>0</v>
      </c>
      <c r="H460" s="302">
        <v>0</v>
      </c>
      <c r="I460" s="302">
        <v>0</v>
      </c>
      <c r="J460" s="302">
        <v>2</v>
      </c>
    </row>
    <row r="461" spans="1:10" x14ac:dyDescent="0.2">
      <c r="A461" s="302" t="s">
        <v>6983</v>
      </c>
      <c r="B461" s="302" t="s">
        <v>7049</v>
      </c>
      <c r="C461" s="302" t="str">
        <f t="shared" si="101"/>
        <v>Estados sobrenaturalesVentaja opcional: Estado añadidoMiedo</v>
      </c>
      <c r="D461" s="302">
        <v>3</v>
      </c>
      <c r="E461" s="302">
        <v>3</v>
      </c>
      <c r="F461" s="302">
        <v>10</v>
      </c>
      <c r="G461" s="302">
        <v>0</v>
      </c>
      <c r="H461" s="302">
        <v>0</v>
      </c>
      <c r="I461" s="302">
        <v>0</v>
      </c>
      <c r="J461" s="302">
        <v>1</v>
      </c>
    </row>
    <row r="462" spans="1:10" x14ac:dyDescent="0.2">
      <c r="A462" s="302" t="s">
        <v>6983</v>
      </c>
      <c r="B462" s="302" t="s">
        <v>1535</v>
      </c>
      <c r="C462" s="302" t="str">
        <f t="shared" si="101"/>
        <v>Estados sobrenaturalesVentaja opcional: Estado añadidoMuerte</v>
      </c>
      <c r="D462" s="302">
        <v>20</v>
      </c>
      <c r="E462" s="302">
        <v>20</v>
      </c>
      <c r="F462" s="302">
        <v>50</v>
      </c>
      <c r="G462" s="302">
        <v>0</v>
      </c>
      <c r="H462" s="302">
        <v>0</v>
      </c>
      <c r="I462" s="302">
        <v>0</v>
      </c>
      <c r="J462" s="302">
        <v>3</v>
      </c>
    </row>
    <row r="463" spans="1:10" x14ac:dyDescent="0.2">
      <c r="A463" s="302" t="s">
        <v>6983</v>
      </c>
      <c r="B463" s="302" t="s">
        <v>7050</v>
      </c>
      <c r="C463" s="302" t="str">
        <f t="shared" si="101"/>
        <v>Estados sobrenaturalesVentaja opcional: Estado añadidoParalización parcial</v>
      </c>
      <c r="D463" s="302">
        <v>6</v>
      </c>
      <c r="E463" s="302">
        <v>6</v>
      </c>
      <c r="F463" s="302">
        <v>10</v>
      </c>
      <c r="G463" s="302">
        <v>0</v>
      </c>
      <c r="H463" s="302">
        <v>0</v>
      </c>
      <c r="I463" s="302">
        <v>0</v>
      </c>
      <c r="J463" s="302">
        <v>1</v>
      </c>
    </row>
    <row r="464" spans="1:10" x14ac:dyDescent="0.2">
      <c r="A464" s="302" t="s">
        <v>6983</v>
      </c>
      <c r="B464" s="302" t="s">
        <v>7051</v>
      </c>
      <c r="C464" s="302" t="str">
        <f t="shared" si="101"/>
        <v>Estados sobrenaturalesVentaja opcional: Estado añadidoParalización total</v>
      </c>
      <c r="D464" s="302">
        <v>12</v>
      </c>
      <c r="E464" s="302">
        <v>12</v>
      </c>
      <c r="F464" s="302">
        <v>20</v>
      </c>
      <c r="G464" s="302">
        <v>0</v>
      </c>
      <c r="H464" s="302">
        <v>0</v>
      </c>
      <c r="I464" s="302">
        <v>0</v>
      </c>
      <c r="J464" s="302">
        <v>2</v>
      </c>
    </row>
    <row r="465" spans="1:10" x14ac:dyDescent="0.2">
      <c r="A465" s="302" t="s">
        <v>6983</v>
      </c>
      <c r="B465" s="302" t="s">
        <v>7052</v>
      </c>
      <c r="C465" s="302" t="str">
        <f>A438&amp;A465&amp;B465</f>
        <v>Estados sobrenaturalesVentaja opcional: Estado añadidoPenalizador a la acción mayor</v>
      </c>
      <c r="D465" s="302">
        <v>4</v>
      </c>
      <c r="E465" s="302">
        <v>4</v>
      </c>
      <c r="F465" s="302">
        <v>5</v>
      </c>
      <c r="G465" s="302">
        <v>0</v>
      </c>
      <c r="H465" s="302">
        <v>0</v>
      </c>
      <c r="I465" s="302">
        <v>0</v>
      </c>
      <c r="J465" s="302">
        <v>1</v>
      </c>
    </row>
    <row r="466" spans="1:10" x14ac:dyDescent="0.2">
      <c r="A466" s="302" t="s">
        <v>6983</v>
      </c>
      <c r="B466" s="302" t="s">
        <v>7053</v>
      </c>
      <c r="C466" s="302" t="str">
        <f t="shared" ref="C466:C471" si="102">A439&amp;A466&amp;B466</f>
        <v>Estados sobrenaturalesVentaja opcional: Estado añadidoPenalizador a la acción menor</v>
      </c>
      <c r="D466" s="302">
        <v>1</v>
      </c>
      <c r="E466" s="302">
        <v>1</v>
      </c>
      <c r="F466" s="302">
        <v>5</v>
      </c>
      <c r="G466" s="302">
        <v>0</v>
      </c>
      <c r="H466" s="302">
        <v>0</v>
      </c>
      <c r="I466" s="302">
        <v>0</v>
      </c>
      <c r="J466" s="302">
        <v>1</v>
      </c>
    </row>
    <row r="467" spans="1:10" x14ac:dyDescent="0.2">
      <c r="A467" s="302" t="s">
        <v>6983</v>
      </c>
      <c r="B467" s="302" t="s">
        <v>7054</v>
      </c>
      <c r="C467" s="302" t="str">
        <f t="shared" si="102"/>
        <v>Estados sobrenaturalesVentaja opcional: Estado añadidoReducción de Características</v>
      </c>
      <c r="D467" s="302">
        <v>5</v>
      </c>
      <c r="E467" s="302">
        <v>5</v>
      </c>
      <c r="F467" s="302">
        <v>15</v>
      </c>
      <c r="G467" s="302">
        <v>0</v>
      </c>
      <c r="H467" s="302">
        <v>0</v>
      </c>
      <c r="I467" s="302">
        <v>0</v>
      </c>
      <c r="J467" s="302">
        <v>1</v>
      </c>
    </row>
    <row r="468" spans="1:10" x14ac:dyDescent="0.2">
      <c r="A468" s="302" t="s">
        <v>6983</v>
      </c>
      <c r="B468" s="302" t="s">
        <v>7055</v>
      </c>
      <c r="C468" s="302" t="str">
        <f t="shared" si="102"/>
        <v>Estados sobrenaturalesVentaja opcional: Estado añadidoReducción de una Característica</v>
      </c>
      <c r="D468" s="302">
        <v>2</v>
      </c>
      <c r="E468" s="302">
        <v>2</v>
      </c>
      <c r="F468" s="302">
        <v>10</v>
      </c>
      <c r="G468" s="302">
        <v>0</v>
      </c>
      <c r="H468" s="302">
        <v>0</v>
      </c>
      <c r="I468" s="302">
        <v>0</v>
      </c>
      <c r="J468" s="302">
        <v>1</v>
      </c>
    </row>
    <row r="469" spans="1:10" x14ac:dyDescent="0.2">
      <c r="A469" s="302" t="s">
        <v>6983</v>
      </c>
      <c r="B469" s="302" t="s">
        <v>7056</v>
      </c>
      <c r="C469" s="302" t="str">
        <f t="shared" si="102"/>
        <v>Estados sobrenaturalesVentaja opcional: Estado añadidoReducción de RF</v>
      </c>
      <c r="D469" s="302">
        <v>2</v>
      </c>
      <c r="E469" s="302">
        <v>2</v>
      </c>
      <c r="F469" s="302">
        <v>10</v>
      </c>
      <c r="G469" s="302">
        <v>0</v>
      </c>
      <c r="H469" s="302">
        <v>0</v>
      </c>
      <c r="I469" s="302">
        <v>0</v>
      </c>
      <c r="J469" s="302">
        <v>1</v>
      </c>
    </row>
    <row r="470" spans="1:10" x14ac:dyDescent="0.2">
      <c r="A470" s="302" t="s">
        <v>6983</v>
      </c>
      <c r="B470" s="302" t="s">
        <v>7057</v>
      </c>
      <c r="C470" s="302" t="str">
        <f t="shared" si="102"/>
        <v>Estados sobrenaturalesVentaja opcional: Estado añadidoReducción de RP</v>
      </c>
      <c r="D470" s="302">
        <v>2</v>
      </c>
      <c r="E470" s="302">
        <v>2</v>
      </c>
      <c r="F470" s="302">
        <v>10</v>
      </c>
      <c r="G470" s="302">
        <v>0</v>
      </c>
      <c r="H470" s="302">
        <v>0</v>
      </c>
      <c r="I470" s="302">
        <v>0</v>
      </c>
      <c r="J470" s="302">
        <v>1</v>
      </c>
    </row>
    <row r="471" spans="1:10" x14ac:dyDescent="0.2">
      <c r="A471" s="302" t="s">
        <v>6983</v>
      </c>
      <c r="B471" s="302" t="s">
        <v>2607</v>
      </c>
      <c r="C471" s="302" t="str">
        <f t="shared" si="102"/>
        <v>Estados sobrenaturalesVentaja opcional: Estado añadidoTerror</v>
      </c>
      <c r="D471" s="302">
        <v>6</v>
      </c>
      <c r="E471" s="302">
        <v>6</v>
      </c>
      <c r="F471" s="302">
        <v>15</v>
      </c>
      <c r="G471" s="302">
        <v>0</v>
      </c>
      <c r="H471" s="302">
        <v>0</v>
      </c>
      <c r="I471" s="302">
        <v>0</v>
      </c>
      <c r="J471" s="302">
        <v>1</v>
      </c>
    </row>
    <row r="472" spans="1:10" x14ac:dyDescent="0.2">
      <c r="A472" s="302" t="s">
        <v>6984</v>
      </c>
      <c r="B472" s="302" t="s">
        <v>116</v>
      </c>
      <c r="C472" s="302" t="str">
        <f>A438&amp;A472&amp;B472</f>
        <v>Estados sobrenaturalesVentaja opcional: Condición predeterminadaAtaque</v>
      </c>
      <c r="D472" s="302">
        <v>0</v>
      </c>
      <c r="E472" s="302">
        <v>0</v>
      </c>
      <c r="F472" s="302">
        <v>0</v>
      </c>
      <c r="G472" s="302">
        <v>0</v>
      </c>
      <c r="H472" s="302">
        <v>0</v>
      </c>
      <c r="I472" s="302">
        <v>0</v>
      </c>
      <c r="J472" s="302">
        <v>1</v>
      </c>
    </row>
    <row r="473" spans="1:10" x14ac:dyDescent="0.2">
      <c r="A473" s="302" t="s">
        <v>6984</v>
      </c>
      <c r="B473" s="302" t="s">
        <v>7058</v>
      </c>
      <c r="C473" s="302" t="str">
        <f t="shared" ref="C473:C480" si="103">A439&amp;A473&amp;B473</f>
        <v>Estados sobrenaturalesVentaja opcional: Condición predeterminadaBeso</v>
      </c>
      <c r="D473" s="302">
        <v>1</v>
      </c>
      <c r="E473" s="302">
        <v>1</v>
      </c>
      <c r="F473" s="302">
        <v>10</v>
      </c>
      <c r="G473" s="302">
        <v>0</v>
      </c>
      <c r="H473" s="302">
        <v>0</v>
      </c>
      <c r="I473" s="302">
        <v>0</v>
      </c>
      <c r="J473" s="302">
        <v>1</v>
      </c>
    </row>
    <row r="474" spans="1:10" x14ac:dyDescent="0.2">
      <c r="A474" s="302" t="s">
        <v>6984</v>
      </c>
      <c r="B474" s="302" t="s">
        <v>7059</v>
      </c>
      <c r="C474" s="302" t="str">
        <f t="shared" si="103"/>
        <v>Estados sobrenaturalesVentaja opcional: Condición predeterminadaContacto físico</v>
      </c>
      <c r="D474" s="302">
        <v>2</v>
      </c>
      <c r="E474" s="302">
        <v>2</v>
      </c>
      <c r="F474" s="302">
        <v>5</v>
      </c>
      <c r="G474" s="302">
        <v>0</v>
      </c>
      <c r="H474" s="302">
        <v>0</v>
      </c>
      <c r="I474" s="302">
        <v>0</v>
      </c>
      <c r="J474" s="302">
        <v>1</v>
      </c>
    </row>
    <row r="475" spans="1:10" x14ac:dyDescent="0.2">
      <c r="A475" s="302" t="s">
        <v>6984</v>
      </c>
      <c r="B475" s="302" t="s">
        <v>7060</v>
      </c>
      <c r="C475" s="302" t="str">
        <f t="shared" si="103"/>
        <v>Estados sobrenaturalesVentaja opcional: Condición predeterminadaContacto visual mutuo</v>
      </c>
      <c r="D475" s="302">
        <v>8</v>
      </c>
      <c r="E475" s="302">
        <v>8</v>
      </c>
      <c r="F475" s="302">
        <v>15</v>
      </c>
      <c r="G475" s="302">
        <v>0</v>
      </c>
      <c r="H475" s="302">
        <v>0</v>
      </c>
      <c r="I475" s="302">
        <v>0</v>
      </c>
      <c r="J475" s="302">
        <v>1</v>
      </c>
    </row>
    <row r="476" spans="1:10" x14ac:dyDescent="0.2">
      <c r="A476" s="302" t="s">
        <v>6984</v>
      </c>
      <c r="B476" s="302" t="s">
        <v>7061</v>
      </c>
      <c r="C476" s="302" t="str">
        <f t="shared" si="103"/>
        <v>Estados sobrenaturalesVentaja opcional: Condición predeterminadaCpmtacto visual (un blanco)</v>
      </c>
      <c r="D476" s="302">
        <v>12</v>
      </c>
      <c r="E476" s="302">
        <v>12</v>
      </c>
      <c r="F476" s="302">
        <v>30</v>
      </c>
      <c r="G476" s="302">
        <v>0</v>
      </c>
      <c r="H476" s="302">
        <v>0</v>
      </c>
      <c r="I476" s="302">
        <v>0</v>
      </c>
      <c r="J476" s="302">
        <v>2</v>
      </c>
    </row>
    <row r="477" spans="1:10" x14ac:dyDescent="0.2">
      <c r="A477" s="302" t="s">
        <v>6984</v>
      </c>
      <c r="B477" s="302" t="s">
        <v>7062</v>
      </c>
      <c r="C477" s="302" t="str">
        <f t="shared" si="103"/>
        <v>Estados sobrenaturalesVentaja opcional: Condición predeterminadaContacto visual (Varios blancos)</v>
      </c>
      <c r="D477" s="302">
        <v>16</v>
      </c>
      <c r="E477" s="302">
        <v>16</v>
      </c>
      <c r="F477" s="302">
        <v>40</v>
      </c>
      <c r="G477" s="302">
        <v>0</v>
      </c>
      <c r="H477" s="302">
        <v>0</v>
      </c>
      <c r="I477" s="302">
        <v>0</v>
      </c>
      <c r="J477" s="302">
        <v>3</v>
      </c>
    </row>
    <row r="478" spans="1:10" x14ac:dyDescent="0.2">
      <c r="A478" s="302" t="s">
        <v>6984</v>
      </c>
      <c r="B478" s="302" t="s">
        <v>7063</v>
      </c>
      <c r="C478" s="302" t="str">
        <f t="shared" si="103"/>
        <v>Estados sobrenaturalesVentaja opcional: Condición predeterminadaPor el aire</v>
      </c>
      <c r="D478" s="302">
        <v>20</v>
      </c>
      <c r="E478" s="302">
        <v>20</v>
      </c>
      <c r="F478" s="302">
        <v>50</v>
      </c>
      <c r="G478" s="302">
        <v>0</v>
      </c>
      <c r="H478" s="302">
        <v>0</v>
      </c>
      <c r="I478" s="302">
        <v>0</v>
      </c>
      <c r="J478" s="302">
        <v>3</v>
      </c>
    </row>
    <row r="479" spans="1:10" x14ac:dyDescent="0.2">
      <c r="A479" s="302" t="s">
        <v>6984</v>
      </c>
      <c r="B479" s="302" t="s">
        <v>7064</v>
      </c>
      <c r="C479" s="302" t="str">
        <f t="shared" si="103"/>
        <v>Estados sobrenaturalesVentaja opcional: Condición predeterminadaPor sonido (un blanco)</v>
      </c>
      <c r="D479" s="302">
        <v>13</v>
      </c>
      <c r="E479" s="302">
        <v>13</v>
      </c>
      <c r="F479" s="302">
        <v>35</v>
      </c>
      <c r="G479" s="302">
        <v>0</v>
      </c>
      <c r="H479" s="302">
        <v>0</v>
      </c>
      <c r="I479" s="302">
        <v>0</v>
      </c>
      <c r="J479" s="302">
        <v>2</v>
      </c>
    </row>
    <row r="480" spans="1:10" x14ac:dyDescent="0.2">
      <c r="A480" s="302" t="s">
        <v>6984</v>
      </c>
      <c r="B480" s="302" t="s">
        <v>7065</v>
      </c>
      <c r="C480" s="302" t="str">
        <f t="shared" si="103"/>
        <v>Estados sobrenaturalesVentaja opcional: Condición predeterminadaPor sonido (varios blancos)</v>
      </c>
      <c r="D480" s="302">
        <v>18</v>
      </c>
      <c r="E480" s="302">
        <v>18</v>
      </c>
      <c r="F480" s="302">
        <v>45</v>
      </c>
      <c r="G480" s="302">
        <v>0</v>
      </c>
      <c r="H480" s="302">
        <v>0</v>
      </c>
      <c r="I480" s="302">
        <v>0</v>
      </c>
      <c r="J480" s="302">
        <v>3</v>
      </c>
    </row>
    <row r="481" spans="1:10" x14ac:dyDescent="0.2">
      <c r="A481" s="302" t="s">
        <v>6984</v>
      </c>
      <c r="B481" s="302" t="s">
        <v>7066</v>
      </c>
      <c r="C481" s="302" t="str">
        <f>A438&amp;A481&amp;B481</f>
        <v>Estados sobrenaturalesVentaja opcional: Condición predeterminadaPor superficie</v>
      </c>
      <c r="D481" s="302">
        <v>12</v>
      </c>
      <c r="E481" s="302">
        <v>12</v>
      </c>
      <c r="F481" s="302">
        <v>30</v>
      </c>
      <c r="G481" s="302">
        <v>0</v>
      </c>
      <c r="H481" s="302">
        <v>0</v>
      </c>
      <c r="I481" s="302">
        <v>0</v>
      </c>
      <c r="J481" s="302">
        <v>2</v>
      </c>
    </row>
    <row r="482" spans="1:10" x14ac:dyDescent="0.2">
      <c r="A482" s="302" t="s">
        <v>6984</v>
      </c>
      <c r="B482" s="302" t="s">
        <v>7067</v>
      </c>
      <c r="C482" s="302" t="str">
        <f>A439&amp;A482&amp;B482</f>
        <v>Estados sobrenaturalesVentaja opcional: Condición predeterminadaPor toda superficie</v>
      </c>
      <c r="D482" s="302">
        <v>18</v>
      </c>
      <c r="E482" s="302">
        <v>18</v>
      </c>
      <c r="F482" s="302">
        <v>45</v>
      </c>
      <c r="G482" s="302">
        <v>0</v>
      </c>
      <c r="H482" s="302">
        <v>0</v>
      </c>
      <c r="I482" s="302">
        <v>0</v>
      </c>
      <c r="J482" s="302">
        <v>3</v>
      </c>
    </row>
    <row r="483" spans="1:10" x14ac:dyDescent="0.2">
      <c r="A483" s="302" t="s">
        <v>6985</v>
      </c>
      <c r="B483" s="302" t="s">
        <v>6920</v>
      </c>
      <c r="C483" s="302" t="str">
        <f t="shared" ref="C483:C489" si="104">A440&amp;A483&amp;B483</f>
        <v>Estados sobrenaturalesVentaja opcional: Distancia del efecto1 metro</v>
      </c>
      <c r="D483" s="302">
        <v>1</v>
      </c>
      <c r="E483" s="302">
        <v>1</v>
      </c>
      <c r="F483" s="302">
        <v>5</v>
      </c>
      <c r="G483" s="302">
        <v>0</v>
      </c>
      <c r="H483" s="302">
        <v>0</v>
      </c>
      <c r="I483" s="302">
        <v>0</v>
      </c>
      <c r="J483" s="302">
        <v>1</v>
      </c>
    </row>
    <row r="484" spans="1:10" x14ac:dyDescent="0.2">
      <c r="A484" s="302" t="s">
        <v>6985</v>
      </c>
      <c r="B484" s="302" t="s">
        <v>6906</v>
      </c>
      <c r="C484" s="302" t="str">
        <f t="shared" si="104"/>
        <v>Estados sobrenaturalesVentaja opcional: Distancia del efecto5 metros</v>
      </c>
      <c r="D484" s="302">
        <v>3</v>
      </c>
      <c r="E484" s="302">
        <v>3</v>
      </c>
      <c r="F484" s="302">
        <v>5</v>
      </c>
      <c r="G484" s="302">
        <v>0</v>
      </c>
      <c r="H484" s="302">
        <v>0</v>
      </c>
      <c r="I484" s="302">
        <v>0</v>
      </c>
      <c r="J484" s="302">
        <v>1</v>
      </c>
    </row>
    <row r="485" spans="1:10" x14ac:dyDescent="0.2">
      <c r="A485" s="302" t="s">
        <v>6985</v>
      </c>
      <c r="B485" s="302" t="s">
        <v>6910</v>
      </c>
      <c r="C485" s="302" t="str">
        <f t="shared" si="104"/>
        <v>Estados sobrenaturalesVentaja opcional: Distancia del efecto10 metros</v>
      </c>
      <c r="D485" s="302">
        <v>5</v>
      </c>
      <c r="E485" s="302">
        <v>5</v>
      </c>
      <c r="F485" s="302">
        <v>10</v>
      </c>
      <c r="G485" s="302">
        <v>0</v>
      </c>
      <c r="H485" s="302">
        <v>0</v>
      </c>
      <c r="I485" s="302">
        <v>0</v>
      </c>
      <c r="J485" s="302">
        <v>1</v>
      </c>
    </row>
    <row r="486" spans="1:10" x14ac:dyDescent="0.2">
      <c r="A486" s="302" t="s">
        <v>6985</v>
      </c>
      <c r="B486" s="302" t="s">
        <v>6921</v>
      </c>
      <c r="C486" s="302" t="str">
        <f t="shared" si="104"/>
        <v>Estados sobrenaturalesVentaja opcional: Distancia del efecto25 metros</v>
      </c>
      <c r="D486" s="302">
        <v>8</v>
      </c>
      <c r="E486" s="302">
        <v>8</v>
      </c>
      <c r="F486" s="302">
        <v>10</v>
      </c>
      <c r="G486" s="302">
        <v>0</v>
      </c>
      <c r="H486" s="302">
        <v>0</v>
      </c>
      <c r="I486" s="302">
        <v>0</v>
      </c>
      <c r="J486" s="302">
        <v>1</v>
      </c>
    </row>
    <row r="487" spans="1:10" x14ac:dyDescent="0.2">
      <c r="A487" s="302" t="s">
        <v>6985</v>
      </c>
      <c r="B487" s="302" t="s">
        <v>6912</v>
      </c>
      <c r="C487" s="302" t="str">
        <f t="shared" si="104"/>
        <v>Estados sobrenaturalesVentaja opcional: Distancia del efecto50 metros</v>
      </c>
      <c r="D487" s="302">
        <v>12</v>
      </c>
      <c r="E487" s="302">
        <v>12</v>
      </c>
      <c r="F487" s="302">
        <v>15</v>
      </c>
      <c r="G487" s="302">
        <v>0</v>
      </c>
      <c r="H487" s="302">
        <v>0</v>
      </c>
      <c r="I487" s="302">
        <v>0</v>
      </c>
      <c r="J487" s="302">
        <v>2</v>
      </c>
    </row>
    <row r="488" spans="1:10" x14ac:dyDescent="0.2">
      <c r="A488" s="302" t="s">
        <v>6985</v>
      </c>
      <c r="B488" s="302" t="s">
        <v>6913</v>
      </c>
      <c r="C488" s="302" t="str">
        <f t="shared" si="104"/>
        <v>Estados sobrenaturalesVentaja opcional: Distancia del efecto100 metros</v>
      </c>
      <c r="D488" s="302">
        <v>15</v>
      </c>
      <c r="E488" s="302">
        <v>15</v>
      </c>
      <c r="F488" s="302">
        <v>20</v>
      </c>
      <c r="G488" s="302">
        <v>0</v>
      </c>
      <c r="H488" s="302">
        <v>0</v>
      </c>
      <c r="I488" s="302">
        <v>0</v>
      </c>
      <c r="J488" s="302">
        <v>2</v>
      </c>
    </row>
    <row r="489" spans="1:10" x14ac:dyDescent="0.2">
      <c r="A489" s="302" t="s">
        <v>6985</v>
      </c>
      <c r="B489" s="302" t="s">
        <v>7068</v>
      </c>
      <c r="C489" s="302" t="str">
        <f t="shared" si="104"/>
        <v>Estados sobrenaturalesVentaja opcional: Distancia del efecto150 metros</v>
      </c>
      <c r="D489" s="302">
        <v>20</v>
      </c>
      <c r="E489" s="302">
        <v>20</v>
      </c>
      <c r="F489" s="302">
        <v>25</v>
      </c>
      <c r="G489" s="302">
        <v>0</v>
      </c>
      <c r="H489" s="302">
        <v>0</v>
      </c>
      <c r="I489" s="302">
        <v>0</v>
      </c>
      <c r="J489" s="302">
        <v>3</v>
      </c>
    </row>
    <row r="490" spans="1:10" x14ac:dyDescent="0.2">
      <c r="A490" s="302" t="s">
        <v>6985</v>
      </c>
      <c r="B490" s="302" t="s">
        <v>6915</v>
      </c>
      <c r="C490" s="302" t="str">
        <f>A446&amp;A490&amp;B490</f>
        <v>Estados sobrenaturalesVentaja opcional: Distancia del efecto500 metros</v>
      </c>
      <c r="D490" s="302">
        <v>25</v>
      </c>
      <c r="E490" s="302">
        <v>25</v>
      </c>
      <c r="F490" s="302">
        <v>30</v>
      </c>
      <c r="G490" s="302">
        <v>0</v>
      </c>
      <c r="H490" s="302">
        <v>0</v>
      </c>
      <c r="I490" s="302">
        <v>0</v>
      </c>
      <c r="J490" s="302">
        <v>3</v>
      </c>
    </row>
    <row r="491" spans="1:10" x14ac:dyDescent="0.2">
      <c r="A491" s="302" t="s">
        <v>6986</v>
      </c>
      <c r="B491" s="302">
        <v>4</v>
      </c>
      <c r="C491" s="302" t="str">
        <f t="shared" ref="C491:C499" si="105">A491&amp;B491</f>
        <v>Impacto4</v>
      </c>
      <c r="D491" s="302">
        <v>1</v>
      </c>
      <c r="E491" s="302">
        <v>2</v>
      </c>
      <c r="F491" s="302">
        <v>5</v>
      </c>
      <c r="G491" s="302">
        <v>1</v>
      </c>
      <c r="H491" s="302">
        <v>2</v>
      </c>
      <c r="I491" s="302">
        <v>4</v>
      </c>
      <c r="J491" s="302">
        <v>1</v>
      </c>
    </row>
    <row r="492" spans="1:10" x14ac:dyDescent="0.2">
      <c r="A492" s="302" t="s">
        <v>6986</v>
      </c>
      <c r="B492" s="302">
        <v>6</v>
      </c>
      <c r="C492" s="302" t="str">
        <f t="shared" si="105"/>
        <v>Impacto6</v>
      </c>
      <c r="D492" s="302">
        <v>2</v>
      </c>
      <c r="E492" s="302">
        <v>4</v>
      </c>
      <c r="F492" s="302">
        <v>5</v>
      </c>
      <c r="G492" s="302">
        <v>2</v>
      </c>
      <c r="H492" s="302">
        <v>4</v>
      </c>
      <c r="I492" s="302">
        <v>7</v>
      </c>
      <c r="J492" s="302">
        <v>1</v>
      </c>
    </row>
    <row r="493" spans="1:10" x14ac:dyDescent="0.2">
      <c r="A493" s="302" t="s">
        <v>6986</v>
      </c>
      <c r="B493" s="302">
        <v>8</v>
      </c>
      <c r="C493" s="302" t="str">
        <f t="shared" si="105"/>
        <v>Impacto8</v>
      </c>
      <c r="D493" s="302">
        <v>3</v>
      </c>
      <c r="E493" s="302">
        <v>5</v>
      </c>
      <c r="F493" s="302">
        <v>10</v>
      </c>
      <c r="G493" s="302">
        <v>3</v>
      </c>
      <c r="H493" s="302">
        <v>6</v>
      </c>
      <c r="I493" s="302">
        <v>11</v>
      </c>
      <c r="J493" s="302">
        <v>1</v>
      </c>
    </row>
    <row r="494" spans="1:10" x14ac:dyDescent="0.2">
      <c r="A494" s="302" t="s">
        <v>6986</v>
      </c>
      <c r="B494" s="302">
        <v>10</v>
      </c>
      <c r="C494" s="302" t="str">
        <f t="shared" si="105"/>
        <v>Impacto10</v>
      </c>
      <c r="D494" s="302">
        <v>4</v>
      </c>
      <c r="E494" s="302">
        <v>6</v>
      </c>
      <c r="F494" s="302">
        <v>10</v>
      </c>
      <c r="G494" s="302">
        <v>4</v>
      </c>
      <c r="H494" s="302">
        <v>8</v>
      </c>
      <c r="I494" s="302">
        <v>14</v>
      </c>
      <c r="J494" s="302">
        <v>1</v>
      </c>
    </row>
    <row r="495" spans="1:10" x14ac:dyDescent="0.2">
      <c r="A495" s="302" t="s">
        <v>6986</v>
      </c>
      <c r="B495" s="302">
        <v>12</v>
      </c>
      <c r="C495" s="302" t="str">
        <f t="shared" si="105"/>
        <v>Impacto12</v>
      </c>
      <c r="D495" s="302">
        <v>5</v>
      </c>
      <c r="E495" s="302">
        <v>8</v>
      </c>
      <c r="F495" s="302">
        <v>15</v>
      </c>
      <c r="G495" s="302">
        <v>5</v>
      </c>
      <c r="H495" s="302">
        <v>10</v>
      </c>
      <c r="I495" s="302">
        <v>18</v>
      </c>
      <c r="J495" s="302">
        <v>1</v>
      </c>
    </row>
    <row r="496" spans="1:10" x14ac:dyDescent="0.2">
      <c r="A496" s="302" t="s">
        <v>6986</v>
      </c>
      <c r="B496" s="302">
        <v>14</v>
      </c>
      <c r="C496" s="302" t="str">
        <f t="shared" si="105"/>
        <v>Impacto14</v>
      </c>
      <c r="D496" s="302">
        <v>6</v>
      </c>
      <c r="E496" s="302">
        <v>9</v>
      </c>
      <c r="F496" s="302">
        <v>20</v>
      </c>
      <c r="G496" s="302">
        <v>6</v>
      </c>
      <c r="H496" s="302">
        <v>12</v>
      </c>
      <c r="I496" s="302">
        <v>21</v>
      </c>
      <c r="J496" s="302">
        <v>2</v>
      </c>
    </row>
    <row r="497" spans="1:10" x14ac:dyDescent="0.2">
      <c r="A497" s="302" t="s">
        <v>6986</v>
      </c>
      <c r="B497" s="302">
        <v>16</v>
      </c>
      <c r="C497" s="302" t="str">
        <f t="shared" si="105"/>
        <v>Impacto16</v>
      </c>
      <c r="D497" s="302">
        <v>8</v>
      </c>
      <c r="E497" s="302">
        <v>11</v>
      </c>
      <c r="F497" s="302">
        <v>25</v>
      </c>
      <c r="G497" s="302">
        <v>7</v>
      </c>
      <c r="H497" s="302">
        <v>14</v>
      </c>
      <c r="I497" s="302">
        <v>25</v>
      </c>
      <c r="J497" s="302">
        <v>2</v>
      </c>
    </row>
    <row r="498" spans="1:10" x14ac:dyDescent="0.2">
      <c r="A498" s="302" t="s">
        <v>6986</v>
      </c>
      <c r="B498" s="302">
        <v>18</v>
      </c>
      <c r="C498" s="302" t="str">
        <f t="shared" si="105"/>
        <v>Impacto18</v>
      </c>
      <c r="D498" s="302">
        <v>10</v>
      </c>
      <c r="E498" s="302">
        <v>13</v>
      </c>
      <c r="F498" s="302">
        <v>30</v>
      </c>
      <c r="G498" s="302">
        <v>8</v>
      </c>
      <c r="H498" s="302">
        <v>16</v>
      </c>
      <c r="I498" s="302">
        <v>28</v>
      </c>
      <c r="J498" s="302">
        <v>3</v>
      </c>
    </row>
    <row r="499" spans="1:10" x14ac:dyDescent="0.2">
      <c r="A499" s="302" t="s">
        <v>6986</v>
      </c>
      <c r="B499" s="302">
        <v>20</v>
      </c>
      <c r="C499" s="302" t="str">
        <f t="shared" si="105"/>
        <v>Impacto20</v>
      </c>
      <c r="D499" s="302">
        <v>12</v>
      </c>
      <c r="E499" s="302">
        <v>15</v>
      </c>
      <c r="F499" s="302">
        <v>35</v>
      </c>
      <c r="G499" s="302">
        <v>10</v>
      </c>
      <c r="H499" s="302">
        <v>20</v>
      </c>
      <c r="I499" s="302">
        <v>35</v>
      </c>
      <c r="J499" s="302">
        <v>3</v>
      </c>
    </row>
    <row r="500" spans="1:10" x14ac:dyDescent="0.2">
      <c r="A500" s="302" t="s">
        <v>6989</v>
      </c>
      <c r="B500" s="302" t="s">
        <v>7009</v>
      </c>
      <c r="C500" s="302" t="str">
        <f>A499&amp;A500&amp;B500</f>
        <v>ImpactoVentaja opcional: AtraerAtraer</v>
      </c>
      <c r="D500" s="302">
        <v>1</v>
      </c>
      <c r="E500" s="302">
        <v>1</v>
      </c>
      <c r="F500" s="302">
        <v>5</v>
      </c>
      <c r="G500" s="302">
        <v>1</v>
      </c>
      <c r="H500" s="302">
        <v>2</v>
      </c>
      <c r="I500" s="302">
        <v>4</v>
      </c>
      <c r="J500" s="302">
        <v>1</v>
      </c>
    </row>
    <row r="501" spans="1:10" x14ac:dyDescent="0.2">
      <c r="A501" s="302" t="s">
        <v>6987</v>
      </c>
      <c r="B501" s="302" t="s">
        <v>229</v>
      </c>
      <c r="C501" s="302" t="str">
        <f t="shared" ref="C501:C506" si="106">A501&amp;B501</f>
        <v>InterrupciónDaño</v>
      </c>
      <c r="D501" s="302">
        <v>1</v>
      </c>
      <c r="E501" s="302">
        <v>2</v>
      </c>
      <c r="F501" s="302">
        <v>5</v>
      </c>
      <c r="G501" s="302">
        <v>1</v>
      </c>
      <c r="H501" s="302">
        <v>2</v>
      </c>
      <c r="I501" s="302">
        <v>4</v>
      </c>
      <c r="J501" s="302">
        <v>1</v>
      </c>
    </row>
    <row r="502" spans="1:10" x14ac:dyDescent="0.2">
      <c r="A502" s="302" t="s">
        <v>6987</v>
      </c>
      <c r="B502" s="302" t="s">
        <v>7069</v>
      </c>
      <c r="C502" s="302" t="str">
        <f t="shared" si="106"/>
        <v>InterrupciónDaño +10</v>
      </c>
      <c r="D502" s="302">
        <v>2</v>
      </c>
      <c r="E502" s="302">
        <v>4</v>
      </c>
      <c r="F502" s="302">
        <v>10</v>
      </c>
      <c r="G502" s="302">
        <v>2</v>
      </c>
      <c r="H502" s="302">
        <v>4</v>
      </c>
      <c r="I502" s="302">
        <v>7</v>
      </c>
      <c r="J502" s="302">
        <v>1</v>
      </c>
    </row>
    <row r="503" spans="1:10" x14ac:dyDescent="0.2">
      <c r="A503" s="302" t="s">
        <v>6987</v>
      </c>
      <c r="B503" s="302" t="s">
        <v>7070</v>
      </c>
      <c r="C503" s="302" t="str">
        <f t="shared" si="106"/>
        <v>InterrupciónDaño +40</v>
      </c>
      <c r="D503" s="302">
        <v>4</v>
      </c>
      <c r="E503" s="302">
        <v>6</v>
      </c>
      <c r="F503" s="302">
        <v>15</v>
      </c>
      <c r="G503" s="302">
        <v>3</v>
      </c>
      <c r="H503" s="302">
        <v>6</v>
      </c>
      <c r="I503" s="302">
        <v>11</v>
      </c>
      <c r="J503" s="302">
        <v>1</v>
      </c>
    </row>
    <row r="504" spans="1:10" x14ac:dyDescent="0.2">
      <c r="A504" s="302" t="s">
        <v>6987</v>
      </c>
      <c r="B504" s="302" t="s">
        <v>7071</v>
      </c>
      <c r="C504" s="302" t="str">
        <f t="shared" si="106"/>
        <v>InterrupciónDaño +60</v>
      </c>
      <c r="D504" s="302">
        <v>6</v>
      </c>
      <c r="E504" s="302">
        <v>9</v>
      </c>
      <c r="F504" s="302">
        <v>20</v>
      </c>
      <c r="G504" s="302">
        <v>4</v>
      </c>
      <c r="H504" s="302">
        <v>8</v>
      </c>
      <c r="I504" s="302">
        <v>14</v>
      </c>
      <c r="J504" s="302">
        <v>1</v>
      </c>
    </row>
    <row r="505" spans="1:10" x14ac:dyDescent="0.2">
      <c r="A505" s="302" t="s">
        <v>6987</v>
      </c>
      <c r="B505" s="302" t="s">
        <v>7072</v>
      </c>
      <c r="C505" s="302" t="str">
        <f t="shared" si="106"/>
        <v>InterrupciónDaño +80</v>
      </c>
      <c r="D505" s="302">
        <v>8</v>
      </c>
      <c r="E505" s="302">
        <v>11</v>
      </c>
      <c r="F505" s="302">
        <v>25</v>
      </c>
      <c r="G505" s="302">
        <v>6</v>
      </c>
      <c r="H505" s="302">
        <v>12</v>
      </c>
      <c r="I505" s="302">
        <v>21</v>
      </c>
      <c r="J505" s="302">
        <v>2</v>
      </c>
    </row>
    <row r="506" spans="1:10" x14ac:dyDescent="0.2">
      <c r="A506" s="302" t="s">
        <v>6987</v>
      </c>
      <c r="B506" s="302" t="s">
        <v>7073</v>
      </c>
      <c r="C506" s="302" t="str">
        <f t="shared" si="106"/>
        <v>InterrupciónDaño +100</v>
      </c>
      <c r="D506" s="302">
        <v>12</v>
      </c>
      <c r="E506" s="302">
        <v>15</v>
      </c>
      <c r="F506" s="302">
        <v>30</v>
      </c>
      <c r="G506" s="302">
        <v>8</v>
      </c>
      <c r="H506" s="302">
        <v>16</v>
      </c>
      <c r="I506" s="302">
        <v>28</v>
      </c>
      <c r="J506" s="302">
        <v>2</v>
      </c>
    </row>
    <row r="507" spans="1:10" x14ac:dyDescent="0.2">
      <c r="A507" s="302" t="s">
        <v>6987</v>
      </c>
      <c r="B507" s="302" t="s">
        <v>7074</v>
      </c>
      <c r="C507" s="302" t="str">
        <f>A507&amp;B507</f>
        <v>InterrupciónDaño +120</v>
      </c>
      <c r="D507" s="302">
        <v>16</v>
      </c>
      <c r="E507" s="302">
        <v>20</v>
      </c>
      <c r="F507" s="302">
        <v>35</v>
      </c>
      <c r="G507" s="302">
        <v>10</v>
      </c>
      <c r="H507" s="302">
        <v>20</v>
      </c>
      <c r="I507" s="302">
        <v>35</v>
      </c>
      <c r="J507" s="302">
        <v>3</v>
      </c>
    </row>
    <row r="508" spans="1:10" x14ac:dyDescent="0.2">
      <c r="A508" s="302" t="s">
        <v>6988</v>
      </c>
      <c r="B508" s="302" t="s">
        <v>7</v>
      </c>
      <c r="C508" s="302" t="str">
        <f>A501&amp;A508&amp;B508</f>
        <v>InterrupciónVentaja opcional: Tipo de interrupciónKi</v>
      </c>
      <c r="D508" s="302">
        <v>2</v>
      </c>
      <c r="E508" s="302">
        <v>2</v>
      </c>
      <c r="F508" s="302">
        <v>5</v>
      </c>
      <c r="G508" s="302">
        <v>1</v>
      </c>
      <c r="H508" s="302">
        <v>2</v>
      </c>
      <c r="I508" s="302">
        <v>4</v>
      </c>
      <c r="J508" s="302">
        <v>1</v>
      </c>
    </row>
    <row r="509" spans="1:10" x14ac:dyDescent="0.2">
      <c r="A509" s="302" t="s">
        <v>6988</v>
      </c>
      <c r="B509" s="302" t="s">
        <v>8</v>
      </c>
      <c r="C509" s="302" t="str">
        <f>A502&amp;A509&amp;B509</f>
        <v>InterrupciónVentaja opcional: Tipo de interrupciónMagia</v>
      </c>
      <c r="D509" s="302">
        <v>2</v>
      </c>
      <c r="E509" s="302">
        <v>2</v>
      </c>
      <c r="F509" s="302">
        <v>5</v>
      </c>
      <c r="G509" s="302">
        <v>1</v>
      </c>
      <c r="H509" s="302">
        <v>2</v>
      </c>
      <c r="I509" s="302">
        <v>4</v>
      </c>
      <c r="J509" s="302">
        <v>1</v>
      </c>
    </row>
    <row r="510" spans="1:10" x14ac:dyDescent="0.2">
      <c r="A510" s="302" t="s">
        <v>6988</v>
      </c>
      <c r="B510" s="302" t="s">
        <v>7075</v>
      </c>
      <c r="C510" s="302" t="str">
        <f>A503&amp;A510&amp;B510</f>
        <v>InterrupciónVentaja opcional: Tipo de interrupciónHabilidades psíquicas</v>
      </c>
      <c r="D510" s="302">
        <v>2</v>
      </c>
      <c r="E510" s="302">
        <v>2</v>
      </c>
      <c r="F510" s="302">
        <v>5</v>
      </c>
      <c r="G510" s="302">
        <v>1</v>
      </c>
      <c r="H510" s="302">
        <v>2</v>
      </c>
      <c r="I510" s="302">
        <v>4</v>
      </c>
      <c r="J510" s="302">
        <v>1</v>
      </c>
    </row>
    <row r="511" spans="1:10" x14ac:dyDescent="0.2">
      <c r="A511" s="302" t="s">
        <v>6990</v>
      </c>
      <c r="B511" s="302" t="s">
        <v>6990</v>
      </c>
      <c r="C511" s="302" t="str">
        <f>A511&amp;B511</f>
        <v>IntangibilidadIntangibilidad</v>
      </c>
      <c r="D511" s="302">
        <v>3</v>
      </c>
      <c r="E511" s="302">
        <v>5</v>
      </c>
      <c r="F511" s="302">
        <v>10</v>
      </c>
      <c r="G511" s="302">
        <v>2</v>
      </c>
      <c r="H511" s="302">
        <v>4</v>
      </c>
      <c r="I511" s="302">
        <v>7</v>
      </c>
      <c r="J511" s="302">
        <v>1</v>
      </c>
    </row>
    <row r="512" spans="1:10" x14ac:dyDescent="0.2">
      <c r="A512" s="302" t="s">
        <v>6991</v>
      </c>
      <c r="B512" s="302" t="s">
        <v>7076</v>
      </c>
      <c r="C512" s="302" t="str">
        <f>A511&amp;A512&amp;B512</f>
        <v>IntangibilidadVentaja opcional: Afectar a otrosPresencia simple</v>
      </c>
      <c r="D512" s="302">
        <v>1</v>
      </c>
      <c r="E512" s="302">
        <v>1</v>
      </c>
      <c r="F512" s="302">
        <v>5</v>
      </c>
      <c r="G512" s="302">
        <v>1</v>
      </c>
      <c r="H512" s="302">
        <v>2</v>
      </c>
      <c r="I512" s="302">
        <v>4</v>
      </c>
      <c r="J512" s="302">
        <v>1</v>
      </c>
    </row>
    <row r="513" spans="1:10" x14ac:dyDescent="0.2">
      <c r="A513" s="302" t="s">
        <v>6991</v>
      </c>
      <c r="B513" s="302" t="s">
        <v>7077</v>
      </c>
      <c r="C513" s="302" t="str">
        <f>A511&amp;A513&amp;B513</f>
        <v>IntangibilidadVentaja opcional: Afectar a otrosPresencia extendida</v>
      </c>
      <c r="D513" s="302">
        <v>3</v>
      </c>
      <c r="E513" s="302">
        <v>3</v>
      </c>
      <c r="F513" s="302">
        <v>10</v>
      </c>
      <c r="G513" s="302">
        <v>2</v>
      </c>
      <c r="H513" s="302">
        <v>4</v>
      </c>
      <c r="I513" s="302">
        <v>7</v>
      </c>
      <c r="J513" s="302">
        <v>1</v>
      </c>
    </row>
    <row r="514" spans="1:10" x14ac:dyDescent="0.2">
      <c r="A514" s="302" t="s">
        <v>6992</v>
      </c>
      <c r="B514" s="302" t="s">
        <v>3493</v>
      </c>
      <c r="C514" s="302" t="str">
        <f>A511&amp;A514&amp;B514</f>
        <v>IntangibilidadVentaja opcional: FusiónFusión</v>
      </c>
      <c r="D514" s="302">
        <v>2</v>
      </c>
      <c r="E514" s="302">
        <v>2</v>
      </c>
      <c r="F514" s="302">
        <v>10</v>
      </c>
      <c r="G514" s="302">
        <v>2</v>
      </c>
      <c r="H514" s="302">
        <v>4</v>
      </c>
      <c r="I514" s="302">
        <v>7</v>
      </c>
      <c r="J514" s="302">
        <v>1</v>
      </c>
    </row>
    <row r="515" spans="1:10" x14ac:dyDescent="0.2">
      <c r="A515" s="302" t="s">
        <v>6993</v>
      </c>
      <c r="B515" s="302" t="s">
        <v>7078</v>
      </c>
      <c r="C515" s="302" t="str">
        <f t="shared" ref="C515:C520" si="107">A515&amp;B515</f>
        <v>MarcaMarca menor</v>
      </c>
      <c r="D515" s="302">
        <v>4</v>
      </c>
      <c r="E515" s="302">
        <v>6</v>
      </c>
      <c r="F515" s="302">
        <v>10</v>
      </c>
      <c r="G515" s="302">
        <v>2</v>
      </c>
      <c r="H515" s="302">
        <v>4</v>
      </c>
      <c r="I515" s="302">
        <v>7</v>
      </c>
      <c r="J515" s="302">
        <v>1</v>
      </c>
    </row>
    <row r="516" spans="1:10" x14ac:dyDescent="0.2">
      <c r="A516" s="302" t="s">
        <v>6993</v>
      </c>
      <c r="B516" s="302" t="s">
        <v>7079</v>
      </c>
      <c r="C516" s="302" t="str">
        <f t="shared" si="107"/>
        <v>MarcaMarca mayor</v>
      </c>
      <c r="D516" s="302">
        <v>10</v>
      </c>
      <c r="E516" s="302">
        <v>13</v>
      </c>
      <c r="F516" s="302">
        <v>25</v>
      </c>
      <c r="G516" s="302">
        <v>4</v>
      </c>
      <c r="H516" s="302">
        <v>8</v>
      </c>
      <c r="I516" s="302">
        <v>14</v>
      </c>
      <c r="J516" s="302">
        <v>2</v>
      </c>
    </row>
    <row r="517" spans="1:10" x14ac:dyDescent="0.2">
      <c r="A517" s="302" t="s">
        <v>6994</v>
      </c>
      <c r="B517" s="302" t="s">
        <v>7080</v>
      </c>
      <c r="C517" s="302" t="str">
        <f>A515&amp;A517&amp;B517</f>
        <v>MarcaVentaja opcional: PermanenciaProlongada</v>
      </c>
      <c r="D517" s="302">
        <v>4</v>
      </c>
      <c r="E517" s="302">
        <v>4</v>
      </c>
      <c r="F517" s="302">
        <v>10</v>
      </c>
      <c r="G517" s="302">
        <v>0</v>
      </c>
      <c r="H517" s="302">
        <v>0</v>
      </c>
      <c r="I517" s="302">
        <v>0</v>
      </c>
      <c r="J517" s="302">
        <v>1</v>
      </c>
    </row>
    <row r="518" spans="1:10" x14ac:dyDescent="0.2">
      <c r="A518" s="302" t="s">
        <v>6994</v>
      </c>
      <c r="B518" s="302" t="s">
        <v>7081</v>
      </c>
      <c r="C518" s="302" t="str">
        <f>A516&amp;A518&amp;B518</f>
        <v>MarcaVentaja opcional: PermanenciaEterna</v>
      </c>
      <c r="D518" s="302">
        <v>10</v>
      </c>
      <c r="E518" s="302">
        <v>10</v>
      </c>
      <c r="F518" s="302">
        <v>30</v>
      </c>
      <c r="G518" s="302">
        <v>2</v>
      </c>
      <c r="H518" s="302">
        <v>4</v>
      </c>
      <c r="I518" s="302">
        <v>7</v>
      </c>
      <c r="J518" s="302">
        <v>1</v>
      </c>
    </row>
    <row r="519" spans="1:10" x14ac:dyDescent="0.2">
      <c r="A519" s="302" t="s">
        <v>6995</v>
      </c>
      <c r="B519" s="301" t="s">
        <v>6799</v>
      </c>
      <c r="C519" s="302" t="str">
        <f t="shared" si="107"/>
        <v>Potenciar crítico+10</v>
      </c>
      <c r="D519" s="302">
        <v>2</v>
      </c>
      <c r="E519" s="302">
        <v>4</v>
      </c>
      <c r="F519" s="302">
        <v>5</v>
      </c>
      <c r="G519" s="302">
        <v>1</v>
      </c>
      <c r="H519" s="302">
        <v>2</v>
      </c>
      <c r="I519" s="302">
        <v>4</v>
      </c>
      <c r="J519" s="302">
        <v>1</v>
      </c>
    </row>
    <row r="520" spans="1:10" x14ac:dyDescent="0.2">
      <c r="A520" s="302" t="s">
        <v>6995</v>
      </c>
      <c r="B520" s="301" t="s">
        <v>6804</v>
      </c>
      <c r="C520" s="302" t="str">
        <f t="shared" si="107"/>
        <v>Potenciar crítico+25</v>
      </c>
      <c r="D520" s="302">
        <v>3</v>
      </c>
      <c r="E520" s="302">
        <v>5</v>
      </c>
      <c r="F520" s="302">
        <v>5</v>
      </c>
      <c r="G520" s="302">
        <v>2</v>
      </c>
      <c r="H520" s="302">
        <v>4</v>
      </c>
      <c r="I520" s="302">
        <v>7</v>
      </c>
      <c r="J520" s="302">
        <v>1</v>
      </c>
    </row>
    <row r="521" spans="1:10" x14ac:dyDescent="0.2">
      <c r="A521" s="302" t="s">
        <v>6995</v>
      </c>
      <c r="B521" s="301" t="s">
        <v>6805</v>
      </c>
      <c r="C521" s="302" t="str">
        <f t="shared" ref="C521:C529" si="108">A521&amp;B521</f>
        <v>Potenciar crítico+40</v>
      </c>
      <c r="D521" s="302">
        <v>4</v>
      </c>
      <c r="E521" s="302">
        <v>6</v>
      </c>
      <c r="F521" s="302">
        <v>10</v>
      </c>
      <c r="G521" s="302">
        <v>3</v>
      </c>
      <c r="H521" s="302">
        <v>6</v>
      </c>
      <c r="I521" s="302">
        <v>11</v>
      </c>
      <c r="J521" s="302">
        <v>1</v>
      </c>
    </row>
    <row r="522" spans="1:10" x14ac:dyDescent="0.2">
      <c r="A522" s="302" t="s">
        <v>6995</v>
      </c>
      <c r="B522" s="301" t="s">
        <v>6806</v>
      </c>
      <c r="C522" s="302" t="str">
        <f t="shared" si="108"/>
        <v>Potenciar crítico+50</v>
      </c>
      <c r="D522" s="302">
        <v>5</v>
      </c>
      <c r="E522" s="302">
        <v>8</v>
      </c>
      <c r="F522" s="302">
        <v>15</v>
      </c>
      <c r="G522" s="302">
        <v>4</v>
      </c>
      <c r="H522" s="302">
        <v>8</v>
      </c>
      <c r="I522" s="302">
        <v>14</v>
      </c>
      <c r="J522" s="302">
        <v>1</v>
      </c>
    </row>
    <row r="523" spans="1:10" x14ac:dyDescent="0.2">
      <c r="A523" s="302" t="s">
        <v>6995</v>
      </c>
      <c r="B523" s="301" t="s">
        <v>6807</v>
      </c>
      <c r="C523" s="302" t="str">
        <f t="shared" si="108"/>
        <v>Potenciar crítico+75</v>
      </c>
      <c r="D523" s="302">
        <v>8</v>
      </c>
      <c r="E523" s="302">
        <v>11</v>
      </c>
      <c r="F523" s="302">
        <v>20</v>
      </c>
      <c r="G523" s="302">
        <v>6</v>
      </c>
      <c r="H523" s="302">
        <v>12</v>
      </c>
      <c r="I523" s="302">
        <v>21</v>
      </c>
      <c r="J523" s="302">
        <v>1</v>
      </c>
    </row>
    <row r="524" spans="1:10" x14ac:dyDescent="0.2">
      <c r="A524" s="302" t="s">
        <v>6995</v>
      </c>
      <c r="B524" s="301" t="s">
        <v>6808</v>
      </c>
      <c r="C524" s="302" t="str">
        <f t="shared" si="108"/>
        <v>Potenciar crítico+90</v>
      </c>
      <c r="D524" s="302">
        <v>12</v>
      </c>
      <c r="E524" s="302">
        <v>15</v>
      </c>
      <c r="F524" s="302">
        <v>25</v>
      </c>
      <c r="G524" s="302">
        <v>8</v>
      </c>
      <c r="H524" s="302">
        <v>16</v>
      </c>
      <c r="I524" s="302">
        <v>28</v>
      </c>
      <c r="J524" s="302">
        <v>1</v>
      </c>
    </row>
    <row r="525" spans="1:10" x14ac:dyDescent="0.2">
      <c r="A525" s="302" t="s">
        <v>6995</v>
      </c>
      <c r="B525" s="301" t="s">
        <v>6809</v>
      </c>
      <c r="C525" s="302" t="str">
        <f t="shared" si="108"/>
        <v>Potenciar crítico+100</v>
      </c>
      <c r="D525" s="302">
        <v>14</v>
      </c>
      <c r="E525" s="302">
        <v>18</v>
      </c>
      <c r="F525" s="302">
        <v>30</v>
      </c>
      <c r="G525" s="302">
        <v>10</v>
      </c>
      <c r="H525" s="302">
        <v>20</v>
      </c>
      <c r="I525" s="302">
        <v>35</v>
      </c>
      <c r="J525" s="302">
        <v>1</v>
      </c>
    </row>
    <row r="526" spans="1:10" x14ac:dyDescent="0.2">
      <c r="A526" s="302" t="s">
        <v>6995</v>
      </c>
      <c r="B526" s="301" t="s">
        <v>6810</v>
      </c>
      <c r="C526" s="302" t="str">
        <f t="shared" si="108"/>
        <v>Potenciar crítico+125</v>
      </c>
      <c r="D526" s="302">
        <v>18</v>
      </c>
      <c r="E526" s="302">
        <v>22</v>
      </c>
      <c r="F526" s="302">
        <v>35</v>
      </c>
      <c r="G526" s="302">
        <v>12</v>
      </c>
      <c r="H526" s="302">
        <v>24</v>
      </c>
      <c r="I526" s="302">
        <v>42</v>
      </c>
      <c r="J526" s="302">
        <v>2</v>
      </c>
    </row>
    <row r="527" spans="1:10" x14ac:dyDescent="0.2">
      <c r="A527" s="302" t="s">
        <v>6995</v>
      </c>
      <c r="B527" s="301" t="s">
        <v>6816</v>
      </c>
      <c r="C527" s="302" t="str">
        <f t="shared" si="108"/>
        <v>Potenciar crítico+150</v>
      </c>
      <c r="D527" s="302">
        <v>22</v>
      </c>
      <c r="E527" s="302">
        <v>26</v>
      </c>
      <c r="F527" s="302">
        <v>40</v>
      </c>
      <c r="G527" s="302">
        <v>14</v>
      </c>
      <c r="H527" s="302">
        <v>28</v>
      </c>
      <c r="I527" s="302">
        <v>49</v>
      </c>
      <c r="J527" s="302">
        <v>2</v>
      </c>
    </row>
    <row r="528" spans="1:10" x14ac:dyDescent="0.2">
      <c r="A528" s="302" t="s">
        <v>6995</v>
      </c>
      <c r="B528" s="301" t="s">
        <v>6811</v>
      </c>
      <c r="C528" s="302" t="str">
        <f t="shared" si="108"/>
        <v>Potenciar crítico+175</v>
      </c>
      <c r="D528" s="302">
        <v>26</v>
      </c>
      <c r="E528" s="302">
        <v>32</v>
      </c>
      <c r="F528" s="302">
        <v>45</v>
      </c>
      <c r="G528" s="302">
        <v>16</v>
      </c>
      <c r="H528" s="302">
        <v>32</v>
      </c>
      <c r="I528" s="302">
        <v>56</v>
      </c>
      <c r="J528" s="302">
        <v>3</v>
      </c>
    </row>
    <row r="529" spans="1:10" x14ac:dyDescent="0.2">
      <c r="A529" s="302" t="s">
        <v>6995</v>
      </c>
      <c r="B529" s="301" t="s">
        <v>6812</v>
      </c>
      <c r="C529" s="302" t="str">
        <f t="shared" si="108"/>
        <v>Potenciar crítico+200</v>
      </c>
      <c r="D529" s="302">
        <v>30</v>
      </c>
      <c r="E529" s="302">
        <v>36</v>
      </c>
      <c r="F529" s="302">
        <v>50</v>
      </c>
      <c r="G529" s="302">
        <v>18</v>
      </c>
      <c r="H529" s="302">
        <v>36</v>
      </c>
      <c r="I529" s="302">
        <v>63</v>
      </c>
      <c r="J529" s="302">
        <v>3</v>
      </c>
    </row>
    <row r="530" spans="1:10" x14ac:dyDescent="0.2">
      <c r="A530" s="302" t="s">
        <v>6996</v>
      </c>
      <c r="B530" s="302" t="s">
        <v>7010</v>
      </c>
      <c r="C530" s="302" t="str">
        <f>A528&amp;A530&amp;B530</f>
        <v>Potenciar críticoVentaja opcional: Crítico automáticoCrítico automático</v>
      </c>
      <c r="D530" s="302">
        <v>8</v>
      </c>
      <c r="E530" s="302">
        <v>8</v>
      </c>
      <c r="F530" s="302">
        <v>30</v>
      </c>
      <c r="G530" s="302">
        <v>4</v>
      </c>
      <c r="H530" s="302">
        <v>8</v>
      </c>
      <c r="I530" s="302">
        <v>14</v>
      </c>
      <c r="J530" s="302">
        <v>1</v>
      </c>
    </row>
    <row r="531" spans="1:10" x14ac:dyDescent="0.2">
      <c r="A531" s="302" t="s">
        <v>6997</v>
      </c>
      <c r="B531" s="301" t="s">
        <v>6799</v>
      </c>
      <c r="C531" s="302" t="str">
        <f t="shared" ref="C531:C535" si="109">A531&amp;B531</f>
        <v>Potenciar crítico real+10</v>
      </c>
      <c r="D531" s="302">
        <v>3</v>
      </c>
      <c r="E531" s="302">
        <v>5</v>
      </c>
      <c r="F531" s="302">
        <v>10</v>
      </c>
      <c r="G531" s="302">
        <v>2</v>
      </c>
      <c r="H531" s="302">
        <v>4</v>
      </c>
      <c r="I531" s="302">
        <v>7</v>
      </c>
      <c r="J531" s="302">
        <v>1</v>
      </c>
    </row>
    <row r="532" spans="1:10" x14ac:dyDescent="0.2">
      <c r="A532" s="302" t="s">
        <v>6997</v>
      </c>
      <c r="B532" s="301" t="s">
        <v>6804</v>
      </c>
      <c r="C532" s="302" t="str">
        <f t="shared" si="109"/>
        <v>Potenciar crítico real+25</v>
      </c>
      <c r="D532" s="302">
        <v>5</v>
      </c>
      <c r="E532" s="302">
        <v>8</v>
      </c>
      <c r="F532" s="302">
        <v>20</v>
      </c>
      <c r="G532" s="302">
        <v>4</v>
      </c>
      <c r="H532" s="302">
        <v>8</v>
      </c>
      <c r="I532" s="302">
        <v>14</v>
      </c>
      <c r="J532" s="302">
        <v>1</v>
      </c>
    </row>
    <row r="533" spans="1:10" x14ac:dyDescent="0.2">
      <c r="A533" s="302" t="s">
        <v>6997</v>
      </c>
      <c r="B533" s="301" t="s">
        <v>6805</v>
      </c>
      <c r="C533" s="302" t="str">
        <f t="shared" si="109"/>
        <v>Potenciar crítico real+40</v>
      </c>
      <c r="D533" s="302">
        <v>7</v>
      </c>
      <c r="E533" s="302">
        <v>9</v>
      </c>
      <c r="F533" s="302">
        <v>25</v>
      </c>
      <c r="G533" s="302">
        <v>6</v>
      </c>
      <c r="H533" s="302">
        <v>12</v>
      </c>
      <c r="I533" s="302">
        <v>21</v>
      </c>
      <c r="J533" s="302">
        <v>1</v>
      </c>
    </row>
    <row r="534" spans="1:10" x14ac:dyDescent="0.2">
      <c r="A534" s="302" t="s">
        <v>6997</v>
      </c>
      <c r="B534" s="301" t="s">
        <v>6806</v>
      </c>
      <c r="C534" s="302" t="str">
        <f t="shared" si="109"/>
        <v>Potenciar crítico real+50</v>
      </c>
      <c r="D534" s="302">
        <v>9</v>
      </c>
      <c r="E534" s="302">
        <v>12</v>
      </c>
      <c r="F534" s="302">
        <v>35</v>
      </c>
      <c r="G534" s="302">
        <v>8</v>
      </c>
      <c r="H534" s="302">
        <v>16</v>
      </c>
      <c r="I534" s="302">
        <v>28</v>
      </c>
      <c r="J534" s="302">
        <v>2</v>
      </c>
    </row>
    <row r="535" spans="1:10" x14ac:dyDescent="0.2">
      <c r="A535" s="302" t="s">
        <v>6997</v>
      </c>
      <c r="B535" s="301" t="s">
        <v>6807</v>
      </c>
      <c r="C535" s="302" t="str">
        <f t="shared" si="109"/>
        <v>Potenciar crítico real+75</v>
      </c>
      <c r="D535" s="302">
        <v>12</v>
      </c>
      <c r="E535" s="302">
        <v>15</v>
      </c>
      <c r="F535" s="302">
        <v>50</v>
      </c>
      <c r="G535" s="302">
        <v>10</v>
      </c>
      <c r="H535" s="302">
        <v>20</v>
      </c>
      <c r="I535" s="302">
        <v>35</v>
      </c>
      <c r="J535" s="302">
        <v>2</v>
      </c>
    </row>
    <row r="536" spans="1:10" x14ac:dyDescent="0.2">
      <c r="A536" s="302" t="s">
        <v>6997</v>
      </c>
      <c r="B536" s="301" t="s">
        <v>6808</v>
      </c>
      <c r="C536" s="302" t="str">
        <f>A536&amp;B536</f>
        <v>Potenciar crítico real+90</v>
      </c>
      <c r="D536" s="302">
        <v>16</v>
      </c>
      <c r="E536" s="302">
        <v>20</v>
      </c>
      <c r="F536" s="302">
        <v>60</v>
      </c>
      <c r="G536" s="302">
        <v>12</v>
      </c>
      <c r="H536" s="302">
        <v>24</v>
      </c>
      <c r="I536" s="302">
        <v>42</v>
      </c>
      <c r="J536" s="302">
        <v>3</v>
      </c>
    </row>
    <row r="537" spans="1:10" x14ac:dyDescent="0.2">
      <c r="A537" s="302" t="s">
        <v>6997</v>
      </c>
      <c r="B537" s="301" t="s">
        <v>6809</v>
      </c>
      <c r="C537" s="302" t="str">
        <f>A537&amp;B537</f>
        <v>Potenciar crítico real+100</v>
      </c>
      <c r="D537" s="302">
        <v>18</v>
      </c>
      <c r="E537" s="302">
        <v>22</v>
      </c>
      <c r="F537" s="302">
        <v>65</v>
      </c>
      <c r="G537" s="302">
        <v>14</v>
      </c>
      <c r="H537" s="302">
        <v>28</v>
      </c>
      <c r="I537" s="302">
        <v>49</v>
      </c>
      <c r="J537" s="302">
        <v>3</v>
      </c>
    </row>
    <row r="538" spans="1:10" x14ac:dyDescent="0.2">
      <c r="A538" s="302" t="s">
        <v>6996</v>
      </c>
      <c r="B538" s="302" t="s">
        <v>7010</v>
      </c>
      <c r="C538" s="302" t="str">
        <f>A535&amp;A538&amp;B538</f>
        <v>Potenciar crítico realVentaja opcional: Crítico automáticoCrítico automático</v>
      </c>
      <c r="D538" s="302">
        <v>8</v>
      </c>
      <c r="E538" s="302">
        <v>8</v>
      </c>
      <c r="F538" s="302">
        <v>30</v>
      </c>
      <c r="G538" s="302">
        <v>4</v>
      </c>
      <c r="H538" s="302">
        <v>8</v>
      </c>
      <c r="I538" s="302">
        <v>14</v>
      </c>
      <c r="J538" s="302">
        <v>1</v>
      </c>
    </row>
    <row r="539" spans="1:10" x14ac:dyDescent="0.2">
      <c r="A539" s="302" t="s">
        <v>6998</v>
      </c>
      <c r="B539" s="302" t="s">
        <v>7001</v>
      </c>
      <c r="C539" s="302" t="str">
        <f>A539&amp;B539</f>
        <v>Reflectar el ataqueReflectar</v>
      </c>
      <c r="D539" s="302">
        <v>12</v>
      </c>
      <c r="E539" s="302">
        <v>15</v>
      </c>
      <c r="F539" s="302">
        <v>30</v>
      </c>
      <c r="G539" s="302">
        <v>8</v>
      </c>
      <c r="H539" s="302">
        <v>16</v>
      </c>
      <c r="I539" s="302">
        <v>28</v>
      </c>
      <c r="J539" s="302">
        <v>2</v>
      </c>
    </row>
    <row r="540" spans="1:10" x14ac:dyDescent="0.2">
      <c r="A540" s="302" t="s">
        <v>6899</v>
      </c>
      <c r="B540" s="302" t="s">
        <v>7082</v>
      </c>
      <c r="C540" s="302" t="str">
        <f>A539&amp;A540&amp;B540</f>
        <v>Reflectar el ataqueVentaja opcional: Elección de blancoElección del blanco</v>
      </c>
      <c r="D540" s="302">
        <v>2</v>
      </c>
      <c r="E540" s="302">
        <v>2</v>
      </c>
      <c r="F540" s="302">
        <v>10</v>
      </c>
      <c r="G540" s="302">
        <v>2</v>
      </c>
      <c r="H540" s="302">
        <v>4</v>
      </c>
      <c r="I540" s="302">
        <v>7</v>
      </c>
      <c r="J540" s="302">
        <v>1</v>
      </c>
    </row>
    <row r="541" spans="1:10" x14ac:dyDescent="0.2">
      <c r="A541" s="302" t="s">
        <v>6999</v>
      </c>
      <c r="B541" s="302" t="s">
        <v>7011</v>
      </c>
      <c r="C541" s="302" t="str">
        <f>A539&amp;A541&amp;B541</f>
        <v>Reflectar el ataqueVentaja opcional: Reflectar habilidades esotéricasReflectar habilidades esotéricas</v>
      </c>
      <c r="D541" s="302">
        <v>4</v>
      </c>
      <c r="E541" s="302">
        <v>4</v>
      </c>
      <c r="F541" s="302">
        <v>20</v>
      </c>
      <c r="G541" s="302">
        <v>1</v>
      </c>
      <c r="H541" s="302">
        <v>2</v>
      </c>
      <c r="I541" s="302">
        <v>4</v>
      </c>
      <c r="J541" s="302">
        <v>1</v>
      </c>
    </row>
  </sheetData>
  <sortState ref="U8:X17">
    <sortCondition ref="U8"/>
  </sortState>
  <mergeCells count="8">
    <mergeCell ref="BR118:BW118"/>
    <mergeCell ref="CG118:CL118"/>
    <mergeCell ref="CM118:CR118"/>
    <mergeCell ref="V118:AA118"/>
    <mergeCell ref="AB118:AG118"/>
    <mergeCell ref="AQ118:AV118"/>
    <mergeCell ref="AW118:BB118"/>
    <mergeCell ref="BL118:BQ118"/>
  </mergeCells>
  <pageMargins left="0.7" right="0.7" top="0.75" bottom="0.75" header="0.3" footer="0.3"/>
  <pageSetup paperSize="9" orientation="portrait" r:id="rId1"/>
  <ignoredErrors>
    <ignoredError sqref="B8:B25 B34:B41" numberStoredAsText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68"/>
  <sheetViews>
    <sheetView showGridLines="0" zoomScaleNormal="100" workbookViewId="0">
      <selection activeCell="C3" sqref="C3:F4"/>
    </sheetView>
  </sheetViews>
  <sheetFormatPr baseColWidth="10" defaultColWidth="0" defaultRowHeight="22.5" customHeight="1" zeroHeight="1" x14ac:dyDescent="0.2"/>
  <cols>
    <col min="1" max="77" width="7.140625" style="220" customWidth="1"/>
    <col min="78" max="167" width="0" style="220" hidden="1" customWidth="1"/>
    <col min="168" max="16384" width="7.140625" style="220" hidden="1"/>
  </cols>
  <sheetData>
    <row r="1" spans="1:77" ht="22.5" customHeight="1" x14ac:dyDescent="0.2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1"/>
      <c r="BQ1" s="221"/>
      <c r="BR1" s="221"/>
      <c r="BS1" s="221"/>
      <c r="BT1" s="221"/>
      <c r="BU1" s="221"/>
      <c r="BV1" s="221"/>
      <c r="BW1" s="221"/>
      <c r="BX1" s="221"/>
      <c r="BY1" s="221"/>
    </row>
    <row r="2" spans="1:77" ht="22.5" customHeight="1" x14ac:dyDescent="0.2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</row>
    <row r="3" spans="1:77" ht="22.5" customHeight="1" x14ac:dyDescent="0.2">
      <c r="A3" s="221"/>
      <c r="B3" s="221"/>
      <c r="C3" s="513" t="s">
        <v>6692</v>
      </c>
      <c r="D3" s="513"/>
      <c r="E3" s="513"/>
      <c r="F3" s="513"/>
      <c r="G3" s="513" t="s">
        <v>6708</v>
      </c>
      <c r="H3" s="513"/>
      <c r="I3" s="513"/>
      <c r="J3" s="513"/>
      <c r="K3" s="513" t="s">
        <v>6691</v>
      </c>
      <c r="L3" s="513"/>
      <c r="M3" s="513"/>
      <c r="N3" s="513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511" t="s">
        <v>6668</v>
      </c>
      <c r="AM3" s="511"/>
      <c r="AN3" s="51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</row>
    <row r="4" spans="1:77" ht="22.5" customHeight="1" x14ac:dyDescent="0.2">
      <c r="A4" s="221"/>
      <c r="B4" s="221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511"/>
      <c r="AM4" s="511"/>
      <c r="AN4" s="51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</row>
    <row r="5" spans="1:77" ht="22.5" customHeight="1" x14ac:dyDescent="0.2">
      <c r="A5" s="221"/>
      <c r="B5" s="221"/>
      <c r="C5" s="515">
        <f>'Hoja básica'!BC17</f>
        <v>60</v>
      </c>
      <c r="D5" s="515"/>
      <c r="E5" s="515"/>
      <c r="F5" s="515"/>
      <c r="G5" s="514">
        <f>'Hoja básica'!BC16</f>
        <v>0</v>
      </c>
      <c r="H5" s="515"/>
      <c r="I5" s="515"/>
      <c r="J5" s="515"/>
      <c r="K5" s="515">
        <f>AN5+AI10+AN10+AS10+AI15+AS15+AN20+AI25+AN25+AN30+AS25+AI35+T15+J15+O20+T25+J25+Y30+AD35+O30+J30+E35+J40+J35+O40+Y40+T35+Y35+AI40+J45+T45+O50+J55+T55+AI55+AI60+AN65+AN60+AS60+AS55+AN50+AN45+AI45+AN40+AS45+AS35+BH55+BR55+BM50+BH45+BR45+BM40+BR40+BW35+BR35+BR30+BM30+BH35+BC35+BC30+BC40+AX35+AS30+BR25+BH25+BM20+BR15+BH15</f>
        <v>0</v>
      </c>
      <c r="L5" s="515"/>
      <c r="M5" s="515"/>
      <c r="N5" s="515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34"/>
      <c r="AM5" s="234" t="s">
        <v>6646</v>
      </c>
      <c r="AN5" s="234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 s="221"/>
      <c r="BK5" s="221"/>
      <c r="BL5" s="221"/>
      <c r="BM5" s="221"/>
      <c r="BN5" s="221"/>
      <c r="BO5" s="221"/>
      <c r="BP5" s="221"/>
      <c r="BQ5" s="221"/>
      <c r="BR5" s="221"/>
      <c r="BS5" s="221"/>
      <c r="BT5" s="221"/>
      <c r="BU5" s="221"/>
      <c r="BV5" s="221"/>
      <c r="BW5" s="221"/>
      <c r="BX5" s="221"/>
      <c r="BY5" s="221"/>
    </row>
    <row r="6" spans="1:77" ht="22.5" customHeight="1" x14ac:dyDescent="0.2">
      <c r="A6" s="221"/>
      <c r="B6" s="221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2"/>
      <c r="AL6" s="221"/>
      <c r="AM6" s="223"/>
      <c r="AN6" s="221"/>
      <c r="AO6" s="224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</row>
    <row r="7" spans="1:77" ht="22.5" customHeight="1" x14ac:dyDescent="0.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2"/>
      <c r="AK7" s="221"/>
      <c r="AL7" s="221"/>
      <c r="AM7" s="225"/>
      <c r="AN7" s="221"/>
      <c r="AO7" s="221"/>
      <c r="AP7" s="224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</row>
    <row r="8" spans="1:77" ht="22.5" customHeight="1" thickBot="1" x14ac:dyDescent="0.25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511" t="s">
        <v>6696</v>
      </c>
      <c r="AH8" s="511"/>
      <c r="AI8" s="511"/>
      <c r="AJ8" s="221"/>
      <c r="AK8" s="221"/>
      <c r="AL8" s="511" t="s">
        <v>2321</v>
      </c>
      <c r="AM8" s="511"/>
      <c r="AN8" s="511"/>
      <c r="AO8" s="221"/>
      <c r="AP8" s="221"/>
      <c r="AQ8" s="511" t="s">
        <v>6697</v>
      </c>
      <c r="AR8" s="511"/>
      <c r="AS8" s="51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221"/>
    </row>
    <row r="9" spans="1:77" ht="22.5" customHeight="1" thickTop="1" x14ac:dyDescent="0.2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511"/>
      <c r="AH9" s="511"/>
      <c r="AI9" s="511"/>
      <c r="AJ9" s="226"/>
      <c r="AK9" s="227"/>
      <c r="AL9" s="511"/>
      <c r="AM9" s="511"/>
      <c r="AN9" s="511"/>
      <c r="AO9" s="226"/>
      <c r="AP9" s="227"/>
      <c r="AQ9" s="511"/>
      <c r="AR9" s="511"/>
      <c r="AS9" s="511"/>
      <c r="AT9" s="221"/>
      <c r="AU9" s="221"/>
      <c r="AV9" s="221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221"/>
    </row>
    <row r="10" spans="1:77" ht="22.5" customHeight="1" x14ac:dyDescent="0.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34"/>
      <c r="AH10" s="234" t="s">
        <v>6646</v>
      </c>
      <c r="AI10" s="234"/>
      <c r="AJ10" s="221"/>
      <c r="AK10" s="221"/>
      <c r="AL10" s="234"/>
      <c r="AM10" s="234" t="s">
        <v>6646</v>
      </c>
      <c r="AN10" s="234"/>
      <c r="AO10" s="221"/>
      <c r="AP10" s="221"/>
      <c r="AQ10" s="234"/>
      <c r="AR10" s="234" t="s">
        <v>6646</v>
      </c>
      <c r="AS10" s="234"/>
      <c r="AT10" s="221"/>
      <c r="AU10" s="221"/>
      <c r="AV10" s="221"/>
      <c r="AW10" s="221"/>
      <c r="AX10" s="221"/>
      <c r="AY10" s="221"/>
      <c r="AZ10" s="221"/>
      <c r="BA10" s="221"/>
      <c r="BB10" s="221"/>
      <c r="BC10" s="221"/>
      <c r="BD10" s="221"/>
      <c r="BE10" s="221"/>
      <c r="BF10" s="221"/>
      <c r="BG10" s="221"/>
      <c r="BH10" s="221"/>
      <c r="BI10" s="221"/>
      <c r="BJ10" s="221"/>
      <c r="BK10" s="221"/>
      <c r="BL10" s="221"/>
      <c r="BM10" s="221"/>
      <c r="BN10" s="221"/>
      <c r="BO10" s="221"/>
      <c r="BP10" s="221"/>
      <c r="BQ10" s="221"/>
      <c r="BR10" s="221"/>
      <c r="BS10" s="221"/>
      <c r="BT10" s="221"/>
      <c r="BU10" s="221"/>
      <c r="BV10" s="221"/>
      <c r="BW10" s="221"/>
      <c r="BX10" s="221"/>
      <c r="BY10" s="221"/>
    </row>
    <row r="11" spans="1:77" ht="22.5" customHeight="1" x14ac:dyDescent="0.2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3"/>
      <c r="AI11" s="221"/>
      <c r="AJ11" s="221"/>
      <c r="AK11" s="222"/>
      <c r="AL11" s="221"/>
      <c r="AM11" s="221"/>
      <c r="AN11" s="221"/>
      <c r="AO11" s="224"/>
      <c r="AP11" s="221"/>
      <c r="AQ11" s="221"/>
      <c r="AR11" s="223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221"/>
    </row>
    <row r="12" spans="1:77" ht="22.5" customHeight="1" x14ac:dyDescent="0.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5"/>
      <c r="AI12" s="221"/>
      <c r="AJ12" s="222"/>
      <c r="AK12" s="221"/>
      <c r="AL12" s="221"/>
      <c r="AM12" s="221"/>
      <c r="AN12" s="221"/>
      <c r="AO12" s="221"/>
      <c r="AP12" s="224"/>
      <c r="AQ12" s="221"/>
      <c r="AR12" s="225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</row>
    <row r="13" spans="1:77" ht="22.5" customHeight="1" thickBot="1" x14ac:dyDescent="0.25">
      <c r="A13" s="221"/>
      <c r="B13" s="221"/>
      <c r="C13" s="221"/>
      <c r="D13" s="221"/>
      <c r="E13" s="221"/>
      <c r="F13" s="221"/>
      <c r="G13" s="221"/>
      <c r="H13" s="511" t="s">
        <v>6696</v>
      </c>
      <c r="I13" s="511"/>
      <c r="J13" s="511"/>
      <c r="K13" s="228"/>
      <c r="L13" s="229"/>
      <c r="M13" s="229"/>
      <c r="N13" s="229"/>
      <c r="O13" s="229"/>
      <c r="P13" s="229"/>
      <c r="Q13" s="230"/>
      <c r="R13" s="511" t="s">
        <v>6697</v>
      </c>
      <c r="S13" s="511"/>
      <c r="T13" s="511"/>
      <c r="U13" s="228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30"/>
      <c r="AG13" s="511" t="s">
        <v>6667</v>
      </c>
      <c r="AH13" s="511"/>
      <c r="AI13" s="511"/>
      <c r="AJ13" s="221"/>
      <c r="AK13" s="221"/>
      <c r="AL13" s="221"/>
      <c r="AM13" s="221"/>
      <c r="AN13" s="221"/>
      <c r="AO13" s="221"/>
      <c r="AP13" s="221"/>
      <c r="AQ13" s="511" t="s">
        <v>6669</v>
      </c>
      <c r="AR13" s="511"/>
      <c r="AS13" s="51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511" t="s">
        <v>6668</v>
      </c>
      <c r="BG13" s="512"/>
      <c r="BH13" s="512"/>
      <c r="BI13" s="228"/>
      <c r="BJ13" s="229"/>
      <c r="BK13" s="229"/>
      <c r="BL13" s="229"/>
      <c r="BM13" s="229"/>
      <c r="BN13" s="229"/>
      <c r="BO13" s="230"/>
      <c r="BP13" s="511" t="s">
        <v>6697</v>
      </c>
      <c r="BQ13" s="511"/>
      <c r="BR13" s="511"/>
      <c r="BS13" s="221"/>
      <c r="BT13" s="221"/>
      <c r="BU13" s="221"/>
      <c r="BV13" s="221"/>
      <c r="BW13" s="221"/>
      <c r="BX13" s="221"/>
      <c r="BY13" s="221"/>
    </row>
    <row r="14" spans="1:77" ht="22.5" customHeight="1" thickTop="1" x14ac:dyDescent="0.2">
      <c r="A14" s="221"/>
      <c r="B14" s="221"/>
      <c r="C14" s="221"/>
      <c r="D14" s="221"/>
      <c r="E14" s="221"/>
      <c r="F14" s="221"/>
      <c r="G14" s="221"/>
      <c r="H14" s="511"/>
      <c r="I14" s="511"/>
      <c r="J14" s="511"/>
      <c r="K14" s="221"/>
      <c r="L14" s="221"/>
      <c r="M14" s="221"/>
      <c r="N14" s="221"/>
      <c r="O14" s="221"/>
      <c r="P14" s="221"/>
      <c r="Q14" s="221"/>
      <c r="R14" s="511"/>
      <c r="S14" s="511"/>
      <c r="T14" s="511"/>
      <c r="U14" s="277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33"/>
      <c r="AG14" s="511"/>
      <c r="AH14" s="511"/>
      <c r="AI14" s="511"/>
      <c r="AJ14" s="221"/>
      <c r="AK14" s="221"/>
      <c r="AL14" s="221"/>
      <c r="AM14" s="221"/>
      <c r="AN14" s="221"/>
      <c r="AO14" s="221"/>
      <c r="AP14" s="221"/>
      <c r="AQ14" s="511"/>
      <c r="AR14" s="511"/>
      <c r="AS14" s="511"/>
      <c r="AT14" s="226"/>
      <c r="AU14" s="231"/>
      <c r="AV14" s="231"/>
      <c r="AW14" s="231"/>
      <c r="AX14" s="231"/>
      <c r="AY14" s="231"/>
      <c r="AZ14" s="231"/>
      <c r="BA14" s="231"/>
      <c r="BB14" s="231"/>
      <c r="BC14" s="231"/>
      <c r="BD14" s="231"/>
      <c r="BE14" s="227"/>
      <c r="BF14" s="512"/>
      <c r="BG14" s="512"/>
      <c r="BH14" s="512"/>
      <c r="BI14" s="221"/>
      <c r="BJ14" s="221"/>
      <c r="BK14" s="221"/>
      <c r="BL14" s="221"/>
      <c r="BM14" s="221"/>
      <c r="BN14" s="221"/>
      <c r="BO14" s="221"/>
      <c r="BP14" s="511"/>
      <c r="BQ14" s="511"/>
      <c r="BR14" s="511"/>
      <c r="BS14" s="221"/>
      <c r="BT14" s="221"/>
      <c r="BU14" s="221"/>
      <c r="BV14" s="221"/>
      <c r="BW14" s="221"/>
      <c r="BX14" s="221"/>
      <c r="BY14" s="221"/>
    </row>
    <row r="15" spans="1:77" ht="22.5" customHeight="1" x14ac:dyDescent="0.2">
      <c r="A15" s="221"/>
      <c r="B15" s="221"/>
      <c r="C15" s="221"/>
      <c r="D15" s="221"/>
      <c r="E15" s="221"/>
      <c r="F15" s="221"/>
      <c r="G15" s="221"/>
      <c r="H15" s="234" t="s">
        <v>6645</v>
      </c>
      <c r="I15" s="234" t="s">
        <v>6646</v>
      </c>
      <c r="J15" s="234"/>
      <c r="K15" s="221"/>
      <c r="L15" s="221"/>
      <c r="M15" s="221"/>
      <c r="N15" s="221"/>
      <c r="O15" s="221"/>
      <c r="P15" s="221"/>
      <c r="Q15" s="221"/>
      <c r="R15" s="234"/>
      <c r="S15" s="234" t="s">
        <v>6646</v>
      </c>
      <c r="T15" s="234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34" t="s">
        <v>6652</v>
      </c>
      <c r="AH15" s="234" t="s">
        <v>6646</v>
      </c>
      <c r="AI15" s="234"/>
      <c r="AJ15" s="221"/>
      <c r="AK15" s="221"/>
      <c r="AL15" s="221"/>
      <c r="AM15" s="221"/>
      <c r="AN15" s="221"/>
      <c r="AO15" s="221"/>
      <c r="AP15" s="221"/>
      <c r="AQ15" s="234" t="s">
        <v>6649</v>
      </c>
      <c r="AR15" s="234" t="s">
        <v>6646</v>
      </c>
      <c r="AS15" s="234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  <c r="BD15" s="221"/>
      <c r="BE15" s="221"/>
      <c r="BF15" s="234" t="s">
        <v>6645</v>
      </c>
      <c r="BG15" s="234" t="s">
        <v>6646</v>
      </c>
      <c r="BH15" s="234"/>
      <c r="BI15" s="221"/>
      <c r="BJ15" s="221"/>
      <c r="BK15" s="221"/>
      <c r="BL15" s="221"/>
      <c r="BM15" s="221"/>
      <c r="BN15" s="221"/>
      <c r="BO15" s="221"/>
      <c r="BP15" s="234"/>
      <c r="BQ15" s="234" t="s">
        <v>6646</v>
      </c>
      <c r="BR15" s="234"/>
      <c r="BS15" s="221"/>
      <c r="BT15" s="221"/>
      <c r="BU15" s="221"/>
      <c r="BV15" s="221"/>
      <c r="BW15" s="221"/>
      <c r="BX15" s="221"/>
      <c r="BY15" s="221"/>
    </row>
    <row r="16" spans="1:77" ht="22.5" customHeight="1" x14ac:dyDescent="0.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4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3"/>
      <c r="AI16" s="221"/>
      <c r="AJ16" s="224"/>
      <c r="AK16" s="221"/>
      <c r="AL16" s="221"/>
      <c r="AM16" s="221"/>
      <c r="AN16" s="221"/>
      <c r="AO16" s="221"/>
      <c r="AP16" s="222"/>
      <c r="AQ16" s="221"/>
      <c r="AR16" s="223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2"/>
      <c r="BP16" s="221"/>
      <c r="BQ16" s="221"/>
      <c r="BR16" s="221"/>
      <c r="BS16" s="221"/>
      <c r="BT16" s="221"/>
      <c r="BU16" s="221"/>
      <c r="BV16" s="221"/>
      <c r="BW16" s="221"/>
      <c r="BX16" s="221"/>
      <c r="BY16" s="221"/>
    </row>
    <row r="17" spans="1:77" ht="22.5" customHeight="1" x14ac:dyDescent="0.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4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32"/>
      <c r="AI17" s="221"/>
      <c r="AJ17" s="221"/>
      <c r="AK17" s="224"/>
      <c r="AL17" s="221"/>
      <c r="AM17" s="221"/>
      <c r="AN17" s="221"/>
      <c r="AO17" s="222"/>
      <c r="AP17" s="221"/>
      <c r="AQ17" s="221"/>
      <c r="AR17" s="232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1"/>
      <c r="BN17" s="222"/>
      <c r="BO17" s="221"/>
      <c r="BP17" s="221"/>
      <c r="BQ17" s="221"/>
      <c r="BR17" s="221"/>
      <c r="BS17" s="221"/>
      <c r="BT17" s="221"/>
      <c r="BU17" s="221"/>
      <c r="BV17" s="221"/>
      <c r="BW17" s="221"/>
      <c r="BX17" s="221"/>
      <c r="BY17" s="221"/>
    </row>
    <row r="18" spans="1:77" ht="22.5" customHeight="1" x14ac:dyDescent="0.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511" t="s">
        <v>2321</v>
      </c>
      <c r="N18" s="511"/>
      <c r="O18" s="51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32"/>
      <c r="AI18" s="221"/>
      <c r="AJ18" s="221"/>
      <c r="AK18" s="221"/>
      <c r="AL18" s="511" t="s">
        <v>3193</v>
      </c>
      <c r="AM18" s="511"/>
      <c r="AN18" s="511"/>
      <c r="AO18" s="221"/>
      <c r="AP18" s="221"/>
      <c r="AQ18" s="221"/>
      <c r="AR18" s="232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511" t="s">
        <v>3193</v>
      </c>
      <c r="BL18" s="511"/>
      <c r="BM18" s="51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</row>
    <row r="19" spans="1:77" ht="22.5" customHeight="1" x14ac:dyDescent="0.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511"/>
      <c r="N19" s="511"/>
      <c r="O19" s="51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32"/>
      <c r="AI19" s="221"/>
      <c r="AJ19" s="221"/>
      <c r="AK19" s="221"/>
      <c r="AL19" s="511"/>
      <c r="AM19" s="511"/>
      <c r="AN19" s="511"/>
      <c r="AO19" s="221"/>
      <c r="AP19" s="221"/>
      <c r="AQ19" s="221"/>
      <c r="AR19" s="232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511"/>
      <c r="BL19" s="511"/>
      <c r="BM19" s="51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221"/>
    </row>
    <row r="20" spans="1:77" ht="22.5" customHeight="1" x14ac:dyDescent="0.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34" t="s">
        <v>6647</v>
      </c>
      <c r="N20" s="234" t="s">
        <v>6646</v>
      </c>
      <c r="O20" s="234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32"/>
      <c r="AI20" s="221"/>
      <c r="AJ20" s="221"/>
      <c r="AK20" s="221"/>
      <c r="AL20" s="234" t="s">
        <v>6645</v>
      </c>
      <c r="AM20" s="234" t="s">
        <v>6646</v>
      </c>
      <c r="AN20" s="234"/>
      <c r="AO20" s="221"/>
      <c r="AP20" s="221"/>
      <c r="AQ20" s="221"/>
      <c r="AR20" s="232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34" t="s">
        <v>6647</v>
      </c>
      <c r="BL20" s="234" t="s">
        <v>6646</v>
      </c>
      <c r="BM20" s="234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</row>
    <row r="21" spans="1:77" ht="22.5" customHeight="1" x14ac:dyDescent="0.2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4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32"/>
      <c r="AI21" s="221"/>
      <c r="AJ21" s="221"/>
      <c r="AK21" s="221"/>
      <c r="AL21" s="221"/>
      <c r="AM21" s="223"/>
      <c r="AN21" s="221"/>
      <c r="AO21" s="221"/>
      <c r="AP21" s="221"/>
      <c r="AQ21" s="221"/>
      <c r="AR21" s="232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2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</row>
    <row r="22" spans="1:77" ht="22.5" customHeight="1" x14ac:dyDescent="0.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4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5"/>
      <c r="AI22" s="221"/>
      <c r="AJ22" s="221"/>
      <c r="AK22" s="221"/>
      <c r="AL22" s="221"/>
      <c r="AM22" s="225"/>
      <c r="AN22" s="221"/>
      <c r="AO22" s="221"/>
      <c r="AP22" s="221"/>
      <c r="AQ22" s="221"/>
      <c r="AR22" s="225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2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</row>
    <row r="23" spans="1:77" ht="22.5" customHeight="1" thickBot="1" x14ac:dyDescent="0.25">
      <c r="A23" s="221"/>
      <c r="B23" s="221"/>
      <c r="C23" s="221"/>
      <c r="D23" s="221"/>
      <c r="E23" s="221"/>
      <c r="F23" s="221"/>
      <c r="G23" s="221"/>
      <c r="H23" s="511" t="s">
        <v>6650</v>
      </c>
      <c r="I23" s="511"/>
      <c r="J23" s="511"/>
      <c r="K23" s="221"/>
      <c r="L23" s="221"/>
      <c r="M23" s="221"/>
      <c r="N23" s="221"/>
      <c r="O23" s="221"/>
      <c r="P23" s="221"/>
      <c r="Q23" s="221"/>
      <c r="R23" s="511" t="s">
        <v>6648</v>
      </c>
      <c r="S23" s="511"/>
      <c r="T23" s="51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511" t="s">
        <v>2321</v>
      </c>
      <c r="AH23" s="511"/>
      <c r="AI23" s="511"/>
      <c r="AJ23" s="221"/>
      <c r="AK23" s="221"/>
      <c r="AL23" s="511" t="s">
        <v>6669</v>
      </c>
      <c r="AM23" s="511"/>
      <c r="AN23" s="511"/>
      <c r="AO23" s="221"/>
      <c r="AP23" s="221"/>
      <c r="AQ23" s="511" t="s">
        <v>6667</v>
      </c>
      <c r="AR23" s="511"/>
      <c r="AS23" s="51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511" t="s">
        <v>6671</v>
      </c>
      <c r="BG23" s="511"/>
      <c r="BH23" s="511"/>
      <c r="BI23" s="221"/>
      <c r="BJ23" s="221"/>
      <c r="BK23" s="221"/>
      <c r="BL23" s="221"/>
      <c r="BM23" s="221"/>
      <c r="BN23" s="221"/>
      <c r="BO23" s="221"/>
      <c r="BP23" s="511" t="s">
        <v>6672</v>
      </c>
      <c r="BQ23" s="511"/>
      <c r="BR23" s="511"/>
      <c r="BS23" s="221"/>
      <c r="BT23" s="221"/>
      <c r="BU23" s="221"/>
      <c r="BV23" s="221"/>
      <c r="BW23" s="221"/>
      <c r="BX23" s="221"/>
      <c r="BY23" s="221"/>
    </row>
    <row r="24" spans="1:77" ht="22.5" customHeight="1" thickTop="1" x14ac:dyDescent="0.2">
      <c r="A24" s="221"/>
      <c r="B24" s="221"/>
      <c r="C24" s="221"/>
      <c r="D24" s="221"/>
      <c r="E24" s="221"/>
      <c r="F24" s="221"/>
      <c r="G24" s="221"/>
      <c r="H24" s="511"/>
      <c r="I24" s="511"/>
      <c r="J24" s="511"/>
      <c r="K24" s="226"/>
      <c r="L24" s="231"/>
      <c r="M24" s="231"/>
      <c r="N24" s="231"/>
      <c r="O24" s="231"/>
      <c r="P24" s="231"/>
      <c r="Q24" s="227"/>
      <c r="R24" s="511"/>
      <c r="S24" s="511"/>
      <c r="T24" s="51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511"/>
      <c r="AH24" s="511"/>
      <c r="AI24" s="511"/>
      <c r="AJ24" s="221"/>
      <c r="AK24" s="221"/>
      <c r="AL24" s="511"/>
      <c r="AM24" s="511"/>
      <c r="AN24" s="511"/>
      <c r="AO24" s="221"/>
      <c r="AP24" s="221"/>
      <c r="AQ24" s="511"/>
      <c r="AR24" s="511"/>
      <c r="AS24" s="51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511"/>
      <c r="BG24" s="511"/>
      <c r="BH24" s="511"/>
      <c r="BI24" s="226"/>
      <c r="BJ24" s="231"/>
      <c r="BK24" s="231"/>
      <c r="BL24" s="231"/>
      <c r="BM24" s="231"/>
      <c r="BN24" s="231"/>
      <c r="BO24" s="227"/>
      <c r="BP24" s="511"/>
      <c r="BQ24" s="511"/>
      <c r="BR24" s="511"/>
      <c r="BS24" s="221"/>
      <c r="BT24" s="221"/>
      <c r="BU24" s="221"/>
      <c r="BV24" s="221"/>
      <c r="BW24" s="221"/>
      <c r="BX24" s="221"/>
      <c r="BY24" s="221"/>
    </row>
    <row r="25" spans="1:77" ht="22.5" customHeight="1" x14ac:dyDescent="0.2">
      <c r="A25" s="221"/>
      <c r="B25" s="221"/>
      <c r="C25" s="221"/>
      <c r="D25" s="221"/>
      <c r="E25" s="221"/>
      <c r="F25" s="221"/>
      <c r="G25" s="221"/>
      <c r="H25" s="234"/>
      <c r="I25" s="234" t="s">
        <v>6646</v>
      </c>
      <c r="J25" s="234"/>
      <c r="K25" s="221"/>
      <c r="L25" s="221"/>
      <c r="M25" s="221"/>
      <c r="N25" s="221"/>
      <c r="O25" s="221"/>
      <c r="P25" s="221"/>
      <c r="Q25" s="221"/>
      <c r="R25" s="234" t="s">
        <v>6649</v>
      </c>
      <c r="S25" s="234" t="s">
        <v>6646</v>
      </c>
      <c r="T25" s="234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34" t="s">
        <v>6657</v>
      </c>
      <c r="AH25" s="234" t="s">
        <v>6646</v>
      </c>
      <c r="AI25" s="234"/>
      <c r="AJ25" s="221"/>
      <c r="AK25" s="221"/>
      <c r="AL25" s="234" t="s">
        <v>6657</v>
      </c>
      <c r="AM25" s="234" t="s">
        <v>6646</v>
      </c>
      <c r="AN25" s="234"/>
      <c r="AO25" s="221"/>
      <c r="AP25" s="221"/>
      <c r="AQ25" s="234" t="s">
        <v>6657</v>
      </c>
      <c r="AR25" s="234" t="s">
        <v>6646</v>
      </c>
      <c r="AS25" s="234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34" t="s">
        <v>6649</v>
      </c>
      <c r="BG25" s="234" t="s">
        <v>6646</v>
      </c>
      <c r="BH25" s="234"/>
      <c r="BI25" s="221"/>
      <c r="BJ25" s="221"/>
      <c r="BK25" s="221"/>
      <c r="BL25" s="221"/>
      <c r="BM25" s="221"/>
      <c r="BN25" s="221"/>
      <c r="BO25" s="221"/>
      <c r="BP25" s="234"/>
      <c r="BQ25" s="234" t="s">
        <v>6646</v>
      </c>
      <c r="BR25" s="234"/>
      <c r="BS25" s="221"/>
      <c r="BT25" s="221"/>
      <c r="BU25" s="221"/>
      <c r="BV25" s="221"/>
      <c r="BW25" s="221"/>
      <c r="BX25" s="221"/>
      <c r="BY25" s="221"/>
    </row>
    <row r="26" spans="1:77" ht="22.5" customHeight="1" x14ac:dyDescent="0.2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4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4"/>
      <c r="AK26" s="221"/>
      <c r="AL26" s="221"/>
      <c r="AM26" s="221"/>
      <c r="AN26" s="221"/>
      <c r="AO26" s="221"/>
      <c r="AP26" s="222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2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</row>
    <row r="27" spans="1:77" ht="22.5" customHeight="1" x14ac:dyDescent="0.2">
      <c r="A27" s="221"/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4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4"/>
      <c r="AL27" s="221"/>
      <c r="AM27" s="221"/>
      <c r="AN27" s="221"/>
      <c r="AO27" s="222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2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221"/>
    </row>
    <row r="28" spans="1:77" ht="22.5" customHeight="1" thickBot="1" x14ac:dyDescent="0.25">
      <c r="A28" s="221"/>
      <c r="B28" s="221"/>
      <c r="C28" s="221"/>
      <c r="D28" s="221"/>
      <c r="E28" s="221"/>
      <c r="F28" s="221"/>
      <c r="G28" s="221"/>
      <c r="H28" s="511" t="s">
        <v>6653</v>
      </c>
      <c r="I28" s="511"/>
      <c r="J28" s="511"/>
      <c r="K28" s="221"/>
      <c r="L28" s="221"/>
      <c r="M28" s="511" t="s">
        <v>6651</v>
      </c>
      <c r="N28" s="511"/>
      <c r="O28" s="511"/>
      <c r="P28" s="221"/>
      <c r="Q28" s="221"/>
      <c r="R28" s="221"/>
      <c r="S28" s="221"/>
      <c r="T28" s="221"/>
      <c r="U28" s="221"/>
      <c r="V28" s="221"/>
      <c r="W28" s="511" t="s">
        <v>6698</v>
      </c>
      <c r="X28" s="511"/>
      <c r="Y28" s="51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511" t="s">
        <v>3193</v>
      </c>
      <c r="AM28" s="511"/>
      <c r="AN28" s="511"/>
      <c r="AO28" s="221"/>
      <c r="AP28" s="221"/>
      <c r="AQ28" s="511" t="s">
        <v>6683</v>
      </c>
      <c r="AR28" s="511"/>
      <c r="AS28" s="511"/>
      <c r="AT28" s="221"/>
      <c r="AU28" s="221"/>
      <c r="AV28" s="221"/>
      <c r="AW28" s="221"/>
      <c r="AX28" s="221"/>
      <c r="AY28" s="221"/>
      <c r="AZ28" s="221"/>
      <c r="BA28" s="511" t="s">
        <v>6680</v>
      </c>
      <c r="BB28" s="511"/>
      <c r="BC28" s="511"/>
      <c r="BD28" s="221"/>
      <c r="BE28" s="221"/>
      <c r="BF28" s="221"/>
      <c r="BG28" s="221"/>
      <c r="BH28" s="221"/>
      <c r="BI28" s="221"/>
      <c r="BJ28" s="221"/>
      <c r="BK28" s="511" t="s">
        <v>6673</v>
      </c>
      <c r="BL28" s="511"/>
      <c r="BM28" s="511"/>
      <c r="BN28" s="221"/>
      <c r="BO28" s="221"/>
      <c r="BP28" s="511" t="s">
        <v>6674</v>
      </c>
      <c r="BQ28" s="511"/>
      <c r="BR28" s="511"/>
      <c r="BS28" s="221"/>
      <c r="BT28" s="221"/>
      <c r="BU28" s="221"/>
      <c r="BV28" s="221"/>
      <c r="BW28" s="221"/>
      <c r="BX28" s="221"/>
      <c r="BY28" s="221"/>
    </row>
    <row r="29" spans="1:77" ht="22.5" customHeight="1" thickTop="1" x14ac:dyDescent="0.2">
      <c r="A29" s="221"/>
      <c r="B29" s="221"/>
      <c r="C29" s="221"/>
      <c r="D29" s="221"/>
      <c r="E29" s="221"/>
      <c r="F29" s="221"/>
      <c r="G29" s="221"/>
      <c r="H29" s="511"/>
      <c r="I29" s="511"/>
      <c r="J29" s="511"/>
      <c r="K29" s="231"/>
      <c r="L29" s="231"/>
      <c r="M29" s="511"/>
      <c r="N29" s="511"/>
      <c r="O29" s="511"/>
      <c r="P29" s="226"/>
      <c r="Q29" s="231"/>
      <c r="R29" s="231"/>
      <c r="S29" s="231"/>
      <c r="T29" s="231"/>
      <c r="U29" s="231"/>
      <c r="V29" s="227"/>
      <c r="W29" s="511"/>
      <c r="X29" s="511"/>
      <c r="Y29" s="51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511"/>
      <c r="AM29" s="511"/>
      <c r="AN29" s="511"/>
      <c r="AO29" s="221"/>
      <c r="AP29" s="221"/>
      <c r="AQ29" s="511"/>
      <c r="AR29" s="511"/>
      <c r="AS29" s="511"/>
      <c r="AT29" s="221"/>
      <c r="AU29" s="221"/>
      <c r="AV29" s="221"/>
      <c r="AW29" s="221"/>
      <c r="AX29" s="221"/>
      <c r="AY29" s="221"/>
      <c r="AZ29" s="221"/>
      <c r="BA29" s="511"/>
      <c r="BB29" s="511"/>
      <c r="BC29" s="511"/>
      <c r="BD29" s="226"/>
      <c r="BE29" s="231"/>
      <c r="BF29" s="231"/>
      <c r="BG29" s="231"/>
      <c r="BH29" s="231"/>
      <c r="BI29" s="231"/>
      <c r="BJ29" s="227"/>
      <c r="BK29" s="511"/>
      <c r="BL29" s="511"/>
      <c r="BM29" s="511"/>
      <c r="BN29" s="226"/>
      <c r="BO29" s="227"/>
      <c r="BP29" s="511"/>
      <c r="BQ29" s="511"/>
      <c r="BR29" s="511"/>
      <c r="BS29" s="221"/>
      <c r="BT29" s="221"/>
      <c r="BU29" s="221"/>
      <c r="BV29" s="221"/>
      <c r="BW29" s="221"/>
      <c r="BX29" s="221"/>
      <c r="BY29" s="221"/>
    </row>
    <row r="30" spans="1:77" ht="22.5" customHeight="1" x14ac:dyDescent="0.2">
      <c r="A30" s="221"/>
      <c r="B30" s="221"/>
      <c r="C30" s="221"/>
      <c r="D30" s="221"/>
      <c r="E30" s="221"/>
      <c r="F30" s="221"/>
      <c r="G30" s="221"/>
      <c r="H30" s="234"/>
      <c r="I30" s="234" t="s">
        <v>6646</v>
      </c>
      <c r="J30" s="234"/>
      <c r="K30" s="221"/>
      <c r="L30" s="221"/>
      <c r="M30" s="234" t="s">
        <v>6652</v>
      </c>
      <c r="N30" s="234" t="s">
        <v>6646</v>
      </c>
      <c r="O30" s="234"/>
      <c r="P30" s="221"/>
      <c r="Q30" s="221"/>
      <c r="R30" s="221"/>
      <c r="S30" s="221"/>
      <c r="T30" s="221"/>
      <c r="U30" s="221"/>
      <c r="V30" s="221"/>
      <c r="W30" s="234" t="s">
        <v>6657</v>
      </c>
      <c r="X30" s="234" t="s">
        <v>6646</v>
      </c>
      <c r="Y30" s="234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34" t="s">
        <v>6660</v>
      </c>
      <c r="AM30" s="234" t="s">
        <v>6646</v>
      </c>
      <c r="AN30" s="234"/>
      <c r="AO30" s="221"/>
      <c r="AP30" s="221"/>
      <c r="AQ30" s="234" t="s">
        <v>6663</v>
      </c>
      <c r="AR30" s="234" t="s">
        <v>6646</v>
      </c>
      <c r="AS30" s="234"/>
      <c r="AT30" s="221"/>
      <c r="AU30" s="221"/>
      <c r="AV30" s="221"/>
      <c r="AW30" s="221"/>
      <c r="AX30" s="221"/>
      <c r="AY30" s="221"/>
      <c r="AZ30" s="221"/>
      <c r="BA30" s="234" t="s">
        <v>6660</v>
      </c>
      <c r="BB30" s="234" t="s">
        <v>6646</v>
      </c>
      <c r="BC30" s="234"/>
      <c r="BD30" s="221"/>
      <c r="BE30" s="221"/>
      <c r="BF30" s="221"/>
      <c r="BG30" s="221"/>
      <c r="BH30" s="221"/>
      <c r="BI30" s="221"/>
      <c r="BJ30" s="221"/>
      <c r="BK30" s="234" t="s">
        <v>6652</v>
      </c>
      <c r="BL30" s="234" t="s">
        <v>6646</v>
      </c>
      <c r="BM30" s="234"/>
      <c r="BN30" s="221"/>
      <c r="BO30" s="221"/>
      <c r="BP30" s="234"/>
      <c r="BQ30" s="234" t="s">
        <v>6646</v>
      </c>
      <c r="BR30" s="234"/>
      <c r="BS30" s="221"/>
      <c r="BT30" s="221"/>
      <c r="BU30" s="221"/>
      <c r="BV30" s="221"/>
      <c r="BW30" s="221"/>
      <c r="BX30" s="221"/>
      <c r="BY30" s="221"/>
    </row>
    <row r="31" spans="1:77" ht="22.5" customHeight="1" x14ac:dyDescent="0.2">
      <c r="A31" s="221"/>
      <c r="B31" s="221"/>
      <c r="C31" s="221"/>
      <c r="D31" s="221"/>
      <c r="E31" s="221"/>
      <c r="F31" s="221"/>
      <c r="G31" s="222"/>
      <c r="H31" s="221"/>
      <c r="I31" s="232"/>
      <c r="J31" s="221"/>
      <c r="K31" s="221"/>
      <c r="L31" s="222"/>
      <c r="M31" s="221"/>
      <c r="N31" s="221"/>
      <c r="O31" s="221"/>
      <c r="P31" s="224"/>
      <c r="Q31" s="221"/>
      <c r="R31" s="221"/>
      <c r="S31" s="221"/>
      <c r="T31" s="221"/>
      <c r="U31" s="221"/>
      <c r="V31" s="221"/>
      <c r="W31" s="221"/>
      <c r="X31" s="221"/>
      <c r="Y31" s="221"/>
      <c r="Z31" s="224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2"/>
      <c r="AL31" s="221"/>
      <c r="AM31" s="221"/>
      <c r="AN31" s="221"/>
      <c r="AO31" s="221"/>
      <c r="AP31" s="221"/>
      <c r="AQ31" s="221"/>
      <c r="AR31" s="221"/>
      <c r="AS31" s="221"/>
      <c r="AT31" s="224"/>
      <c r="AU31" s="221"/>
      <c r="AV31" s="221"/>
      <c r="AW31" s="221"/>
      <c r="AX31" s="221"/>
      <c r="AY31" s="221"/>
      <c r="AZ31" s="222"/>
      <c r="BA31" s="221"/>
      <c r="BB31" s="221"/>
      <c r="BC31" s="221"/>
      <c r="BD31" s="221"/>
      <c r="BE31" s="221"/>
      <c r="BF31" s="221"/>
      <c r="BG31" s="221"/>
      <c r="BH31" s="221"/>
      <c r="BI31" s="221"/>
      <c r="BJ31" s="222"/>
      <c r="BK31" s="221"/>
      <c r="BL31" s="221"/>
      <c r="BM31" s="221"/>
      <c r="BN31" s="224"/>
      <c r="BO31" s="221"/>
      <c r="BP31" s="221"/>
      <c r="BQ31" s="223"/>
      <c r="BR31" s="221"/>
      <c r="BS31" s="224"/>
      <c r="BT31" s="221"/>
      <c r="BU31" s="221"/>
      <c r="BV31" s="221"/>
      <c r="BW31" s="221"/>
      <c r="BX31" s="221"/>
      <c r="BY31" s="221"/>
    </row>
    <row r="32" spans="1:77" ht="22.5" customHeight="1" x14ac:dyDescent="0.2">
      <c r="A32" s="221"/>
      <c r="B32" s="221"/>
      <c r="C32" s="221"/>
      <c r="D32" s="221"/>
      <c r="E32" s="221"/>
      <c r="F32" s="222"/>
      <c r="G32" s="221"/>
      <c r="H32" s="221"/>
      <c r="I32" s="232"/>
      <c r="J32" s="221"/>
      <c r="K32" s="222"/>
      <c r="L32" s="221"/>
      <c r="M32" s="221"/>
      <c r="N32" s="221"/>
      <c r="O32" s="221"/>
      <c r="P32" s="221"/>
      <c r="Q32" s="224"/>
      <c r="R32" s="221"/>
      <c r="S32" s="221"/>
      <c r="T32" s="221"/>
      <c r="U32" s="221"/>
      <c r="V32" s="221"/>
      <c r="W32" s="221"/>
      <c r="X32" s="221"/>
      <c r="Y32" s="221"/>
      <c r="Z32" s="221"/>
      <c r="AA32" s="224"/>
      <c r="AB32" s="221"/>
      <c r="AC32" s="221"/>
      <c r="AD32" s="221"/>
      <c r="AE32" s="221"/>
      <c r="AF32" s="221"/>
      <c r="AG32" s="221"/>
      <c r="AH32" s="221"/>
      <c r="AI32" s="221"/>
      <c r="AJ32" s="222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4"/>
      <c r="AV32" s="221"/>
      <c r="AW32" s="221"/>
      <c r="AX32" s="221"/>
      <c r="AY32" s="222"/>
      <c r="AZ32" s="221"/>
      <c r="BA32" s="221"/>
      <c r="BB32" s="221"/>
      <c r="BC32" s="221"/>
      <c r="BD32" s="221"/>
      <c r="BE32" s="221"/>
      <c r="BF32" s="221"/>
      <c r="BG32" s="221"/>
      <c r="BH32" s="221"/>
      <c r="BI32" s="222"/>
      <c r="BJ32" s="221"/>
      <c r="BK32" s="221"/>
      <c r="BL32" s="221"/>
      <c r="BM32" s="221"/>
      <c r="BN32" s="221"/>
      <c r="BO32" s="224"/>
      <c r="BP32" s="221"/>
      <c r="BQ32" s="225"/>
      <c r="BR32" s="221"/>
      <c r="BS32" s="221"/>
      <c r="BT32" s="224"/>
      <c r="BU32" s="221"/>
      <c r="BV32" s="221"/>
      <c r="BW32" s="221"/>
      <c r="BX32" s="221"/>
      <c r="BY32" s="221"/>
    </row>
    <row r="33" spans="1:77" ht="22.5" customHeight="1" thickBot="1" x14ac:dyDescent="0.25">
      <c r="A33" s="221"/>
      <c r="B33" s="221"/>
      <c r="C33" s="511" t="s">
        <v>6654</v>
      </c>
      <c r="D33" s="511"/>
      <c r="E33" s="511"/>
      <c r="F33" s="221"/>
      <c r="G33" s="221"/>
      <c r="H33" s="511" t="s">
        <v>6655</v>
      </c>
      <c r="I33" s="511"/>
      <c r="J33" s="511"/>
      <c r="K33" s="221"/>
      <c r="L33" s="221"/>
      <c r="M33" s="221"/>
      <c r="N33" s="221"/>
      <c r="O33" s="221"/>
      <c r="P33" s="221"/>
      <c r="Q33" s="221"/>
      <c r="R33" s="511" t="s">
        <v>6654</v>
      </c>
      <c r="S33" s="511"/>
      <c r="T33" s="511"/>
      <c r="U33" s="221"/>
      <c r="V33" s="221"/>
      <c r="W33" s="511" t="s">
        <v>6656</v>
      </c>
      <c r="X33" s="511"/>
      <c r="Y33" s="511"/>
      <c r="Z33" s="221"/>
      <c r="AA33" s="221"/>
      <c r="AB33" s="511" t="s">
        <v>6659</v>
      </c>
      <c r="AC33" s="511"/>
      <c r="AD33" s="511"/>
      <c r="AE33" s="221"/>
      <c r="AF33" s="221"/>
      <c r="AG33" s="511" t="s">
        <v>6670</v>
      </c>
      <c r="AH33" s="511"/>
      <c r="AI33" s="511"/>
      <c r="AJ33" s="221"/>
      <c r="AK33" s="221"/>
      <c r="AL33" s="221"/>
      <c r="AM33" s="221"/>
      <c r="AN33" s="221"/>
      <c r="AO33" s="221"/>
      <c r="AP33" s="221"/>
      <c r="AQ33" s="511" t="s">
        <v>6690</v>
      </c>
      <c r="AR33" s="511"/>
      <c r="AS33" s="511"/>
      <c r="AT33" s="221"/>
      <c r="AU33" s="221"/>
      <c r="AV33" s="511" t="s">
        <v>6682</v>
      </c>
      <c r="AW33" s="511"/>
      <c r="AX33" s="511"/>
      <c r="AY33" s="221"/>
      <c r="AZ33" s="221"/>
      <c r="BA33" s="511" t="s">
        <v>6678</v>
      </c>
      <c r="BB33" s="511"/>
      <c r="BC33" s="511"/>
      <c r="BD33" s="221"/>
      <c r="BE33" s="221"/>
      <c r="BF33" s="511" t="s">
        <v>6677</v>
      </c>
      <c r="BG33" s="511"/>
      <c r="BH33" s="511"/>
      <c r="BI33" s="221"/>
      <c r="BJ33" s="221"/>
      <c r="BK33" s="221"/>
      <c r="BL33" s="221"/>
      <c r="BM33" s="221"/>
      <c r="BN33" s="221"/>
      <c r="BO33" s="221"/>
      <c r="BP33" s="511" t="s">
        <v>6672</v>
      </c>
      <c r="BQ33" s="511"/>
      <c r="BR33" s="511"/>
      <c r="BS33" s="221"/>
      <c r="BT33" s="221"/>
      <c r="BU33" s="511" t="s">
        <v>6675</v>
      </c>
      <c r="BV33" s="511"/>
      <c r="BW33" s="511"/>
      <c r="BX33" s="221"/>
      <c r="BY33" s="221"/>
    </row>
    <row r="34" spans="1:77" ht="22.5" customHeight="1" thickTop="1" x14ac:dyDescent="0.2">
      <c r="A34" s="221"/>
      <c r="B34" s="221"/>
      <c r="C34" s="511"/>
      <c r="D34" s="511"/>
      <c r="E34" s="511"/>
      <c r="F34" s="226"/>
      <c r="G34" s="227"/>
      <c r="H34" s="511"/>
      <c r="I34" s="511"/>
      <c r="J34" s="511"/>
      <c r="K34" s="221"/>
      <c r="L34" s="221"/>
      <c r="M34" s="221"/>
      <c r="N34" s="221"/>
      <c r="O34" s="221"/>
      <c r="P34" s="221"/>
      <c r="Q34" s="221"/>
      <c r="R34" s="511"/>
      <c r="S34" s="511"/>
      <c r="T34" s="511"/>
      <c r="U34" s="231"/>
      <c r="V34" s="231"/>
      <c r="W34" s="511"/>
      <c r="X34" s="511"/>
      <c r="Y34" s="511"/>
      <c r="Z34" s="221"/>
      <c r="AA34" s="221"/>
      <c r="AB34" s="511"/>
      <c r="AC34" s="511"/>
      <c r="AD34" s="511"/>
      <c r="AE34" s="221"/>
      <c r="AF34" s="221"/>
      <c r="AG34" s="511"/>
      <c r="AH34" s="511"/>
      <c r="AI34" s="511"/>
      <c r="AJ34" s="221"/>
      <c r="AK34" s="221"/>
      <c r="AL34" s="221"/>
      <c r="AM34" s="221"/>
      <c r="AN34" s="221"/>
      <c r="AO34" s="221"/>
      <c r="AP34" s="221"/>
      <c r="AQ34" s="511"/>
      <c r="AR34" s="511"/>
      <c r="AS34" s="511"/>
      <c r="AT34" s="221"/>
      <c r="AU34" s="221"/>
      <c r="AV34" s="511"/>
      <c r="AW34" s="511"/>
      <c r="AX34" s="511"/>
      <c r="AY34" s="221"/>
      <c r="AZ34" s="221"/>
      <c r="BA34" s="511"/>
      <c r="BB34" s="511"/>
      <c r="BC34" s="511"/>
      <c r="BD34" s="226"/>
      <c r="BE34" s="227"/>
      <c r="BF34" s="511"/>
      <c r="BG34" s="511"/>
      <c r="BH34" s="511"/>
      <c r="BI34" s="221"/>
      <c r="BJ34" s="221"/>
      <c r="BK34" s="221"/>
      <c r="BL34" s="221"/>
      <c r="BM34" s="221"/>
      <c r="BN34" s="221"/>
      <c r="BO34" s="221"/>
      <c r="BP34" s="511"/>
      <c r="BQ34" s="511"/>
      <c r="BR34" s="511"/>
      <c r="BS34" s="226"/>
      <c r="BT34" s="227"/>
      <c r="BU34" s="511"/>
      <c r="BV34" s="511"/>
      <c r="BW34" s="511"/>
      <c r="BX34" s="221"/>
      <c r="BY34" s="221"/>
    </row>
    <row r="35" spans="1:77" ht="22.5" customHeight="1" x14ac:dyDescent="0.2">
      <c r="A35" s="221"/>
      <c r="B35" s="221"/>
      <c r="C35" s="234"/>
      <c r="D35" s="234" t="s">
        <v>6646</v>
      </c>
      <c r="E35" s="234"/>
      <c r="F35" s="221"/>
      <c r="G35" s="221"/>
      <c r="H35" s="234"/>
      <c r="I35" s="234" t="s">
        <v>6646</v>
      </c>
      <c r="J35" s="234"/>
      <c r="K35" s="221"/>
      <c r="L35" s="221"/>
      <c r="M35" s="221"/>
      <c r="N35" s="221"/>
      <c r="O35" s="221"/>
      <c r="P35" s="221"/>
      <c r="Q35" s="221"/>
      <c r="R35" s="234" t="s">
        <v>6652</v>
      </c>
      <c r="S35" s="234" t="s">
        <v>6646</v>
      </c>
      <c r="T35" s="234"/>
      <c r="U35" s="221"/>
      <c r="V35" s="221"/>
      <c r="W35" s="234" t="s">
        <v>6657</v>
      </c>
      <c r="X35" s="234" t="s">
        <v>6646</v>
      </c>
      <c r="Y35" s="234"/>
      <c r="Z35" s="221"/>
      <c r="AA35" s="221"/>
      <c r="AB35" s="234" t="s">
        <v>6660</v>
      </c>
      <c r="AC35" s="234" t="s">
        <v>6646</v>
      </c>
      <c r="AD35" s="234"/>
      <c r="AE35" s="221"/>
      <c r="AF35" s="221"/>
      <c r="AG35" s="234" t="s">
        <v>6663</v>
      </c>
      <c r="AH35" s="234" t="s">
        <v>6646</v>
      </c>
      <c r="AI35" s="234"/>
      <c r="AJ35" s="221"/>
      <c r="AK35" s="221"/>
      <c r="AL35" s="221"/>
      <c r="AM35" s="221"/>
      <c r="AN35" s="221"/>
      <c r="AO35" s="221"/>
      <c r="AP35" s="221"/>
      <c r="AQ35" s="234" t="s">
        <v>6663</v>
      </c>
      <c r="AR35" s="234" t="s">
        <v>6646</v>
      </c>
      <c r="AS35" s="234"/>
      <c r="AT35" s="221"/>
      <c r="AU35" s="221"/>
      <c r="AV35" s="234" t="s">
        <v>6661</v>
      </c>
      <c r="AW35" s="234" t="s">
        <v>6646</v>
      </c>
      <c r="AX35" s="234"/>
      <c r="AY35" s="221"/>
      <c r="AZ35" s="221"/>
      <c r="BA35" s="234" t="s">
        <v>6679</v>
      </c>
      <c r="BB35" s="234" t="s">
        <v>6646</v>
      </c>
      <c r="BC35" s="234"/>
      <c r="BD35" s="221"/>
      <c r="BE35" s="221"/>
      <c r="BF35" s="234" t="s">
        <v>6647</v>
      </c>
      <c r="BG35" s="234" t="s">
        <v>6646</v>
      </c>
      <c r="BH35" s="234"/>
      <c r="BI35" s="221"/>
      <c r="BJ35" s="221"/>
      <c r="BK35" s="221"/>
      <c r="BL35" s="221"/>
      <c r="BM35" s="221"/>
      <c r="BN35" s="221"/>
      <c r="BO35" s="221"/>
      <c r="BP35" s="234"/>
      <c r="BQ35" s="234" t="s">
        <v>6646</v>
      </c>
      <c r="BR35" s="234"/>
      <c r="BS35" s="221"/>
      <c r="BT35" s="221"/>
      <c r="BU35" s="234"/>
      <c r="BV35" s="234" t="s">
        <v>6646</v>
      </c>
      <c r="BW35" s="234"/>
      <c r="BX35" s="221"/>
      <c r="BY35" s="221"/>
    </row>
    <row r="36" spans="1:77" ht="22.5" customHeight="1" x14ac:dyDescent="0.2">
      <c r="A36" s="221"/>
      <c r="B36" s="221"/>
      <c r="C36" s="221"/>
      <c r="D36" s="221"/>
      <c r="E36" s="221"/>
      <c r="F36" s="224"/>
      <c r="G36" s="221"/>
      <c r="H36" s="221"/>
      <c r="I36" s="232"/>
      <c r="J36" s="221"/>
      <c r="K36" s="224"/>
      <c r="L36" s="221"/>
      <c r="M36" s="221"/>
      <c r="N36" s="221"/>
      <c r="O36" s="221"/>
      <c r="P36" s="221"/>
      <c r="Q36" s="222"/>
      <c r="R36" s="221"/>
      <c r="S36" s="221"/>
      <c r="T36" s="221"/>
      <c r="U36" s="221"/>
      <c r="V36" s="221"/>
      <c r="W36" s="221"/>
      <c r="X36" s="221"/>
      <c r="Y36" s="221"/>
      <c r="Z36" s="221"/>
      <c r="AA36" s="222"/>
      <c r="AB36" s="221"/>
      <c r="AC36" s="221"/>
      <c r="AD36" s="221"/>
      <c r="AE36" s="224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2"/>
      <c r="AQ36" s="221"/>
      <c r="AR36" s="221"/>
      <c r="AS36" s="221"/>
      <c r="AT36" s="221"/>
      <c r="AU36" s="221"/>
      <c r="AV36" s="221"/>
      <c r="AW36" s="221"/>
      <c r="AX36" s="221"/>
      <c r="AY36" s="224"/>
      <c r="AZ36" s="221"/>
      <c r="BA36" s="221"/>
      <c r="BB36" s="221"/>
      <c r="BC36" s="221"/>
      <c r="BD36" s="221"/>
      <c r="BE36" s="221"/>
      <c r="BF36" s="221"/>
      <c r="BG36" s="221"/>
      <c r="BH36" s="221"/>
      <c r="BI36" s="224"/>
      <c r="BJ36" s="221"/>
      <c r="BK36" s="221"/>
      <c r="BL36" s="221"/>
      <c r="BM36" s="221"/>
      <c r="BN36" s="221"/>
      <c r="BO36" s="222"/>
      <c r="BP36" s="221"/>
      <c r="BQ36" s="223"/>
      <c r="BR36" s="221"/>
      <c r="BS36" s="221"/>
      <c r="BT36" s="222"/>
      <c r="BU36" s="221"/>
      <c r="BV36" s="221"/>
      <c r="BW36" s="221"/>
      <c r="BX36" s="221"/>
      <c r="BY36" s="221"/>
    </row>
    <row r="37" spans="1:77" ht="22.5" customHeight="1" x14ac:dyDescent="0.2">
      <c r="A37" s="221"/>
      <c r="B37" s="221"/>
      <c r="C37" s="221"/>
      <c r="D37" s="221"/>
      <c r="E37" s="221"/>
      <c r="F37" s="221"/>
      <c r="G37" s="224"/>
      <c r="H37" s="221"/>
      <c r="I37" s="232"/>
      <c r="J37" s="221"/>
      <c r="K37" s="221"/>
      <c r="L37" s="224"/>
      <c r="M37" s="221"/>
      <c r="N37" s="221"/>
      <c r="O37" s="221"/>
      <c r="P37" s="222"/>
      <c r="Q37" s="221"/>
      <c r="R37" s="221"/>
      <c r="S37" s="221"/>
      <c r="T37" s="221"/>
      <c r="U37" s="221"/>
      <c r="V37" s="221"/>
      <c r="W37" s="221"/>
      <c r="X37" s="221"/>
      <c r="Y37" s="221"/>
      <c r="Z37" s="222"/>
      <c r="AA37" s="221"/>
      <c r="AB37" s="221"/>
      <c r="AC37" s="221"/>
      <c r="AD37" s="221"/>
      <c r="AE37" s="221"/>
      <c r="AF37" s="224"/>
      <c r="AG37" s="221"/>
      <c r="AH37" s="221"/>
      <c r="AI37" s="221"/>
      <c r="AJ37" s="221"/>
      <c r="AK37" s="221"/>
      <c r="AL37" s="221"/>
      <c r="AM37" s="221"/>
      <c r="AN37" s="221"/>
      <c r="AO37" s="222"/>
      <c r="AP37" s="221"/>
      <c r="AQ37" s="221"/>
      <c r="AR37" s="221"/>
      <c r="AS37" s="221"/>
      <c r="AT37" s="221"/>
      <c r="AU37" s="221"/>
      <c r="AV37" s="221"/>
      <c r="AW37" s="221"/>
      <c r="AX37" s="221"/>
      <c r="AY37" s="221"/>
      <c r="AZ37" s="224"/>
      <c r="BA37" s="221"/>
      <c r="BB37" s="221"/>
      <c r="BC37" s="221"/>
      <c r="BD37" s="221"/>
      <c r="BE37" s="221"/>
      <c r="BF37" s="221"/>
      <c r="BG37" s="221"/>
      <c r="BH37" s="221"/>
      <c r="BI37" s="221"/>
      <c r="BJ37" s="224"/>
      <c r="BK37" s="221"/>
      <c r="BL37" s="221"/>
      <c r="BM37" s="221"/>
      <c r="BN37" s="222"/>
      <c r="BO37" s="221"/>
      <c r="BP37" s="221"/>
      <c r="BQ37" s="225"/>
      <c r="BR37" s="221"/>
      <c r="BS37" s="222"/>
      <c r="BT37" s="221"/>
      <c r="BU37" s="221"/>
      <c r="BV37" s="221"/>
      <c r="BW37" s="221"/>
      <c r="BX37" s="221"/>
      <c r="BY37" s="221"/>
    </row>
    <row r="38" spans="1:77" ht="22.5" customHeight="1" thickBot="1" x14ac:dyDescent="0.25">
      <c r="A38" s="221"/>
      <c r="B38" s="221"/>
      <c r="C38" s="221"/>
      <c r="D38" s="221"/>
      <c r="E38" s="221"/>
      <c r="F38" s="221"/>
      <c r="G38" s="221"/>
      <c r="H38" s="511" t="s">
        <v>6648</v>
      </c>
      <c r="I38" s="511"/>
      <c r="J38" s="511"/>
      <c r="K38" s="221"/>
      <c r="L38" s="221"/>
      <c r="M38" s="511" t="s">
        <v>6658</v>
      </c>
      <c r="N38" s="511"/>
      <c r="O38" s="511"/>
      <c r="P38" s="221"/>
      <c r="Q38" s="221"/>
      <c r="R38" s="221"/>
      <c r="S38" s="221"/>
      <c r="T38" s="221"/>
      <c r="U38" s="221"/>
      <c r="V38" s="221"/>
      <c r="W38" s="511" t="s">
        <v>6656</v>
      </c>
      <c r="X38" s="511"/>
      <c r="Y38" s="511"/>
      <c r="Z38" s="221"/>
      <c r="AA38" s="221"/>
      <c r="AB38" s="221"/>
      <c r="AC38" s="221"/>
      <c r="AD38" s="221"/>
      <c r="AE38" s="221"/>
      <c r="AF38" s="221"/>
      <c r="AG38" s="511" t="s">
        <v>6662</v>
      </c>
      <c r="AH38" s="511"/>
      <c r="AI38" s="511"/>
      <c r="AJ38" s="221"/>
      <c r="AK38" s="221"/>
      <c r="AL38" s="511" t="s">
        <v>6689</v>
      </c>
      <c r="AM38" s="511"/>
      <c r="AN38" s="51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33"/>
      <c r="BA38" s="511" t="s">
        <v>6681</v>
      </c>
      <c r="BB38" s="511"/>
      <c r="BC38" s="511"/>
      <c r="BD38" s="221"/>
      <c r="BE38" s="221"/>
      <c r="BF38" s="221"/>
      <c r="BG38" s="221"/>
      <c r="BH38" s="221"/>
      <c r="BI38" s="221"/>
      <c r="BJ38" s="221"/>
      <c r="BK38" s="511" t="s">
        <v>6676</v>
      </c>
      <c r="BL38" s="511"/>
      <c r="BM38" s="511"/>
      <c r="BN38" s="221"/>
      <c r="BO38" s="221"/>
      <c r="BP38" s="511" t="s">
        <v>6674</v>
      </c>
      <c r="BQ38" s="511"/>
      <c r="BR38" s="511"/>
      <c r="BS38" s="221"/>
      <c r="BT38" s="221"/>
      <c r="BU38" s="221"/>
      <c r="BV38" s="221"/>
      <c r="BW38" s="221"/>
      <c r="BX38" s="221"/>
      <c r="BY38" s="221"/>
    </row>
    <row r="39" spans="1:77" ht="22.5" customHeight="1" thickTop="1" x14ac:dyDescent="0.2">
      <c r="A39" s="221"/>
      <c r="B39" s="221"/>
      <c r="C39" s="221"/>
      <c r="D39" s="221"/>
      <c r="E39" s="221"/>
      <c r="F39" s="221"/>
      <c r="G39" s="221"/>
      <c r="H39" s="511"/>
      <c r="I39" s="511"/>
      <c r="J39" s="511"/>
      <c r="K39" s="231"/>
      <c r="L39" s="231"/>
      <c r="M39" s="511"/>
      <c r="N39" s="511"/>
      <c r="O39" s="511"/>
      <c r="P39" s="226"/>
      <c r="Q39" s="231"/>
      <c r="R39" s="231"/>
      <c r="S39" s="231"/>
      <c r="T39" s="231"/>
      <c r="U39" s="231"/>
      <c r="V39" s="227"/>
      <c r="W39" s="511"/>
      <c r="X39" s="511"/>
      <c r="Y39" s="511"/>
      <c r="Z39" s="221"/>
      <c r="AA39" s="221"/>
      <c r="AB39" s="221"/>
      <c r="AC39" s="221"/>
      <c r="AD39" s="221"/>
      <c r="AE39" s="221"/>
      <c r="AF39" s="221"/>
      <c r="AG39" s="511"/>
      <c r="AH39" s="511"/>
      <c r="AI39" s="511"/>
      <c r="AJ39" s="221"/>
      <c r="AK39" s="221"/>
      <c r="AL39" s="511"/>
      <c r="AM39" s="511"/>
      <c r="AN39" s="511"/>
      <c r="AO39" s="221"/>
      <c r="AP39" s="221"/>
      <c r="AQ39" s="221"/>
      <c r="AR39" s="221"/>
      <c r="AS39" s="221"/>
      <c r="AT39" s="221"/>
      <c r="AU39" s="221"/>
      <c r="AV39" s="221"/>
      <c r="AW39" s="221"/>
      <c r="AX39" s="221"/>
      <c r="AY39" s="221"/>
      <c r="AZ39" s="221"/>
      <c r="BA39" s="511"/>
      <c r="BB39" s="511"/>
      <c r="BC39" s="511"/>
      <c r="BD39" s="226"/>
      <c r="BE39" s="231"/>
      <c r="BF39" s="231"/>
      <c r="BG39" s="231"/>
      <c r="BH39" s="231"/>
      <c r="BI39" s="231"/>
      <c r="BJ39" s="227"/>
      <c r="BK39" s="511"/>
      <c r="BL39" s="511"/>
      <c r="BM39" s="511"/>
      <c r="BN39" s="226"/>
      <c r="BO39" s="227"/>
      <c r="BP39" s="511"/>
      <c r="BQ39" s="511"/>
      <c r="BR39" s="511"/>
      <c r="BS39" s="221"/>
      <c r="BT39" s="221"/>
      <c r="BU39" s="221"/>
      <c r="BV39" s="221"/>
      <c r="BW39" s="221"/>
      <c r="BX39" s="221"/>
      <c r="BY39" s="221"/>
    </row>
    <row r="40" spans="1:77" ht="22.5" customHeight="1" x14ac:dyDescent="0.2">
      <c r="A40" s="221"/>
      <c r="B40" s="221"/>
      <c r="C40" s="221"/>
      <c r="D40" s="221"/>
      <c r="E40" s="221"/>
      <c r="F40" s="221"/>
      <c r="G40" s="221"/>
      <c r="H40" s="234"/>
      <c r="I40" s="234" t="s">
        <v>6646</v>
      </c>
      <c r="J40" s="234"/>
      <c r="K40" s="221"/>
      <c r="L40" s="221"/>
      <c r="M40" s="234" t="s">
        <v>6652</v>
      </c>
      <c r="N40" s="234" t="s">
        <v>6646</v>
      </c>
      <c r="O40" s="234"/>
      <c r="P40" s="221"/>
      <c r="Q40" s="221"/>
      <c r="R40" s="221"/>
      <c r="S40" s="221"/>
      <c r="T40" s="221"/>
      <c r="U40" s="221"/>
      <c r="V40" s="221"/>
      <c r="W40" s="234" t="s">
        <v>6661</v>
      </c>
      <c r="X40" s="234" t="s">
        <v>6646</v>
      </c>
      <c r="Y40" s="234"/>
      <c r="Z40" s="221"/>
      <c r="AA40" s="221"/>
      <c r="AB40" s="221"/>
      <c r="AC40" s="221"/>
      <c r="AD40" s="221"/>
      <c r="AE40" s="221"/>
      <c r="AF40" s="221"/>
      <c r="AG40" s="234" t="s">
        <v>6663</v>
      </c>
      <c r="AH40" s="234" t="s">
        <v>6646</v>
      </c>
      <c r="AI40" s="234"/>
      <c r="AJ40" s="221"/>
      <c r="AK40" s="221"/>
      <c r="AL40" s="234" t="s">
        <v>6661</v>
      </c>
      <c r="AM40" s="234" t="s">
        <v>6646</v>
      </c>
      <c r="AN40" s="234"/>
      <c r="AO40" s="221"/>
      <c r="AP40" s="221"/>
      <c r="AQ40" s="221"/>
      <c r="AR40" s="221"/>
      <c r="AS40" s="221"/>
      <c r="AT40" s="221"/>
      <c r="AU40" s="221"/>
      <c r="AV40" s="221"/>
      <c r="AW40" s="221"/>
      <c r="AX40" s="221"/>
      <c r="AY40" s="221"/>
      <c r="AZ40" s="221"/>
      <c r="BA40" s="234" t="s">
        <v>6679</v>
      </c>
      <c r="BB40" s="234" t="s">
        <v>6646</v>
      </c>
      <c r="BC40" s="234"/>
      <c r="BD40" s="221"/>
      <c r="BE40" s="221"/>
      <c r="BF40" s="221"/>
      <c r="BG40" s="221"/>
      <c r="BH40" s="221"/>
      <c r="BI40" s="221"/>
      <c r="BJ40" s="221"/>
      <c r="BK40" s="234" t="s">
        <v>6649</v>
      </c>
      <c r="BL40" s="234" t="s">
        <v>6646</v>
      </c>
      <c r="BM40" s="234"/>
      <c r="BN40" s="221"/>
      <c r="BO40" s="221"/>
      <c r="BP40" s="234"/>
      <c r="BQ40" s="234" t="s">
        <v>6646</v>
      </c>
      <c r="BR40" s="234"/>
      <c r="BS40" s="221"/>
      <c r="BT40" s="221"/>
      <c r="BU40" s="221"/>
      <c r="BV40" s="221"/>
      <c r="BW40" s="221"/>
      <c r="BX40" s="221"/>
      <c r="BY40" s="221"/>
    </row>
    <row r="41" spans="1:77" ht="22.5" customHeight="1" x14ac:dyDescent="0.2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2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2"/>
      <c r="AL41" s="221"/>
      <c r="AM41" s="221"/>
      <c r="AN41" s="221"/>
      <c r="AO41" s="224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1"/>
      <c r="BJ41" s="221"/>
      <c r="BK41" s="221"/>
      <c r="BL41" s="221"/>
      <c r="BM41" s="221"/>
      <c r="BN41" s="224"/>
      <c r="BO41" s="221"/>
      <c r="BP41" s="221"/>
      <c r="BQ41" s="221"/>
      <c r="BR41" s="221"/>
      <c r="BS41" s="221"/>
      <c r="BT41" s="221"/>
      <c r="BU41" s="221"/>
      <c r="BV41" s="221"/>
      <c r="BW41" s="221"/>
      <c r="BX41" s="221"/>
      <c r="BY41" s="221"/>
    </row>
    <row r="42" spans="1:77" ht="22.5" customHeight="1" x14ac:dyDescent="0.2">
      <c r="A42" s="221"/>
      <c r="B42" s="221"/>
      <c r="C42" s="221"/>
      <c r="D42" s="221"/>
      <c r="E42" s="221"/>
      <c r="F42" s="221"/>
      <c r="G42" s="221"/>
      <c r="H42" s="221"/>
      <c r="I42" s="221"/>
      <c r="J42" s="221"/>
      <c r="K42" s="222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2"/>
      <c r="AK42" s="221"/>
      <c r="AL42" s="221"/>
      <c r="AM42" s="221"/>
      <c r="AN42" s="221"/>
      <c r="AO42" s="221"/>
      <c r="AP42" s="224"/>
      <c r="AQ42" s="221"/>
      <c r="AR42" s="221"/>
      <c r="AS42" s="221"/>
      <c r="AT42" s="221"/>
      <c r="AU42" s="221"/>
      <c r="AV42" s="221"/>
      <c r="AW42" s="221"/>
      <c r="AX42" s="221"/>
      <c r="AY42" s="221"/>
      <c r="AZ42" s="221"/>
      <c r="BA42" s="221"/>
      <c r="BB42" s="221"/>
      <c r="BC42" s="221"/>
      <c r="BD42" s="221"/>
      <c r="BE42" s="221"/>
      <c r="BF42" s="221"/>
      <c r="BG42" s="221"/>
      <c r="BH42" s="221"/>
      <c r="BI42" s="221"/>
      <c r="BJ42" s="221"/>
      <c r="BK42" s="221"/>
      <c r="BL42" s="221"/>
      <c r="BM42" s="221"/>
      <c r="BN42" s="221"/>
      <c r="BO42" s="224"/>
      <c r="BP42" s="221"/>
      <c r="BQ42" s="221"/>
      <c r="BR42" s="221"/>
      <c r="BS42" s="221"/>
      <c r="BT42" s="221"/>
      <c r="BU42" s="221"/>
      <c r="BV42" s="221"/>
      <c r="BW42" s="221"/>
      <c r="BX42" s="221"/>
      <c r="BY42" s="221"/>
    </row>
    <row r="43" spans="1:77" ht="22.5" customHeight="1" thickBot="1" x14ac:dyDescent="0.25">
      <c r="A43" s="221"/>
      <c r="B43" s="221"/>
      <c r="C43" s="221"/>
      <c r="D43" s="221"/>
      <c r="E43" s="221"/>
      <c r="F43" s="221"/>
      <c r="G43" s="221"/>
      <c r="H43" s="511" t="s">
        <v>6664</v>
      </c>
      <c r="I43" s="511"/>
      <c r="J43" s="511"/>
      <c r="K43" s="221"/>
      <c r="L43" s="221"/>
      <c r="M43" s="221"/>
      <c r="N43" s="221"/>
      <c r="O43" s="221"/>
      <c r="P43" s="221"/>
      <c r="Q43" s="221"/>
      <c r="R43" s="511" t="s">
        <v>6648</v>
      </c>
      <c r="S43" s="511"/>
      <c r="T43" s="51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511" t="s">
        <v>6666</v>
      </c>
      <c r="AH43" s="511"/>
      <c r="AI43" s="511"/>
      <c r="AJ43" s="221"/>
      <c r="AK43" s="221"/>
      <c r="AL43" s="511" t="s">
        <v>6688</v>
      </c>
      <c r="AM43" s="511"/>
      <c r="AN43" s="511"/>
      <c r="AO43" s="221"/>
      <c r="AP43" s="221"/>
      <c r="AQ43" s="511" t="s">
        <v>6665</v>
      </c>
      <c r="AR43" s="511"/>
      <c r="AS43" s="51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511" t="s">
        <v>6676</v>
      </c>
      <c r="BG43" s="511"/>
      <c r="BH43" s="511"/>
      <c r="BI43" s="221"/>
      <c r="BJ43" s="221"/>
      <c r="BK43" s="221"/>
      <c r="BL43" s="221"/>
      <c r="BM43" s="221"/>
      <c r="BN43" s="221"/>
      <c r="BO43" s="221"/>
      <c r="BP43" s="511" t="s">
        <v>6673</v>
      </c>
      <c r="BQ43" s="511"/>
      <c r="BR43" s="511"/>
      <c r="BS43" s="221"/>
      <c r="BT43" s="221"/>
      <c r="BU43" s="221"/>
      <c r="BV43" s="221"/>
      <c r="BW43" s="221"/>
      <c r="BX43" s="221"/>
      <c r="BY43" s="221"/>
    </row>
    <row r="44" spans="1:77" ht="22.5" customHeight="1" thickTop="1" x14ac:dyDescent="0.2">
      <c r="A44" s="221"/>
      <c r="B44" s="221"/>
      <c r="C44" s="221"/>
      <c r="D44" s="221"/>
      <c r="E44" s="221"/>
      <c r="F44" s="221"/>
      <c r="G44" s="221"/>
      <c r="H44" s="511"/>
      <c r="I44" s="511"/>
      <c r="J44" s="511"/>
      <c r="K44" s="226"/>
      <c r="L44" s="231"/>
      <c r="M44" s="231"/>
      <c r="N44" s="231"/>
      <c r="O44" s="231"/>
      <c r="P44" s="231"/>
      <c r="Q44" s="227"/>
      <c r="R44" s="511"/>
      <c r="S44" s="511"/>
      <c r="T44" s="51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511"/>
      <c r="AH44" s="511"/>
      <c r="AI44" s="511"/>
      <c r="AJ44" s="221"/>
      <c r="AK44" s="221"/>
      <c r="AL44" s="511"/>
      <c r="AM44" s="511"/>
      <c r="AN44" s="511"/>
      <c r="AO44" s="221"/>
      <c r="AP44" s="221"/>
      <c r="AQ44" s="511"/>
      <c r="AR44" s="511"/>
      <c r="AS44" s="511"/>
      <c r="AT44" s="221"/>
      <c r="AU44" s="221"/>
      <c r="AV44" s="221"/>
      <c r="AW44" s="221"/>
      <c r="AX44" s="221"/>
      <c r="AY44" s="221"/>
      <c r="AZ44" s="221"/>
      <c r="BA44" s="221"/>
      <c r="BB44" s="221"/>
      <c r="BC44" s="221"/>
      <c r="BD44" s="221"/>
      <c r="BE44" s="221"/>
      <c r="BF44" s="511"/>
      <c r="BG44" s="511"/>
      <c r="BH44" s="511"/>
      <c r="BI44" s="226"/>
      <c r="BJ44" s="231"/>
      <c r="BK44" s="231"/>
      <c r="BL44" s="231"/>
      <c r="BM44" s="231"/>
      <c r="BN44" s="231"/>
      <c r="BO44" s="227"/>
      <c r="BP44" s="511"/>
      <c r="BQ44" s="511"/>
      <c r="BR44" s="511"/>
      <c r="BS44" s="221"/>
      <c r="BT44" s="221"/>
      <c r="BU44" s="221"/>
      <c r="BV44" s="221"/>
      <c r="BW44" s="221"/>
      <c r="BX44" s="221"/>
      <c r="BY44" s="221"/>
    </row>
    <row r="45" spans="1:77" ht="22.5" customHeight="1" x14ac:dyDescent="0.2">
      <c r="A45" s="221"/>
      <c r="B45" s="221"/>
      <c r="C45" s="221"/>
      <c r="D45" s="221"/>
      <c r="E45" s="221"/>
      <c r="F45" s="221"/>
      <c r="G45" s="221"/>
      <c r="H45" s="234"/>
      <c r="I45" s="234" t="s">
        <v>6646</v>
      </c>
      <c r="J45" s="234"/>
      <c r="K45" s="221"/>
      <c r="L45" s="221"/>
      <c r="M45" s="221"/>
      <c r="N45" s="221"/>
      <c r="O45" s="221"/>
      <c r="P45" s="221"/>
      <c r="Q45" s="221"/>
      <c r="R45" s="234" t="s">
        <v>6649</v>
      </c>
      <c r="S45" s="234" t="s">
        <v>6646</v>
      </c>
      <c r="T45" s="234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34" t="s">
        <v>6679</v>
      </c>
      <c r="AH45" s="234" t="s">
        <v>6646</v>
      </c>
      <c r="AI45" s="234"/>
      <c r="AJ45" s="221"/>
      <c r="AK45" s="221"/>
      <c r="AL45" s="234" t="s">
        <v>6657</v>
      </c>
      <c r="AM45" s="234" t="s">
        <v>6646</v>
      </c>
      <c r="AN45" s="234"/>
      <c r="AO45" s="221"/>
      <c r="AP45" s="221"/>
      <c r="AQ45" s="234" t="s">
        <v>6663</v>
      </c>
      <c r="AR45" s="234" t="s">
        <v>6646</v>
      </c>
      <c r="AS45" s="234"/>
      <c r="AT45" s="221"/>
      <c r="AU45" s="221"/>
      <c r="AV45" s="221"/>
      <c r="AW45" s="221"/>
      <c r="AX45" s="221"/>
      <c r="AY45" s="221"/>
      <c r="AZ45" s="221"/>
      <c r="BA45" s="221"/>
      <c r="BB45" s="221"/>
      <c r="BC45" s="221"/>
      <c r="BD45" s="221"/>
      <c r="BE45" s="221"/>
      <c r="BF45" s="234" t="s">
        <v>6645</v>
      </c>
      <c r="BG45" s="234" t="s">
        <v>6646</v>
      </c>
      <c r="BH45" s="234"/>
      <c r="BI45" s="221"/>
      <c r="BJ45" s="221"/>
      <c r="BK45" s="221"/>
      <c r="BL45" s="221"/>
      <c r="BM45" s="221"/>
      <c r="BN45" s="221"/>
      <c r="BO45" s="221"/>
      <c r="BP45" s="234" t="s">
        <v>6652</v>
      </c>
      <c r="BQ45" s="234" t="s">
        <v>6646</v>
      </c>
      <c r="BR45" s="234"/>
      <c r="BS45" s="221"/>
      <c r="BT45" s="221"/>
      <c r="BU45" s="221"/>
      <c r="BV45" s="221"/>
      <c r="BW45" s="221"/>
      <c r="BX45" s="221"/>
      <c r="BY45" s="221"/>
    </row>
    <row r="46" spans="1:77" ht="22.5" customHeight="1" x14ac:dyDescent="0.2">
      <c r="A46" s="221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2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32"/>
      <c r="AI46" s="221"/>
      <c r="AJ46" s="221"/>
      <c r="AK46" s="221"/>
      <c r="AL46" s="221"/>
      <c r="AM46" s="223"/>
      <c r="AN46" s="221"/>
      <c r="AO46" s="221"/>
      <c r="AP46" s="221"/>
      <c r="AQ46" s="221"/>
      <c r="AR46" s="232"/>
      <c r="AS46" s="221"/>
      <c r="AT46" s="221"/>
      <c r="AU46" s="221"/>
      <c r="AV46" s="221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4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221"/>
    </row>
    <row r="47" spans="1:77" ht="22.5" customHeight="1" x14ac:dyDescent="0.2">
      <c r="A47" s="221"/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2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32"/>
      <c r="AI47" s="221"/>
      <c r="AJ47" s="221"/>
      <c r="AK47" s="221"/>
      <c r="AL47" s="221"/>
      <c r="AM47" s="225"/>
      <c r="AN47" s="221"/>
      <c r="AO47" s="221"/>
      <c r="AP47" s="221"/>
      <c r="AQ47" s="221"/>
      <c r="AR47" s="232"/>
      <c r="AS47" s="221"/>
      <c r="AT47" s="221"/>
      <c r="AU47" s="221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4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221"/>
    </row>
    <row r="48" spans="1:77" ht="22.5" customHeight="1" x14ac:dyDescent="0.2">
      <c r="A48" s="221"/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511" t="s">
        <v>6665</v>
      </c>
      <c r="N48" s="511"/>
      <c r="O48" s="51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/>
      <c r="AG48" s="221"/>
      <c r="AH48" s="232"/>
      <c r="AI48" s="221"/>
      <c r="AJ48" s="221"/>
      <c r="AK48" s="221"/>
      <c r="AL48" s="511" t="s">
        <v>6665</v>
      </c>
      <c r="AM48" s="511"/>
      <c r="AN48" s="511"/>
      <c r="AO48" s="221"/>
      <c r="AP48" s="221"/>
      <c r="AQ48" s="221"/>
      <c r="AR48" s="232"/>
      <c r="AS48" s="221"/>
      <c r="AT48" s="221"/>
      <c r="AU48" s="221"/>
      <c r="AV48" s="221"/>
      <c r="AW48" s="221"/>
      <c r="AX48" s="221"/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511" t="s">
        <v>6684</v>
      </c>
      <c r="BL48" s="511"/>
      <c r="BM48" s="51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</row>
    <row r="49" spans="1:77" ht="22.5" customHeight="1" x14ac:dyDescent="0.2">
      <c r="A49" s="221"/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511"/>
      <c r="N49" s="511"/>
      <c r="O49" s="51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32"/>
      <c r="AI49" s="221"/>
      <c r="AJ49" s="221"/>
      <c r="AK49" s="221"/>
      <c r="AL49" s="511"/>
      <c r="AM49" s="511"/>
      <c r="AN49" s="511"/>
      <c r="AO49" s="221"/>
      <c r="AP49" s="221"/>
      <c r="AQ49" s="221"/>
      <c r="AR49" s="232"/>
      <c r="AS49" s="221"/>
      <c r="AT49" s="221"/>
      <c r="AU49" s="221"/>
      <c r="AV49" s="221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511"/>
      <c r="BL49" s="511"/>
      <c r="BM49" s="51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</row>
    <row r="50" spans="1:77" ht="22.5" customHeight="1" x14ac:dyDescent="0.2">
      <c r="A50" s="221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34" t="s">
        <v>6647</v>
      </c>
      <c r="N50" s="234" t="s">
        <v>6646</v>
      </c>
      <c r="O50" s="234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32"/>
      <c r="AI50" s="221"/>
      <c r="AJ50" s="221"/>
      <c r="AK50" s="221"/>
      <c r="AL50" s="234" t="s">
        <v>6657</v>
      </c>
      <c r="AM50" s="234" t="s">
        <v>6646</v>
      </c>
      <c r="AN50" s="234"/>
      <c r="AO50" s="221"/>
      <c r="AP50" s="221"/>
      <c r="AQ50" s="221"/>
      <c r="AR50" s="232"/>
      <c r="AS50" s="221"/>
      <c r="AT50" s="221"/>
      <c r="AU50" s="221"/>
      <c r="AV50" s="221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34" t="s">
        <v>6647</v>
      </c>
      <c r="BL50" s="234" t="s">
        <v>6646</v>
      </c>
      <c r="BM50" s="234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</row>
    <row r="51" spans="1:77" ht="22.5" customHeight="1" x14ac:dyDescent="0.2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2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32"/>
      <c r="AI51" s="221"/>
      <c r="AJ51" s="221"/>
      <c r="AK51" s="222"/>
      <c r="AL51" s="221"/>
      <c r="AM51" s="221"/>
      <c r="AN51" s="221"/>
      <c r="AO51" s="224"/>
      <c r="AP51" s="221"/>
      <c r="AQ51" s="221"/>
      <c r="AR51" s="232"/>
      <c r="AS51" s="221"/>
      <c r="AT51" s="221"/>
      <c r="AU51" s="221"/>
      <c r="AV51" s="221"/>
      <c r="AW51" s="221"/>
      <c r="AX51" s="221"/>
      <c r="AY51" s="221"/>
      <c r="AZ51" s="221"/>
      <c r="BA51" s="221"/>
      <c r="BB51" s="221"/>
      <c r="BC51" s="221"/>
      <c r="BD51" s="221"/>
      <c r="BE51" s="221"/>
      <c r="BF51" s="221"/>
      <c r="BG51" s="221"/>
      <c r="BH51" s="221"/>
      <c r="BI51" s="221"/>
      <c r="BJ51" s="221"/>
      <c r="BK51" s="221"/>
      <c r="BL51" s="221"/>
      <c r="BM51" s="221"/>
      <c r="BN51" s="224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221"/>
    </row>
    <row r="52" spans="1:77" ht="22.5" customHeight="1" x14ac:dyDescent="0.2">
      <c r="A52" s="221"/>
      <c r="B52" s="221"/>
      <c r="C52" s="221"/>
      <c r="D52" s="221"/>
      <c r="E52" s="221"/>
      <c r="F52" s="221"/>
      <c r="G52" s="221"/>
      <c r="H52" s="221"/>
      <c r="I52" s="221"/>
      <c r="J52" s="221"/>
      <c r="K52" s="222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32"/>
      <c r="AI52" s="221"/>
      <c r="AJ52" s="222"/>
      <c r="AK52" s="221"/>
      <c r="AL52" s="221"/>
      <c r="AM52" s="221"/>
      <c r="AN52" s="221"/>
      <c r="AO52" s="221"/>
      <c r="AP52" s="224"/>
      <c r="AQ52" s="221"/>
      <c r="AR52" s="232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4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</row>
    <row r="53" spans="1:77" ht="22.5" customHeight="1" thickBot="1" x14ac:dyDescent="0.25">
      <c r="A53" s="221"/>
      <c r="B53" s="221"/>
      <c r="C53" s="221"/>
      <c r="D53" s="221"/>
      <c r="E53" s="221"/>
      <c r="F53" s="221"/>
      <c r="G53" s="221"/>
      <c r="H53" s="511" t="s">
        <v>6666</v>
      </c>
      <c r="I53" s="511"/>
      <c r="J53" s="511"/>
      <c r="K53" s="221"/>
      <c r="L53" s="221"/>
      <c r="M53" s="221"/>
      <c r="N53" s="221"/>
      <c r="O53" s="221"/>
      <c r="P53" s="221"/>
      <c r="Q53" s="221"/>
      <c r="R53" s="511" t="s">
        <v>6665</v>
      </c>
      <c r="S53" s="511"/>
      <c r="T53" s="51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511" t="s">
        <v>6686</v>
      </c>
      <c r="AH53" s="511"/>
      <c r="AI53" s="511"/>
      <c r="AJ53" s="221"/>
      <c r="AK53" s="221"/>
      <c r="AL53" s="221"/>
      <c r="AM53" s="221"/>
      <c r="AN53" s="221"/>
      <c r="AO53" s="221"/>
      <c r="AP53" s="221"/>
      <c r="AQ53" s="511" t="s">
        <v>6687</v>
      </c>
      <c r="AR53" s="511"/>
      <c r="AS53" s="51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511" t="s">
        <v>6685</v>
      </c>
      <c r="BG53" s="511"/>
      <c r="BH53" s="511"/>
      <c r="BI53" s="221"/>
      <c r="BJ53" s="221"/>
      <c r="BK53" s="221"/>
      <c r="BL53" s="221"/>
      <c r="BM53" s="221"/>
      <c r="BN53" s="221"/>
      <c r="BO53" s="221"/>
      <c r="BP53" s="511" t="s">
        <v>6665</v>
      </c>
      <c r="BQ53" s="511"/>
      <c r="BR53" s="511"/>
      <c r="BS53" s="221"/>
      <c r="BT53" s="221"/>
      <c r="BU53" s="221"/>
      <c r="BV53" s="221"/>
      <c r="BW53" s="221"/>
      <c r="BX53" s="221"/>
      <c r="BY53" s="221"/>
    </row>
    <row r="54" spans="1:77" ht="22.5" customHeight="1" thickTop="1" x14ac:dyDescent="0.2">
      <c r="A54" s="221"/>
      <c r="B54" s="221"/>
      <c r="C54" s="221"/>
      <c r="D54" s="221"/>
      <c r="E54" s="221"/>
      <c r="F54" s="221"/>
      <c r="G54" s="221"/>
      <c r="H54" s="511"/>
      <c r="I54" s="511"/>
      <c r="J54" s="511"/>
      <c r="K54" s="226"/>
      <c r="L54" s="231"/>
      <c r="M54" s="231"/>
      <c r="N54" s="231"/>
      <c r="O54" s="231"/>
      <c r="P54" s="231"/>
      <c r="Q54" s="227"/>
      <c r="R54" s="511"/>
      <c r="S54" s="511"/>
      <c r="T54" s="511"/>
      <c r="U54" s="226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27"/>
      <c r="AG54" s="511"/>
      <c r="AH54" s="511"/>
      <c r="AI54" s="511"/>
      <c r="AJ54" s="221"/>
      <c r="AK54" s="221"/>
      <c r="AL54" s="221"/>
      <c r="AM54" s="221"/>
      <c r="AN54" s="221"/>
      <c r="AO54" s="221"/>
      <c r="AP54" s="221"/>
      <c r="AQ54" s="511"/>
      <c r="AR54" s="511"/>
      <c r="AS54" s="511"/>
      <c r="AT54" s="226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27"/>
      <c r="BF54" s="511"/>
      <c r="BG54" s="511"/>
      <c r="BH54" s="511"/>
      <c r="BI54" s="226"/>
      <c r="BJ54" s="231"/>
      <c r="BK54" s="231"/>
      <c r="BL54" s="231"/>
      <c r="BM54" s="231"/>
      <c r="BN54" s="231"/>
      <c r="BO54" s="227"/>
      <c r="BP54" s="511"/>
      <c r="BQ54" s="511"/>
      <c r="BR54" s="511"/>
      <c r="BS54" s="221"/>
      <c r="BT54" s="221"/>
      <c r="BU54" s="221"/>
      <c r="BV54" s="221"/>
      <c r="BW54" s="221"/>
      <c r="BX54" s="221"/>
      <c r="BY54" s="221"/>
    </row>
    <row r="55" spans="1:77" ht="22.5" customHeight="1" x14ac:dyDescent="0.2">
      <c r="A55" s="221"/>
      <c r="B55" s="221"/>
      <c r="C55" s="221"/>
      <c r="D55" s="221"/>
      <c r="E55" s="221"/>
      <c r="F55" s="221"/>
      <c r="G55" s="221"/>
      <c r="H55" s="234" t="s">
        <v>6647</v>
      </c>
      <c r="I55" s="234" t="s">
        <v>6646</v>
      </c>
      <c r="J55" s="234"/>
      <c r="K55" s="221"/>
      <c r="L55" s="221"/>
      <c r="M55" s="221"/>
      <c r="N55" s="221"/>
      <c r="O55" s="221"/>
      <c r="P55" s="221"/>
      <c r="Q55" s="221"/>
      <c r="R55" s="234" t="s">
        <v>6645</v>
      </c>
      <c r="S55" s="234" t="s">
        <v>6646</v>
      </c>
      <c r="T55" s="234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34" t="s">
        <v>6652</v>
      </c>
      <c r="AH55" s="234" t="s">
        <v>6646</v>
      </c>
      <c r="AI55" s="234"/>
      <c r="AJ55" s="221"/>
      <c r="AK55" s="221"/>
      <c r="AL55" s="221"/>
      <c r="AM55" s="221"/>
      <c r="AN55" s="221"/>
      <c r="AO55" s="221"/>
      <c r="AP55" s="221"/>
      <c r="AQ55" s="234" t="s">
        <v>6652</v>
      </c>
      <c r="AR55" s="234" t="s">
        <v>6646</v>
      </c>
      <c r="AS55" s="234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34" t="s">
        <v>6652</v>
      </c>
      <c r="BG55" s="234" t="s">
        <v>6646</v>
      </c>
      <c r="BH55" s="234"/>
      <c r="BI55" s="221"/>
      <c r="BJ55" s="221"/>
      <c r="BK55" s="221"/>
      <c r="BL55" s="221"/>
      <c r="BM55" s="221"/>
      <c r="BN55" s="221"/>
      <c r="BO55" s="221"/>
      <c r="BP55" s="234" t="s">
        <v>6652</v>
      </c>
      <c r="BQ55" s="234" t="s">
        <v>6646</v>
      </c>
      <c r="BR55" s="234"/>
      <c r="BS55" s="221"/>
      <c r="BT55" s="221"/>
      <c r="BU55" s="221"/>
      <c r="BV55" s="221"/>
      <c r="BW55" s="221"/>
      <c r="BX55" s="221"/>
      <c r="BY55" s="221"/>
    </row>
    <row r="56" spans="1:77" ht="22.5" customHeight="1" x14ac:dyDescent="0.2">
      <c r="A56" s="221"/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32"/>
      <c r="AI56" s="221"/>
      <c r="AJ56" s="224"/>
      <c r="AK56" s="221"/>
      <c r="AL56" s="221"/>
      <c r="AM56" s="221"/>
      <c r="AN56" s="221"/>
      <c r="AO56" s="221"/>
      <c r="AP56" s="222"/>
      <c r="AQ56" s="221"/>
      <c r="AR56" s="232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</row>
    <row r="57" spans="1:77" ht="22.5" customHeight="1" x14ac:dyDescent="0.2">
      <c r="A57" s="221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32"/>
      <c r="AI57" s="221"/>
      <c r="AJ57" s="221"/>
      <c r="AK57" s="224"/>
      <c r="AL57" s="221"/>
      <c r="AM57" s="221"/>
      <c r="AN57" s="221"/>
      <c r="AO57" s="222"/>
      <c r="AP57" s="221"/>
      <c r="AQ57" s="221"/>
      <c r="AR57" s="232"/>
      <c r="AS57" s="221"/>
      <c r="AT57" s="221"/>
      <c r="AU57" s="221"/>
      <c r="AV57" s="221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BJ57" s="221"/>
      <c r="BK57" s="221"/>
      <c r="BL57" s="221"/>
      <c r="BM57" s="221"/>
      <c r="BN57" s="221"/>
      <c r="BO57" s="221"/>
      <c r="BP57" s="221"/>
      <c r="BQ57" s="221"/>
      <c r="BR57" s="221"/>
      <c r="BS57" s="221"/>
      <c r="BT57" s="221"/>
      <c r="BU57" s="221"/>
      <c r="BV57" s="221"/>
      <c r="BW57" s="221"/>
      <c r="BX57" s="221"/>
      <c r="BY57" s="221"/>
    </row>
    <row r="58" spans="1:77" ht="22.5" customHeight="1" thickBot="1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511" t="s">
        <v>6666</v>
      </c>
      <c r="AH58" s="511"/>
      <c r="AI58" s="511"/>
      <c r="AJ58" s="221"/>
      <c r="AK58" s="221"/>
      <c r="AL58" s="511" t="s">
        <v>6665</v>
      </c>
      <c r="AM58" s="511"/>
      <c r="AN58" s="511"/>
      <c r="AO58" s="221"/>
      <c r="AP58" s="221"/>
      <c r="AQ58" s="511" t="s">
        <v>6685</v>
      </c>
      <c r="AR58" s="511"/>
      <c r="AS58" s="51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</row>
    <row r="59" spans="1:77" ht="22.5" customHeight="1" thickTop="1" x14ac:dyDescent="0.2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511"/>
      <c r="AH59" s="511"/>
      <c r="AI59" s="511"/>
      <c r="AJ59" s="226"/>
      <c r="AK59" s="227"/>
      <c r="AL59" s="511"/>
      <c r="AM59" s="511"/>
      <c r="AN59" s="511"/>
      <c r="AO59" s="226"/>
      <c r="AP59" s="227"/>
      <c r="AQ59" s="511"/>
      <c r="AR59" s="511"/>
      <c r="AS59" s="51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221"/>
    </row>
    <row r="60" spans="1:77" ht="22.5" customHeight="1" x14ac:dyDescent="0.2">
      <c r="A60" s="22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34"/>
      <c r="AH60" s="234" t="s">
        <v>6646</v>
      </c>
      <c r="AI60" s="234"/>
      <c r="AJ60" s="221"/>
      <c r="AK60" s="221"/>
      <c r="AL60" s="234"/>
      <c r="AM60" s="234" t="s">
        <v>6646</v>
      </c>
      <c r="AN60" s="234"/>
      <c r="AO60" s="221"/>
      <c r="AP60" s="221"/>
      <c r="AQ60" s="234"/>
      <c r="AR60" s="234" t="s">
        <v>6646</v>
      </c>
      <c r="AS60" s="234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1"/>
      <c r="BP60" s="221"/>
      <c r="BQ60" s="221"/>
      <c r="BR60" s="221"/>
      <c r="BS60" s="221"/>
      <c r="BT60" s="221"/>
      <c r="BU60" s="221"/>
      <c r="BV60" s="221"/>
      <c r="BW60" s="221"/>
      <c r="BX60" s="221"/>
      <c r="BY60" s="221"/>
    </row>
    <row r="61" spans="1:77" ht="22.5" customHeight="1" x14ac:dyDescent="0.2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4"/>
      <c r="AK61" s="221"/>
      <c r="AL61" s="221"/>
      <c r="AM61" s="232"/>
      <c r="AN61" s="221"/>
      <c r="AO61" s="221"/>
      <c r="AP61" s="222"/>
      <c r="AQ61" s="221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</row>
    <row r="62" spans="1:77" ht="22.5" customHeight="1" x14ac:dyDescent="0.2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4"/>
      <c r="AL62" s="221"/>
      <c r="AM62" s="232"/>
      <c r="AN62" s="221"/>
      <c r="AO62" s="222"/>
      <c r="AP62" s="221"/>
      <c r="AQ62" s="221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1"/>
      <c r="BD62" s="221"/>
      <c r="BE62" s="221"/>
      <c r="BF62" s="221"/>
      <c r="BG62" s="221"/>
      <c r="BH62" s="221"/>
      <c r="BI62" s="221"/>
      <c r="BJ62" s="221"/>
      <c r="BK62" s="221"/>
      <c r="BL62" s="221"/>
      <c r="BM62" s="221"/>
      <c r="BN62" s="221"/>
      <c r="BO62" s="221"/>
      <c r="BP62" s="221"/>
      <c r="BQ62" s="221"/>
      <c r="BR62" s="221"/>
      <c r="BS62" s="221"/>
      <c r="BT62" s="221"/>
      <c r="BU62" s="221"/>
      <c r="BV62" s="221"/>
      <c r="BW62" s="221"/>
      <c r="BX62" s="221"/>
      <c r="BY62" s="221"/>
    </row>
    <row r="63" spans="1:77" ht="22.5" customHeight="1" x14ac:dyDescent="0.2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  <c r="AJ63" s="221"/>
      <c r="AK63" s="221"/>
      <c r="AL63" s="511" t="s">
        <v>6665</v>
      </c>
      <c r="AM63" s="511"/>
      <c r="AN63" s="511"/>
      <c r="AO63" s="221"/>
      <c r="AP63" s="221"/>
      <c r="AQ63" s="221"/>
      <c r="AR63" s="221"/>
      <c r="AS63" s="221"/>
      <c r="AT63" s="221"/>
      <c r="AU63" s="221"/>
      <c r="AV63" s="221"/>
      <c r="AW63" s="221"/>
      <c r="AX63" s="221"/>
      <c r="AY63" s="221"/>
      <c r="AZ63" s="221"/>
      <c r="BA63" s="221"/>
      <c r="BB63" s="221"/>
      <c r="BC63" s="221"/>
      <c r="BD63" s="221"/>
      <c r="BE63" s="221"/>
      <c r="BF63" s="221"/>
      <c r="BG63" s="221"/>
      <c r="BH63" s="221"/>
      <c r="BI63" s="221"/>
      <c r="BJ63" s="221"/>
      <c r="BK63" s="221"/>
      <c r="BL63" s="221"/>
      <c r="BM63" s="221"/>
      <c r="BN63" s="221"/>
      <c r="BO63" s="221"/>
      <c r="BP63" s="221"/>
      <c r="BQ63" s="221"/>
      <c r="BR63" s="221"/>
      <c r="BS63" s="221"/>
      <c r="BT63" s="221"/>
      <c r="BU63" s="221"/>
      <c r="BV63" s="221"/>
      <c r="BW63" s="221"/>
      <c r="BX63" s="221"/>
      <c r="BY63" s="221"/>
    </row>
    <row r="64" spans="1:77" ht="22.5" customHeight="1" x14ac:dyDescent="0.2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511"/>
      <c r="AM64" s="511"/>
      <c r="AN64" s="511"/>
      <c r="AO64" s="221"/>
      <c r="AP64" s="221"/>
      <c r="AQ64" s="221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</row>
    <row r="65" spans="1:77" ht="22.5" customHeight="1" x14ac:dyDescent="0.2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34"/>
      <c r="AM65" s="234" t="s">
        <v>6646</v>
      </c>
      <c r="AN65" s="234"/>
      <c r="AO65" s="221"/>
      <c r="AP65" s="221"/>
      <c r="AQ65" s="221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I65" s="221"/>
      <c r="BJ65" s="221"/>
      <c r="BK65" s="221"/>
      <c r="BL65" s="221"/>
      <c r="BM65" s="221"/>
      <c r="BN65" s="221"/>
      <c r="BO65" s="221"/>
      <c r="BP65" s="221"/>
      <c r="BQ65" s="221"/>
      <c r="BR65" s="221"/>
      <c r="BS65" s="221"/>
      <c r="BT65" s="221"/>
      <c r="BU65" s="221"/>
      <c r="BV65" s="221"/>
      <c r="BW65" s="221"/>
      <c r="BX65" s="221"/>
      <c r="BY65" s="221"/>
    </row>
    <row r="66" spans="1:77" ht="22.5" customHeight="1" x14ac:dyDescent="0.2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</row>
    <row r="67" spans="1:77" ht="22.5" customHeight="1" x14ac:dyDescent="0.2">
      <c r="A67" s="221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AX67" s="221"/>
      <c r="AY67" s="221"/>
      <c r="AZ67" s="221"/>
      <c r="BA67" s="221"/>
      <c r="BB67" s="221"/>
      <c r="BC67" s="221"/>
      <c r="BD67" s="221"/>
      <c r="BE67" s="221"/>
      <c r="BF67" s="221"/>
      <c r="BG67" s="221"/>
      <c r="BH67" s="221"/>
      <c r="BI67" s="221"/>
      <c r="BJ67" s="221"/>
      <c r="BK67" s="221"/>
      <c r="BL67" s="221"/>
      <c r="BM67" s="221"/>
      <c r="BN67" s="221"/>
      <c r="BO67" s="221"/>
      <c r="BP67" s="221"/>
      <c r="BQ67" s="221"/>
      <c r="BR67" s="221"/>
      <c r="BS67" s="221"/>
      <c r="BT67" s="221"/>
      <c r="BU67" s="221"/>
      <c r="BV67" s="221"/>
      <c r="BW67" s="221"/>
      <c r="BX67" s="221"/>
      <c r="BY67" s="221"/>
    </row>
    <row r="68" spans="1:77" ht="22.5" hidden="1" customHeight="1" x14ac:dyDescent="0.2"/>
    <row r="69" spans="1:77" ht="22.5" hidden="1" customHeight="1" x14ac:dyDescent="0.2"/>
    <row r="70" spans="1:77" ht="22.5" hidden="1" customHeight="1" x14ac:dyDescent="0.2"/>
    <row r="71" spans="1:77" ht="22.5" hidden="1" customHeight="1" x14ac:dyDescent="0.2"/>
    <row r="72" spans="1:77" ht="22.5" hidden="1" customHeight="1" x14ac:dyDescent="0.2"/>
    <row r="73" spans="1:77" ht="22.5" hidden="1" customHeight="1" x14ac:dyDescent="0.2"/>
    <row r="74" spans="1:77" ht="22.5" hidden="1" customHeight="1" x14ac:dyDescent="0.2"/>
    <row r="75" spans="1:77" ht="22.5" hidden="1" customHeight="1" x14ac:dyDescent="0.2"/>
    <row r="76" spans="1:77" ht="22.5" hidden="1" customHeight="1" x14ac:dyDescent="0.2"/>
    <row r="77" spans="1:77" ht="22.5" hidden="1" customHeight="1" x14ac:dyDescent="0.2"/>
    <row r="78" spans="1:77" ht="22.5" hidden="1" customHeight="1" x14ac:dyDescent="0.2"/>
    <row r="79" spans="1:77" ht="22.5" hidden="1" customHeight="1" x14ac:dyDescent="0.2"/>
    <row r="80" spans="1:77" ht="22.5" hidden="1" customHeight="1" x14ac:dyDescent="0.2"/>
    <row r="81" ht="22.5" hidden="1" customHeight="1" x14ac:dyDescent="0.2"/>
    <row r="82" ht="22.5" hidden="1" customHeight="1" x14ac:dyDescent="0.2"/>
    <row r="83" ht="22.5" hidden="1" customHeight="1" x14ac:dyDescent="0.2"/>
    <row r="84" ht="22.5" hidden="1" customHeight="1" x14ac:dyDescent="0.2"/>
    <row r="85" ht="22.5" hidden="1" customHeight="1" x14ac:dyDescent="0.2"/>
    <row r="86" ht="22.5" hidden="1" customHeight="1" x14ac:dyDescent="0.2"/>
    <row r="87" ht="22.5" hidden="1" customHeight="1" x14ac:dyDescent="0.2"/>
    <row r="88" ht="22.5" hidden="1" customHeight="1" x14ac:dyDescent="0.2"/>
    <row r="89" ht="22.5" hidden="1" customHeight="1" x14ac:dyDescent="0.2"/>
    <row r="90" ht="22.5" hidden="1" customHeight="1" x14ac:dyDescent="0.2"/>
    <row r="91" ht="22.5" hidden="1" customHeight="1" x14ac:dyDescent="0.2"/>
    <row r="92" ht="22.5" hidden="1" customHeight="1" x14ac:dyDescent="0.2"/>
    <row r="93" ht="22.5" hidden="1" customHeight="1" x14ac:dyDescent="0.2"/>
    <row r="94" ht="22.5" hidden="1" customHeight="1" x14ac:dyDescent="0.2"/>
    <row r="95" ht="22.5" hidden="1" customHeight="1" x14ac:dyDescent="0.2"/>
    <row r="96" ht="22.5" hidden="1" customHeight="1" x14ac:dyDescent="0.2"/>
    <row r="97" ht="22.5" hidden="1" customHeight="1" x14ac:dyDescent="0.2"/>
    <row r="98" ht="22.5" hidden="1" customHeight="1" x14ac:dyDescent="0.2"/>
    <row r="99" ht="22.5" hidden="1" customHeight="1" x14ac:dyDescent="0.2"/>
    <row r="100" ht="22.5" hidden="1" customHeight="1" x14ac:dyDescent="0.2"/>
    <row r="101" ht="22.5" hidden="1" customHeight="1" x14ac:dyDescent="0.2"/>
    <row r="102" ht="22.5" hidden="1" customHeight="1" x14ac:dyDescent="0.2"/>
    <row r="103" ht="22.5" hidden="1" customHeight="1" x14ac:dyDescent="0.2"/>
    <row r="104" ht="22.5" hidden="1" customHeight="1" x14ac:dyDescent="0.2"/>
    <row r="105" ht="22.5" hidden="1" customHeight="1" x14ac:dyDescent="0.2"/>
    <row r="106" ht="22.5" hidden="1" customHeight="1" x14ac:dyDescent="0.2"/>
    <row r="107" ht="22.5" hidden="1" customHeight="1" x14ac:dyDescent="0.2"/>
    <row r="108" ht="22.5" hidden="1" customHeight="1" x14ac:dyDescent="0.2"/>
    <row r="109" ht="22.5" hidden="1" customHeight="1" x14ac:dyDescent="0.2"/>
    <row r="110" ht="22.5" hidden="1" customHeight="1" x14ac:dyDescent="0.2"/>
    <row r="111" ht="22.5" hidden="1" customHeight="1" x14ac:dyDescent="0.2"/>
    <row r="112" ht="22.5" hidden="1" customHeight="1" x14ac:dyDescent="0.2"/>
    <row r="113" ht="22.5" hidden="1" customHeight="1" x14ac:dyDescent="0.2"/>
    <row r="114" ht="22.5" hidden="1" customHeight="1" x14ac:dyDescent="0.2"/>
    <row r="115" ht="22.5" hidden="1" customHeight="1" x14ac:dyDescent="0.2"/>
    <row r="116" ht="22.5" hidden="1" customHeight="1" x14ac:dyDescent="0.2"/>
    <row r="117" ht="22.5" hidden="1" customHeight="1" x14ac:dyDescent="0.2"/>
    <row r="118" ht="22.5" hidden="1" customHeight="1" x14ac:dyDescent="0.2"/>
    <row r="119" ht="22.5" hidden="1" customHeight="1" x14ac:dyDescent="0.2"/>
    <row r="120" ht="22.5" hidden="1" customHeight="1" x14ac:dyDescent="0.2"/>
    <row r="121" ht="22.5" hidden="1" customHeight="1" x14ac:dyDescent="0.2"/>
    <row r="122" ht="22.5" hidden="1" customHeight="1" x14ac:dyDescent="0.2"/>
    <row r="123" ht="22.5" hidden="1" customHeight="1" x14ac:dyDescent="0.2"/>
    <row r="124" ht="22.5" hidden="1" customHeight="1" x14ac:dyDescent="0.2"/>
    <row r="125" ht="22.5" hidden="1" customHeight="1" x14ac:dyDescent="0.2"/>
    <row r="126" ht="22.5" hidden="1" customHeight="1" x14ac:dyDescent="0.2"/>
    <row r="127" ht="22.5" hidden="1" customHeight="1" x14ac:dyDescent="0.2"/>
    <row r="128" ht="22.5" hidden="1" customHeight="1" x14ac:dyDescent="0.2"/>
    <row r="129" ht="22.5" hidden="1" customHeight="1" x14ac:dyDescent="0.2"/>
    <row r="130" ht="22.5" hidden="1" customHeight="1" x14ac:dyDescent="0.2"/>
    <row r="131" ht="22.5" hidden="1" customHeight="1" x14ac:dyDescent="0.2"/>
    <row r="132" ht="22.5" hidden="1" customHeight="1" x14ac:dyDescent="0.2"/>
    <row r="133" ht="22.5" hidden="1" customHeight="1" x14ac:dyDescent="0.2"/>
    <row r="134" ht="22.5" hidden="1" customHeight="1" x14ac:dyDescent="0.2"/>
    <row r="135" ht="22.5" hidden="1" customHeight="1" x14ac:dyDescent="0.2"/>
    <row r="136" ht="22.5" hidden="1" customHeight="1" x14ac:dyDescent="0.2"/>
    <row r="137" ht="22.5" hidden="1" customHeight="1" x14ac:dyDescent="0.2"/>
    <row r="138" ht="22.5" hidden="1" customHeight="1" x14ac:dyDescent="0.2"/>
    <row r="139" ht="22.5" hidden="1" customHeight="1" x14ac:dyDescent="0.2"/>
    <row r="140" ht="22.5" hidden="1" customHeight="1" x14ac:dyDescent="0.2"/>
    <row r="141" ht="22.5" hidden="1" customHeight="1" x14ac:dyDescent="0.2"/>
    <row r="142" ht="22.5" hidden="1" customHeight="1" x14ac:dyDescent="0.2"/>
    <row r="143" ht="22.5" hidden="1" customHeight="1" x14ac:dyDescent="0.2"/>
    <row r="144" ht="22.5" hidden="1" customHeight="1" x14ac:dyDescent="0.2"/>
    <row r="145" ht="22.5" hidden="1" customHeight="1" x14ac:dyDescent="0.2"/>
    <row r="146" ht="22.5" hidden="1" customHeight="1" x14ac:dyDescent="0.2"/>
    <row r="147" ht="22.5" hidden="1" customHeight="1" x14ac:dyDescent="0.2"/>
    <row r="148" ht="22.5" hidden="1" customHeight="1" x14ac:dyDescent="0.2"/>
    <row r="149" ht="22.5" hidden="1" customHeight="1" x14ac:dyDescent="0.2"/>
    <row r="150" ht="22.5" hidden="1" customHeight="1" x14ac:dyDescent="0.2"/>
    <row r="151" ht="22.5" hidden="1" customHeight="1" x14ac:dyDescent="0.2"/>
    <row r="152" ht="22.5" hidden="1" customHeight="1" x14ac:dyDescent="0.2"/>
    <row r="153" ht="22.5" hidden="1" customHeight="1" x14ac:dyDescent="0.2"/>
    <row r="154" ht="22.5" hidden="1" customHeight="1" x14ac:dyDescent="0.2"/>
    <row r="155" ht="22.5" hidden="1" customHeight="1" x14ac:dyDescent="0.2"/>
    <row r="156" ht="22.5" hidden="1" customHeight="1" x14ac:dyDescent="0.2"/>
    <row r="157" ht="22.5" hidden="1" customHeight="1" x14ac:dyDescent="0.2"/>
    <row r="158" ht="22.5" hidden="1" customHeight="1" x14ac:dyDescent="0.2"/>
    <row r="159" ht="22.5" hidden="1" customHeight="1" x14ac:dyDescent="0.2"/>
    <row r="160" ht="22.5" hidden="1" customHeight="1" x14ac:dyDescent="0.2"/>
    <row r="161" ht="22.5" hidden="1" customHeight="1" x14ac:dyDescent="0.2"/>
    <row r="162" ht="22.5" hidden="1" customHeight="1" x14ac:dyDescent="0.2"/>
    <row r="163" ht="22.5" hidden="1" customHeight="1" x14ac:dyDescent="0.2"/>
    <row r="164" ht="22.5" hidden="1" customHeight="1" x14ac:dyDescent="0.2"/>
    <row r="165" ht="22.5" hidden="1" customHeight="1" x14ac:dyDescent="0.2"/>
    <row r="166" ht="22.5" hidden="1" customHeight="1" x14ac:dyDescent="0.2"/>
    <row r="167" ht="22.5" hidden="1" customHeight="1" x14ac:dyDescent="0.2"/>
    <row r="168" ht="22.5" hidden="1" customHeight="1" x14ac:dyDescent="0.2"/>
  </sheetData>
  <mergeCells count="74">
    <mergeCell ref="K3:N4"/>
    <mergeCell ref="G3:J4"/>
    <mergeCell ref="G5:J6"/>
    <mergeCell ref="K5:N6"/>
    <mergeCell ref="C3:F4"/>
    <mergeCell ref="C5:F6"/>
    <mergeCell ref="AL43:AN44"/>
    <mergeCell ref="AL48:AN49"/>
    <mergeCell ref="AG43:AI44"/>
    <mergeCell ref="AQ43:AS44"/>
    <mergeCell ref="AL38:AN39"/>
    <mergeCell ref="AL58:AN59"/>
    <mergeCell ref="AQ53:AS54"/>
    <mergeCell ref="AG58:AI59"/>
    <mergeCell ref="AL63:AN64"/>
    <mergeCell ref="AQ58:AS59"/>
    <mergeCell ref="BA28:BC29"/>
    <mergeCell ref="BA38:BC39"/>
    <mergeCell ref="AV33:AX34"/>
    <mergeCell ref="BK28:BM29"/>
    <mergeCell ref="BP28:BR29"/>
    <mergeCell ref="BF43:BH44"/>
    <mergeCell ref="BP43:BR44"/>
    <mergeCell ref="BK48:BM49"/>
    <mergeCell ref="BP53:BR54"/>
    <mergeCell ref="BF53:BH54"/>
    <mergeCell ref="BU33:BW34"/>
    <mergeCell ref="BP38:BR39"/>
    <mergeCell ref="BP33:BR34"/>
    <mergeCell ref="BK38:BM39"/>
    <mergeCell ref="AQ8:AS9"/>
    <mergeCell ref="AQ13:AS14"/>
    <mergeCell ref="AQ23:AS24"/>
    <mergeCell ref="BF13:BH14"/>
    <mergeCell ref="BP13:BR14"/>
    <mergeCell ref="BK18:BM19"/>
    <mergeCell ref="BF23:BH24"/>
    <mergeCell ref="BP23:BR24"/>
    <mergeCell ref="AQ28:AS29"/>
    <mergeCell ref="AQ33:AS34"/>
    <mergeCell ref="BF33:BH34"/>
    <mergeCell ref="BA33:BC34"/>
    <mergeCell ref="AL3:AN4"/>
    <mergeCell ref="AG13:AI14"/>
    <mergeCell ref="AL8:AN9"/>
    <mergeCell ref="AL18:AN19"/>
    <mergeCell ref="H43:J44"/>
    <mergeCell ref="R43:T44"/>
    <mergeCell ref="H13:J14"/>
    <mergeCell ref="M18:O19"/>
    <mergeCell ref="R23:T24"/>
    <mergeCell ref="R13:T14"/>
    <mergeCell ref="H23:J24"/>
    <mergeCell ref="AL23:AN24"/>
    <mergeCell ref="AL28:AN29"/>
    <mergeCell ref="AG33:AI34"/>
    <mergeCell ref="AG23:AI24"/>
    <mergeCell ref="AG8:AI9"/>
    <mergeCell ref="M48:O49"/>
    <mergeCell ref="H53:J54"/>
    <mergeCell ref="R53:T54"/>
    <mergeCell ref="AG38:AI39"/>
    <mergeCell ref="H28:J29"/>
    <mergeCell ref="M28:O29"/>
    <mergeCell ref="AB33:AD34"/>
    <mergeCell ref="W28:Y29"/>
    <mergeCell ref="AG53:AI54"/>
    <mergeCell ref="C33:E34"/>
    <mergeCell ref="H33:J34"/>
    <mergeCell ref="R33:T34"/>
    <mergeCell ref="W33:Y34"/>
    <mergeCell ref="H38:J39"/>
    <mergeCell ref="M38:O39"/>
    <mergeCell ref="W38:Y39"/>
  </mergeCells>
  <conditionalFormatting sqref="C5:F6">
    <cfRule type="expression" dxfId="112" priority="75">
      <formula>$G$5&gt;$C$5</formula>
    </cfRule>
  </conditionalFormatting>
  <conditionalFormatting sqref="R13:T14">
    <cfRule type="expression" dxfId="111" priority="69">
      <formula>OR($J$15&lt;&gt;0,$T$15&lt;&gt;0,$AI$15&lt;&gt;0)</formula>
    </cfRule>
  </conditionalFormatting>
  <conditionalFormatting sqref="H13:J14">
    <cfRule type="expression" dxfId="110" priority="68">
      <formula>OR($T$15&lt;&gt;0,$J$15&lt;&gt;0,$O$20&lt;&gt;0)</formula>
    </cfRule>
  </conditionalFormatting>
  <conditionalFormatting sqref="M18:O19">
    <cfRule type="expression" dxfId="109" priority="66">
      <formula>OR($J$15&lt;&gt;0,$O$20&lt;&gt;0,$T$25&lt;&gt;0)</formula>
    </cfRule>
  </conditionalFormatting>
  <conditionalFormatting sqref="R23:T24">
    <cfRule type="expression" dxfId="108" priority="65">
      <formula>OR($O$20&lt;&gt;0,$T$25&lt;&gt;0,$J$25&lt;&gt;0)</formula>
    </cfRule>
  </conditionalFormatting>
  <conditionalFormatting sqref="H23:J24">
    <cfRule type="expression" dxfId="107" priority="64">
      <formula>OR($T$25&lt;&gt;0,$J$25&lt;&gt;0,$O$30&lt;&gt;0)</formula>
    </cfRule>
  </conditionalFormatting>
  <conditionalFormatting sqref="M28:O29">
    <cfRule type="expression" dxfId="106" priority="63">
      <formula>OR($J$25&lt;&gt;0,$O$30&lt;&gt;0,$J$30&lt;&gt;0,$J$35&lt;&gt;0,$T$35&lt;&gt;0,$Y$30&lt;&gt;0)</formula>
    </cfRule>
  </conditionalFormatting>
  <conditionalFormatting sqref="H28:J29">
    <cfRule type="expression" dxfId="105" priority="62">
      <formula>OR($J$30&lt;&gt;0,$O$30&lt;&gt;0,$E$35&lt;&gt;0,$J$35&lt;&gt;0)</formula>
    </cfRule>
  </conditionalFormatting>
  <conditionalFormatting sqref="C33:E34">
    <cfRule type="expression" dxfId="104" priority="61">
      <formula>OR($E$35&lt;&gt;0,$J$30&lt;&gt;0,$J$35&lt;&gt;0,$J$40&lt;&gt;0)</formula>
    </cfRule>
  </conditionalFormatting>
  <conditionalFormatting sqref="H33:J34">
    <cfRule type="expression" dxfId="103" priority="60">
      <formula>OR($J$30&lt;&gt;0,$E$35&lt;&gt;0,$J$35&lt;&gt;0,$O$30&lt;&gt;0,$J$40&lt;&gt;0,$O$40&lt;&gt;0)</formula>
    </cfRule>
  </conditionalFormatting>
  <conditionalFormatting sqref="H38:J39">
    <cfRule type="expression" dxfId="102" priority="59">
      <formula>OR($E$35&lt;&gt;0,$J$35&lt;&gt;0,$J$40&lt;&gt;0,$O$40&lt;&gt;0)</formula>
    </cfRule>
  </conditionalFormatting>
  <conditionalFormatting sqref="M38:O39">
    <cfRule type="expression" dxfId="101" priority="58">
      <formula>OR($J$35&lt;&gt;0,$J$40&lt;&gt;0,$O$40&lt;&gt;0,$T$35&lt;&gt;0,$Y$40&lt;&gt;0,$J$45&lt;&gt;0)</formula>
    </cfRule>
  </conditionalFormatting>
  <conditionalFormatting sqref="R33:T34">
    <cfRule type="expression" dxfId="100" priority="57">
      <formula>OR($O$30&lt;&gt;0,$O$40&lt;&gt;0,$T$35&lt;&gt;0,$Y$35&lt;&gt;0)</formula>
    </cfRule>
  </conditionalFormatting>
  <conditionalFormatting sqref="W33:Y34">
    <cfRule type="expression" dxfId="99" priority="56">
      <formula>OR($T$35&lt;&gt;0,$Y$35&lt;&gt;0)</formula>
    </cfRule>
  </conditionalFormatting>
  <conditionalFormatting sqref="W28:Y29">
    <cfRule type="expression" dxfId="98" priority="55">
      <formula>OR($O$30&lt;&gt;0,$AD$35&lt;&gt;0,$Y$30&lt;&gt;0)</formula>
    </cfRule>
  </conditionalFormatting>
  <conditionalFormatting sqref="AB33:AD34">
    <cfRule type="expression" dxfId="97" priority="54">
      <formula>OR($Y$30&lt;&gt;0,$Y$40&lt;&gt;0,$AD$35&lt;&gt;0,$AI$40&lt;&gt;0)</formula>
    </cfRule>
  </conditionalFormatting>
  <conditionalFormatting sqref="AG38:AI39">
    <cfRule type="expression" dxfId="96" priority="53">
      <formula>OR($AD$35&lt;&gt;0,$AI$40&lt;&gt;0)</formula>
    </cfRule>
  </conditionalFormatting>
  <conditionalFormatting sqref="W38:Y39">
    <cfRule type="expression" dxfId="95" priority="52">
      <formula>OR($AD$35&lt;&gt;0,$Y$40&lt;&gt;0,$O$40&lt;&gt;0)</formula>
    </cfRule>
  </conditionalFormatting>
  <conditionalFormatting sqref="H43:J44">
    <cfRule type="expression" dxfId="94" priority="51">
      <formula>OR($O$40&lt;&gt;0,$J$45&lt;&gt;0,$T$45&lt;&gt;0)</formula>
    </cfRule>
  </conditionalFormatting>
  <conditionalFormatting sqref="R43:T44">
    <cfRule type="expression" dxfId="93" priority="50">
      <formula>OR($J$45&lt;&gt;0,$O$50&lt;&gt;0,$T$45&lt;&gt;0)</formula>
    </cfRule>
  </conditionalFormatting>
  <conditionalFormatting sqref="M48:O49">
    <cfRule type="expression" dxfId="92" priority="49">
      <formula>OR($T$45&lt;&gt;0,$O$50&lt;&gt;0,$J$55&lt;&gt;0)</formula>
    </cfRule>
  </conditionalFormatting>
  <conditionalFormatting sqref="H53:J54">
    <cfRule type="expression" dxfId="91" priority="48">
      <formula>OR($O$50&lt;&gt;0,$J$55&lt;&gt;0,$T$55&lt;&gt;0)</formula>
    </cfRule>
  </conditionalFormatting>
  <conditionalFormatting sqref="R53:T54">
    <cfRule type="expression" dxfId="90" priority="47">
      <formula>OR($J$55&lt;&gt;0,$T$55&lt;&gt;0,$AI$55&lt;&gt;0)</formula>
    </cfRule>
  </conditionalFormatting>
  <conditionalFormatting sqref="AG53:AI54">
    <cfRule type="expression" dxfId="89" priority="46">
      <formula>OR($T$55&lt;&gt;0,$AI$55&lt;&gt;0,$AI$45&lt;&gt;0,$AN$50&lt;&gt;0,$AN$60&lt;&gt;0,$AI$60&lt;&gt;0)</formula>
    </cfRule>
  </conditionalFormatting>
  <conditionalFormatting sqref="AL58:AN59">
    <cfRule type="expression" dxfId="88" priority="45">
      <formula>OR($AI$55&lt;&gt;0,$AI$60&lt;&gt;0,$AN$65&lt;&gt;0,$AN$60&lt;&gt;0,$AS$60&lt;&gt;0,$AS$55&lt;&gt;0)</formula>
    </cfRule>
  </conditionalFormatting>
  <conditionalFormatting sqref="AG58:AI59">
    <cfRule type="expression" dxfId="87" priority="44">
      <formula>OR($AI$55&lt;&gt;0,$AN$60&lt;&gt;0,$AI$60&lt;&gt;0,$AN$65&lt;&gt;0)</formula>
    </cfRule>
  </conditionalFormatting>
  <conditionalFormatting sqref="AL63:AN64">
    <cfRule type="expression" dxfId="86" priority="43">
      <formula>OR($AI$60&lt;&gt;0,$AN$60&lt;&gt;0,$AS$60&lt;&gt;0,$AN$65&lt;&gt;0)</formula>
    </cfRule>
  </conditionalFormatting>
  <conditionalFormatting sqref="AQ58:AS59">
    <cfRule type="expression" dxfId="85" priority="42">
      <formula>OR($AN$60&lt;&gt;0,$AN$65&lt;&gt;0,$AS$60&lt;&gt;0,$AS$55&lt;&gt;0)</formula>
    </cfRule>
  </conditionalFormatting>
  <conditionalFormatting sqref="AQ53:AS54">
    <cfRule type="expression" dxfId="84" priority="41">
      <formula>OR($AN$60&lt;&gt;0,$AS$60&lt;&gt;0,$AS$55&lt;&gt;0,$AN$50&lt;&gt;0,$AS$45&lt;&gt;0,$BH$55&lt;&gt;0)</formula>
    </cfRule>
  </conditionalFormatting>
  <conditionalFormatting sqref="AL48:AN49">
    <cfRule type="expression" dxfId="83" priority="40">
      <formula>OR($AN$45&lt;&gt;0,$AI$55&lt;&gt;0,$AS$55&lt;&gt;0,$AN$50&lt;&gt;0)</formula>
    </cfRule>
  </conditionalFormatting>
  <conditionalFormatting sqref="AL43:AN44">
    <cfRule type="expression" dxfId="82" priority="39">
      <formula>OR($AN$45&lt;&gt;0,$AN$50&lt;&gt;0)</formula>
    </cfRule>
  </conditionalFormatting>
  <conditionalFormatting sqref="AG43:AI44">
    <cfRule type="expression" dxfId="81" priority="38">
      <formula>OR($AN$40&lt;&gt;0,$AI$45&lt;&gt;0,$AI$55&lt;&gt;0)</formula>
    </cfRule>
  </conditionalFormatting>
  <conditionalFormatting sqref="AL38:AN39">
    <cfRule type="expression" dxfId="80" priority="37">
      <formula>OR($AN$40&lt;&gt;0,$AI$45&lt;&gt;0,$AS$45&lt;&gt;0,$AS$35&lt;&gt;0)</formula>
    </cfRule>
  </conditionalFormatting>
  <conditionalFormatting sqref="AQ43:AS44">
    <cfRule type="expression" dxfId="79" priority="36">
      <formula>OR($AN$40&lt;&gt;0,$AS$45&lt;&gt;0,$AS$55&lt;&gt;0)</formula>
    </cfRule>
  </conditionalFormatting>
  <conditionalFormatting sqref="AQ33:AS34">
    <cfRule type="expression" dxfId="78" priority="35">
      <formula>OR($AN$40&lt;&gt;0,$AS$35&lt;&gt;0)</formula>
    </cfRule>
  </conditionalFormatting>
  <conditionalFormatting sqref="BF53:BH54">
    <cfRule type="expression" dxfId="77" priority="34">
      <formula>OR($AS$55&lt;&gt;0,$BH$55&lt;&gt;0,$BR$55&lt;&gt;0)</formula>
    </cfRule>
  </conditionalFormatting>
  <conditionalFormatting sqref="BP53:BR54">
    <cfRule type="expression" dxfId="76" priority="33">
      <formula>OR($BM$50&lt;&gt;0,$BR$55&lt;&gt;0,$BH$55&lt;&gt;0)</formula>
    </cfRule>
  </conditionalFormatting>
  <conditionalFormatting sqref="BK48:BM49">
    <cfRule type="expression" dxfId="75" priority="32">
      <formula>OR($BH$45&lt;&gt;0,$BM$50&lt;&gt;0,$BR$55&lt;&gt;0)</formula>
    </cfRule>
  </conditionalFormatting>
  <conditionalFormatting sqref="BF43:BH44">
    <cfRule type="expression" dxfId="74" priority="31">
      <formula>OR($BM$50&lt;&gt;0,$BH$45&lt;&gt;0,$BR$45&lt;&gt;0)</formula>
    </cfRule>
  </conditionalFormatting>
  <conditionalFormatting sqref="BP43:BR44">
    <cfRule type="expression" dxfId="73" priority="30">
      <formula>OR($BH$45&lt;&gt;0,$BR$45&lt;&gt;0,$BM$40&lt;&gt;0)</formula>
    </cfRule>
  </conditionalFormatting>
  <conditionalFormatting sqref="BK38:BM39">
    <cfRule type="expression" dxfId="72" priority="29">
      <formula>OR($BR$45&lt;&gt;0,$BR$40&lt;&gt;0,$BR$35&lt;&gt;0,$BH$35&lt;&gt;0,$BC$40&lt;&gt;0,$BM$40&lt;&gt;0)</formula>
    </cfRule>
  </conditionalFormatting>
  <conditionalFormatting sqref="BP33:BR34">
    <cfRule type="expression" dxfId="71" priority="28">
      <formula>OR($BM$40&lt;&gt;0,$BR$40&lt;&gt;0,$BW$35&lt;&gt;0,$BR$30&lt;&gt;0,$BM$30&lt;&gt;0,$BR$35&lt;&gt;0)</formula>
    </cfRule>
  </conditionalFormatting>
  <conditionalFormatting sqref="BP38:BR39">
    <cfRule type="expression" dxfId="70" priority="27">
      <formula>OR($BM$40&lt;&gt;0,$BR$35&lt;&gt;0,$BW$35&lt;&gt;0,$BR$40&lt;&gt;0)</formula>
    </cfRule>
  </conditionalFormatting>
  <conditionalFormatting sqref="BU33:BW34">
    <cfRule type="expression" dxfId="69" priority="26">
      <formula>OR($BR$30&lt;&gt;0,$BR$35&lt;&gt;0,$BR$40&lt;&gt;0,$BW$35&lt;&gt;0)</formula>
    </cfRule>
  </conditionalFormatting>
  <conditionalFormatting sqref="BP28:BR29">
    <cfRule type="expression" dxfId="68" priority="25">
      <formula>OR($BM$30&lt;&gt;0,$BR$35&lt;&gt;0,$BW$35&lt;&gt;0,$BR$30&lt;&gt;0)</formula>
    </cfRule>
  </conditionalFormatting>
  <conditionalFormatting sqref="BK28:BM29">
    <cfRule type="expression" dxfId="67" priority="24">
      <formula>OR($BR$25&lt;&gt;0,$BR$30&lt;&gt;0,$BR$35&lt;&gt;0,$BM$30&lt;&gt;0,$BH$35&lt;&gt;0,$BC$30&lt;&gt;0)</formula>
    </cfRule>
  </conditionalFormatting>
  <conditionalFormatting sqref="BF33:BH34">
    <cfRule type="expression" dxfId="66" priority="23">
      <formula>OR($BC$35&lt;&gt;0,$BM$30&lt;&gt;0,$BM$40&lt;&gt;0,$BH$35&lt;&gt;0)</formula>
    </cfRule>
  </conditionalFormatting>
  <conditionalFormatting sqref="BA33:BC34">
    <cfRule type="expression" dxfId="65" priority="22">
      <formula>OR($BH$35&lt;&gt;0,$BC$35&lt;&gt;0)</formula>
    </cfRule>
  </conditionalFormatting>
  <conditionalFormatting sqref="BA38:BC39">
    <cfRule type="expression" dxfId="64" priority="21">
      <formula>OR($BM$40&lt;&gt;0,$AX$35&lt;&gt;0,$BC$40&lt;&gt;0)</formula>
    </cfRule>
  </conditionalFormatting>
  <conditionalFormatting sqref="BA28:BC29">
    <cfRule type="expression" dxfId="63" priority="20">
      <formula>OR($BM$30&lt;&gt;0,$BC$30&lt;&gt;0,$AX$35&lt;&gt;0)</formula>
    </cfRule>
  </conditionalFormatting>
  <conditionalFormatting sqref="AV33:AX34">
    <cfRule type="expression" dxfId="62" priority="19">
      <formula>OR($BC$30&lt;&gt;0,$BC$40&lt;&gt;0,$AX$35&lt;&gt;0,$AS$30&lt;&gt;0)</formula>
    </cfRule>
  </conditionalFormatting>
  <conditionalFormatting sqref="AQ28:AS29">
    <cfRule type="expression" dxfId="61" priority="18">
      <formula>OR($AS$30&lt;&gt;0,$AX$35&lt;&gt;0)</formula>
    </cfRule>
  </conditionalFormatting>
  <conditionalFormatting sqref="BP23:BR24">
    <cfRule type="expression" dxfId="60" priority="17">
      <formula>OR($BR$25&lt;&gt;0,$BM$30&lt;&gt;0,$BH$25&lt;&gt;0)</formula>
    </cfRule>
  </conditionalFormatting>
  <conditionalFormatting sqref="BF23:BH24">
    <cfRule type="expression" dxfId="59" priority="16">
      <formula>OR($BM$20&lt;&gt;0,$BH$25&lt;&gt;0,$BR$25&lt;&gt;0)</formula>
    </cfRule>
  </conditionalFormatting>
  <conditionalFormatting sqref="BK18:BM19">
    <cfRule type="expression" dxfId="58" priority="15">
      <formula>OR($BH$25&lt;&gt;0,$BM$20&lt;&gt;0,$BR$15&lt;&gt;0)</formula>
    </cfRule>
  </conditionalFormatting>
  <conditionalFormatting sqref="BP13:BR14">
    <cfRule type="expression" dxfId="57" priority="14">
      <formula>OR($BM$20&lt;&gt;0,$BR$15&lt;&gt;0,$BH$15&lt;&gt;0)</formula>
    </cfRule>
  </conditionalFormatting>
  <conditionalFormatting sqref="BF13:BH14">
    <cfRule type="expression" dxfId="56" priority="13">
      <formula>OR($BR$15&lt;&gt;0,$BH$15&lt;&gt;0,$AS$15&lt;&gt;0)</formula>
    </cfRule>
  </conditionalFormatting>
  <conditionalFormatting sqref="AQ13:AS14">
    <cfRule type="expression" dxfId="55" priority="12">
      <formula>OR($AS$10&lt;&gt;0,$AN$10&lt;&gt;0,$AS$15&lt;&gt;0,$AN$20&lt;&gt;0,$AS$25&lt;&gt;0,$BH$15&lt;&gt;0)</formula>
    </cfRule>
  </conditionalFormatting>
  <conditionalFormatting sqref="AL8:AN9">
    <cfRule type="expression" dxfId="54" priority="11">
      <formula>OR($AN$5&lt;&gt;0,$AI$10&lt;&gt;0,$AN$10&lt;&gt;0,$AS$10&lt;&gt;0,$AI$15&lt;&gt;0,$AS$15&lt;&gt;0)</formula>
    </cfRule>
  </conditionalFormatting>
  <conditionalFormatting sqref="AL3:AN4">
    <cfRule type="expression" dxfId="53" priority="10">
      <formula>OR($AN$5&lt;&gt;0,$AI$10&lt;&gt;0,$AN$10&lt;&gt;0,$AS$10&lt;&gt;0)</formula>
    </cfRule>
  </conditionalFormatting>
  <conditionalFormatting sqref="AQ8:AS9">
    <cfRule type="expression" dxfId="52" priority="9">
      <formula>OR($AS$15&lt;&gt;0,$AN$10&lt;&gt;0,$AS$10&lt;&gt;0,$AN$5&lt;&gt;0)</formula>
    </cfRule>
  </conditionalFormatting>
  <conditionalFormatting sqref="AG8:AI9">
    <cfRule type="expression" dxfId="51" priority="8">
      <formula>OR($AI$10&lt;&gt;0,$AI$15&lt;&gt;0,$AN$10&lt;&gt;0,$AN$5&lt;&gt;0)</formula>
    </cfRule>
  </conditionalFormatting>
  <conditionalFormatting sqref="AG13:AI14">
    <cfRule type="expression" dxfId="50" priority="7">
      <formula>OR($AI$10&lt;&gt;0,$AN$10&lt;&gt;0,$AN$20&lt;&gt;0,$AI$25&lt;&gt;0,$AI$15&lt;&gt;0,$T$15&lt;&gt;0)</formula>
    </cfRule>
  </conditionalFormatting>
  <conditionalFormatting sqref="AL18:AN19">
    <cfRule type="expression" dxfId="49" priority="6">
      <formula>OR($AS$15&lt;&gt;0,$AN$20&lt;&gt;0,$AI$15&lt;&gt;0,$AN$25&lt;&gt;0)</formula>
    </cfRule>
  </conditionalFormatting>
  <conditionalFormatting sqref="AL23:AN24">
    <cfRule type="expression" dxfId="48" priority="5">
      <formula>OR($AN$20&lt;&gt;0,$AN$25&lt;&gt;0)</formula>
    </cfRule>
  </conditionalFormatting>
  <conditionalFormatting sqref="AQ23:AS24">
    <cfRule type="expression" dxfId="47" priority="4">
      <formula>OR($AS$15&lt;&gt;0,$AS$25&lt;&gt;0,$AN$30&lt;&gt;0)</formula>
    </cfRule>
  </conditionalFormatting>
  <conditionalFormatting sqref="AG23:AI24">
    <cfRule type="expression" dxfId="46" priority="3">
      <formula>OR($AI$15&lt;&gt;0,$AI$25&lt;&gt;0,$AN$30&lt;&gt;0)</formula>
    </cfRule>
  </conditionalFormatting>
  <conditionalFormatting sqref="AL28:AN29">
    <cfRule type="expression" dxfId="45" priority="2">
      <formula>OR($AI$25&lt;&gt;0,$AI$35&lt;&gt;0,$AN$30&lt;&gt;0,$AS$25)</formula>
    </cfRule>
  </conditionalFormatting>
  <conditionalFormatting sqref="AG33:AI34">
    <cfRule type="expression" dxfId="44" priority="1">
      <formula>OR($AI$35&lt;&gt;0,$AN$30&lt;&gt;0)</formula>
    </cfRule>
  </conditionalFormatting>
  <dataValidations count="2">
    <dataValidation type="list" allowBlank="1" showInputMessage="1" showErrorMessage="1" sqref="AS10 T15 AI10 J25 J30 E35 J40 J45 BR15 BR25 BR35 BW35 BR30 AI60 BR40 AN60 AN65 AS60">
      <formula1>"5"</formula1>
    </dataValidation>
    <dataValidation type="list" allowBlank="1" showInputMessage="1" showErrorMessage="1" sqref="AN5 AN10 O30 J35">
      <formula1>"10"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4">
        <x14:dataValidation type="list" allowBlank="1" showInputMessage="1" showErrorMessage="1">
          <x14:formula1>
            <xm:f>Sheet3!$CC$101</xm:f>
          </x14:formula1>
          <xm:sqref>Y35</xm:sqref>
        </x14:dataValidation>
        <x14:dataValidation type="list" allowBlank="1" showInputMessage="1" showErrorMessage="1">
          <x14:formula1>
            <xm:f>Sheet3!$CC$88</xm:f>
          </x14:formula1>
          <xm:sqref>AI35</xm:sqref>
        </x14:dataValidation>
        <x14:dataValidation type="list" allowBlank="1" showInputMessage="1" showErrorMessage="1">
          <x14:formula1>
            <xm:f>Sheet3!$CC$117</xm:f>
          </x14:formula1>
          <xm:sqref>BC40</xm:sqref>
        </x14:dataValidation>
        <x14:dataValidation type="list" allowBlank="1" showInputMessage="1" showErrorMessage="1">
          <x14:formula1>
            <xm:f>Sheet3!$CC$81</xm:f>
          </x14:formula1>
          <xm:sqref>J15</xm:sqref>
        </x14:dataValidation>
        <x14:dataValidation type="list" allowBlank="1" showInputMessage="1" showErrorMessage="1">
          <x14:formula1>
            <xm:f>Sheet3!$CC$86</xm:f>
          </x14:formula1>
          <xm:sqref>O20</xm:sqref>
        </x14:dataValidation>
        <x14:dataValidation type="list" allowBlank="1" showInputMessage="1" showErrorMessage="1">
          <x14:formula1>
            <xm:f>Sheet3!$CC$106</xm:f>
          </x14:formula1>
          <xm:sqref>T25 T45</xm:sqref>
        </x14:dataValidation>
        <x14:dataValidation type="list" allowBlank="1" showInputMessage="1" showErrorMessage="1">
          <x14:formula1>
            <xm:f>Sheet3!$CC$98</xm:f>
          </x14:formula1>
          <xm:sqref>T35</xm:sqref>
        </x14:dataValidation>
        <x14:dataValidation type="list" allowBlank="1" showInputMessage="1" showErrorMessage="1">
          <x14:formula1>
            <xm:f>Sheet3!$CC$102</xm:f>
          </x14:formula1>
          <xm:sqref>Y30</xm:sqref>
        </x14:dataValidation>
        <x14:dataValidation type="list" allowBlank="1" showInputMessage="1" showErrorMessage="1">
          <x14:formula1>
            <xm:f>Sheet3!$CC$104</xm:f>
          </x14:formula1>
          <xm:sqref>O40</xm:sqref>
        </x14:dataValidation>
        <x14:dataValidation type="list" allowBlank="1" showInputMessage="1" showErrorMessage="1">
          <x14:formula1>
            <xm:f>Sheet3!$CD$101</xm:f>
          </x14:formula1>
          <xm:sqref>Y40</xm:sqref>
        </x14:dataValidation>
        <x14:dataValidation type="list" allowBlank="1" showInputMessage="1" showErrorMessage="1">
          <x14:formula1>
            <xm:f>Sheet3!$CC$107</xm:f>
          </x14:formula1>
          <xm:sqref>AD35</xm:sqref>
        </x14:dataValidation>
        <x14:dataValidation type="list" allowBlank="1" showInputMessage="1" showErrorMessage="1">
          <x14:formula1>
            <xm:f>Sheet3!$CC$108</xm:f>
          </x14:formula1>
          <xm:sqref>AI40</xm:sqref>
        </x14:dataValidation>
        <x14:dataValidation type="list" allowBlank="1" showInputMessage="1" showErrorMessage="1">
          <x14:formula1>
            <xm:f>Sheet3!$CC$91</xm:f>
          </x14:formula1>
          <xm:sqref>O50</xm:sqref>
        </x14:dataValidation>
        <x14:dataValidation type="list" allowBlank="1" showInputMessage="1" showErrorMessage="1">
          <x14:formula1>
            <xm:f>Sheet3!$CC$93</xm:f>
          </x14:formula1>
          <xm:sqref>J55</xm:sqref>
        </x14:dataValidation>
        <x14:dataValidation type="list" allowBlank="1" showInputMessage="1" showErrorMessage="1">
          <x14:formula1>
            <xm:f>Sheet3!$CD$91</xm:f>
          </x14:formula1>
          <xm:sqref>T55</xm:sqref>
        </x14:dataValidation>
        <x14:dataValidation type="list" allowBlank="1" showInputMessage="1" showErrorMessage="1">
          <x14:formula1>
            <xm:f>Sheet3!$CC$90</xm:f>
          </x14:formula1>
          <xm:sqref>AS55</xm:sqref>
        </x14:dataValidation>
        <x14:dataValidation type="list" allowBlank="1" showInputMessage="1" showErrorMessage="1">
          <x14:formula1>
            <xm:f>Sheet3!$CC$89</xm:f>
          </x14:formula1>
          <xm:sqref>AI55</xm:sqref>
        </x14:dataValidation>
        <x14:dataValidation type="list" allowBlank="1" showInputMessage="1" showErrorMessage="1">
          <x14:formula1>
            <xm:f>Sheet3!$CE$91</xm:f>
          </x14:formula1>
          <xm:sqref>AN50</xm:sqref>
        </x14:dataValidation>
        <x14:dataValidation type="list" allowBlank="1" showInputMessage="1" showErrorMessage="1">
          <x14:formula1>
            <xm:f>Sheet3!$CF$91</xm:f>
          </x14:formula1>
          <xm:sqref>AS45</xm:sqref>
        </x14:dataValidation>
        <x14:dataValidation type="list" allowBlank="1" showInputMessage="1" showErrorMessage="1">
          <x14:formula1>
            <xm:f>Sheet3!$CC$94</xm:f>
          </x14:formula1>
          <xm:sqref>AN45</xm:sqref>
        </x14:dataValidation>
        <x14:dataValidation type="list" allowBlank="1" showInputMessage="1" showErrorMessage="1">
          <x14:formula1>
            <xm:f>Sheet3!$CD$93</xm:f>
          </x14:formula1>
          <xm:sqref>AI45</xm:sqref>
        </x14:dataValidation>
        <x14:dataValidation type="list" allowBlank="1" showInputMessage="1" showErrorMessage="1">
          <x14:formula1>
            <xm:f>Sheet3!$CC$95</xm:f>
          </x14:formula1>
          <xm:sqref>AN40</xm:sqref>
        </x14:dataValidation>
        <x14:dataValidation type="list" allowBlank="1" showInputMessage="1" showErrorMessage="1">
          <x14:formula1>
            <xm:f>Sheet3!$CC$96</xm:f>
          </x14:formula1>
          <xm:sqref>AS35</xm:sqref>
        </x14:dataValidation>
        <x14:dataValidation type="list" allowBlank="1" showInputMessage="1" showErrorMessage="1">
          <x14:formula1>
            <xm:f>Sheet3!$CC$92</xm:f>
          </x14:formula1>
          <xm:sqref>BH55</xm:sqref>
        </x14:dataValidation>
        <x14:dataValidation type="list" allowBlank="1" showInputMessage="1" showErrorMessage="1">
          <x14:formula1>
            <xm:f>Sheet3!$CG$91</xm:f>
          </x14:formula1>
          <xm:sqref>BR55</xm:sqref>
        </x14:dataValidation>
        <x14:dataValidation type="list" allowBlank="1" showInputMessage="1" showErrorMessage="1">
          <x14:formula1>
            <xm:f>Sheet3!$CC$113</xm:f>
          </x14:formula1>
          <xm:sqref>BM50</xm:sqref>
        </x14:dataValidation>
        <x14:dataValidation type="list" allowBlank="1" showInputMessage="1" showErrorMessage="1">
          <x14:formula1>
            <xm:f>Sheet3!$CC$115</xm:f>
          </x14:formula1>
          <xm:sqref>BH45</xm:sqref>
        </x14:dataValidation>
        <x14:dataValidation type="list" allowBlank="1" showInputMessage="1" showErrorMessage="1">
          <x14:formula1>
            <xm:f>Sheet3!$CC$112</xm:f>
          </x14:formula1>
          <xm:sqref>BR45 BM30</xm:sqref>
        </x14:dataValidation>
        <x14:dataValidation type="list" allowBlank="1" showInputMessage="1" showErrorMessage="1">
          <x14:formula1>
            <xm:f>Sheet3!$CD$115</xm:f>
          </x14:formula1>
          <xm:sqref>BM40</xm:sqref>
        </x14:dataValidation>
        <x14:dataValidation type="list" allowBlank="1" showInputMessage="1" showErrorMessage="1">
          <x14:formula1>
            <xm:f>Sheet3!$CC$118</xm:f>
          </x14:formula1>
          <xm:sqref>BH35</xm:sqref>
        </x14:dataValidation>
        <x14:dataValidation type="list" allowBlank="1" showInputMessage="1" showErrorMessage="1">
          <x14:formula1>
            <xm:f>Sheet3!$CC$114</xm:f>
          </x14:formula1>
          <xm:sqref>BC35</xm:sqref>
        </x14:dataValidation>
        <x14:dataValidation type="list" allowBlank="1" showInputMessage="1" showErrorMessage="1">
          <x14:formula1>
            <xm:f>Sheet3!$CC$119</xm:f>
          </x14:formula1>
          <xm:sqref>BC30</xm:sqref>
        </x14:dataValidation>
        <x14:dataValidation type="list" allowBlank="1" showInputMessage="1" showErrorMessage="1">
          <x14:formula1>
            <xm:f>Sheet3!$CC$120</xm:f>
          </x14:formula1>
          <xm:sqref>AX35</xm:sqref>
        </x14:dataValidation>
        <x14:dataValidation type="list" allowBlank="1" showInputMessage="1" showErrorMessage="1">
          <x14:formula1>
            <xm:f>Sheet3!$CC$121</xm:f>
          </x14:formula1>
          <xm:sqref>AS30</xm:sqref>
        </x14:dataValidation>
        <x14:dataValidation type="list" allowBlank="1" showInputMessage="1" showErrorMessage="1">
          <x14:formula1>
            <xm:f>Sheet3!$CC$111</xm:f>
          </x14:formula1>
          <xm:sqref>BH25</xm:sqref>
        </x14:dataValidation>
        <x14:dataValidation type="list" allowBlank="1" showInputMessage="1" showErrorMessage="1">
          <x14:formula1>
            <xm:f>Sheet3!$CC$87</xm:f>
          </x14:formula1>
          <xm:sqref>BM20</xm:sqref>
        </x14:dataValidation>
        <x14:dataValidation type="list" allowBlank="1" showInputMessage="1" showErrorMessage="1">
          <x14:formula1>
            <xm:f>Sheet3!$CC$83</xm:f>
          </x14:formula1>
          <xm:sqref>BH15</xm:sqref>
        </x14:dataValidation>
        <x14:dataValidation type="list" allowBlank="1" showInputMessage="1" showErrorMessage="1">
          <x14:formula1>
            <xm:f>Sheet3!$CC$82</xm:f>
          </x14:formula1>
          <xm:sqref>AS15</xm:sqref>
        </x14:dataValidation>
        <x14:dataValidation type="list" allowBlank="1" showInputMessage="1" showErrorMessage="1">
          <x14:formula1>
            <xm:f>Sheet3!$CC$84</xm:f>
          </x14:formula1>
          <xm:sqref>AI15</xm:sqref>
        </x14:dataValidation>
        <x14:dataValidation type="list" allowBlank="1" showInputMessage="1" showErrorMessage="1">
          <x14:formula1>
            <xm:f>Sheet3!$CD$87</xm:f>
          </x14:formula1>
          <xm:sqref>AN20</xm:sqref>
        </x14:dataValidation>
        <x14:dataValidation type="list" allowBlank="1" showInputMessage="1" showErrorMessage="1">
          <x14:formula1>
            <xm:f>Sheet3!$CD$82</xm:f>
          </x14:formula1>
          <xm:sqref>AN25</xm:sqref>
        </x14:dataValidation>
        <x14:dataValidation type="list" allowBlank="1" showInputMessage="1" showErrorMessage="1">
          <x14:formula1>
            <xm:f>Sheet3!$CD$84</xm:f>
          </x14:formula1>
          <xm:sqref>AS25</xm:sqref>
        </x14:dataValidation>
        <x14:dataValidation type="list" allowBlank="1" showInputMessage="1" showErrorMessage="1">
          <x14:formula1>
            <xm:f>Sheet3!$CD$86</xm:f>
          </x14:formula1>
          <xm:sqref>AI25</xm:sqref>
        </x14:dataValidation>
        <x14:dataValidation type="list" allowBlank="1" showInputMessage="1" showErrorMessage="1">
          <x14:formula1>
            <xm:f>Sheet3!$CE$87</xm:f>
          </x14:formula1>
          <xm:sqref>AN30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opLeftCell="H1" workbookViewId="0">
      <selection activeCell="AC28" sqref="AC28"/>
    </sheetView>
  </sheetViews>
  <sheetFormatPr baseColWidth="10" defaultColWidth="10.7109375" defaultRowHeight="12.75" x14ac:dyDescent="0.2"/>
  <cols>
    <col min="23" max="24" width="12.28515625" bestFit="1" customWidth="1"/>
    <col min="26" max="26" width="12.28515625" bestFit="1" customWidth="1"/>
  </cols>
  <sheetData>
    <row r="1" spans="1:27" x14ac:dyDescent="0.2">
      <c r="A1" t="s">
        <v>293</v>
      </c>
      <c r="B1" t="s">
        <v>294</v>
      </c>
      <c r="D1" t="s">
        <v>295</v>
      </c>
      <c r="G1" t="s">
        <v>296</v>
      </c>
      <c r="J1" t="s">
        <v>297</v>
      </c>
      <c r="M1" t="s">
        <v>298</v>
      </c>
      <c r="P1" t="s">
        <v>299</v>
      </c>
    </row>
    <row r="2" spans="1:27" x14ac:dyDescent="0.2">
      <c r="A2" t="s">
        <v>300</v>
      </c>
      <c r="B2">
        <v>10</v>
      </c>
      <c r="D2" t="s">
        <v>301</v>
      </c>
      <c r="E2">
        <v>1000</v>
      </c>
      <c r="G2" t="s">
        <v>302</v>
      </c>
      <c r="H2">
        <v>1</v>
      </c>
      <c r="J2" t="s">
        <v>303</v>
      </c>
      <c r="K2">
        <v>5</v>
      </c>
      <c r="M2" t="s">
        <v>304</v>
      </c>
      <c r="N2">
        <v>100</v>
      </c>
      <c r="P2" t="s">
        <v>305</v>
      </c>
      <c r="Q2">
        <v>2000</v>
      </c>
      <c r="T2" t="s">
        <v>5725</v>
      </c>
      <c r="U2" s="65">
        <f>IFERROR(IF(VLOOKUP(V2,$T$2:$T$8,1,FALSE)=V2,-1,0),0)</f>
        <v>-1</v>
      </c>
      <c r="V2" t="s">
        <v>5725</v>
      </c>
      <c r="W2" t="s">
        <v>5725</v>
      </c>
      <c r="X2" t="s">
        <v>5726</v>
      </c>
    </row>
    <row r="3" spans="1:27" x14ac:dyDescent="0.2">
      <c r="A3" t="s">
        <v>306</v>
      </c>
      <c r="B3">
        <v>20</v>
      </c>
      <c r="D3" t="s">
        <v>307</v>
      </c>
      <c r="E3">
        <v>5000</v>
      </c>
      <c r="G3" t="s">
        <v>308</v>
      </c>
      <c r="H3">
        <v>3</v>
      </c>
      <c r="J3" t="s">
        <v>309</v>
      </c>
      <c r="K3">
        <v>10</v>
      </c>
      <c r="M3" t="s">
        <v>310</v>
      </c>
      <c r="N3">
        <v>5000</v>
      </c>
      <c r="P3" t="s">
        <v>311</v>
      </c>
      <c r="Q3">
        <v>65000</v>
      </c>
      <c r="U3" s="65">
        <f>IFERROR(IF(VLOOKUP(V3,$T$2:$T$8,1,FALSE)=V3,-1,0),0)</f>
        <v>-1</v>
      </c>
      <c r="V3" t="s">
        <v>5726</v>
      </c>
    </row>
    <row r="4" spans="1:27" x14ac:dyDescent="0.2">
      <c r="A4" t="s">
        <v>312</v>
      </c>
      <c r="B4">
        <v>10</v>
      </c>
      <c r="D4" t="s">
        <v>313</v>
      </c>
      <c r="E4">
        <v>50000</v>
      </c>
      <c r="G4" t="s">
        <v>314</v>
      </c>
      <c r="H4">
        <v>2</v>
      </c>
      <c r="J4" t="s">
        <v>315</v>
      </c>
      <c r="K4">
        <v>250</v>
      </c>
      <c r="M4" t="s">
        <v>316</v>
      </c>
      <c r="N4">
        <v>200</v>
      </c>
      <c r="P4" t="s">
        <v>317</v>
      </c>
      <c r="Q4">
        <v>20000</v>
      </c>
      <c r="U4" s="65">
        <f>IFERROR(IF(VLOOKUP(V4,$T$2:$T$8,1,FALSE)=V4,-1,0),0)</f>
        <v>0</v>
      </c>
      <c r="V4" t="s">
        <v>5727</v>
      </c>
      <c r="X4">
        <f ca="1">CELL("fila",V3)</f>
        <v>3</v>
      </c>
      <c r="Y4">
        <f ca="1">CELL("fila",V2)</f>
        <v>2</v>
      </c>
    </row>
    <row r="5" spans="1:27" x14ac:dyDescent="0.2">
      <c r="A5" t="s">
        <v>318</v>
      </c>
      <c r="B5">
        <v>30</v>
      </c>
      <c r="D5" t="s">
        <v>319</v>
      </c>
      <c r="E5">
        <v>250000</v>
      </c>
      <c r="G5" t="s">
        <v>320</v>
      </c>
      <c r="H5">
        <v>5</v>
      </c>
      <c r="J5" t="s">
        <v>321</v>
      </c>
      <c r="K5">
        <v>5000</v>
      </c>
      <c r="M5" t="s">
        <v>322</v>
      </c>
      <c r="N5">
        <v>250</v>
      </c>
      <c r="P5" t="s">
        <v>323</v>
      </c>
      <c r="Q5">
        <v>5000</v>
      </c>
      <c r="T5" t="s">
        <v>5726</v>
      </c>
      <c r="X5" t="str">
        <f>VLOOKUP("b",V2:V4,1,FALSE)</f>
        <v>b</v>
      </c>
    </row>
    <row r="6" spans="1:27" x14ac:dyDescent="0.2">
      <c r="A6" t="s">
        <v>324</v>
      </c>
      <c r="B6">
        <v>20</v>
      </c>
      <c r="D6" t="s">
        <v>325</v>
      </c>
      <c r="E6">
        <v>2000</v>
      </c>
      <c r="G6" t="s">
        <v>326</v>
      </c>
      <c r="H6">
        <v>30</v>
      </c>
      <c r="J6" t="s">
        <v>327</v>
      </c>
      <c r="M6" t="s">
        <v>328</v>
      </c>
      <c r="N6">
        <v>1000</v>
      </c>
      <c r="P6" t="s">
        <v>329</v>
      </c>
      <c r="Q6">
        <v>4000</v>
      </c>
      <c r="X6">
        <f>MATCH(X2,V2:V4,0)</f>
        <v>2</v>
      </c>
    </row>
    <row r="7" spans="1:27" x14ac:dyDescent="0.2">
      <c r="A7" t="s">
        <v>330</v>
      </c>
      <c r="B7">
        <v>20</v>
      </c>
      <c r="D7" t="s">
        <v>331</v>
      </c>
      <c r="E7">
        <v>2000</v>
      </c>
      <c r="G7" t="s">
        <v>332</v>
      </c>
      <c r="H7">
        <v>1</v>
      </c>
      <c r="J7" t="s">
        <v>333</v>
      </c>
      <c r="K7">
        <v>15000</v>
      </c>
      <c r="M7" t="s">
        <v>334</v>
      </c>
      <c r="N7">
        <v>1000</v>
      </c>
      <c r="P7" t="s">
        <v>335</v>
      </c>
      <c r="Z7" t="s">
        <v>5826</v>
      </c>
    </row>
    <row r="8" spans="1:27" x14ac:dyDescent="0.2">
      <c r="A8" t="s">
        <v>336</v>
      </c>
      <c r="B8">
        <v>50</v>
      </c>
      <c r="D8" t="s">
        <v>337</v>
      </c>
      <c r="E8">
        <v>3000</v>
      </c>
      <c r="G8" t="s">
        <v>338</v>
      </c>
      <c r="H8">
        <v>5</v>
      </c>
      <c r="J8" t="s">
        <v>339</v>
      </c>
      <c r="K8">
        <v>60000</v>
      </c>
      <c r="M8" t="s">
        <v>340</v>
      </c>
      <c r="N8">
        <v>50</v>
      </c>
      <c r="P8" t="s">
        <v>341</v>
      </c>
      <c r="Q8">
        <v>2000</v>
      </c>
      <c r="U8">
        <v>1</v>
      </c>
      <c r="V8" t="s">
        <v>5725</v>
      </c>
      <c r="X8">
        <f>IFERROR(IF(MATCH(2,U8,0)=1,1,""),0)</f>
        <v>0</v>
      </c>
      <c r="Y8">
        <f>IFERROR(IF(MATCH("b",V8,0)=1,1,""),0)</f>
        <v>0</v>
      </c>
      <c r="Z8" t="str">
        <f>IF(AND(X8&lt;&gt;0,Y8&lt;&gt;0),"verdadero","falso")</f>
        <v>falso</v>
      </c>
    </row>
    <row r="9" spans="1:27" x14ac:dyDescent="0.2">
      <c r="A9" t="s">
        <v>342</v>
      </c>
      <c r="B9">
        <v>50</v>
      </c>
      <c r="D9" t="s">
        <v>343</v>
      </c>
      <c r="E9">
        <v>15000</v>
      </c>
      <c r="G9" t="s">
        <v>344</v>
      </c>
      <c r="H9">
        <v>1000</v>
      </c>
      <c r="J9" t="s">
        <v>345</v>
      </c>
      <c r="K9">
        <v>150000</v>
      </c>
      <c r="M9" t="s">
        <v>346</v>
      </c>
      <c r="N9">
        <v>500</v>
      </c>
      <c r="P9" t="s">
        <v>347</v>
      </c>
      <c r="Q9">
        <v>1000</v>
      </c>
      <c r="U9">
        <v>2</v>
      </c>
      <c r="V9" t="s">
        <v>5726</v>
      </c>
      <c r="X9">
        <f>IFERROR(IF(MATCH(2,U9,0)=1,1,""),0)</f>
        <v>1</v>
      </c>
      <c r="Y9">
        <f>IFERROR(IF(MATCH("b",V9,0)=1,1,""),0)</f>
        <v>1</v>
      </c>
      <c r="Z9" t="str">
        <f>IF(AND(X9&lt;&gt;0,Y9&lt;&gt;0),"verdadero","falso")</f>
        <v>verdadero</v>
      </c>
    </row>
    <row r="10" spans="1:27" x14ac:dyDescent="0.2">
      <c r="A10" t="s">
        <v>348</v>
      </c>
      <c r="B10">
        <v>10</v>
      </c>
      <c r="D10" t="s">
        <v>349</v>
      </c>
      <c r="G10" t="s">
        <v>147</v>
      </c>
      <c r="J10" t="s">
        <v>350</v>
      </c>
      <c r="K10">
        <v>800000</v>
      </c>
      <c r="M10" t="s">
        <v>351</v>
      </c>
      <c r="N10">
        <v>10</v>
      </c>
      <c r="P10" t="s">
        <v>352</v>
      </c>
      <c r="Q10">
        <v>3000</v>
      </c>
      <c r="U10">
        <v>1</v>
      </c>
      <c r="V10" t="s">
        <v>5726</v>
      </c>
      <c r="X10">
        <f>IFERROR(IF(MATCH(2,U10,0)=1,1,""),0)</f>
        <v>0</v>
      </c>
      <c r="Y10">
        <f>IFERROR(IF(MATCH("b",V10,0)=1,1,""),0)</f>
        <v>1</v>
      </c>
      <c r="Z10" t="str">
        <f>IF(AND(X10&lt;&gt;0,Y10&lt;&gt;0),"verdadero","falso")</f>
        <v>falso</v>
      </c>
    </row>
    <row r="11" spans="1:27" x14ac:dyDescent="0.2">
      <c r="A11" t="s">
        <v>353</v>
      </c>
      <c r="B11">
        <v>20</v>
      </c>
      <c r="D11" t="s">
        <v>354</v>
      </c>
      <c r="E11">
        <v>1000</v>
      </c>
      <c r="G11" t="s">
        <v>303</v>
      </c>
      <c r="H11">
        <v>4</v>
      </c>
      <c r="J11" t="s">
        <v>355</v>
      </c>
      <c r="K11">
        <v>2000000</v>
      </c>
      <c r="M11" t="s">
        <v>356</v>
      </c>
      <c r="N11">
        <v>1000</v>
      </c>
      <c r="P11" t="s">
        <v>357</v>
      </c>
      <c r="Q11">
        <v>10000</v>
      </c>
      <c r="U11">
        <v>2</v>
      </c>
      <c r="V11" t="s">
        <v>5725</v>
      </c>
      <c r="X11">
        <f>IFERROR(IF(MATCH(2,U11,0)=1,1,""),0)</f>
        <v>1</v>
      </c>
      <c r="Y11">
        <f>IFERROR(IF(MATCH("b",V11,0)=1,1,""),0)</f>
        <v>0</v>
      </c>
      <c r="Z11" t="str">
        <f>IF(AND(X11&lt;&gt;0,Y11&lt;&gt;0),"verdadero","falso")</f>
        <v>falso</v>
      </c>
    </row>
    <row r="12" spans="1:27" x14ac:dyDescent="0.2">
      <c r="A12" t="s">
        <v>358</v>
      </c>
      <c r="B12">
        <v>20</v>
      </c>
      <c r="D12" t="s">
        <v>359</v>
      </c>
      <c r="E12">
        <v>5000</v>
      </c>
      <c r="G12" t="s">
        <v>309</v>
      </c>
      <c r="H12">
        <v>6</v>
      </c>
      <c r="J12" t="s">
        <v>360</v>
      </c>
      <c r="K12">
        <v>30000000</v>
      </c>
      <c r="M12" t="s">
        <v>361</v>
      </c>
      <c r="N12">
        <v>50</v>
      </c>
      <c r="P12" t="s">
        <v>362</v>
      </c>
      <c r="Q12">
        <v>15000</v>
      </c>
      <c r="Z12" t="str">
        <f>IF(OR(Z8="verdadero",Z9="verdadero",Z10="verdadero",Z11="verdadero"),"suma",0)</f>
        <v>suma</v>
      </c>
    </row>
    <row r="13" spans="1:27" x14ac:dyDescent="0.2">
      <c r="A13" t="s">
        <v>363</v>
      </c>
      <c r="B13">
        <v>10</v>
      </c>
      <c r="D13" t="s">
        <v>364</v>
      </c>
      <c r="E13">
        <v>30000</v>
      </c>
      <c r="G13" t="s">
        <v>315</v>
      </c>
      <c r="H13">
        <v>50</v>
      </c>
      <c r="P13" t="s">
        <v>365</v>
      </c>
      <c r="Q13">
        <v>4000</v>
      </c>
    </row>
    <row r="14" spans="1:27" x14ac:dyDescent="0.2">
      <c r="A14" t="s">
        <v>366</v>
      </c>
      <c r="B14">
        <v>10</v>
      </c>
      <c r="D14" t="s">
        <v>367</v>
      </c>
      <c r="E14">
        <v>60000</v>
      </c>
      <c r="G14" t="s">
        <v>368</v>
      </c>
      <c r="H14">
        <v>5000</v>
      </c>
      <c r="P14" t="s">
        <v>369</v>
      </c>
      <c r="Q14">
        <v>10000</v>
      </c>
      <c r="T14" t="s">
        <v>853</v>
      </c>
      <c r="U14" t="s">
        <v>855</v>
      </c>
      <c r="V14" t="s">
        <v>857</v>
      </c>
      <c r="W14" t="s">
        <v>863</v>
      </c>
      <c r="X14" t="s">
        <v>865</v>
      </c>
      <c r="Y14" t="s">
        <v>867</v>
      </c>
      <c r="Z14" t="s">
        <v>869</v>
      </c>
      <c r="AA14" t="s">
        <v>815</v>
      </c>
    </row>
    <row r="15" spans="1:27" x14ac:dyDescent="0.2">
      <c r="A15" t="s">
        <v>370</v>
      </c>
      <c r="B15">
        <v>20</v>
      </c>
      <c r="D15" t="s">
        <v>371</v>
      </c>
      <c r="E15">
        <v>150000</v>
      </c>
      <c r="G15" t="s">
        <v>372</v>
      </c>
      <c r="P15" t="s">
        <v>373</v>
      </c>
      <c r="Q15">
        <v>5000</v>
      </c>
      <c r="T15" t="s">
        <v>5743</v>
      </c>
      <c r="U15" t="s">
        <v>5737</v>
      </c>
      <c r="V15" t="s">
        <v>5809</v>
      </c>
      <c r="W15" t="s">
        <v>5839</v>
      </c>
      <c r="X15" t="s">
        <v>5879</v>
      </c>
      <c r="Y15" t="s">
        <v>5731</v>
      </c>
      <c r="Z15" t="s">
        <v>5829</v>
      </c>
    </row>
    <row r="16" spans="1:27" x14ac:dyDescent="0.2">
      <c r="A16" t="s">
        <v>374</v>
      </c>
      <c r="B16">
        <v>50</v>
      </c>
      <c r="D16" t="s">
        <v>375</v>
      </c>
      <c r="E16">
        <v>2000</v>
      </c>
      <c r="G16" t="s">
        <v>303</v>
      </c>
      <c r="H16">
        <v>2</v>
      </c>
      <c r="P16" t="s">
        <v>376</v>
      </c>
      <c r="Q16">
        <v>500</v>
      </c>
    </row>
    <row r="17" spans="1:30" x14ac:dyDescent="0.2">
      <c r="A17" t="s">
        <v>377</v>
      </c>
      <c r="B17">
        <v>10</v>
      </c>
      <c r="D17" t="s">
        <v>378</v>
      </c>
      <c r="G17" t="s">
        <v>309</v>
      </c>
      <c r="H17">
        <v>5</v>
      </c>
      <c r="P17" t="s">
        <v>379</v>
      </c>
      <c r="Q17">
        <v>2000</v>
      </c>
      <c r="T17" s="65"/>
    </row>
    <row r="18" spans="1:30" x14ac:dyDescent="0.2">
      <c r="A18" t="s">
        <v>380</v>
      </c>
      <c r="B18">
        <v>10</v>
      </c>
      <c r="D18" t="s">
        <v>381</v>
      </c>
      <c r="E18">
        <v>20000</v>
      </c>
      <c r="G18" t="s">
        <v>315</v>
      </c>
      <c r="H18">
        <v>50</v>
      </c>
      <c r="P18" t="s">
        <v>382</v>
      </c>
      <c r="Q18">
        <v>3000</v>
      </c>
      <c r="T18" s="65" t="s">
        <v>5913</v>
      </c>
    </row>
    <row r="19" spans="1:30" x14ac:dyDescent="0.2">
      <c r="A19" t="s">
        <v>383</v>
      </c>
      <c r="B19">
        <v>5000</v>
      </c>
      <c r="D19" t="s">
        <v>384</v>
      </c>
      <c r="E19">
        <v>150000</v>
      </c>
      <c r="G19" t="s">
        <v>368</v>
      </c>
      <c r="H19">
        <v>300</v>
      </c>
      <c r="P19" t="s">
        <v>385</v>
      </c>
      <c r="Q19">
        <v>2000</v>
      </c>
    </row>
    <row r="20" spans="1:30" x14ac:dyDescent="0.2">
      <c r="A20" t="s">
        <v>386</v>
      </c>
      <c r="B20">
        <v>2000</v>
      </c>
      <c r="D20" t="s">
        <v>387</v>
      </c>
      <c r="E20">
        <v>450000</v>
      </c>
      <c r="P20" t="s">
        <v>388</v>
      </c>
      <c r="Q20">
        <v>2000</v>
      </c>
      <c r="U20" s="516" t="s">
        <v>6703</v>
      </c>
      <c r="V20" s="517"/>
      <c r="W20">
        <v>100</v>
      </c>
    </row>
    <row r="21" spans="1:30" x14ac:dyDescent="0.2">
      <c r="A21" t="s">
        <v>389</v>
      </c>
      <c r="B21">
        <v>150</v>
      </c>
      <c r="D21" t="s">
        <v>390</v>
      </c>
      <c r="E21">
        <v>1200000</v>
      </c>
      <c r="P21" t="s">
        <v>391</v>
      </c>
      <c r="Q21">
        <v>3000</v>
      </c>
      <c r="U21" s="516" t="s">
        <v>6704</v>
      </c>
      <c r="V21" s="517"/>
      <c r="W21">
        <f>SUM(W22:W33)-W20</f>
        <v>10</v>
      </c>
    </row>
    <row r="22" spans="1:30" x14ac:dyDescent="0.2">
      <c r="A22" t="s">
        <v>392</v>
      </c>
      <c r="B22">
        <v>200</v>
      </c>
      <c r="D22" t="s">
        <v>393</v>
      </c>
      <c r="E22">
        <v>3500000</v>
      </c>
      <c r="P22" t="s">
        <v>394</v>
      </c>
      <c r="U22" s="350" t="s">
        <v>29</v>
      </c>
      <c r="V22" s="350"/>
      <c r="W22">
        <v>10</v>
      </c>
      <c r="X22">
        <f>MIN(W22:W23)</f>
        <v>10</v>
      </c>
    </row>
    <row r="23" spans="1:30" x14ac:dyDescent="0.2">
      <c r="A23" t="s">
        <v>395</v>
      </c>
      <c r="B23">
        <v>5</v>
      </c>
      <c r="D23" t="s">
        <v>393</v>
      </c>
      <c r="E23">
        <v>8000000</v>
      </c>
      <c r="P23" t="s">
        <v>396</v>
      </c>
      <c r="Q23">
        <v>5000</v>
      </c>
      <c r="U23" s="350" t="s">
        <v>39</v>
      </c>
      <c r="V23" s="350"/>
      <c r="W23">
        <v>10</v>
      </c>
    </row>
    <row r="24" spans="1:30" x14ac:dyDescent="0.2">
      <c r="A24" t="s">
        <v>397</v>
      </c>
      <c r="B24">
        <v>50</v>
      </c>
      <c r="D24" t="s">
        <v>398</v>
      </c>
      <c r="E24">
        <v>15000000</v>
      </c>
      <c r="P24" t="s">
        <v>394</v>
      </c>
      <c r="Q24">
        <v>20000</v>
      </c>
      <c r="U24" s="350" t="s">
        <v>49</v>
      </c>
      <c r="V24" s="350"/>
      <c r="W24">
        <v>10</v>
      </c>
      <c r="X24">
        <f>MIN(W24:W25)</f>
        <v>0</v>
      </c>
      <c r="AC24" t="s">
        <v>5627</v>
      </c>
      <c r="AD24" t="s">
        <v>6760</v>
      </c>
    </row>
    <row r="25" spans="1:30" x14ac:dyDescent="0.2">
      <c r="A25" t="s">
        <v>399</v>
      </c>
      <c r="B25">
        <v>10</v>
      </c>
      <c r="P25" t="s">
        <v>400</v>
      </c>
      <c r="Q25">
        <v>50000</v>
      </c>
      <c r="U25" s="350" t="s">
        <v>61</v>
      </c>
      <c r="V25" s="350"/>
      <c r="W25">
        <v>0</v>
      </c>
      <c r="AA25" t="s">
        <v>6757</v>
      </c>
      <c r="AB25" t="s">
        <v>6757</v>
      </c>
    </row>
    <row r="26" spans="1:30" x14ac:dyDescent="0.2">
      <c r="P26" t="s">
        <v>401</v>
      </c>
      <c r="Q26">
        <v>50000</v>
      </c>
      <c r="U26" s="350" t="s">
        <v>70</v>
      </c>
      <c r="V26" s="350"/>
      <c r="W26">
        <v>10</v>
      </c>
      <c r="X26">
        <f>MIN(W26:W27)</f>
        <v>10</v>
      </c>
      <c r="AA26" t="s">
        <v>6758</v>
      </c>
      <c r="AB26" t="s">
        <v>6761</v>
      </c>
    </row>
    <row r="27" spans="1:30" x14ac:dyDescent="0.2">
      <c r="P27" t="s">
        <v>402</v>
      </c>
      <c r="Q27">
        <v>100000</v>
      </c>
      <c r="U27" s="350" t="s">
        <v>65</v>
      </c>
      <c r="V27" s="350"/>
      <c r="W27">
        <v>10</v>
      </c>
      <c r="AA27" t="s">
        <v>6759</v>
      </c>
      <c r="AB27" s="65" t="s">
        <v>6762</v>
      </c>
    </row>
    <row r="28" spans="1:30" x14ac:dyDescent="0.2">
      <c r="P28" t="s">
        <v>403</v>
      </c>
      <c r="Q28">
        <v>100000</v>
      </c>
      <c r="U28" s="350" t="s">
        <v>35</v>
      </c>
      <c r="V28" s="350"/>
      <c r="W28">
        <v>10</v>
      </c>
      <c r="X28">
        <f>MIN(W28:W29)</f>
        <v>10</v>
      </c>
    </row>
    <row r="29" spans="1:30" x14ac:dyDescent="0.2">
      <c r="P29" t="s">
        <v>404</v>
      </c>
      <c r="Q29">
        <v>150000</v>
      </c>
      <c r="U29" s="350" t="s">
        <v>60</v>
      </c>
      <c r="V29" s="350"/>
      <c r="W29">
        <v>10</v>
      </c>
    </row>
    <row r="30" spans="1:30" x14ac:dyDescent="0.2">
      <c r="P30" t="s">
        <v>405</v>
      </c>
      <c r="Q30">
        <v>500000</v>
      </c>
      <c r="U30" s="350" t="s">
        <v>90</v>
      </c>
      <c r="V30" s="350"/>
      <c r="W30">
        <v>10</v>
      </c>
      <c r="X30">
        <f>MIN(W30:W31)</f>
        <v>10</v>
      </c>
    </row>
    <row r="31" spans="1:30" x14ac:dyDescent="0.2">
      <c r="P31" t="s">
        <v>406</v>
      </c>
      <c r="Q31">
        <v>650000</v>
      </c>
      <c r="U31" s="350" t="s">
        <v>94</v>
      </c>
      <c r="V31" s="350"/>
      <c r="W31">
        <v>10</v>
      </c>
    </row>
    <row r="32" spans="1:30" x14ac:dyDescent="0.2">
      <c r="P32" t="s">
        <v>407</v>
      </c>
      <c r="U32" s="350" t="s">
        <v>101</v>
      </c>
      <c r="V32" s="350"/>
      <c r="W32">
        <v>10</v>
      </c>
      <c r="X32">
        <f>IF(COUNTIF(W22:W31,"&gt;="&amp;W32)&gt;0,W32,0)</f>
        <v>10</v>
      </c>
    </row>
    <row r="33" spans="16:23" x14ac:dyDescent="0.2">
      <c r="P33" t="s">
        <v>309</v>
      </c>
      <c r="Q33">
        <v>25000</v>
      </c>
      <c r="U33" s="350" t="s">
        <v>136</v>
      </c>
      <c r="V33" s="350"/>
      <c r="W33">
        <v>10</v>
      </c>
    </row>
    <row r="34" spans="16:23" x14ac:dyDescent="0.2">
      <c r="P34" t="s">
        <v>408</v>
      </c>
      <c r="Q34">
        <v>80000</v>
      </c>
    </row>
    <row r="35" spans="16:23" x14ac:dyDescent="0.2">
      <c r="P35" t="s">
        <v>368</v>
      </c>
      <c r="Q35">
        <v>125000</v>
      </c>
    </row>
  </sheetData>
  <sheetProtection selectLockedCells="1" selectUnlockedCells="1"/>
  <mergeCells count="14">
    <mergeCell ref="U20:V20"/>
    <mergeCell ref="U21:V21"/>
    <mergeCell ref="U28:V28"/>
    <mergeCell ref="U29:V29"/>
    <mergeCell ref="U30:V30"/>
    <mergeCell ref="U31:V31"/>
    <mergeCell ref="U32:V32"/>
    <mergeCell ref="U33:V33"/>
    <mergeCell ref="U22:V22"/>
    <mergeCell ref="U23:V23"/>
    <mergeCell ref="U24:V24"/>
    <mergeCell ref="U25:V25"/>
    <mergeCell ref="U26:V26"/>
    <mergeCell ref="U27:V27"/>
  </mergeCells>
  <dataValidations count="15">
    <dataValidation type="list" allowBlank="1" showInputMessage="1" showErrorMessage="1" sqref="T15">
      <formula1>v.1</formula1>
    </dataValidation>
    <dataValidation type="list" allowBlank="1" showInputMessage="1" showErrorMessage="1" sqref="T14">
      <formula1>v.11</formula1>
    </dataValidation>
    <dataValidation type="list" allowBlank="1" showInputMessage="1" showErrorMessage="1" sqref="U14">
      <formula1>v.12</formula1>
    </dataValidation>
    <dataValidation type="list" allowBlank="1" showInputMessage="1" showErrorMessage="1" sqref="U15">
      <formula1>v.2</formula1>
    </dataValidation>
    <dataValidation type="list" allowBlank="1" showInputMessage="1" showErrorMessage="1" sqref="V14">
      <formula1>v.13</formula1>
    </dataValidation>
    <dataValidation type="list" allowBlank="1" showInputMessage="1" showErrorMessage="1" sqref="V15">
      <formula1>v.3</formula1>
    </dataValidation>
    <dataValidation type="list" allowBlank="1" showInputMessage="1" showErrorMessage="1" sqref="W14">
      <formula1>v.14</formula1>
    </dataValidation>
    <dataValidation type="list" allowBlank="1" showInputMessage="1" showErrorMessage="1" sqref="W15">
      <formula1>v.4</formula1>
    </dataValidation>
    <dataValidation type="list" allowBlank="1" showInputMessage="1" showErrorMessage="1" sqref="X14">
      <formula1>v.15</formula1>
    </dataValidation>
    <dataValidation type="list" allowBlank="1" showInputMessage="1" showErrorMessage="1" sqref="X15">
      <formula1>v.5</formula1>
    </dataValidation>
    <dataValidation type="list" allowBlank="1" showInputMessage="1" showErrorMessage="1" sqref="Y14">
      <formula1>v.16</formula1>
    </dataValidation>
    <dataValidation type="list" allowBlank="1" showInputMessage="1" showErrorMessage="1" sqref="Y15">
      <formula1>v.6</formula1>
    </dataValidation>
    <dataValidation type="list" allowBlank="1" showInputMessage="1" showErrorMessage="1" sqref="Z14">
      <formula1>v.17</formula1>
    </dataValidation>
    <dataValidation type="list" allowBlank="1" showInputMessage="1" showErrorMessage="1" sqref="Z15">
      <formula1>v.7</formula1>
    </dataValidation>
    <dataValidation type="list" allowBlank="1" showInputMessage="1" showErrorMessage="1" sqref="AA14">
      <formula1>ve.1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50"/>
  <sheetViews>
    <sheetView topLeftCell="BV64" zoomScaleNormal="100" workbookViewId="0">
      <selection activeCell="BZ81" sqref="BZ81"/>
    </sheetView>
  </sheetViews>
  <sheetFormatPr baseColWidth="10" defaultColWidth="11.5703125" defaultRowHeight="12.75" x14ac:dyDescent="0.2"/>
  <cols>
    <col min="1" max="3" width="11.5703125" style="25"/>
    <col min="4" max="4" width="12.28515625" style="25" customWidth="1"/>
    <col min="5" max="8" width="11.5703125" style="25"/>
    <col min="9" max="9" width="12.28515625" style="25" customWidth="1"/>
    <col min="10" max="10" width="12.28515625" style="25" bestFit="1" customWidth="1"/>
    <col min="11" max="11" width="13.140625" style="25" bestFit="1" customWidth="1"/>
    <col min="12" max="30" width="11.5703125" style="25"/>
    <col min="31" max="31" width="12.7109375" style="25" bestFit="1" customWidth="1"/>
    <col min="32" max="43" width="11.5703125" style="25"/>
    <col min="44" max="44" width="12.28515625" style="25" customWidth="1"/>
    <col min="45" max="45" width="15.140625" style="25" customWidth="1"/>
    <col min="46" max="46" width="17.5703125" style="25" customWidth="1"/>
    <col min="47" max="48" width="11.5703125" style="25"/>
    <col min="49" max="49" width="12.85546875" style="25" customWidth="1"/>
    <col min="50" max="50" width="14.85546875" style="25" customWidth="1"/>
    <col min="51" max="51" width="16.85546875" style="25" customWidth="1"/>
    <col min="52" max="52" width="11.5703125" style="25"/>
    <col min="53" max="53" width="17.140625" style="25" customWidth="1"/>
    <col min="54" max="54" width="11.5703125" style="25"/>
    <col min="55" max="55" width="12.28515625" style="25" bestFit="1" customWidth="1"/>
    <col min="56" max="57" width="22.28515625" style="25" customWidth="1"/>
    <col min="58" max="69" width="11.5703125" style="25"/>
    <col min="70" max="72" width="14" style="25" customWidth="1"/>
    <col min="73" max="77" width="11.5703125" style="25"/>
    <col min="78" max="78" width="25.42578125" style="25" customWidth="1"/>
    <col min="79" max="79" width="18.7109375" style="25" customWidth="1"/>
    <col min="80" max="80" width="24.5703125" style="25" customWidth="1"/>
    <col min="81" max="82" width="11.5703125" style="25"/>
    <col min="83" max="83" width="13.28515625" style="25" customWidth="1"/>
    <col min="84" max="95" width="11.5703125" style="25"/>
    <col min="96" max="96" width="25.42578125" style="25" customWidth="1"/>
    <col min="97" max="97" width="18.7109375" style="25" customWidth="1"/>
    <col min="98" max="98" width="22.140625" style="25" customWidth="1"/>
    <col min="99" max="99" width="12.7109375" style="25" bestFit="1" customWidth="1"/>
    <col min="100" max="100" width="11.5703125" style="25"/>
    <col min="101" max="101" width="13.28515625" style="25" customWidth="1"/>
    <col min="102" max="102" width="11.5703125" style="25"/>
    <col min="103" max="103" width="12.7109375" style="25" bestFit="1" customWidth="1"/>
    <col min="104" max="107" width="11.5703125" style="25"/>
    <col min="108" max="108" width="13.42578125" style="25" customWidth="1"/>
    <col min="109" max="111" width="11.5703125" style="25"/>
    <col min="112" max="112" width="12.28515625" style="25" bestFit="1" customWidth="1"/>
    <col min="113" max="16384" width="11.5703125" style="25"/>
  </cols>
  <sheetData>
    <row r="1" spans="1:170" x14ac:dyDescent="0.2">
      <c r="A1" s="25">
        <v>1</v>
      </c>
      <c r="B1" s="25">
        <v>-30</v>
      </c>
      <c r="D1" s="25">
        <v>1</v>
      </c>
      <c r="E1" s="25">
        <v>5</v>
      </c>
      <c r="G1" s="25">
        <v>1</v>
      </c>
      <c r="H1" s="25">
        <v>0</v>
      </c>
      <c r="J1" s="25">
        <v>1</v>
      </c>
      <c r="K1" s="25">
        <v>0</v>
      </c>
      <c r="L1" s="25" t="s">
        <v>38</v>
      </c>
      <c r="X1" s="25" t="s">
        <v>169</v>
      </c>
      <c r="Y1" s="25" t="s">
        <v>0</v>
      </c>
      <c r="Z1" s="25" t="s">
        <v>229</v>
      </c>
      <c r="AA1" s="25" t="s">
        <v>1</v>
      </c>
      <c r="AB1" s="25" t="s">
        <v>409</v>
      </c>
      <c r="AC1" s="25" t="s">
        <v>410</v>
      </c>
      <c r="AD1" s="25" t="s">
        <v>411</v>
      </c>
      <c r="AE1" s="25" t="s">
        <v>412</v>
      </c>
      <c r="AF1" s="25" t="s">
        <v>38</v>
      </c>
      <c r="AG1" s="25" t="s">
        <v>289</v>
      </c>
      <c r="AH1" s="25" t="s">
        <v>288</v>
      </c>
      <c r="AI1" s="25" t="s">
        <v>17</v>
      </c>
      <c r="AO1" s="26">
        <v>-400</v>
      </c>
      <c r="AP1" s="25">
        <v>7</v>
      </c>
      <c r="AV1" s="25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70" x14ac:dyDescent="0.2">
      <c r="A2" s="25">
        <v>2</v>
      </c>
      <c r="B2" s="25">
        <v>-20</v>
      </c>
      <c r="D2" s="25">
        <v>2</v>
      </c>
      <c r="E2" s="25">
        <v>20</v>
      </c>
      <c r="G2" s="25">
        <v>2</v>
      </c>
      <c r="H2" s="25">
        <v>0</v>
      </c>
      <c r="J2" s="25">
        <v>2</v>
      </c>
      <c r="K2" s="25">
        <v>0</v>
      </c>
      <c r="L2" s="25">
        <v>-5</v>
      </c>
      <c r="M2" s="25">
        <v>-1</v>
      </c>
      <c r="O2" s="25">
        <v>0</v>
      </c>
      <c r="P2" s="25">
        <v>0</v>
      </c>
      <c r="Q2" s="25">
        <v>1</v>
      </c>
      <c r="X2" s="25">
        <v>51</v>
      </c>
      <c r="Y2" s="25" t="s">
        <v>413</v>
      </c>
      <c r="Z2" s="25">
        <v>30</v>
      </c>
      <c r="AA2" s="25">
        <v>20</v>
      </c>
      <c r="AB2" s="27" t="s">
        <v>414</v>
      </c>
      <c r="AC2" s="25" t="s">
        <v>415</v>
      </c>
      <c r="AD2" s="25" t="s">
        <v>66</v>
      </c>
      <c r="AE2" s="25" t="s">
        <v>416</v>
      </c>
      <c r="AF2" s="25" t="s">
        <v>417</v>
      </c>
      <c r="AG2" s="25">
        <v>8</v>
      </c>
      <c r="AH2" s="25">
        <v>0</v>
      </c>
      <c r="AI2" s="25">
        <v>25</v>
      </c>
      <c r="AO2" s="26">
        <v>-395</v>
      </c>
      <c r="AP2" s="25">
        <v>7</v>
      </c>
      <c r="AX2" s="25" t="s">
        <v>248</v>
      </c>
    </row>
    <row r="3" spans="1:170" x14ac:dyDescent="0.2">
      <c r="A3" s="25">
        <v>3</v>
      </c>
      <c r="B3" s="25">
        <v>-10</v>
      </c>
      <c r="D3" s="25">
        <v>3</v>
      </c>
      <c r="E3" s="25">
        <v>40</v>
      </c>
      <c r="G3" s="25">
        <v>3</v>
      </c>
      <c r="H3" s="25">
        <v>0</v>
      </c>
      <c r="J3" s="25">
        <v>3</v>
      </c>
      <c r="K3" s="25">
        <v>1</v>
      </c>
      <c r="L3" s="25">
        <v>0</v>
      </c>
      <c r="M3" s="25">
        <v>0</v>
      </c>
      <c r="O3" s="25">
        <v>5</v>
      </c>
      <c r="P3" s="25">
        <v>1</v>
      </c>
      <c r="Q3" s="25">
        <v>0</v>
      </c>
      <c r="S3" s="45" t="s">
        <v>5703</v>
      </c>
      <c r="X3" s="25">
        <v>1</v>
      </c>
      <c r="Y3" s="25" t="s">
        <v>418</v>
      </c>
      <c r="Z3" s="25">
        <v>60</v>
      </c>
      <c r="AA3" s="25">
        <v>-15</v>
      </c>
      <c r="AB3" s="27" t="s">
        <v>419</v>
      </c>
      <c r="AC3" s="25" t="s">
        <v>415</v>
      </c>
      <c r="AD3" s="25" t="s">
        <v>66</v>
      </c>
      <c r="AE3" s="25" t="s">
        <v>420</v>
      </c>
      <c r="AF3" s="25" t="s">
        <v>421</v>
      </c>
      <c r="AG3" s="25">
        <v>15</v>
      </c>
      <c r="AH3" s="25">
        <v>4</v>
      </c>
      <c r="AI3" s="25">
        <v>20</v>
      </c>
      <c r="AO3" s="26">
        <v>-390</v>
      </c>
      <c r="AP3" s="25">
        <v>7</v>
      </c>
      <c r="AT3" s="25">
        <v>-3</v>
      </c>
      <c r="AU3" s="25">
        <v>0</v>
      </c>
      <c r="AV3" s="25" t="e">
        <f>LOOKUP(AV1,AT3:AU9)</f>
        <v>#N/A</v>
      </c>
      <c r="AX3" s="25" t="s">
        <v>0</v>
      </c>
      <c r="AY3" s="25" t="s">
        <v>229</v>
      </c>
      <c r="AZ3" s="25" t="s">
        <v>1</v>
      </c>
      <c r="BA3" s="25" t="s">
        <v>409</v>
      </c>
      <c r="BB3" s="25" t="s">
        <v>410</v>
      </c>
      <c r="BC3" s="25" t="s">
        <v>411</v>
      </c>
      <c r="BD3" s="25" t="s">
        <v>412</v>
      </c>
      <c r="BE3" s="25" t="s">
        <v>38</v>
      </c>
      <c r="BF3" s="25" t="s">
        <v>289</v>
      </c>
      <c r="BG3" s="25" t="s">
        <v>288</v>
      </c>
      <c r="BH3" s="25" t="s">
        <v>17</v>
      </c>
      <c r="BI3" s="25" t="s">
        <v>153</v>
      </c>
      <c r="DJ3" s="25" t="s">
        <v>5340</v>
      </c>
      <c r="DV3" s="25" t="s">
        <v>5424</v>
      </c>
    </row>
    <row r="4" spans="1:170" x14ac:dyDescent="0.2">
      <c r="A4" s="25">
        <v>4</v>
      </c>
      <c r="B4" s="25">
        <v>-5</v>
      </c>
      <c r="D4" s="25">
        <v>4</v>
      </c>
      <c r="E4" s="25">
        <v>55</v>
      </c>
      <c r="G4" s="25">
        <v>4</v>
      </c>
      <c r="H4" s="25">
        <v>0</v>
      </c>
      <c r="J4" s="25">
        <v>4</v>
      </c>
      <c r="K4" s="25">
        <v>1</v>
      </c>
      <c r="L4" s="25">
        <v>5</v>
      </c>
      <c r="M4" s="25">
        <v>1</v>
      </c>
      <c r="O4" s="25">
        <v>10</v>
      </c>
      <c r="P4" s="25">
        <v>1</v>
      </c>
      <c r="Q4" s="25">
        <v>0</v>
      </c>
      <c r="U4" s="25" t="s">
        <v>5068</v>
      </c>
      <c r="X4" s="25">
        <v>46</v>
      </c>
      <c r="Y4" s="25" t="s">
        <v>422</v>
      </c>
      <c r="Z4" s="25">
        <v>35</v>
      </c>
      <c r="AA4" s="25">
        <v>15</v>
      </c>
      <c r="AB4" s="27" t="s">
        <v>414</v>
      </c>
      <c r="AC4" s="25" t="s">
        <v>423</v>
      </c>
      <c r="AD4" s="25" t="s">
        <v>424</v>
      </c>
      <c r="AE4" s="25" t="s">
        <v>425</v>
      </c>
      <c r="AF4" s="25" t="s">
        <v>426</v>
      </c>
      <c r="AG4" s="25">
        <v>12</v>
      </c>
      <c r="AH4" s="25">
        <v>2</v>
      </c>
      <c r="AI4" s="25">
        <v>25</v>
      </c>
      <c r="AL4" s="25">
        <v>7</v>
      </c>
      <c r="AM4" s="25">
        <v>1</v>
      </c>
      <c r="AO4" s="26">
        <v>-385</v>
      </c>
      <c r="AP4" s="25">
        <v>7</v>
      </c>
      <c r="AT4" s="25">
        <v>-2</v>
      </c>
      <c r="AU4" s="25">
        <v>0</v>
      </c>
      <c r="AX4" s="25">
        <v>0</v>
      </c>
      <c r="AY4" s="25">
        <v>0</v>
      </c>
      <c r="AZ4" s="25">
        <v>20</v>
      </c>
      <c r="BA4" s="135" t="s">
        <v>5703</v>
      </c>
      <c r="BB4" s="45" t="s">
        <v>5703</v>
      </c>
      <c r="BC4" s="45" t="s">
        <v>5703</v>
      </c>
      <c r="BD4" s="45" t="s">
        <v>5703</v>
      </c>
      <c r="BE4" s="45" t="s">
        <v>5703</v>
      </c>
      <c r="BF4" s="26">
        <v>0</v>
      </c>
      <c r="BG4" s="26">
        <v>0</v>
      </c>
      <c r="BH4" s="26">
        <v>0</v>
      </c>
      <c r="BI4" s="45" t="s">
        <v>5703</v>
      </c>
      <c r="BN4" s="25">
        <v>1</v>
      </c>
      <c r="BO4" s="25">
        <v>2</v>
      </c>
      <c r="BP4" s="25">
        <v>3</v>
      </c>
      <c r="BQ4" s="25">
        <v>4</v>
      </c>
      <c r="BR4" s="25">
        <v>5</v>
      </c>
      <c r="BS4" s="25">
        <v>6</v>
      </c>
      <c r="BT4" s="25">
        <v>7</v>
      </c>
      <c r="BU4" s="25">
        <v>8</v>
      </c>
      <c r="BV4" s="25">
        <v>9</v>
      </c>
      <c r="BY4" s="25" t="s">
        <v>0</v>
      </c>
      <c r="BZ4" s="25" t="s">
        <v>724</v>
      </c>
      <c r="CA4" s="25" t="s">
        <v>725</v>
      </c>
      <c r="CB4" s="25" t="s">
        <v>726</v>
      </c>
      <c r="CC4" s="25" t="s">
        <v>289</v>
      </c>
      <c r="CD4" s="25" t="s">
        <v>17</v>
      </c>
      <c r="CE4" s="25" t="s">
        <v>727</v>
      </c>
      <c r="CF4" s="25" t="s">
        <v>277</v>
      </c>
      <c r="CG4" s="48" t="s">
        <v>156</v>
      </c>
      <c r="CH4" s="48" t="s">
        <v>157</v>
      </c>
      <c r="CI4" s="48" t="s">
        <v>158</v>
      </c>
      <c r="CJ4" s="48" t="s">
        <v>159</v>
      </c>
      <c r="CK4" s="48" t="s">
        <v>160</v>
      </c>
      <c r="CL4" s="48" t="s">
        <v>161</v>
      </c>
      <c r="CM4" s="48" t="s">
        <v>162</v>
      </c>
      <c r="CQ4" s="25" t="s">
        <v>0</v>
      </c>
      <c r="CR4" s="25" t="s">
        <v>724</v>
      </c>
      <c r="CS4" s="25" t="s">
        <v>725</v>
      </c>
      <c r="CT4" s="25" t="s">
        <v>749</v>
      </c>
      <c r="CU4" s="25" t="s">
        <v>289</v>
      </c>
      <c r="CV4" s="25" t="s">
        <v>17</v>
      </c>
      <c r="CW4" s="25" t="s">
        <v>727</v>
      </c>
      <c r="CX4" s="25" t="s">
        <v>277</v>
      </c>
      <c r="CY4" s="48" t="s">
        <v>156</v>
      </c>
      <c r="CZ4" s="48" t="s">
        <v>157</v>
      </c>
      <c r="DA4" s="48" t="s">
        <v>158</v>
      </c>
      <c r="DB4" s="48" t="s">
        <v>159</v>
      </c>
      <c r="DC4" s="48" t="s">
        <v>160</v>
      </c>
      <c r="DD4" s="48" t="s">
        <v>161</v>
      </c>
      <c r="DE4" s="48" t="s">
        <v>162</v>
      </c>
      <c r="DF4" s="25" t="s">
        <v>5321</v>
      </c>
      <c r="DJ4" s="25" t="s">
        <v>0</v>
      </c>
      <c r="DK4" s="25" t="s">
        <v>5341</v>
      </c>
      <c r="DL4" s="25" t="s">
        <v>5342</v>
      </c>
      <c r="DM4" s="25" t="s">
        <v>5343</v>
      </c>
      <c r="DN4" s="25" t="s">
        <v>5</v>
      </c>
      <c r="DO4" s="25" t="s">
        <v>5148</v>
      </c>
      <c r="EE4" s="45" t="s">
        <v>5703</v>
      </c>
      <c r="EH4" s="25" t="s">
        <v>5485</v>
      </c>
      <c r="EL4" s="25" t="s">
        <v>5510</v>
      </c>
    </row>
    <row r="5" spans="1:170" x14ac:dyDescent="0.2">
      <c r="A5" s="25">
        <v>5</v>
      </c>
      <c r="B5" s="25">
        <v>0</v>
      </c>
      <c r="D5" s="25">
        <v>5</v>
      </c>
      <c r="E5" s="25">
        <v>70</v>
      </c>
      <c r="G5" s="25">
        <v>5</v>
      </c>
      <c r="H5" s="25">
        <v>10</v>
      </c>
      <c r="J5" s="25">
        <v>5</v>
      </c>
      <c r="K5" s="25">
        <v>1</v>
      </c>
      <c r="L5" s="25">
        <v>10</v>
      </c>
      <c r="M5" s="25">
        <v>2</v>
      </c>
      <c r="O5" s="25">
        <v>15</v>
      </c>
      <c r="P5" s="25">
        <v>1</v>
      </c>
      <c r="Q5" s="25">
        <v>0</v>
      </c>
      <c r="U5" s="25" t="s">
        <v>5069</v>
      </c>
      <c r="V5" s="25" t="s">
        <v>5070</v>
      </c>
      <c r="W5" s="25" t="s">
        <v>5071</v>
      </c>
      <c r="X5" s="25">
        <v>107</v>
      </c>
      <c r="Y5" s="25" t="s">
        <v>427</v>
      </c>
      <c r="Z5" s="25">
        <v>20</v>
      </c>
      <c r="AA5" s="25">
        <v>-10</v>
      </c>
      <c r="AB5" s="27" t="s">
        <v>414</v>
      </c>
      <c r="AC5" s="25" t="s">
        <v>66</v>
      </c>
      <c r="AD5" s="25" t="s">
        <v>428</v>
      </c>
      <c r="AE5" s="25" t="s">
        <v>429</v>
      </c>
      <c r="AF5" s="45" t="s">
        <v>5703</v>
      </c>
      <c r="AG5" s="26">
        <v>10</v>
      </c>
      <c r="AH5" s="26">
        <v>-2</v>
      </c>
      <c r="AI5" s="26">
        <v>20</v>
      </c>
      <c r="AL5" s="25">
        <v>12</v>
      </c>
      <c r="AM5" s="25">
        <v>0</v>
      </c>
      <c r="AO5" s="26">
        <v>-380</v>
      </c>
      <c r="AP5" s="25">
        <v>7</v>
      </c>
      <c r="AT5" s="25">
        <v>-1</v>
      </c>
      <c r="AU5" s="25">
        <v>0</v>
      </c>
      <c r="AX5" s="25" t="s">
        <v>413</v>
      </c>
      <c r="AY5" s="25">
        <v>30</v>
      </c>
      <c r="AZ5" s="25">
        <v>20</v>
      </c>
      <c r="BA5" s="27" t="s">
        <v>414</v>
      </c>
      <c r="BB5" s="25" t="s">
        <v>415</v>
      </c>
      <c r="BC5" s="25" t="s">
        <v>66</v>
      </c>
      <c r="BD5" s="25" t="s">
        <v>416</v>
      </c>
      <c r="BE5" s="25" t="s">
        <v>417</v>
      </c>
      <c r="BF5" s="25">
        <v>8</v>
      </c>
      <c r="BG5" s="25">
        <v>0</v>
      </c>
      <c r="BH5" s="25">
        <v>25</v>
      </c>
      <c r="BI5" s="45" t="s">
        <v>5703</v>
      </c>
      <c r="BK5" s="25" t="s">
        <v>5311</v>
      </c>
      <c r="BL5" s="25">
        <v>8</v>
      </c>
      <c r="BN5" s="25" t="s">
        <v>5298</v>
      </c>
      <c r="BO5" s="25" t="s">
        <v>5299</v>
      </c>
      <c r="BP5" s="25" t="s">
        <v>5300</v>
      </c>
      <c r="BQ5" s="25" t="s">
        <v>5301</v>
      </c>
      <c r="BR5" s="25" t="s">
        <v>5302</v>
      </c>
      <c r="BS5" s="25" t="s">
        <v>5304</v>
      </c>
      <c r="BT5" s="25" t="s">
        <v>5305</v>
      </c>
      <c r="BU5" s="25" t="s">
        <v>5303</v>
      </c>
      <c r="BV5" s="25" t="s">
        <v>5482</v>
      </c>
      <c r="BY5" s="25">
        <v>0</v>
      </c>
      <c r="BZ5" s="34">
        <v>0</v>
      </c>
      <c r="CA5" s="25">
        <v>0</v>
      </c>
      <c r="CB5" s="25">
        <v>0</v>
      </c>
      <c r="CC5" s="25">
        <v>0</v>
      </c>
      <c r="CD5" s="25">
        <v>0</v>
      </c>
      <c r="CE5" s="45" t="s">
        <v>5703</v>
      </c>
      <c r="CF5" s="45" t="s">
        <v>5703</v>
      </c>
      <c r="CG5" s="45">
        <v>0</v>
      </c>
      <c r="CH5" s="45">
        <v>0</v>
      </c>
      <c r="CI5" s="45">
        <v>0</v>
      </c>
      <c r="CJ5" s="45">
        <v>0</v>
      </c>
      <c r="CK5" s="45">
        <v>0</v>
      </c>
      <c r="CL5" s="45">
        <v>0</v>
      </c>
      <c r="CM5" s="45">
        <v>0</v>
      </c>
      <c r="CQ5" s="25">
        <v>0</v>
      </c>
      <c r="CR5" s="25">
        <v>0</v>
      </c>
      <c r="CT5" s="25">
        <v>0</v>
      </c>
      <c r="CU5" s="25">
        <v>0</v>
      </c>
      <c r="CV5" s="25">
        <v>0</v>
      </c>
      <c r="CW5" s="45" t="s">
        <v>5703</v>
      </c>
      <c r="CX5" s="45" t="s">
        <v>5703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27</v>
      </c>
      <c r="DJ5" s="25" t="s">
        <v>5344</v>
      </c>
      <c r="DK5" s="25" t="s">
        <v>87</v>
      </c>
      <c r="DL5" s="25" t="s">
        <v>87</v>
      </c>
      <c r="DM5" s="25">
        <v>30</v>
      </c>
      <c r="DN5" s="25">
        <v>10</v>
      </c>
      <c r="DO5" s="25" t="s">
        <v>5345</v>
      </c>
      <c r="DV5" s="25" t="s">
        <v>0</v>
      </c>
      <c r="DW5" s="25" t="s">
        <v>5425</v>
      </c>
      <c r="DX5" s="25" t="s">
        <v>5429</v>
      </c>
      <c r="DY5" s="25" t="s">
        <v>5426</v>
      </c>
      <c r="DZ5" s="25" t="s">
        <v>5</v>
      </c>
      <c r="EA5" s="25" t="s">
        <v>5427</v>
      </c>
      <c r="ED5" s="25" t="s">
        <v>5428</v>
      </c>
      <c r="EE5" s="25">
        <v>95</v>
      </c>
      <c r="EH5" s="25" t="s">
        <v>5487</v>
      </c>
      <c r="EL5" s="98" t="s">
        <v>68</v>
      </c>
      <c r="EM5" s="94" t="s">
        <v>69</v>
      </c>
      <c r="EN5" s="99" t="s">
        <v>5509</v>
      </c>
      <c r="EO5" s="99" t="s">
        <v>275</v>
      </c>
      <c r="EQ5" s="25" t="s">
        <v>5521</v>
      </c>
      <c r="ER5" s="25" t="s">
        <v>14</v>
      </c>
      <c r="ES5" s="25" t="s">
        <v>27</v>
      </c>
      <c r="EX5" s="25" t="s">
        <v>5524</v>
      </c>
      <c r="EZ5" s="38" t="s">
        <v>5536</v>
      </c>
      <c r="FM5" s="25" t="s">
        <v>6009</v>
      </c>
    </row>
    <row r="6" spans="1:170" ht="13.5" thickBot="1" x14ac:dyDescent="0.25">
      <c r="A6" s="25">
        <v>6</v>
      </c>
      <c r="B6" s="25">
        <v>5</v>
      </c>
      <c r="D6" s="25">
        <v>6</v>
      </c>
      <c r="E6" s="25">
        <v>85</v>
      </c>
      <c r="G6" s="25">
        <v>6</v>
      </c>
      <c r="H6" s="25">
        <v>20</v>
      </c>
      <c r="J6" s="25">
        <v>6</v>
      </c>
      <c r="K6" s="25">
        <v>1</v>
      </c>
      <c r="L6" s="25">
        <v>15</v>
      </c>
      <c r="M6" s="25">
        <v>3</v>
      </c>
      <c r="O6" s="25">
        <v>20</v>
      </c>
      <c r="P6" s="25">
        <v>1</v>
      </c>
      <c r="Q6" s="25">
        <v>0</v>
      </c>
      <c r="S6" s="25" t="s">
        <v>5047</v>
      </c>
      <c r="U6" s="25">
        <v>3</v>
      </c>
      <c r="V6" s="25">
        <v>0</v>
      </c>
      <c r="W6" s="25">
        <v>0</v>
      </c>
      <c r="X6" s="25">
        <v>83</v>
      </c>
      <c r="Y6" s="25" t="s">
        <v>431</v>
      </c>
      <c r="Z6" s="25">
        <v>0</v>
      </c>
      <c r="AA6" s="25">
        <v>-20</v>
      </c>
      <c r="AB6" s="27" t="s">
        <v>432</v>
      </c>
      <c r="AC6" s="45" t="s">
        <v>5703</v>
      </c>
      <c r="AD6" s="45" t="s">
        <v>5703</v>
      </c>
      <c r="AE6" s="25" t="s">
        <v>433</v>
      </c>
      <c r="AF6" s="25" t="s">
        <v>434</v>
      </c>
      <c r="AG6" s="26">
        <v>9</v>
      </c>
      <c r="AH6" s="26">
        <v>-3</v>
      </c>
      <c r="AI6" s="26">
        <v>20</v>
      </c>
      <c r="AO6" s="26">
        <v>-375</v>
      </c>
      <c r="AP6" s="25">
        <v>7</v>
      </c>
      <c r="AT6" s="25">
        <v>0</v>
      </c>
      <c r="AU6" s="25">
        <v>1</v>
      </c>
      <c r="AX6" s="25" t="s">
        <v>418</v>
      </c>
      <c r="AY6" s="25">
        <v>60</v>
      </c>
      <c r="AZ6" s="25">
        <v>-15</v>
      </c>
      <c r="BA6" s="27" t="s">
        <v>419</v>
      </c>
      <c r="BB6" s="25" t="s">
        <v>415</v>
      </c>
      <c r="BC6" s="25" t="s">
        <v>66</v>
      </c>
      <c r="BD6" s="25" t="s">
        <v>420</v>
      </c>
      <c r="BE6" s="25" t="s">
        <v>6423</v>
      </c>
      <c r="BF6" s="25">
        <v>15</v>
      </c>
      <c r="BG6" s="25">
        <v>4</v>
      </c>
      <c r="BH6" s="25">
        <v>20</v>
      </c>
      <c r="BI6" s="45" t="s">
        <v>5703</v>
      </c>
      <c r="BK6" s="25" t="s">
        <v>5312</v>
      </c>
      <c r="BL6" s="25">
        <v>1</v>
      </c>
      <c r="BN6" s="25" t="s">
        <v>418</v>
      </c>
      <c r="BO6" s="25" t="s">
        <v>5229</v>
      </c>
      <c r="BP6" s="25" t="s">
        <v>577</v>
      </c>
      <c r="BQ6" s="25" t="s">
        <v>483</v>
      </c>
      <c r="BR6" s="25" t="s">
        <v>453</v>
      </c>
      <c r="BS6" s="28" t="s">
        <v>657</v>
      </c>
      <c r="BT6" s="25" t="s">
        <v>649</v>
      </c>
      <c r="BU6" s="25" t="s">
        <v>448</v>
      </c>
      <c r="BV6" s="25" t="s">
        <v>5428</v>
      </c>
      <c r="BY6" s="25" t="s">
        <v>728</v>
      </c>
      <c r="BZ6" s="33">
        <v>0</v>
      </c>
      <c r="CA6" s="25">
        <v>-5</v>
      </c>
      <c r="CB6" s="25">
        <v>0</v>
      </c>
      <c r="CC6" s="25">
        <v>10</v>
      </c>
      <c r="CD6" s="25">
        <v>25</v>
      </c>
      <c r="CE6" s="25" t="s">
        <v>729</v>
      </c>
      <c r="CF6" s="25" t="s">
        <v>730</v>
      </c>
      <c r="CG6" s="25">
        <v>1</v>
      </c>
      <c r="CH6" s="25">
        <v>1</v>
      </c>
      <c r="CI6" s="25">
        <v>1</v>
      </c>
      <c r="CJ6" s="25">
        <v>1</v>
      </c>
      <c r="CK6" s="25">
        <v>2</v>
      </c>
      <c r="CL6" s="25">
        <v>2</v>
      </c>
      <c r="CM6" s="25">
        <v>0</v>
      </c>
      <c r="CQ6" s="25" t="s">
        <v>750</v>
      </c>
      <c r="CR6" s="25">
        <v>0</v>
      </c>
      <c r="CT6" s="25">
        <v>0</v>
      </c>
      <c r="CU6" s="25">
        <v>8</v>
      </c>
      <c r="CV6" s="25">
        <v>15</v>
      </c>
      <c r="CW6" s="25" t="s">
        <v>751</v>
      </c>
      <c r="CX6" s="25" t="s">
        <v>733</v>
      </c>
      <c r="CY6" s="25">
        <v>2</v>
      </c>
      <c r="CZ6" s="25">
        <v>2</v>
      </c>
      <c r="DA6" s="25">
        <v>1</v>
      </c>
      <c r="DB6" s="25">
        <v>1</v>
      </c>
      <c r="DC6" s="25">
        <v>1</v>
      </c>
      <c r="DD6" s="25">
        <v>1</v>
      </c>
      <c r="DE6" s="25">
        <v>0</v>
      </c>
      <c r="DF6" s="25">
        <v>20</v>
      </c>
      <c r="DJ6" s="25" t="s">
        <v>5346</v>
      </c>
      <c r="DK6" s="25" t="s">
        <v>5347</v>
      </c>
      <c r="DL6" s="25" t="s">
        <v>87</v>
      </c>
      <c r="DM6" s="25">
        <v>20</v>
      </c>
      <c r="DN6" s="25">
        <v>10</v>
      </c>
      <c r="DO6" s="25" t="s">
        <v>5348</v>
      </c>
      <c r="DV6" s="25">
        <v>0</v>
      </c>
      <c r="DW6" s="45" t="s">
        <v>5703</v>
      </c>
      <c r="DX6" s="25" t="s">
        <v>698</v>
      </c>
      <c r="DY6" s="25">
        <v>0</v>
      </c>
      <c r="DZ6" s="25">
        <v>0</v>
      </c>
      <c r="EA6" s="45" t="s">
        <v>5703</v>
      </c>
      <c r="ED6" s="25" t="s">
        <v>5430</v>
      </c>
      <c r="EE6" s="25">
        <v>96</v>
      </c>
      <c r="EH6" s="25" t="s">
        <v>5486</v>
      </c>
      <c r="EL6" s="25">
        <v>0</v>
      </c>
      <c r="EM6" s="25">
        <v>0</v>
      </c>
      <c r="EN6" s="45" t="s">
        <v>5703</v>
      </c>
      <c r="EO6" s="45" t="s">
        <v>5703</v>
      </c>
      <c r="EQ6" s="25">
        <f>'Hoja básica'!C3</f>
        <v>1</v>
      </c>
      <c r="ER6" s="25">
        <v>0</v>
      </c>
      <c r="ES6" s="25">
        <v>5</v>
      </c>
      <c r="EU6" s="25" t="s">
        <v>5511</v>
      </c>
      <c r="EX6" s="25" t="s">
        <v>5529</v>
      </c>
      <c r="FL6" s="25" t="s">
        <v>6010</v>
      </c>
      <c r="FM6" s="25">
        <v>0</v>
      </c>
      <c r="FN6" s="25">
        <v>0</v>
      </c>
    </row>
    <row r="7" spans="1:170" ht="13.5" thickBot="1" x14ac:dyDescent="0.25">
      <c r="A7" s="25">
        <v>7</v>
      </c>
      <c r="B7" s="25">
        <v>5</v>
      </c>
      <c r="D7" s="25">
        <v>7</v>
      </c>
      <c r="E7" s="25">
        <v>95</v>
      </c>
      <c r="G7" s="25">
        <v>7</v>
      </c>
      <c r="H7" s="25">
        <v>30</v>
      </c>
      <c r="J7" s="25">
        <v>7</v>
      </c>
      <c r="K7" s="25">
        <v>1</v>
      </c>
      <c r="O7" s="25">
        <v>25</v>
      </c>
      <c r="P7" s="25">
        <v>1</v>
      </c>
      <c r="Q7" s="25">
        <v>0</v>
      </c>
      <c r="S7" s="25" t="s">
        <v>5048</v>
      </c>
      <c r="U7" s="25">
        <v>9</v>
      </c>
      <c r="V7" s="25">
        <v>20</v>
      </c>
      <c r="W7" s="25">
        <v>5</v>
      </c>
      <c r="X7" s="25">
        <v>71</v>
      </c>
      <c r="Y7" s="25" t="s">
        <v>435</v>
      </c>
      <c r="Z7" s="25">
        <v>0</v>
      </c>
      <c r="AA7" s="25">
        <v>-30</v>
      </c>
      <c r="AB7" s="25">
        <v>7</v>
      </c>
      <c r="AC7" s="45" t="s">
        <v>5703</v>
      </c>
      <c r="AD7" s="45" t="s">
        <v>5703</v>
      </c>
      <c r="AE7" s="25" t="s">
        <v>433</v>
      </c>
      <c r="AF7" s="25" t="s">
        <v>436</v>
      </c>
      <c r="AG7" s="26">
        <v>8</v>
      </c>
      <c r="AH7" s="26">
        <v>-2</v>
      </c>
      <c r="AI7" s="26">
        <v>25</v>
      </c>
      <c r="AO7" s="26">
        <v>-370</v>
      </c>
      <c r="AP7" s="25">
        <v>7</v>
      </c>
      <c r="AT7" s="25">
        <v>1</v>
      </c>
      <c r="AU7" s="25">
        <v>1</v>
      </c>
      <c r="AX7" s="25" t="s">
        <v>422</v>
      </c>
      <c r="AY7" s="25">
        <v>35</v>
      </c>
      <c r="AZ7" s="25">
        <v>15</v>
      </c>
      <c r="BA7" s="27" t="s">
        <v>414</v>
      </c>
      <c r="BB7" s="25" t="s">
        <v>423</v>
      </c>
      <c r="BC7" s="25" t="s">
        <v>424</v>
      </c>
      <c r="BD7" s="25" t="s">
        <v>425</v>
      </c>
      <c r="BE7" s="25" t="s">
        <v>6424</v>
      </c>
      <c r="BF7" s="25">
        <v>12</v>
      </c>
      <c r="BG7" s="25">
        <v>2</v>
      </c>
      <c r="BH7" s="25">
        <v>25</v>
      </c>
      <c r="BI7" s="45" t="s">
        <v>5703</v>
      </c>
      <c r="BK7" s="25" t="s">
        <v>520</v>
      </c>
      <c r="BL7" s="25">
        <v>7</v>
      </c>
      <c r="BN7" s="25" t="s">
        <v>439</v>
      </c>
      <c r="BO7" s="25" t="s">
        <v>5231</v>
      </c>
      <c r="BP7" s="25" t="s">
        <v>581</v>
      </c>
      <c r="BQ7" s="25" t="s">
        <v>631</v>
      </c>
      <c r="BR7" s="25" t="s">
        <v>463</v>
      </c>
      <c r="BS7" s="28" t="s">
        <v>659</v>
      </c>
      <c r="BT7" s="25" t="s">
        <v>520</v>
      </c>
      <c r="BU7" s="28" t="s">
        <v>669</v>
      </c>
      <c r="BV7" s="25" t="s">
        <v>5430</v>
      </c>
      <c r="BY7" s="25" t="s">
        <v>731</v>
      </c>
      <c r="BZ7" s="33">
        <v>60</v>
      </c>
      <c r="CA7" s="25">
        <v>-20</v>
      </c>
      <c r="CB7" s="25">
        <v>2</v>
      </c>
      <c r="CC7" s="25">
        <v>15</v>
      </c>
      <c r="CD7" s="25">
        <v>30</v>
      </c>
      <c r="CE7" s="25" t="s">
        <v>729</v>
      </c>
      <c r="CF7" s="25" t="s">
        <v>730</v>
      </c>
      <c r="CG7" s="25">
        <v>4</v>
      </c>
      <c r="CH7" s="25">
        <v>3</v>
      </c>
      <c r="CI7" s="25">
        <v>1</v>
      </c>
      <c r="CJ7" s="25">
        <v>2</v>
      </c>
      <c r="CK7" s="25">
        <v>0</v>
      </c>
      <c r="CL7" s="25">
        <v>1</v>
      </c>
      <c r="CM7" s="25">
        <v>0</v>
      </c>
      <c r="CQ7" s="25" t="s">
        <v>752</v>
      </c>
      <c r="CR7" s="25">
        <v>0</v>
      </c>
      <c r="CT7" s="25">
        <v>0</v>
      </c>
      <c r="CU7" s="25">
        <v>10</v>
      </c>
      <c r="CV7" s="25">
        <v>15</v>
      </c>
      <c r="CW7" s="25" t="s">
        <v>751</v>
      </c>
      <c r="CX7" s="25" t="s">
        <v>730</v>
      </c>
      <c r="CY7" s="25">
        <v>4</v>
      </c>
      <c r="CZ7" s="25">
        <v>4</v>
      </c>
      <c r="DA7" s="25">
        <v>3</v>
      </c>
      <c r="DB7" s="25">
        <v>2</v>
      </c>
      <c r="DC7" s="25">
        <v>0</v>
      </c>
      <c r="DD7" s="25">
        <v>3</v>
      </c>
      <c r="DE7" s="25">
        <v>0</v>
      </c>
      <c r="DF7" s="25">
        <v>23</v>
      </c>
      <c r="DJ7" s="25" t="s">
        <v>5349</v>
      </c>
      <c r="DK7" s="25" t="s">
        <v>5350</v>
      </c>
      <c r="DL7" s="25" t="s">
        <v>87</v>
      </c>
      <c r="DM7" s="25">
        <v>10</v>
      </c>
      <c r="DN7" s="25">
        <v>10</v>
      </c>
      <c r="DO7" s="25" t="s">
        <v>5351</v>
      </c>
      <c r="DV7" s="25" t="s">
        <v>5455</v>
      </c>
      <c r="DW7" s="25" t="s">
        <v>5456</v>
      </c>
      <c r="DX7" s="25" t="s">
        <v>698</v>
      </c>
      <c r="DY7" s="25">
        <v>20</v>
      </c>
      <c r="DZ7" s="25">
        <v>20</v>
      </c>
      <c r="EA7" s="25">
        <v>103</v>
      </c>
      <c r="ED7" s="25" t="s">
        <v>5431</v>
      </c>
      <c r="EE7" s="25">
        <v>96</v>
      </c>
      <c r="EH7" s="25" t="s">
        <v>5488</v>
      </c>
      <c r="EL7" s="25" t="s">
        <v>5513</v>
      </c>
      <c r="EM7" s="25">
        <f t="shared" ref="EM7:EM14" si="0">LOOKUP($EQ$6,$ER$6:$ES$21)</f>
        <v>10</v>
      </c>
      <c r="EN7" s="25">
        <v>93</v>
      </c>
      <c r="EO7" s="25" t="s">
        <v>65</v>
      </c>
      <c r="ER7" s="25">
        <v>1</v>
      </c>
      <c r="ES7" s="25">
        <v>10</v>
      </c>
      <c r="EU7" s="25" t="s">
        <v>5513</v>
      </c>
      <c r="EX7" s="25" t="s">
        <v>5525</v>
      </c>
      <c r="EZ7" s="109" t="s">
        <v>29</v>
      </c>
      <c r="FA7" s="110" t="s">
        <v>39</v>
      </c>
      <c r="FB7" s="110" t="s">
        <v>49</v>
      </c>
      <c r="FC7" s="110" t="s">
        <v>61</v>
      </c>
      <c r="FD7" s="110" t="s">
        <v>70</v>
      </c>
      <c r="FE7" s="110" t="s">
        <v>65</v>
      </c>
      <c r="FF7" s="110" t="s">
        <v>35</v>
      </c>
      <c r="FG7" s="110" t="s">
        <v>60</v>
      </c>
      <c r="FH7" s="110" t="s">
        <v>90</v>
      </c>
      <c r="FI7" s="110" t="s">
        <v>94</v>
      </c>
      <c r="FJ7" s="111" t="s">
        <v>101</v>
      </c>
      <c r="FL7" s="25" t="s">
        <v>6011</v>
      </c>
      <c r="FM7" s="25" t="s">
        <v>6013</v>
      </c>
      <c r="FN7" s="25">
        <v>20</v>
      </c>
    </row>
    <row r="8" spans="1:170" x14ac:dyDescent="0.2">
      <c r="A8" s="25">
        <v>8</v>
      </c>
      <c r="B8" s="25">
        <v>10</v>
      </c>
      <c r="D8" s="25">
        <v>8</v>
      </c>
      <c r="E8" s="25">
        <v>110</v>
      </c>
      <c r="G8" s="25">
        <v>8</v>
      </c>
      <c r="H8" s="25">
        <v>40</v>
      </c>
      <c r="J8" s="25">
        <v>8</v>
      </c>
      <c r="K8" s="25">
        <v>2</v>
      </c>
      <c r="O8" s="25">
        <v>30</v>
      </c>
      <c r="P8" s="25">
        <v>1</v>
      </c>
      <c r="Q8" s="25">
        <v>0</v>
      </c>
      <c r="S8" s="25" t="s">
        <v>5061</v>
      </c>
      <c r="U8" s="25">
        <v>13</v>
      </c>
      <c r="V8" s="25">
        <v>30</v>
      </c>
      <c r="W8" s="25">
        <v>10</v>
      </c>
      <c r="X8" s="25">
        <v>63</v>
      </c>
      <c r="Y8" s="25" t="s">
        <v>437</v>
      </c>
      <c r="Z8" s="25">
        <v>0</v>
      </c>
      <c r="AA8" s="25">
        <v>-10</v>
      </c>
      <c r="AB8" s="25">
        <v>4</v>
      </c>
      <c r="AC8" s="45" t="s">
        <v>5703</v>
      </c>
      <c r="AD8" s="45" t="s">
        <v>5703</v>
      </c>
      <c r="AE8" s="25" t="s">
        <v>433</v>
      </c>
      <c r="AF8" s="25" t="s">
        <v>436</v>
      </c>
      <c r="AG8" s="26">
        <v>7</v>
      </c>
      <c r="AH8" s="26">
        <v>-3</v>
      </c>
      <c r="AI8" s="26">
        <v>15</v>
      </c>
      <c r="AO8" s="26">
        <v>-365</v>
      </c>
      <c r="AP8" s="25">
        <v>7</v>
      </c>
      <c r="AT8" s="25">
        <v>2</v>
      </c>
      <c r="AU8" s="25">
        <v>1</v>
      </c>
      <c r="AX8" s="25" t="s">
        <v>427</v>
      </c>
      <c r="AY8" s="25">
        <v>20</v>
      </c>
      <c r="AZ8" s="25">
        <v>-10</v>
      </c>
      <c r="BA8" s="27" t="s">
        <v>414</v>
      </c>
      <c r="BB8" s="25" t="s">
        <v>66</v>
      </c>
      <c r="BC8" s="25" t="s">
        <v>428</v>
      </c>
      <c r="BD8" s="25" t="s">
        <v>429</v>
      </c>
      <c r="BE8" s="45" t="s">
        <v>5703</v>
      </c>
      <c r="BF8" s="26">
        <v>10</v>
      </c>
      <c r="BG8" s="26">
        <v>-2</v>
      </c>
      <c r="BH8" s="26">
        <v>20</v>
      </c>
      <c r="BI8" s="45" t="s">
        <v>5703</v>
      </c>
      <c r="BK8" s="25" t="s">
        <v>5310</v>
      </c>
      <c r="BL8" s="25">
        <v>3</v>
      </c>
      <c r="BN8" s="25" t="s">
        <v>462</v>
      </c>
      <c r="BO8" s="25" t="s">
        <v>5232</v>
      </c>
      <c r="BP8" s="25" t="s">
        <v>570</v>
      </c>
      <c r="BQ8" s="25" t="s">
        <v>632</v>
      </c>
      <c r="BR8" s="25" t="s">
        <v>466</v>
      </c>
      <c r="BS8" s="28" t="s">
        <v>660</v>
      </c>
      <c r="BT8" s="25" t="s">
        <v>524</v>
      </c>
      <c r="BU8" s="25" t="s">
        <v>451</v>
      </c>
      <c r="BV8" s="25" t="s">
        <v>5431</v>
      </c>
      <c r="BY8" s="25" t="s">
        <v>5315</v>
      </c>
      <c r="BZ8" s="25">
        <v>25</v>
      </c>
      <c r="CA8" s="25">
        <v>-10</v>
      </c>
      <c r="CB8" s="25">
        <v>0</v>
      </c>
      <c r="CC8" s="25">
        <v>12</v>
      </c>
      <c r="CD8" s="25">
        <v>25</v>
      </c>
      <c r="CE8" s="25" t="s">
        <v>729</v>
      </c>
      <c r="CF8" s="25" t="s">
        <v>730</v>
      </c>
      <c r="CG8" s="25">
        <v>3</v>
      </c>
      <c r="CH8" s="25">
        <v>2</v>
      </c>
      <c r="CI8" s="25">
        <v>3</v>
      </c>
      <c r="CJ8" s="25">
        <v>1</v>
      </c>
      <c r="CK8" s="25">
        <v>0</v>
      </c>
      <c r="CL8" s="25">
        <v>1</v>
      </c>
      <c r="CM8" s="25">
        <v>1</v>
      </c>
      <c r="CQ8" s="25" t="s">
        <v>753</v>
      </c>
      <c r="CR8" s="25">
        <v>0</v>
      </c>
      <c r="CT8" s="25">
        <v>-10</v>
      </c>
      <c r="CU8" s="25">
        <v>13</v>
      </c>
      <c r="CV8" s="25">
        <v>20</v>
      </c>
      <c r="CW8" s="25" t="s">
        <v>751</v>
      </c>
      <c r="CX8" s="25" t="s">
        <v>730</v>
      </c>
      <c r="CY8" s="25">
        <v>4</v>
      </c>
      <c r="CZ8" s="25">
        <v>2</v>
      </c>
      <c r="DA8" s="25">
        <v>1</v>
      </c>
      <c r="DB8" s="25">
        <v>2</v>
      </c>
      <c r="DC8" s="25">
        <v>0</v>
      </c>
      <c r="DD8" s="25">
        <v>1</v>
      </c>
      <c r="DE8" s="25">
        <v>0</v>
      </c>
      <c r="DF8" s="25">
        <v>24</v>
      </c>
      <c r="DJ8" s="25" t="s">
        <v>5352</v>
      </c>
      <c r="DK8" s="25" t="s">
        <v>5353</v>
      </c>
      <c r="DL8" s="25" t="s">
        <v>87</v>
      </c>
      <c r="DM8" s="25">
        <v>40</v>
      </c>
      <c r="DN8" s="25">
        <v>10</v>
      </c>
      <c r="DO8" s="25" t="s">
        <v>5354</v>
      </c>
      <c r="DV8" s="25" t="s">
        <v>5428</v>
      </c>
      <c r="DW8" s="25" t="s">
        <v>5437</v>
      </c>
      <c r="DX8" s="25" t="s">
        <v>698</v>
      </c>
      <c r="DY8" s="25">
        <v>40</v>
      </c>
      <c r="DZ8" s="25">
        <v>40</v>
      </c>
      <c r="EA8" s="25">
        <v>95</v>
      </c>
      <c r="ED8" s="25" t="s">
        <v>5432</v>
      </c>
      <c r="EE8" s="25">
        <v>98</v>
      </c>
      <c r="EH8" s="25" t="s">
        <v>5489</v>
      </c>
      <c r="EL8" s="25" t="s">
        <v>5515</v>
      </c>
      <c r="EM8" s="25">
        <f t="shared" si="0"/>
        <v>10</v>
      </c>
      <c r="EN8" s="25">
        <v>95</v>
      </c>
      <c r="EO8" s="25" t="s">
        <v>35</v>
      </c>
      <c r="ER8" s="25">
        <v>2</v>
      </c>
      <c r="ES8" s="25">
        <v>20</v>
      </c>
      <c r="EU8" s="25" t="s">
        <v>5514</v>
      </c>
      <c r="EX8" s="25" t="s">
        <v>5526</v>
      </c>
      <c r="EZ8" s="25" t="s">
        <v>1516</v>
      </c>
      <c r="FA8" s="25" t="s">
        <v>1516</v>
      </c>
      <c r="FB8" s="25" t="s">
        <v>1516</v>
      </c>
      <c r="FC8" s="25" t="s">
        <v>1516</v>
      </c>
      <c r="FD8" s="25" t="s">
        <v>1523</v>
      </c>
      <c r="FE8" s="25" t="s">
        <v>1571</v>
      </c>
      <c r="FF8" s="25" t="s">
        <v>1523</v>
      </c>
      <c r="FG8" s="25" t="s">
        <v>1516</v>
      </c>
      <c r="FH8" s="25" t="s">
        <v>1571</v>
      </c>
      <c r="FI8" s="25" t="s">
        <v>1531</v>
      </c>
      <c r="FJ8" s="25" t="s">
        <v>1571</v>
      </c>
      <c r="FL8" s="25" t="s">
        <v>6012</v>
      </c>
      <c r="FM8" s="25" t="s">
        <v>6012</v>
      </c>
      <c r="FN8" s="25">
        <v>15</v>
      </c>
    </row>
    <row r="9" spans="1:170" x14ac:dyDescent="0.2">
      <c r="A9" s="25">
        <v>9</v>
      </c>
      <c r="B9" s="25">
        <v>10</v>
      </c>
      <c r="D9" s="25">
        <v>9</v>
      </c>
      <c r="E9" s="25">
        <v>120</v>
      </c>
      <c r="G9" s="25">
        <v>9</v>
      </c>
      <c r="H9" s="25">
        <v>50</v>
      </c>
      <c r="J9" s="25">
        <v>9</v>
      </c>
      <c r="K9" s="25">
        <v>2</v>
      </c>
      <c r="L9" s="25" t="s">
        <v>5138</v>
      </c>
      <c r="O9" s="25">
        <v>35</v>
      </c>
      <c r="P9" s="25">
        <v>1</v>
      </c>
      <c r="Q9" s="25">
        <v>0</v>
      </c>
      <c r="S9" s="25" t="s">
        <v>5049</v>
      </c>
      <c r="U9" s="25">
        <v>16</v>
      </c>
      <c r="V9" s="25">
        <v>50</v>
      </c>
      <c r="W9" s="25">
        <v>15</v>
      </c>
      <c r="X9" s="25">
        <v>67</v>
      </c>
      <c r="Y9" s="25" t="s">
        <v>438</v>
      </c>
      <c r="Z9" s="25">
        <v>0</v>
      </c>
      <c r="AA9" s="25">
        <v>-30</v>
      </c>
      <c r="AB9" s="25">
        <v>7</v>
      </c>
      <c r="AC9" s="45" t="s">
        <v>5703</v>
      </c>
      <c r="AD9" s="45" t="s">
        <v>5703</v>
      </c>
      <c r="AE9" s="25" t="s">
        <v>433</v>
      </c>
      <c r="AF9" s="25" t="s">
        <v>436</v>
      </c>
      <c r="AG9" s="26">
        <v>8</v>
      </c>
      <c r="AH9" s="26">
        <v>-2</v>
      </c>
      <c r="AI9" s="26">
        <v>20</v>
      </c>
      <c r="AO9" s="26">
        <v>-360</v>
      </c>
      <c r="AP9" s="25">
        <v>7</v>
      </c>
      <c r="AT9" s="25">
        <v>3</v>
      </c>
      <c r="AU9" s="25">
        <v>1</v>
      </c>
      <c r="AX9" s="25" t="s">
        <v>5455</v>
      </c>
      <c r="AY9" s="25">
        <v>70</v>
      </c>
      <c r="AZ9" s="25">
        <v>10</v>
      </c>
      <c r="BA9" s="25">
        <v>3</v>
      </c>
      <c r="BB9" s="25" t="s">
        <v>415</v>
      </c>
      <c r="BC9" s="25" t="s">
        <v>66</v>
      </c>
      <c r="BD9" s="25" t="s">
        <v>5473</v>
      </c>
      <c r="BE9" s="25" t="s">
        <v>5470</v>
      </c>
      <c r="BF9" s="25">
        <v>20</v>
      </c>
      <c r="BG9" s="25">
        <v>5</v>
      </c>
      <c r="BH9" s="45" t="s">
        <v>5703</v>
      </c>
      <c r="BI9" s="25" t="s">
        <v>5468</v>
      </c>
      <c r="BK9" s="25" t="s">
        <v>5483</v>
      </c>
      <c r="BL9" s="25">
        <v>9</v>
      </c>
      <c r="BN9" s="25" t="s">
        <v>465</v>
      </c>
      <c r="BO9" s="25" t="s">
        <v>5234</v>
      </c>
      <c r="BP9" s="25" t="s">
        <v>587</v>
      </c>
      <c r="BQ9" s="25" t="s">
        <v>470</v>
      </c>
      <c r="BR9" s="25" t="s">
        <v>459</v>
      </c>
      <c r="BS9" s="28" t="s">
        <v>658</v>
      </c>
      <c r="BU9" s="28" t="s">
        <v>670</v>
      </c>
      <c r="BV9" s="25" t="s">
        <v>5432</v>
      </c>
      <c r="BY9" s="25" t="s">
        <v>732</v>
      </c>
      <c r="BZ9" s="34">
        <v>100</v>
      </c>
      <c r="CA9" s="25">
        <v>-50</v>
      </c>
      <c r="CB9" s="25">
        <v>4</v>
      </c>
      <c r="CC9" s="25">
        <v>18</v>
      </c>
      <c r="CD9" s="25">
        <v>45</v>
      </c>
      <c r="CE9" s="25" t="s">
        <v>732</v>
      </c>
      <c r="CF9" s="25" t="s">
        <v>733</v>
      </c>
      <c r="CG9" s="25">
        <v>5</v>
      </c>
      <c r="CH9" s="25">
        <v>5</v>
      </c>
      <c r="CI9" s="25">
        <v>5</v>
      </c>
      <c r="CJ9" s="25">
        <v>4</v>
      </c>
      <c r="CK9" s="25">
        <v>0</v>
      </c>
      <c r="CL9" s="25">
        <v>4</v>
      </c>
      <c r="CM9" s="25">
        <v>2</v>
      </c>
      <c r="CQ9" s="25" t="s">
        <v>754</v>
      </c>
      <c r="CR9" s="25">
        <v>5</v>
      </c>
      <c r="CT9" s="25">
        <v>-20</v>
      </c>
      <c r="CU9" s="25">
        <v>16</v>
      </c>
      <c r="CV9" s="25">
        <v>25</v>
      </c>
      <c r="CW9" s="25" t="s">
        <v>751</v>
      </c>
      <c r="CX9" s="25" t="s">
        <v>733</v>
      </c>
      <c r="CY9" s="25">
        <v>5</v>
      </c>
      <c r="CZ9" s="25">
        <v>4</v>
      </c>
      <c r="DA9" s="25">
        <v>5</v>
      </c>
      <c r="DB9" s="25">
        <v>3</v>
      </c>
      <c r="DC9" s="25">
        <v>0</v>
      </c>
      <c r="DD9" s="25">
        <v>3</v>
      </c>
      <c r="DE9" s="25">
        <v>1</v>
      </c>
      <c r="DF9" s="25">
        <v>25</v>
      </c>
      <c r="DJ9" s="25" t="s">
        <v>5357</v>
      </c>
      <c r="DK9" s="25" t="s">
        <v>87</v>
      </c>
      <c r="DL9" s="25" t="s">
        <v>87</v>
      </c>
      <c r="DM9" s="25">
        <v>30</v>
      </c>
      <c r="DN9" s="25">
        <v>10</v>
      </c>
      <c r="DO9" s="25" t="s">
        <v>5355</v>
      </c>
      <c r="DV9" s="25" t="s">
        <v>5432</v>
      </c>
      <c r="DW9" s="25" t="s">
        <v>5435</v>
      </c>
      <c r="DX9" s="25" t="s">
        <v>698</v>
      </c>
      <c r="DY9" s="25">
        <v>40</v>
      </c>
      <c r="DZ9" s="25">
        <v>20</v>
      </c>
      <c r="EA9" s="25">
        <v>98</v>
      </c>
      <c r="ED9" s="25" t="s">
        <v>5433</v>
      </c>
      <c r="EE9" s="25">
        <v>99</v>
      </c>
      <c r="EH9" s="25" t="s">
        <v>5490</v>
      </c>
      <c r="EL9" s="25" t="s">
        <v>5514</v>
      </c>
      <c r="EM9" s="25">
        <f t="shared" si="0"/>
        <v>10</v>
      </c>
      <c r="EN9" s="25">
        <v>94</v>
      </c>
      <c r="EO9" s="25" t="s">
        <v>70</v>
      </c>
      <c r="ER9" s="25">
        <v>3</v>
      </c>
      <c r="ES9" s="25">
        <v>30</v>
      </c>
      <c r="EU9" s="25" t="s">
        <v>5515</v>
      </c>
      <c r="EX9" s="25" t="s">
        <v>5527</v>
      </c>
      <c r="EZ9" s="25" t="s">
        <v>1571</v>
      </c>
      <c r="FA9" s="25" t="s">
        <v>1571</v>
      </c>
      <c r="FB9" s="25" t="s">
        <v>1571</v>
      </c>
      <c r="FC9" s="25" t="s">
        <v>1523</v>
      </c>
      <c r="FD9" s="25" t="s">
        <v>1535</v>
      </c>
      <c r="FE9" s="25" t="s">
        <v>1531</v>
      </c>
      <c r="FF9" s="25" t="s">
        <v>132</v>
      </c>
      <c r="FG9" s="25" t="s">
        <v>1571</v>
      </c>
      <c r="FH9" s="25" t="s">
        <v>1543</v>
      </c>
      <c r="FI9" s="25" t="s">
        <v>1543</v>
      </c>
      <c r="FJ9" s="25" t="s">
        <v>1523</v>
      </c>
      <c r="FL9" s="25" t="s">
        <v>6013</v>
      </c>
      <c r="FM9" s="25" t="s">
        <v>6011</v>
      </c>
      <c r="FN9" s="25">
        <v>20</v>
      </c>
    </row>
    <row r="10" spans="1:170" x14ac:dyDescent="0.2">
      <c r="A10" s="25">
        <v>10</v>
      </c>
      <c r="B10" s="25">
        <v>15</v>
      </c>
      <c r="D10" s="25">
        <v>10</v>
      </c>
      <c r="E10" s="25">
        <v>135</v>
      </c>
      <c r="G10" s="25">
        <v>10</v>
      </c>
      <c r="H10" s="25">
        <v>60</v>
      </c>
      <c r="J10" s="25">
        <v>10</v>
      </c>
      <c r="K10" s="25">
        <v>3</v>
      </c>
      <c r="L10" s="25" t="s">
        <v>5137</v>
      </c>
      <c r="O10" s="25">
        <v>40</v>
      </c>
      <c r="P10" s="25">
        <v>1</v>
      </c>
      <c r="Q10" s="25">
        <v>0</v>
      </c>
      <c r="S10" s="25" t="s">
        <v>5050</v>
      </c>
      <c r="U10" s="25">
        <v>19</v>
      </c>
      <c r="V10" s="25">
        <v>80</v>
      </c>
      <c r="W10" s="25">
        <v>20</v>
      </c>
      <c r="X10" s="25">
        <v>2</v>
      </c>
      <c r="Y10" s="25" t="s">
        <v>439</v>
      </c>
      <c r="Z10" s="25">
        <v>35</v>
      </c>
      <c r="AA10" s="25">
        <v>-5</v>
      </c>
      <c r="AB10" s="27" t="s">
        <v>440</v>
      </c>
      <c r="AC10" s="25" t="s">
        <v>424</v>
      </c>
      <c r="AD10" s="45" t="s">
        <v>5703</v>
      </c>
      <c r="AE10" s="25" t="s">
        <v>425</v>
      </c>
      <c r="AF10" s="25" t="s">
        <v>441</v>
      </c>
      <c r="AG10" s="25">
        <v>11</v>
      </c>
      <c r="AH10" s="25">
        <v>0</v>
      </c>
      <c r="AI10" s="25">
        <v>15</v>
      </c>
      <c r="AO10" s="26">
        <v>-355</v>
      </c>
      <c r="AP10" s="25">
        <v>7</v>
      </c>
      <c r="AX10" s="25" t="s">
        <v>431</v>
      </c>
      <c r="AY10" s="25">
        <v>0</v>
      </c>
      <c r="AZ10" s="25">
        <v>-20</v>
      </c>
      <c r="BA10" s="27" t="s">
        <v>432</v>
      </c>
      <c r="BB10" s="45" t="s">
        <v>5703</v>
      </c>
      <c r="BC10" s="45" t="s">
        <v>5703</v>
      </c>
      <c r="BD10" s="25" t="s">
        <v>433</v>
      </c>
      <c r="BE10" s="25" t="s">
        <v>6425</v>
      </c>
      <c r="BF10" s="26">
        <v>9</v>
      </c>
      <c r="BG10" s="26">
        <v>-3</v>
      </c>
      <c r="BH10" s="26">
        <v>20</v>
      </c>
      <c r="BI10" s="45" t="s">
        <v>5703</v>
      </c>
      <c r="BK10" s="25" t="s">
        <v>5308</v>
      </c>
      <c r="BL10" s="25">
        <v>4</v>
      </c>
      <c r="BN10" s="25" t="s">
        <v>469</v>
      </c>
      <c r="BO10" s="25" t="s">
        <v>5235</v>
      </c>
      <c r="BP10" s="25" t="s">
        <v>485</v>
      </c>
      <c r="BQ10" s="25" t="s">
        <v>596</v>
      </c>
      <c r="BR10" s="25" t="s">
        <v>437</v>
      </c>
      <c r="BS10" s="28" t="s">
        <v>558</v>
      </c>
      <c r="BU10" s="25" t="s">
        <v>492</v>
      </c>
      <c r="BV10" s="25" t="s">
        <v>5433</v>
      </c>
      <c r="BY10" s="25" t="s">
        <v>734</v>
      </c>
      <c r="BZ10" s="33">
        <v>10</v>
      </c>
      <c r="CA10" s="25">
        <v>0</v>
      </c>
      <c r="CB10" s="25">
        <v>1</v>
      </c>
      <c r="CC10" s="25">
        <v>12</v>
      </c>
      <c r="CD10" s="25">
        <v>25</v>
      </c>
      <c r="CE10" s="25" t="s">
        <v>732</v>
      </c>
      <c r="CF10" s="25" t="s">
        <v>730</v>
      </c>
      <c r="CG10" s="25">
        <v>1</v>
      </c>
      <c r="CH10" s="25">
        <v>0</v>
      </c>
      <c r="CI10" s="25">
        <v>2</v>
      </c>
      <c r="CJ10" s="25">
        <v>1</v>
      </c>
      <c r="CK10" s="25">
        <v>2</v>
      </c>
      <c r="CL10" s="25">
        <v>1</v>
      </c>
      <c r="CM10" s="25">
        <v>0</v>
      </c>
      <c r="CQ10" s="25" t="s">
        <v>755</v>
      </c>
      <c r="CR10" s="25">
        <v>10</v>
      </c>
      <c r="CT10" s="25">
        <v>-30</v>
      </c>
      <c r="CU10" s="25">
        <v>16</v>
      </c>
      <c r="CV10" s="25">
        <v>25</v>
      </c>
      <c r="CW10" s="25" t="s">
        <v>751</v>
      </c>
      <c r="CX10" s="25" t="s">
        <v>733</v>
      </c>
      <c r="CY10" s="25">
        <v>5</v>
      </c>
      <c r="CZ10" s="25">
        <v>5</v>
      </c>
      <c r="DA10" s="25">
        <v>5</v>
      </c>
      <c r="DB10" s="25">
        <v>4</v>
      </c>
      <c r="DC10" s="25">
        <v>0</v>
      </c>
      <c r="DD10" s="25">
        <v>4</v>
      </c>
      <c r="DE10" s="25">
        <v>2</v>
      </c>
      <c r="DF10" s="25">
        <v>26</v>
      </c>
      <c r="DJ10" s="25" t="s">
        <v>5356</v>
      </c>
      <c r="DK10" s="25" t="s">
        <v>87</v>
      </c>
      <c r="DL10" s="25" t="s">
        <v>87</v>
      </c>
      <c r="DM10" s="25">
        <v>30</v>
      </c>
      <c r="DN10" s="25">
        <v>10</v>
      </c>
      <c r="DO10" s="25" t="s">
        <v>5358</v>
      </c>
      <c r="DV10" s="25" t="s">
        <v>5433</v>
      </c>
      <c r="DW10" s="25" t="s">
        <v>5434</v>
      </c>
      <c r="DX10" s="25" t="s">
        <v>698</v>
      </c>
      <c r="DY10" s="25">
        <v>30</v>
      </c>
      <c r="DZ10" s="25">
        <v>30</v>
      </c>
      <c r="EA10" s="25">
        <v>99</v>
      </c>
      <c r="ED10" s="25" t="s">
        <v>5439</v>
      </c>
      <c r="EE10" s="25">
        <v>99</v>
      </c>
      <c r="EH10" s="25" t="s">
        <v>5491</v>
      </c>
      <c r="EL10" s="25" t="s">
        <v>5511</v>
      </c>
      <c r="EM10" s="25">
        <f t="shared" si="0"/>
        <v>10</v>
      </c>
      <c r="EN10" s="25">
        <v>92</v>
      </c>
      <c r="EO10" s="25" t="s">
        <v>5512</v>
      </c>
      <c r="ER10" s="25">
        <v>4</v>
      </c>
      <c r="ES10" s="25">
        <v>40</v>
      </c>
      <c r="EU10" s="25" t="s">
        <v>5516</v>
      </c>
      <c r="EX10" s="25" t="s">
        <v>5528</v>
      </c>
      <c r="EZ10" s="25" t="s">
        <v>1531</v>
      </c>
      <c r="FA10" s="25" t="s">
        <v>1523</v>
      </c>
      <c r="FB10" s="25" t="s">
        <v>1531</v>
      </c>
      <c r="FC10" s="25" t="s">
        <v>1535</v>
      </c>
      <c r="FD10" s="25" t="s">
        <v>1563</v>
      </c>
      <c r="FE10" s="25" t="s">
        <v>1543</v>
      </c>
      <c r="FF10" s="25" t="s">
        <v>1554</v>
      </c>
      <c r="FG10" s="25" t="s">
        <v>1543</v>
      </c>
      <c r="FH10" s="25" t="s">
        <v>1554</v>
      </c>
      <c r="FI10" s="25" t="s">
        <v>132</v>
      </c>
      <c r="FJ10" s="25" t="s">
        <v>1535</v>
      </c>
      <c r="FL10" s="25" t="s">
        <v>6014</v>
      </c>
      <c r="FM10" s="25" t="s">
        <v>6015</v>
      </c>
      <c r="FN10" s="25">
        <v>10</v>
      </c>
    </row>
    <row r="11" spans="1:170" x14ac:dyDescent="0.2">
      <c r="A11" s="25">
        <v>11</v>
      </c>
      <c r="B11" s="25">
        <v>20</v>
      </c>
      <c r="D11" s="25">
        <v>11</v>
      </c>
      <c r="E11" s="25">
        <v>150</v>
      </c>
      <c r="G11" s="25">
        <v>11</v>
      </c>
      <c r="H11" s="25">
        <v>70</v>
      </c>
      <c r="J11" s="25">
        <v>11</v>
      </c>
      <c r="K11" s="25">
        <v>4</v>
      </c>
      <c r="L11" s="25" t="s">
        <v>5139</v>
      </c>
      <c r="O11" s="25">
        <v>45</v>
      </c>
      <c r="P11" s="25">
        <v>1</v>
      </c>
      <c r="Q11" s="25">
        <v>0</v>
      </c>
      <c r="S11" s="25" t="s">
        <v>5051</v>
      </c>
      <c r="U11" s="25">
        <v>22</v>
      </c>
      <c r="V11" s="25">
        <v>120</v>
      </c>
      <c r="W11" s="25">
        <v>25</v>
      </c>
      <c r="X11" s="25">
        <v>104</v>
      </c>
      <c r="Y11" s="25" t="s">
        <v>442</v>
      </c>
      <c r="Z11" s="25">
        <v>30</v>
      </c>
      <c r="AA11" s="25">
        <v>-20</v>
      </c>
      <c r="AB11" s="27" t="s">
        <v>414</v>
      </c>
      <c r="AC11" s="25" t="s">
        <v>415</v>
      </c>
      <c r="AD11" s="25" t="s">
        <v>66</v>
      </c>
      <c r="AE11" s="25" t="s">
        <v>443</v>
      </c>
      <c r="AF11" s="45" t="s">
        <v>5703</v>
      </c>
      <c r="AG11" s="26">
        <v>10</v>
      </c>
      <c r="AH11" s="26">
        <v>1</v>
      </c>
      <c r="AI11" s="26">
        <v>15</v>
      </c>
      <c r="AO11" s="26">
        <v>-350</v>
      </c>
      <c r="AP11" s="25">
        <v>7</v>
      </c>
      <c r="AX11" s="25" t="s">
        <v>435</v>
      </c>
      <c r="AY11" s="25">
        <v>0</v>
      </c>
      <c r="AZ11" s="25">
        <v>-30</v>
      </c>
      <c r="BA11" s="25">
        <v>7</v>
      </c>
      <c r="BB11" s="45" t="s">
        <v>5703</v>
      </c>
      <c r="BC11" s="45" t="s">
        <v>5703</v>
      </c>
      <c r="BD11" s="25" t="s">
        <v>433</v>
      </c>
      <c r="BE11" s="25" t="s">
        <v>6426</v>
      </c>
      <c r="BF11" s="26">
        <v>8</v>
      </c>
      <c r="BG11" s="26">
        <v>-2</v>
      </c>
      <c r="BH11" s="26">
        <v>25</v>
      </c>
      <c r="BI11" s="45" t="s">
        <v>5703</v>
      </c>
      <c r="BK11" s="25" t="s">
        <v>445</v>
      </c>
      <c r="BL11" s="25">
        <v>6</v>
      </c>
      <c r="BN11" s="25" t="s">
        <v>471</v>
      </c>
      <c r="BO11" s="25" t="s">
        <v>5236</v>
      </c>
      <c r="BP11" s="25" t="s">
        <v>590</v>
      </c>
      <c r="BQ11" s="25" t="s">
        <v>506</v>
      </c>
      <c r="BR11" s="25" t="s">
        <v>438</v>
      </c>
      <c r="BS11" s="28" t="s">
        <v>556</v>
      </c>
      <c r="BU11" s="28" t="s">
        <v>446</v>
      </c>
      <c r="BV11" s="25" t="s">
        <v>5474</v>
      </c>
      <c r="BY11" s="25" t="s">
        <v>735</v>
      </c>
      <c r="BZ11" s="34">
        <v>120</v>
      </c>
      <c r="CA11" s="25">
        <v>-60</v>
      </c>
      <c r="CB11" s="25">
        <v>5</v>
      </c>
      <c r="CC11" s="25">
        <v>19</v>
      </c>
      <c r="CD11" s="25">
        <v>45</v>
      </c>
      <c r="CE11" s="25" t="s">
        <v>732</v>
      </c>
      <c r="CF11" s="25" t="s">
        <v>733</v>
      </c>
      <c r="CG11" s="25">
        <v>6</v>
      </c>
      <c r="CH11" s="25">
        <v>6</v>
      </c>
      <c r="CI11" s="25">
        <v>6</v>
      </c>
      <c r="CJ11" s="25">
        <v>4</v>
      </c>
      <c r="CK11" s="25">
        <v>0</v>
      </c>
      <c r="CL11" s="25">
        <v>4</v>
      </c>
      <c r="CM11" s="25">
        <v>2</v>
      </c>
      <c r="CQ11" s="25" t="s">
        <v>756</v>
      </c>
      <c r="CR11" s="25">
        <v>0</v>
      </c>
      <c r="CT11" s="25">
        <v>0</v>
      </c>
      <c r="CU11" s="25">
        <v>12</v>
      </c>
      <c r="CV11" s="25">
        <v>15</v>
      </c>
      <c r="CW11" s="25" t="s">
        <v>751</v>
      </c>
      <c r="CX11" s="25" t="s">
        <v>733</v>
      </c>
      <c r="CY11" s="25">
        <v>1</v>
      </c>
      <c r="CZ11" s="25">
        <v>0</v>
      </c>
      <c r="DA11" s="25">
        <v>2</v>
      </c>
      <c r="DB11" s="25">
        <v>1</v>
      </c>
      <c r="DC11" s="25">
        <v>3</v>
      </c>
      <c r="DD11" s="25">
        <v>1</v>
      </c>
      <c r="DE11" s="25">
        <v>0</v>
      </c>
      <c r="DF11" s="25">
        <v>22</v>
      </c>
      <c r="DV11" s="25" t="s">
        <v>5453</v>
      </c>
      <c r="DW11" s="25" t="s">
        <v>5454</v>
      </c>
      <c r="DX11" s="25" t="s">
        <v>698</v>
      </c>
      <c r="DY11" s="25">
        <v>20</v>
      </c>
      <c r="DZ11" s="25">
        <v>20</v>
      </c>
      <c r="EA11" s="25">
        <v>103</v>
      </c>
      <c r="ED11" s="25" t="s">
        <v>5441</v>
      </c>
      <c r="EE11" s="25">
        <v>99</v>
      </c>
      <c r="EH11" s="25" t="s">
        <v>5492</v>
      </c>
      <c r="EL11" s="25" t="s">
        <v>5520</v>
      </c>
      <c r="EM11" s="25">
        <f t="shared" si="0"/>
        <v>10</v>
      </c>
      <c r="EN11" s="25">
        <v>99</v>
      </c>
      <c r="EO11" s="25" t="s">
        <v>94</v>
      </c>
      <c r="ER11" s="25">
        <v>5</v>
      </c>
      <c r="ES11" s="25">
        <v>50</v>
      </c>
      <c r="EU11" s="25" t="s">
        <v>5517</v>
      </c>
      <c r="EZ11" s="25" t="s">
        <v>1543</v>
      </c>
      <c r="FA11" s="25" t="s">
        <v>1531</v>
      </c>
      <c r="FB11" s="25" t="s">
        <v>1543</v>
      </c>
      <c r="FC11" s="25" t="s">
        <v>1563</v>
      </c>
      <c r="FD11" s="25" t="s">
        <v>264</v>
      </c>
      <c r="FE11" s="25" t="s">
        <v>132</v>
      </c>
      <c r="FF11" s="25" t="s">
        <v>264</v>
      </c>
      <c r="FG11" s="25" t="s">
        <v>132</v>
      </c>
      <c r="FH11" s="25" t="s">
        <v>1579</v>
      </c>
      <c r="FI11" s="25" t="s">
        <v>1728</v>
      </c>
      <c r="FJ11" s="25" t="s">
        <v>1563</v>
      </c>
      <c r="FL11" s="25" t="s">
        <v>6015</v>
      </c>
      <c r="FM11" s="25" t="s">
        <v>6014</v>
      </c>
      <c r="FN11" s="25">
        <v>10</v>
      </c>
    </row>
    <row r="12" spans="1:170" x14ac:dyDescent="0.2">
      <c r="A12" s="25">
        <v>12</v>
      </c>
      <c r="B12" s="25">
        <v>20</v>
      </c>
      <c r="D12" s="25">
        <v>12</v>
      </c>
      <c r="E12" s="25">
        <v>160</v>
      </c>
      <c r="G12" s="25">
        <v>12</v>
      </c>
      <c r="H12" s="25">
        <v>80</v>
      </c>
      <c r="J12" s="25">
        <v>12</v>
      </c>
      <c r="K12" s="25">
        <v>5</v>
      </c>
      <c r="L12" s="25" t="s">
        <v>5140</v>
      </c>
      <c r="O12" s="25">
        <v>50</v>
      </c>
      <c r="P12" s="25">
        <v>1</v>
      </c>
      <c r="Q12" s="25">
        <v>0</v>
      </c>
      <c r="S12" s="25" t="s">
        <v>5052</v>
      </c>
      <c r="U12" s="25">
        <v>25</v>
      </c>
      <c r="V12" s="25">
        <v>150</v>
      </c>
      <c r="W12" s="25">
        <v>30</v>
      </c>
      <c r="X12" s="25">
        <v>84</v>
      </c>
      <c r="Y12" s="25" t="s">
        <v>444</v>
      </c>
      <c r="Z12" s="25">
        <v>60</v>
      </c>
      <c r="AA12" s="25">
        <v>0</v>
      </c>
      <c r="AB12" s="45" t="s">
        <v>5703</v>
      </c>
      <c r="AC12" s="25" t="s">
        <v>424</v>
      </c>
      <c r="AD12" s="45" t="s">
        <v>5703</v>
      </c>
      <c r="AE12" s="25" t="s">
        <v>445</v>
      </c>
      <c r="AF12" s="45" t="s">
        <v>5703</v>
      </c>
      <c r="AG12" s="26">
        <v>11</v>
      </c>
      <c r="AH12" s="26">
        <v>5</v>
      </c>
      <c r="AI12" s="26">
        <v>15</v>
      </c>
      <c r="AO12" s="26">
        <v>-345</v>
      </c>
      <c r="AP12" s="25">
        <v>7</v>
      </c>
      <c r="AX12" s="25" t="s">
        <v>437</v>
      </c>
      <c r="AY12" s="25">
        <v>0</v>
      </c>
      <c r="AZ12" s="25">
        <v>-10</v>
      </c>
      <c r="BA12" s="25">
        <v>4</v>
      </c>
      <c r="BB12" s="45" t="s">
        <v>5703</v>
      </c>
      <c r="BC12" s="45" t="s">
        <v>5703</v>
      </c>
      <c r="BD12" s="25" t="s">
        <v>433</v>
      </c>
      <c r="BE12" s="25" t="s">
        <v>6426</v>
      </c>
      <c r="BF12" s="26">
        <v>7</v>
      </c>
      <c r="BG12" s="26">
        <v>-3</v>
      </c>
      <c r="BH12" s="26">
        <v>15</v>
      </c>
      <c r="BI12" s="45" t="s">
        <v>5703</v>
      </c>
      <c r="BK12" s="25" t="s">
        <v>5309</v>
      </c>
      <c r="BL12" s="25">
        <v>2</v>
      </c>
      <c r="BN12" s="25" t="s">
        <v>478</v>
      </c>
      <c r="BO12" s="25" t="s">
        <v>5238</v>
      </c>
      <c r="BP12" s="25" t="s">
        <v>593</v>
      </c>
      <c r="BQ12" s="25" t="s">
        <v>630</v>
      </c>
      <c r="BR12" s="25" t="s">
        <v>435</v>
      </c>
      <c r="BS12" s="28" t="s">
        <v>562</v>
      </c>
      <c r="BV12" s="25" t="s">
        <v>5475</v>
      </c>
      <c r="BY12" s="25" t="s">
        <v>736</v>
      </c>
      <c r="BZ12" s="33">
        <v>0</v>
      </c>
      <c r="CA12" s="25">
        <v>0</v>
      </c>
      <c r="CB12" s="25">
        <v>0</v>
      </c>
      <c r="CC12" s="25">
        <v>12</v>
      </c>
      <c r="CD12" s="25">
        <v>25</v>
      </c>
      <c r="CE12" s="25" t="s">
        <v>729</v>
      </c>
      <c r="CF12" s="25" t="s">
        <v>730</v>
      </c>
      <c r="CG12" s="25">
        <v>1</v>
      </c>
      <c r="CH12" s="25">
        <v>0</v>
      </c>
      <c r="CI12" s="25">
        <v>2</v>
      </c>
      <c r="CJ12" s="25">
        <v>1</v>
      </c>
      <c r="CK12" s="25">
        <v>2</v>
      </c>
      <c r="CL12" s="25">
        <v>1</v>
      </c>
      <c r="CM12" s="25">
        <v>0</v>
      </c>
      <c r="CQ12" s="25" t="s">
        <v>757</v>
      </c>
      <c r="CR12" s="25">
        <v>0</v>
      </c>
      <c r="CT12" s="25">
        <v>0</v>
      </c>
      <c r="CU12" s="25">
        <v>12</v>
      </c>
      <c r="CV12" s="25">
        <v>15</v>
      </c>
      <c r="CW12" s="25" t="s">
        <v>751</v>
      </c>
      <c r="CX12" s="25" t="s">
        <v>733</v>
      </c>
      <c r="CY12" s="25">
        <v>3</v>
      </c>
      <c r="CZ12" s="25">
        <v>3</v>
      </c>
      <c r="DA12" s="25">
        <v>3</v>
      </c>
      <c r="DB12" s="25">
        <v>1</v>
      </c>
      <c r="DC12" s="25">
        <v>1</v>
      </c>
      <c r="DD12" s="25">
        <v>2</v>
      </c>
      <c r="DE12" s="25">
        <v>0</v>
      </c>
      <c r="DF12" s="25">
        <v>21</v>
      </c>
      <c r="DV12" s="25" t="s">
        <v>5431</v>
      </c>
      <c r="DW12" s="25" t="s">
        <v>5436</v>
      </c>
      <c r="DX12" s="25" t="s">
        <v>698</v>
      </c>
      <c r="DY12" s="25">
        <v>50</v>
      </c>
      <c r="DZ12" s="25">
        <v>50</v>
      </c>
      <c r="EA12" s="25">
        <v>96</v>
      </c>
      <c r="ED12" s="25" t="s">
        <v>5443</v>
      </c>
      <c r="EE12" s="25">
        <v>100</v>
      </c>
      <c r="EH12" s="25" t="s">
        <v>5493</v>
      </c>
      <c r="EL12" s="25" t="s">
        <v>5518</v>
      </c>
      <c r="EM12" s="25">
        <f t="shared" si="0"/>
        <v>10</v>
      </c>
      <c r="EN12" s="25">
        <v>98</v>
      </c>
      <c r="EO12" s="25" t="s">
        <v>5519</v>
      </c>
      <c r="ER12" s="25">
        <v>6</v>
      </c>
      <c r="ES12" s="25">
        <v>60</v>
      </c>
      <c r="EU12" s="25" t="s">
        <v>5518</v>
      </c>
      <c r="EZ12" s="25" t="s">
        <v>132</v>
      </c>
      <c r="FA12" s="25" t="s">
        <v>1535</v>
      </c>
      <c r="FB12" s="25" t="s">
        <v>1554</v>
      </c>
      <c r="FC12" s="25" t="s">
        <v>1579</v>
      </c>
      <c r="FE12" s="25" t="s">
        <v>1554</v>
      </c>
      <c r="FG12" s="25" t="s">
        <v>1554</v>
      </c>
      <c r="FH12" s="25" t="s">
        <v>1728</v>
      </c>
      <c r="FI12" s="25" t="s">
        <v>264</v>
      </c>
      <c r="FJ12" s="25" t="s">
        <v>1579</v>
      </c>
      <c r="FL12" s="25" t="s">
        <v>6016</v>
      </c>
      <c r="FM12" s="25" t="s">
        <v>6010</v>
      </c>
      <c r="FN12" s="25">
        <v>20</v>
      </c>
    </row>
    <row r="13" spans="1:170" x14ac:dyDescent="0.2">
      <c r="A13" s="25">
        <v>13</v>
      </c>
      <c r="B13" s="25">
        <v>25</v>
      </c>
      <c r="D13" s="25">
        <v>13</v>
      </c>
      <c r="E13" s="25">
        <v>175</v>
      </c>
      <c r="G13" s="25">
        <v>13</v>
      </c>
      <c r="H13" s="25">
        <v>90</v>
      </c>
      <c r="J13" s="25">
        <v>13</v>
      </c>
      <c r="K13" s="25">
        <v>6</v>
      </c>
      <c r="O13" s="25">
        <v>55</v>
      </c>
      <c r="P13" s="25">
        <v>1</v>
      </c>
      <c r="Q13" s="25">
        <v>0</v>
      </c>
      <c r="S13" s="25" t="s">
        <v>5053</v>
      </c>
      <c r="U13" s="25">
        <v>29</v>
      </c>
      <c r="V13" s="25">
        <v>200</v>
      </c>
      <c r="W13" s="25">
        <v>40</v>
      </c>
      <c r="X13" s="25">
        <v>92</v>
      </c>
      <c r="Y13" s="25" t="s">
        <v>446</v>
      </c>
      <c r="Z13" s="25">
        <v>150</v>
      </c>
      <c r="AA13" s="25">
        <v>0</v>
      </c>
      <c r="AB13" s="45" t="s">
        <v>5703</v>
      </c>
      <c r="AC13" s="25" t="s">
        <v>66</v>
      </c>
      <c r="AD13" s="45" t="s">
        <v>5703</v>
      </c>
      <c r="AE13" s="25" t="s">
        <v>445</v>
      </c>
      <c r="AF13" s="45" t="s">
        <v>5703</v>
      </c>
      <c r="AG13" s="26">
        <v>20</v>
      </c>
      <c r="AH13" s="26">
        <v>14</v>
      </c>
      <c r="AI13" s="26">
        <v>15</v>
      </c>
      <c r="AO13" s="26">
        <v>-340</v>
      </c>
      <c r="AP13" s="25">
        <v>7</v>
      </c>
      <c r="AS13" s="25" t="s">
        <v>0</v>
      </c>
      <c r="AX13" s="25" t="s">
        <v>5294</v>
      </c>
      <c r="AY13" s="25">
        <v>0</v>
      </c>
      <c r="AZ13" s="25">
        <v>-10</v>
      </c>
      <c r="BA13" s="25">
        <v>4</v>
      </c>
      <c r="BB13" s="45" t="s">
        <v>5703</v>
      </c>
      <c r="BC13" s="45" t="s">
        <v>5703</v>
      </c>
      <c r="BD13" s="25" t="s">
        <v>433</v>
      </c>
      <c r="BE13" s="25" t="s">
        <v>6427</v>
      </c>
      <c r="BF13" s="25">
        <v>6</v>
      </c>
      <c r="BG13" s="25">
        <v>-3</v>
      </c>
      <c r="BH13" s="25">
        <v>15</v>
      </c>
      <c r="BI13" s="45" t="s">
        <v>5703</v>
      </c>
      <c r="BK13" s="25" t="s">
        <v>681</v>
      </c>
      <c r="BL13" s="25">
        <v>5</v>
      </c>
      <c r="BN13" s="25" t="s">
        <v>482</v>
      </c>
      <c r="BO13" s="25" t="s">
        <v>5239</v>
      </c>
      <c r="BP13" s="25" t="s">
        <v>508</v>
      </c>
      <c r="BQ13" s="25" t="s">
        <v>585</v>
      </c>
      <c r="BR13" s="25" t="s">
        <v>479</v>
      </c>
      <c r="BS13" s="28" t="s">
        <v>515</v>
      </c>
      <c r="BV13" s="25" t="s">
        <v>5476</v>
      </c>
      <c r="BY13" s="25" t="s">
        <v>737</v>
      </c>
      <c r="BZ13" s="33">
        <v>20</v>
      </c>
      <c r="CA13" s="25">
        <v>-10</v>
      </c>
      <c r="CB13" s="25">
        <v>0</v>
      </c>
      <c r="CC13" s="25">
        <v>13</v>
      </c>
      <c r="CD13" s="25">
        <v>25</v>
      </c>
      <c r="CE13" s="25" t="s">
        <v>738</v>
      </c>
      <c r="CF13" s="25" t="s">
        <v>733</v>
      </c>
      <c r="CG13" s="25">
        <v>2</v>
      </c>
      <c r="CH13" s="25">
        <v>2</v>
      </c>
      <c r="CI13" s="25">
        <v>2</v>
      </c>
      <c r="CJ13" s="25">
        <v>2</v>
      </c>
      <c r="CK13" s="25">
        <v>2</v>
      </c>
      <c r="CL13" s="25">
        <v>2</v>
      </c>
      <c r="CM13" s="25">
        <v>0</v>
      </c>
      <c r="DH13" s="45" t="s">
        <v>5703</v>
      </c>
      <c r="DJ13" s="25" t="s">
        <v>0</v>
      </c>
      <c r="DK13" s="25" t="s">
        <v>5341</v>
      </c>
      <c r="DL13" s="25" t="s">
        <v>5342</v>
      </c>
      <c r="DM13" s="25" t="s">
        <v>5343</v>
      </c>
      <c r="DN13" s="25" t="s">
        <v>5</v>
      </c>
      <c r="DO13" s="25" t="s">
        <v>5148</v>
      </c>
      <c r="DQ13" s="25" t="s">
        <v>5409</v>
      </c>
      <c r="DR13" s="25" t="s">
        <v>5</v>
      </c>
      <c r="DS13" s="25" t="s">
        <v>5410</v>
      </c>
      <c r="DV13" s="25" t="s">
        <v>5439</v>
      </c>
      <c r="DW13" s="25" t="s">
        <v>87</v>
      </c>
      <c r="DX13" s="25" t="s">
        <v>5440</v>
      </c>
      <c r="DY13" s="25">
        <v>20</v>
      </c>
      <c r="DZ13" s="25">
        <v>10</v>
      </c>
      <c r="EA13" s="25">
        <v>99</v>
      </c>
      <c r="ED13" s="25" t="s">
        <v>5446</v>
      </c>
      <c r="EE13" s="25">
        <v>101</v>
      </c>
      <c r="EH13" s="25" t="s">
        <v>5494</v>
      </c>
      <c r="EL13" s="25" t="s">
        <v>5516</v>
      </c>
      <c r="EM13" s="25">
        <f t="shared" si="0"/>
        <v>10</v>
      </c>
      <c r="EN13" s="25">
        <v>96</v>
      </c>
      <c r="EO13" s="25" t="s">
        <v>29</v>
      </c>
      <c r="ER13" s="25">
        <v>7</v>
      </c>
      <c r="ES13" s="25">
        <v>70</v>
      </c>
      <c r="EU13" s="25" t="s">
        <v>5520</v>
      </c>
      <c r="EZ13" s="25" t="s">
        <v>1554</v>
      </c>
      <c r="FA13" s="25" t="s">
        <v>1543</v>
      </c>
      <c r="FB13" s="25" t="s">
        <v>1563</v>
      </c>
      <c r="FC13" s="25" t="s">
        <v>1596</v>
      </c>
      <c r="FE13" s="25" t="s">
        <v>1579</v>
      </c>
      <c r="FG13" s="25" t="s">
        <v>1563</v>
      </c>
      <c r="FJ13" s="25" t="s">
        <v>1728</v>
      </c>
      <c r="FM13" s="25" t="s">
        <v>6016</v>
      </c>
      <c r="FN13" s="25">
        <v>10</v>
      </c>
    </row>
    <row r="14" spans="1:170" x14ac:dyDescent="0.2">
      <c r="A14" s="25">
        <v>14</v>
      </c>
      <c r="B14" s="25">
        <v>25</v>
      </c>
      <c r="D14" s="25">
        <v>14</v>
      </c>
      <c r="E14" s="25">
        <v>185</v>
      </c>
      <c r="G14" s="25">
        <v>14</v>
      </c>
      <c r="H14" s="25">
        <v>100</v>
      </c>
      <c r="J14" s="25">
        <v>14</v>
      </c>
      <c r="K14" s="25">
        <v>7</v>
      </c>
      <c r="O14" s="25">
        <v>60</v>
      </c>
      <c r="P14" s="25">
        <v>1</v>
      </c>
      <c r="Q14" s="25">
        <v>0</v>
      </c>
      <c r="S14" s="25" t="s">
        <v>5054</v>
      </c>
      <c r="U14" s="25">
        <v>32</v>
      </c>
      <c r="V14" s="25">
        <v>350</v>
      </c>
      <c r="W14" s="25">
        <v>50</v>
      </c>
      <c r="X14" s="25">
        <v>82</v>
      </c>
      <c r="Y14" s="25" t="s">
        <v>447</v>
      </c>
      <c r="Z14" s="25">
        <v>60</v>
      </c>
      <c r="AA14" s="25">
        <v>0</v>
      </c>
      <c r="AB14" s="45" t="s">
        <v>5703</v>
      </c>
      <c r="AC14" s="25" t="s">
        <v>424</v>
      </c>
      <c r="AD14" s="45" t="s">
        <v>5703</v>
      </c>
      <c r="AE14" s="25" t="s">
        <v>445</v>
      </c>
      <c r="AF14" s="45" t="s">
        <v>5703</v>
      </c>
      <c r="AG14" s="26">
        <v>11</v>
      </c>
      <c r="AH14" s="26">
        <v>5</v>
      </c>
      <c r="AI14" s="26">
        <v>15</v>
      </c>
      <c r="AO14" s="26">
        <v>-335</v>
      </c>
      <c r="AP14" s="25">
        <v>7</v>
      </c>
      <c r="AR14" s="25">
        <v>0</v>
      </c>
      <c r="AS14" s="45" t="s">
        <v>5703</v>
      </c>
      <c r="AX14" s="25" t="s">
        <v>438</v>
      </c>
      <c r="AY14" s="25">
        <v>0</v>
      </c>
      <c r="AZ14" s="25">
        <v>-30</v>
      </c>
      <c r="BA14" s="25">
        <v>7</v>
      </c>
      <c r="BB14" s="45" t="s">
        <v>5703</v>
      </c>
      <c r="BC14" s="45" t="s">
        <v>5703</v>
      </c>
      <c r="BD14" s="25" t="s">
        <v>433</v>
      </c>
      <c r="BE14" s="25" t="s">
        <v>6426</v>
      </c>
      <c r="BF14" s="26">
        <v>8</v>
      </c>
      <c r="BG14" s="26">
        <v>-2</v>
      </c>
      <c r="BH14" s="26">
        <v>20</v>
      </c>
      <c r="BI14" s="45" t="s">
        <v>5703</v>
      </c>
      <c r="BN14" s="25" t="s">
        <v>484</v>
      </c>
      <c r="BO14" s="25" t="s">
        <v>5240</v>
      </c>
      <c r="BP14" s="25" t="s">
        <v>422</v>
      </c>
      <c r="BQ14" s="25" t="s">
        <v>442</v>
      </c>
      <c r="BR14" s="25" t="s">
        <v>472</v>
      </c>
      <c r="BS14" s="28" t="s">
        <v>447</v>
      </c>
      <c r="BV14" s="25" t="s">
        <v>5477</v>
      </c>
      <c r="BY14" s="25" t="s">
        <v>739</v>
      </c>
      <c r="BZ14" s="33">
        <v>25</v>
      </c>
      <c r="CA14" s="25">
        <v>-10</v>
      </c>
      <c r="CB14" s="25">
        <v>1</v>
      </c>
      <c r="CC14" s="25">
        <v>14</v>
      </c>
      <c r="CD14" s="25">
        <v>25</v>
      </c>
      <c r="CE14" s="25" t="s">
        <v>738</v>
      </c>
      <c r="CF14" s="25" t="s">
        <v>733</v>
      </c>
      <c r="CG14" s="25">
        <v>3</v>
      </c>
      <c r="CH14" s="25">
        <v>1</v>
      </c>
      <c r="CI14" s="25">
        <v>2</v>
      </c>
      <c r="CJ14" s="25">
        <v>2</v>
      </c>
      <c r="CK14" s="25">
        <v>1</v>
      </c>
      <c r="CL14" s="25">
        <v>2</v>
      </c>
      <c r="CM14" s="25">
        <v>0</v>
      </c>
      <c r="DH14" s="25" t="s">
        <v>5344</v>
      </c>
      <c r="DJ14" s="25">
        <v>0</v>
      </c>
      <c r="DK14" s="45" t="s">
        <v>5703</v>
      </c>
      <c r="DL14" s="45" t="s">
        <v>5703</v>
      </c>
      <c r="DM14" s="25">
        <v>0</v>
      </c>
      <c r="DN14" s="25">
        <v>0</v>
      </c>
      <c r="DO14" s="45" t="s">
        <v>5703</v>
      </c>
      <c r="DQ14" s="25">
        <v>1</v>
      </c>
      <c r="DR14" s="25">
        <v>5</v>
      </c>
      <c r="DS14" s="25">
        <v>5</v>
      </c>
      <c r="DV14" s="25" t="s">
        <v>5443</v>
      </c>
      <c r="DW14" s="25" t="s">
        <v>5444</v>
      </c>
      <c r="DX14" s="25" t="s">
        <v>698</v>
      </c>
      <c r="DY14" s="25">
        <v>30</v>
      </c>
      <c r="DZ14" s="25">
        <v>20</v>
      </c>
      <c r="EA14" s="25">
        <v>100</v>
      </c>
      <c r="ED14" s="25" t="s">
        <v>5449</v>
      </c>
      <c r="EE14" s="25">
        <v>102</v>
      </c>
      <c r="EH14" s="25" t="s">
        <v>5495</v>
      </c>
      <c r="EL14" s="25" t="s">
        <v>5517</v>
      </c>
      <c r="EM14" s="25">
        <f t="shared" si="0"/>
        <v>10</v>
      </c>
      <c r="EN14" s="25">
        <v>97</v>
      </c>
      <c r="EO14" s="25" t="s">
        <v>39</v>
      </c>
      <c r="ER14" s="25">
        <v>8</v>
      </c>
      <c r="ES14" s="25">
        <v>80</v>
      </c>
      <c r="EZ14" s="25" t="s">
        <v>1728</v>
      </c>
      <c r="FA14" s="25" t="s">
        <v>132</v>
      </c>
      <c r="FB14" s="25" t="s">
        <v>1579</v>
      </c>
      <c r="FC14" s="25" t="s">
        <v>4173</v>
      </c>
      <c r="FE14" s="25" t="s">
        <v>4173</v>
      </c>
      <c r="FG14" s="25" t="s">
        <v>1728</v>
      </c>
      <c r="FJ14" s="25" t="s">
        <v>264</v>
      </c>
    </row>
    <row r="15" spans="1:170" x14ac:dyDescent="0.2">
      <c r="A15" s="25">
        <v>15</v>
      </c>
      <c r="B15" s="25">
        <v>30</v>
      </c>
      <c r="D15" s="25">
        <v>15</v>
      </c>
      <c r="E15" s="25">
        <v>200</v>
      </c>
      <c r="G15" s="25">
        <v>15</v>
      </c>
      <c r="H15" s="25">
        <v>120</v>
      </c>
      <c r="J15" s="25">
        <v>15</v>
      </c>
      <c r="K15" s="25">
        <v>8</v>
      </c>
      <c r="L15" s="25" t="s">
        <v>5142</v>
      </c>
      <c r="O15" s="25">
        <v>65</v>
      </c>
      <c r="P15" s="25">
        <v>1</v>
      </c>
      <c r="Q15" s="25">
        <v>0</v>
      </c>
      <c r="S15" s="25" t="s">
        <v>5064</v>
      </c>
      <c r="U15" s="25">
        <v>35</v>
      </c>
      <c r="V15" s="25">
        <v>500</v>
      </c>
      <c r="W15" s="25">
        <v>60</v>
      </c>
      <c r="X15" s="25">
        <v>87</v>
      </c>
      <c r="Y15" s="25" t="s">
        <v>448</v>
      </c>
      <c r="Z15" s="25">
        <v>0</v>
      </c>
      <c r="AA15" s="25">
        <v>-80</v>
      </c>
      <c r="AB15" s="135" t="s">
        <v>5703</v>
      </c>
      <c r="AC15" s="45" t="s">
        <v>5703</v>
      </c>
      <c r="AD15" s="45" t="s">
        <v>5703</v>
      </c>
      <c r="AE15" s="25" t="s">
        <v>433</v>
      </c>
      <c r="AF15" s="25" t="s">
        <v>449</v>
      </c>
      <c r="AG15" s="26">
        <v>18</v>
      </c>
      <c r="AH15" s="136" t="s">
        <v>5703</v>
      </c>
      <c r="AI15" s="26">
        <v>25</v>
      </c>
      <c r="AO15" s="26">
        <v>-330</v>
      </c>
      <c r="AP15" s="25">
        <v>7</v>
      </c>
      <c r="AR15" s="25">
        <v>0.5</v>
      </c>
      <c r="AS15" s="25" t="s">
        <v>450</v>
      </c>
      <c r="AX15" s="25" t="s">
        <v>5428</v>
      </c>
      <c r="AY15" s="25">
        <v>100</v>
      </c>
      <c r="AZ15" s="25">
        <v>-20</v>
      </c>
      <c r="BA15" s="45" t="s">
        <v>5703</v>
      </c>
      <c r="BB15" s="25" t="s">
        <v>424</v>
      </c>
      <c r="BC15" s="25" t="s">
        <v>415</v>
      </c>
      <c r="BD15" s="25" t="s">
        <v>5473</v>
      </c>
      <c r="BE15" s="25" t="s">
        <v>5470</v>
      </c>
      <c r="BF15" s="25">
        <v>16</v>
      </c>
      <c r="BG15" s="25">
        <v>6</v>
      </c>
      <c r="BH15" s="25">
        <v>30</v>
      </c>
      <c r="BI15" s="25" t="s">
        <v>5471</v>
      </c>
      <c r="BN15" s="25" t="s">
        <v>488</v>
      </c>
      <c r="BO15" s="25" t="s">
        <v>5241</v>
      </c>
      <c r="BP15" s="25" t="s">
        <v>599</v>
      </c>
      <c r="BQ15" s="25" t="s">
        <v>592</v>
      </c>
      <c r="BR15" s="25" t="s">
        <v>517</v>
      </c>
      <c r="BS15" s="28" t="s">
        <v>444</v>
      </c>
      <c r="BV15" s="25" t="s">
        <v>5478</v>
      </c>
      <c r="BY15" s="25" t="s">
        <v>740</v>
      </c>
      <c r="BZ15" s="34">
        <v>150</v>
      </c>
      <c r="CA15" s="25">
        <v>-70</v>
      </c>
      <c r="CB15" s="25">
        <v>6</v>
      </c>
      <c r="CC15" s="25">
        <v>20</v>
      </c>
      <c r="CD15" s="25">
        <v>50</v>
      </c>
      <c r="CE15" s="25" t="s">
        <v>732</v>
      </c>
      <c r="CF15" s="25" t="s">
        <v>733</v>
      </c>
      <c r="CG15" s="25">
        <v>7</v>
      </c>
      <c r="CH15" s="25">
        <v>7</v>
      </c>
      <c r="CI15" s="25">
        <v>7</v>
      </c>
      <c r="CJ15" s="25">
        <v>4</v>
      </c>
      <c r="CK15" s="25">
        <v>0</v>
      </c>
      <c r="CL15" s="25">
        <v>4</v>
      </c>
      <c r="CM15" s="25">
        <v>2</v>
      </c>
      <c r="DH15" s="25" t="s">
        <v>5346</v>
      </c>
      <c r="DJ15" s="25" t="s">
        <v>5361</v>
      </c>
      <c r="DK15" s="25" t="s">
        <v>5377</v>
      </c>
      <c r="DL15" s="25" t="s">
        <v>87</v>
      </c>
      <c r="DM15" s="25">
        <v>30</v>
      </c>
      <c r="DN15" s="25">
        <v>30</v>
      </c>
      <c r="DO15" s="25" t="s">
        <v>5363</v>
      </c>
      <c r="DQ15" s="25">
        <v>2</v>
      </c>
      <c r="DR15" s="25">
        <v>5</v>
      </c>
      <c r="DS15" s="25">
        <f>DR15+DS14</f>
        <v>10</v>
      </c>
      <c r="DV15" s="25" t="s">
        <v>5459</v>
      </c>
      <c r="DW15" s="25" t="s">
        <v>5460</v>
      </c>
      <c r="DX15" s="25" t="s">
        <v>5461</v>
      </c>
      <c r="DY15" s="25">
        <v>50</v>
      </c>
      <c r="DZ15" s="25">
        <v>100</v>
      </c>
      <c r="EA15" s="25">
        <v>104</v>
      </c>
      <c r="ED15" s="25" t="s">
        <v>5450</v>
      </c>
      <c r="EE15" s="25">
        <v>103</v>
      </c>
      <c r="EH15" s="25" t="s">
        <v>5496</v>
      </c>
      <c r="ER15" s="25">
        <v>9</v>
      </c>
      <c r="ES15" s="25">
        <v>90</v>
      </c>
      <c r="EZ15" s="25" t="s">
        <v>1596</v>
      </c>
      <c r="FA15" s="25" t="s">
        <v>1563</v>
      </c>
      <c r="FB15" s="25" t="s">
        <v>1596</v>
      </c>
      <c r="FG15" s="25" t="s">
        <v>264</v>
      </c>
      <c r="FJ15" s="25" t="s">
        <v>4173</v>
      </c>
    </row>
    <row r="16" spans="1:170" ht="13.5" thickBot="1" x14ac:dyDescent="0.25">
      <c r="A16" s="25">
        <v>16</v>
      </c>
      <c r="B16" s="25">
        <v>35</v>
      </c>
      <c r="D16" s="25">
        <v>16</v>
      </c>
      <c r="E16" s="25">
        <v>215</v>
      </c>
      <c r="G16" s="25">
        <v>16</v>
      </c>
      <c r="H16" s="25">
        <v>140</v>
      </c>
      <c r="J16" s="25">
        <v>16</v>
      </c>
      <c r="K16" s="25">
        <v>9</v>
      </c>
      <c r="L16" s="25">
        <v>-1</v>
      </c>
      <c r="M16" s="25" t="s">
        <v>5334</v>
      </c>
      <c r="O16" s="25">
        <v>70</v>
      </c>
      <c r="P16" s="25">
        <v>1</v>
      </c>
      <c r="Q16" s="25">
        <v>0</v>
      </c>
      <c r="S16" s="25" t="s">
        <v>5065</v>
      </c>
      <c r="X16" s="25">
        <v>89</v>
      </c>
      <c r="Y16" s="25" t="s">
        <v>451</v>
      </c>
      <c r="Z16" s="25">
        <v>0</v>
      </c>
      <c r="AA16" s="25">
        <v>-100</v>
      </c>
      <c r="AB16" s="135" t="s">
        <v>5703</v>
      </c>
      <c r="AC16" s="45" t="s">
        <v>5703</v>
      </c>
      <c r="AD16" s="45" t="s">
        <v>5703</v>
      </c>
      <c r="AE16" s="25" t="s">
        <v>433</v>
      </c>
      <c r="AF16" s="25" t="s">
        <v>452</v>
      </c>
      <c r="AG16" s="26">
        <v>20</v>
      </c>
      <c r="AH16" s="136" t="s">
        <v>5703</v>
      </c>
      <c r="AI16" s="26">
        <v>30</v>
      </c>
      <c r="AO16" s="26">
        <v>-325</v>
      </c>
      <c r="AP16" s="25">
        <v>7</v>
      </c>
      <c r="AR16" s="25">
        <v>1</v>
      </c>
      <c r="AS16" s="25" t="s">
        <v>418</v>
      </c>
      <c r="AX16" s="25" t="s">
        <v>439</v>
      </c>
      <c r="AY16" s="25">
        <v>35</v>
      </c>
      <c r="AZ16" s="25">
        <v>-5</v>
      </c>
      <c r="BA16" s="27" t="s">
        <v>440</v>
      </c>
      <c r="BB16" s="25" t="s">
        <v>424</v>
      </c>
      <c r="BC16" s="45" t="s">
        <v>5703</v>
      </c>
      <c r="BD16" s="25" t="s">
        <v>425</v>
      </c>
      <c r="BE16" s="25" t="s">
        <v>6428</v>
      </c>
      <c r="BF16" s="25">
        <v>11</v>
      </c>
      <c r="BG16" s="25">
        <v>0</v>
      </c>
      <c r="BH16" s="25">
        <v>15</v>
      </c>
      <c r="BI16" s="45" t="s">
        <v>5703</v>
      </c>
      <c r="BN16" s="25" t="s">
        <v>491</v>
      </c>
      <c r="BO16" s="25" t="s">
        <v>5242</v>
      </c>
      <c r="BP16" s="25" t="s">
        <v>603</v>
      </c>
      <c r="BQ16" s="25" t="s">
        <v>641</v>
      </c>
      <c r="BR16" s="25" t="s">
        <v>666</v>
      </c>
      <c r="BS16" s="28" t="s">
        <v>643</v>
      </c>
      <c r="BV16" s="25" t="s">
        <v>5479</v>
      </c>
      <c r="BY16" s="25" t="s">
        <v>741</v>
      </c>
      <c r="BZ16" s="34">
        <v>80</v>
      </c>
      <c r="CA16" s="25">
        <v>-15</v>
      </c>
      <c r="CB16" s="25">
        <v>3</v>
      </c>
      <c r="CC16" s="25">
        <v>17</v>
      </c>
      <c r="CD16" s="25">
        <v>35</v>
      </c>
      <c r="CE16" s="25" t="s">
        <v>732</v>
      </c>
      <c r="CF16" s="25" t="s">
        <v>733</v>
      </c>
      <c r="CG16" s="25">
        <v>4</v>
      </c>
      <c r="CH16" s="25">
        <v>4</v>
      </c>
      <c r="CI16" s="25">
        <v>4</v>
      </c>
      <c r="CJ16" s="25">
        <v>3</v>
      </c>
      <c r="CK16" s="25">
        <v>0</v>
      </c>
      <c r="CL16" s="25">
        <v>3</v>
      </c>
      <c r="CM16" s="25">
        <v>1</v>
      </c>
      <c r="CQ16" s="25" t="s">
        <v>5336</v>
      </c>
      <c r="CS16" s="25" t="s">
        <v>5338</v>
      </c>
      <c r="CU16" s="25" t="s">
        <v>5339</v>
      </c>
      <c r="DH16" s="25" t="s">
        <v>5349</v>
      </c>
      <c r="DJ16" s="25" t="s">
        <v>5360</v>
      </c>
      <c r="DK16" s="25" t="s">
        <v>5378</v>
      </c>
      <c r="DL16" s="25" t="s">
        <v>87</v>
      </c>
      <c r="DM16" s="25">
        <v>80</v>
      </c>
      <c r="DN16" s="25">
        <v>80</v>
      </c>
      <c r="DO16" s="25" t="s">
        <v>5362</v>
      </c>
      <c r="DQ16" s="25">
        <v>3</v>
      </c>
      <c r="DR16" s="25">
        <v>10</v>
      </c>
      <c r="DS16" s="25">
        <f t="shared" ref="DS16:DS23" si="1">DR16+DS15</f>
        <v>20</v>
      </c>
      <c r="DV16" s="25" t="s">
        <v>5457</v>
      </c>
      <c r="DW16" s="25" t="s">
        <v>5458</v>
      </c>
      <c r="DX16" s="25" t="s">
        <v>698</v>
      </c>
      <c r="DY16" s="25">
        <v>10</v>
      </c>
      <c r="DZ16" s="25">
        <v>20</v>
      </c>
      <c r="EA16" s="25">
        <v>104</v>
      </c>
      <c r="ED16" s="25" t="s">
        <v>5453</v>
      </c>
      <c r="EE16" s="25">
        <v>103</v>
      </c>
      <c r="EH16" s="25" t="s">
        <v>5497</v>
      </c>
      <c r="EM16" s="25" t="s">
        <v>6023</v>
      </c>
      <c r="EN16" s="25">
        <v>0.5</v>
      </c>
      <c r="ER16" s="25">
        <v>10</v>
      </c>
      <c r="ES16" s="25">
        <v>100</v>
      </c>
      <c r="FA16" s="25" t="s">
        <v>1579</v>
      </c>
      <c r="FG16" s="25" t="s">
        <v>4173</v>
      </c>
    </row>
    <row r="17" spans="1:157" x14ac:dyDescent="0.2">
      <c r="A17" s="25">
        <v>17</v>
      </c>
      <c r="B17" s="25">
        <v>35</v>
      </c>
      <c r="D17" s="25">
        <v>17</v>
      </c>
      <c r="E17" s="25">
        <v>225</v>
      </c>
      <c r="G17" s="25">
        <v>17</v>
      </c>
      <c r="H17" s="25">
        <v>160</v>
      </c>
      <c r="J17" s="25">
        <v>17</v>
      </c>
      <c r="K17" s="25">
        <v>10</v>
      </c>
      <c r="L17" s="25">
        <v>0</v>
      </c>
      <c r="M17" s="45" t="s">
        <v>5147</v>
      </c>
      <c r="O17" s="25">
        <v>75</v>
      </c>
      <c r="P17" s="25">
        <v>1</v>
      </c>
      <c r="Q17" s="25">
        <v>0</v>
      </c>
      <c r="S17" s="25" t="s">
        <v>6007</v>
      </c>
      <c r="X17" s="25">
        <v>55</v>
      </c>
      <c r="Y17" s="25" t="s">
        <v>453</v>
      </c>
      <c r="Z17" s="25">
        <v>0</v>
      </c>
      <c r="AA17" s="25">
        <v>0</v>
      </c>
      <c r="AB17" s="27" t="s">
        <v>454</v>
      </c>
      <c r="AC17" s="45" t="s">
        <v>5703</v>
      </c>
      <c r="AD17" s="45" t="s">
        <v>5703</v>
      </c>
      <c r="AE17" s="25" t="s">
        <v>433</v>
      </c>
      <c r="AF17" s="25" t="s">
        <v>455</v>
      </c>
      <c r="AG17" s="26" t="s">
        <v>456</v>
      </c>
      <c r="AH17" s="26" t="s">
        <v>457</v>
      </c>
      <c r="AI17" s="26" t="s">
        <v>458</v>
      </c>
      <c r="AO17" s="26">
        <v>-320</v>
      </c>
      <c r="AP17" s="25">
        <v>7</v>
      </c>
      <c r="AR17" s="25">
        <v>2</v>
      </c>
      <c r="AS17" s="25" t="s">
        <v>439</v>
      </c>
      <c r="AX17" s="25" t="s">
        <v>5229</v>
      </c>
      <c r="AY17" s="25">
        <v>0</v>
      </c>
      <c r="AZ17" s="25">
        <v>-5</v>
      </c>
      <c r="BA17" s="25">
        <v>5</v>
      </c>
      <c r="BB17" s="45" t="s">
        <v>5703</v>
      </c>
      <c r="BC17" s="45" t="s">
        <v>5703</v>
      </c>
      <c r="BD17" s="25" t="s">
        <v>433</v>
      </c>
      <c r="BE17" s="25" t="s">
        <v>601</v>
      </c>
      <c r="BF17" s="25">
        <v>8</v>
      </c>
      <c r="BG17" s="25">
        <v>-4</v>
      </c>
      <c r="BH17" s="25">
        <v>10</v>
      </c>
      <c r="BI17" s="25" t="s">
        <v>5230</v>
      </c>
      <c r="BK17" s="25">
        <v>1</v>
      </c>
      <c r="BL17" s="25" t="s">
        <v>5312</v>
      </c>
      <c r="BN17" s="25" t="s">
        <v>494</v>
      </c>
      <c r="BO17" s="25" t="s">
        <v>5243</v>
      </c>
      <c r="BP17" s="25" t="s">
        <v>606</v>
      </c>
      <c r="BQ17" s="25" t="s">
        <v>427</v>
      </c>
      <c r="BR17" s="25" t="s">
        <v>495</v>
      </c>
      <c r="BS17" s="25" t="s">
        <v>5306</v>
      </c>
      <c r="BV17" s="25" t="s">
        <v>5441</v>
      </c>
      <c r="BY17" s="25" t="s">
        <v>742</v>
      </c>
      <c r="BZ17" s="33">
        <v>0</v>
      </c>
      <c r="CA17" s="25">
        <v>-5</v>
      </c>
      <c r="CB17" s="25">
        <v>0</v>
      </c>
      <c r="CC17" s="25">
        <v>10</v>
      </c>
      <c r="CD17" s="25">
        <v>25</v>
      </c>
      <c r="CE17" s="25" t="s">
        <v>732</v>
      </c>
      <c r="CF17" s="25" t="s">
        <v>730</v>
      </c>
      <c r="CG17" s="25">
        <v>1</v>
      </c>
      <c r="CH17" s="25">
        <v>0</v>
      </c>
      <c r="CI17" s="25">
        <v>2</v>
      </c>
      <c r="CJ17" s="25">
        <v>1</v>
      </c>
      <c r="CK17" s="25">
        <v>2</v>
      </c>
      <c r="CL17" s="25">
        <v>2</v>
      </c>
      <c r="CM17" s="25">
        <v>0</v>
      </c>
      <c r="CQ17" s="84" t="str">
        <f>T('Hoja básica'!BK30:BL30)</f>
        <v/>
      </c>
      <c r="CS17" s="84">
        <v>20</v>
      </c>
      <c r="CU17" s="25">
        <v>0</v>
      </c>
      <c r="DH17" s="25" t="s">
        <v>5352</v>
      </c>
      <c r="DJ17" s="25" t="s">
        <v>5357</v>
      </c>
      <c r="DK17" s="25" t="s">
        <v>87</v>
      </c>
      <c r="DL17" s="25" t="s">
        <v>87</v>
      </c>
      <c r="DM17" s="25">
        <v>30</v>
      </c>
      <c r="DN17" s="25">
        <v>10</v>
      </c>
      <c r="DO17" s="25" t="s">
        <v>5362</v>
      </c>
      <c r="DQ17" s="25">
        <v>4</v>
      </c>
      <c r="DR17" s="25">
        <v>10</v>
      </c>
      <c r="DS17" s="25">
        <f t="shared" si="1"/>
        <v>30</v>
      </c>
      <c r="DV17" s="25" t="s">
        <v>5450</v>
      </c>
      <c r="DW17" s="25" t="s">
        <v>5452</v>
      </c>
      <c r="DX17" s="25" t="s">
        <v>698</v>
      </c>
      <c r="DY17" s="25">
        <v>30</v>
      </c>
      <c r="DZ17" s="25">
        <v>30</v>
      </c>
      <c r="EA17" s="25">
        <v>103</v>
      </c>
      <c r="ED17" s="25" t="s">
        <v>5455</v>
      </c>
      <c r="EE17" s="25">
        <v>103</v>
      </c>
      <c r="EH17" s="25" t="s">
        <v>5402</v>
      </c>
      <c r="EM17" s="25" t="s">
        <v>244</v>
      </c>
      <c r="EN17" s="25">
        <v>1</v>
      </c>
      <c r="ER17" s="25">
        <v>11</v>
      </c>
      <c r="ES17" s="25">
        <v>120</v>
      </c>
      <c r="FA17" s="25" t="s">
        <v>1728</v>
      </c>
    </row>
    <row r="18" spans="1:157" x14ac:dyDescent="0.2">
      <c r="A18" s="25">
        <v>18</v>
      </c>
      <c r="B18" s="25">
        <v>40</v>
      </c>
      <c r="D18" s="25">
        <v>18</v>
      </c>
      <c r="E18" s="25">
        <v>240</v>
      </c>
      <c r="G18" s="25">
        <v>18</v>
      </c>
      <c r="H18" s="25">
        <v>180</v>
      </c>
      <c r="J18" s="25">
        <v>18</v>
      </c>
      <c r="K18" s="25">
        <v>11</v>
      </c>
      <c r="L18" s="25">
        <v>1</v>
      </c>
      <c r="M18" s="45" t="s">
        <v>5146</v>
      </c>
      <c r="O18" s="25">
        <v>80</v>
      </c>
      <c r="P18" s="25">
        <v>1</v>
      </c>
      <c r="Q18" s="25">
        <v>0</v>
      </c>
      <c r="S18" s="25" t="s">
        <v>6005</v>
      </c>
      <c r="X18" s="25">
        <v>61</v>
      </c>
      <c r="Y18" s="25" t="s">
        <v>459</v>
      </c>
      <c r="Z18" s="25">
        <v>0</v>
      </c>
      <c r="AA18" s="25">
        <v>10</v>
      </c>
      <c r="AB18" s="27" t="s">
        <v>460</v>
      </c>
      <c r="AC18" s="45" t="s">
        <v>5703</v>
      </c>
      <c r="AD18" s="45" t="s">
        <v>5703</v>
      </c>
      <c r="AE18" s="25" t="s">
        <v>433</v>
      </c>
      <c r="AF18" s="25" t="s">
        <v>461</v>
      </c>
      <c r="AG18" s="26">
        <v>5</v>
      </c>
      <c r="AH18" s="26">
        <v>-4</v>
      </c>
      <c r="AI18" s="26">
        <v>15</v>
      </c>
      <c r="AO18" s="26">
        <v>-315</v>
      </c>
      <c r="AP18" s="25">
        <v>7</v>
      </c>
      <c r="AR18" s="25">
        <v>3</v>
      </c>
      <c r="AS18" s="25" t="s">
        <v>462</v>
      </c>
      <c r="AX18" s="25" t="s">
        <v>442</v>
      </c>
      <c r="AY18" s="25">
        <v>30</v>
      </c>
      <c r="AZ18" s="25">
        <v>-20</v>
      </c>
      <c r="BA18" s="27" t="s">
        <v>414</v>
      </c>
      <c r="BB18" s="25" t="s">
        <v>415</v>
      </c>
      <c r="BC18" s="25" t="s">
        <v>66</v>
      </c>
      <c r="BD18" s="25" t="s">
        <v>443</v>
      </c>
      <c r="BE18" s="45" t="s">
        <v>5703</v>
      </c>
      <c r="BF18" s="26">
        <v>10</v>
      </c>
      <c r="BG18" s="26">
        <v>1</v>
      </c>
      <c r="BH18" s="26">
        <v>15</v>
      </c>
      <c r="BI18" s="45" t="s">
        <v>5703</v>
      </c>
      <c r="BK18" s="25">
        <v>2</v>
      </c>
      <c r="BL18" s="25" t="s">
        <v>5309</v>
      </c>
      <c r="BN18" s="25" t="s">
        <v>497</v>
      </c>
      <c r="BO18" s="25" t="s">
        <v>5245</v>
      </c>
      <c r="BP18" s="25" t="s">
        <v>612</v>
      </c>
      <c r="BR18" s="25" t="s">
        <v>645</v>
      </c>
      <c r="BS18" s="25" t="s">
        <v>5307</v>
      </c>
      <c r="BV18" s="25" t="s">
        <v>5443</v>
      </c>
      <c r="BY18" s="25" t="s">
        <v>5317</v>
      </c>
      <c r="BZ18" s="25">
        <v>30</v>
      </c>
      <c r="CA18" s="25">
        <v>-10</v>
      </c>
      <c r="CB18" s="25">
        <v>0</v>
      </c>
      <c r="CC18" s="25">
        <v>14</v>
      </c>
      <c r="CD18" s="25">
        <v>25</v>
      </c>
      <c r="CE18" s="25" t="s">
        <v>732</v>
      </c>
      <c r="CF18" s="25" t="s">
        <v>733</v>
      </c>
      <c r="CG18" s="25">
        <v>3</v>
      </c>
      <c r="CH18" s="25">
        <v>2</v>
      </c>
      <c r="CI18" s="25">
        <v>2</v>
      </c>
      <c r="CJ18" s="25">
        <v>2</v>
      </c>
      <c r="CK18" s="25">
        <v>0</v>
      </c>
      <c r="CL18" s="25">
        <v>1</v>
      </c>
      <c r="CM18" s="25">
        <v>1</v>
      </c>
      <c r="CQ18" s="85" t="str">
        <f>T('Hoja básica'!BO30:BQ30)</f>
        <v/>
      </c>
      <c r="CS18" s="85">
        <v>40</v>
      </c>
      <c r="CU18" s="25">
        <v>10</v>
      </c>
      <c r="DH18" s="25" t="s">
        <v>5357</v>
      </c>
      <c r="DJ18" s="25" t="s">
        <v>5344</v>
      </c>
      <c r="DK18" s="25" t="s">
        <v>87</v>
      </c>
      <c r="DL18" s="25" t="s">
        <v>87</v>
      </c>
      <c r="DM18" s="25">
        <v>30</v>
      </c>
      <c r="DN18" s="25">
        <v>10</v>
      </c>
      <c r="DO18" s="25" t="s">
        <v>5359</v>
      </c>
      <c r="DQ18" s="25">
        <v>5</v>
      </c>
      <c r="DR18" s="25">
        <v>15</v>
      </c>
      <c r="DS18" s="25">
        <f t="shared" si="1"/>
        <v>45</v>
      </c>
      <c r="DV18" s="25" t="s">
        <v>5449</v>
      </c>
      <c r="DW18" s="25" t="s">
        <v>5451</v>
      </c>
      <c r="DX18" s="25" t="s">
        <v>698</v>
      </c>
      <c r="DY18" s="25">
        <v>40</v>
      </c>
      <c r="DZ18" s="25">
        <v>30</v>
      </c>
      <c r="EA18" s="25">
        <v>102</v>
      </c>
      <c r="ED18" s="25" t="s">
        <v>5457</v>
      </c>
      <c r="EE18" s="25">
        <v>104</v>
      </c>
      <c r="EH18" s="25" t="s">
        <v>5498</v>
      </c>
      <c r="ER18" s="25">
        <v>12</v>
      </c>
      <c r="ES18" s="25">
        <v>140</v>
      </c>
      <c r="FA18" s="25" t="s">
        <v>1596</v>
      </c>
    </row>
    <row r="19" spans="1:157" x14ac:dyDescent="0.2">
      <c r="A19" s="25">
        <v>19</v>
      </c>
      <c r="B19" s="25">
        <v>40</v>
      </c>
      <c r="D19" s="25">
        <v>19</v>
      </c>
      <c r="E19" s="25">
        <v>250</v>
      </c>
      <c r="G19" s="25">
        <v>19</v>
      </c>
      <c r="H19" s="25">
        <v>200</v>
      </c>
      <c r="J19" s="25">
        <v>19</v>
      </c>
      <c r="K19" s="25">
        <v>12</v>
      </c>
      <c r="L19" s="25">
        <v>2</v>
      </c>
      <c r="M19" s="45" t="s">
        <v>5145</v>
      </c>
      <c r="O19" s="25">
        <v>85</v>
      </c>
      <c r="P19" s="25">
        <v>1</v>
      </c>
      <c r="Q19" s="25">
        <v>0</v>
      </c>
      <c r="S19" s="25" t="s">
        <v>5055</v>
      </c>
      <c r="X19" s="25">
        <v>57</v>
      </c>
      <c r="Y19" s="25" t="s">
        <v>463</v>
      </c>
      <c r="Z19" s="25">
        <v>0</v>
      </c>
      <c r="AA19" s="25">
        <v>0</v>
      </c>
      <c r="AB19" s="27" t="s">
        <v>464</v>
      </c>
      <c r="AC19" s="45" t="s">
        <v>5703</v>
      </c>
      <c r="AD19" s="45" t="s">
        <v>5703</v>
      </c>
      <c r="AE19" s="25" t="s">
        <v>433</v>
      </c>
      <c r="AF19" s="25" t="s">
        <v>455</v>
      </c>
      <c r="AG19" s="26">
        <v>6</v>
      </c>
      <c r="AH19" s="26">
        <v>-2</v>
      </c>
      <c r="AI19" s="26">
        <v>20</v>
      </c>
      <c r="AO19" s="26">
        <v>-310</v>
      </c>
      <c r="AP19" s="25">
        <v>7</v>
      </c>
      <c r="AR19" s="25">
        <v>4</v>
      </c>
      <c r="AS19" s="25" t="s">
        <v>465</v>
      </c>
      <c r="AX19" s="25" t="s">
        <v>444</v>
      </c>
      <c r="AY19" s="25">
        <v>60</v>
      </c>
      <c r="AZ19" s="25">
        <v>0</v>
      </c>
      <c r="BA19" s="45" t="s">
        <v>5703</v>
      </c>
      <c r="BB19" s="25" t="s">
        <v>424</v>
      </c>
      <c r="BC19" s="45" t="s">
        <v>5703</v>
      </c>
      <c r="BD19" s="25" t="s">
        <v>445</v>
      </c>
      <c r="BE19" s="45" t="s">
        <v>5703</v>
      </c>
      <c r="BF19" s="26">
        <v>11</v>
      </c>
      <c r="BG19" s="26">
        <v>5</v>
      </c>
      <c r="BH19" s="26">
        <v>15</v>
      </c>
      <c r="BI19" s="45" t="s">
        <v>5703</v>
      </c>
      <c r="BK19" s="25">
        <v>3</v>
      </c>
      <c r="BL19" s="25" t="s">
        <v>5310</v>
      </c>
      <c r="BN19" s="25" t="s">
        <v>498</v>
      </c>
      <c r="BO19" s="25" t="s">
        <v>5246</v>
      </c>
      <c r="BP19" s="25" t="s">
        <v>413</v>
      </c>
      <c r="BR19" s="25" t="s">
        <v>431</v>
      </c>
      <c r="BV19" s="25" t="s">
        <v>5480</v>
      </c>
      <c r="BY19" s="25" t="s">
        <v>5316</v>
      </c>
      <c r="BZ19" s="25">
        <v>25</v>
      </c>
      <c r="CA19" s="25">
        <v>-10</v>
      </c>
      <c r="CB19" s="25">
        <v>0</v>
      </c>
      <c r="CC19" s="25">
        <v>13</v>
      </c>
      <c r="CD19" s="25">
        <v>25</v>
      </c>
      <c r="CE19" s="25" t="s">
        <v>729</v>
      </c>
      <c r="CF19" s="25" t="s">
        <v>730</v>
      </c>
      <c r="CG19" s="25">
        <v>3</v>
      </c>
      <c r="CH19" s="25">
        <v>1</v>
      </c>
      <c r="CI19" s="25">
        <v>1</v>
      </c>
      <c r="CJ19" s="25">
        <v>2</v>
      </c>
      <c r="CK19" s="25">
        <v>0</v>
      </c>
      <c r="CL19" s="25">
        <v>1</v>
      </c>
      <c r="CM19" s="25">
        <v>1</v>
      </c>
      <c r="CQ19" s="85" t="str">
        <f>T('Hoja básica'!BT30:BU30)</f>
        <v/>
      </c>
      <c r="CS19" s="85">
        <v>80</v>
      </c>
      <c r="CU19" s="25">
        <v>20</v>
      </c>
      <c r="DH19" s="25" t="s">
        <v>5356</v>
      </c>
      <c r="DJ19" s="25" t="s">
        <v>5364</v>
      </c>
      <c r="DK19" s="25" t="s">
        <v>5376</v>
      </c>
      <c r="DL19" s="25" t="s">
        <v>87</v>
      </c>
      <c r="DM19" s="25">
        <v>80</v>
      </c>
      <c r="DN19" s="25">
        <v>100</v>
      </c>
      <c r="DO19" s="25" t="s">
        <v>5363</v>
      </c>
      <c r="DQ19" s="25">
        <v>6</v>
      </c>
      <c r="DR19" s="25">
        <v>15</v>
      </c>
      <c r="DS19" s="25">
        <f t="shared" si="1"/>
        <v>60</v>
      </c>
      <c r="DV19" s="25" t="s">
        <v>5446</v>
      </c>
      <c r="DW19" s="25" t="s">
        <v>5447</v>
      </c>
      <c r="DX19" s="25" t="s">
        <v>5448</v>
      </c>
      <c r="DY19" s="25">
        <v>10</v>
      </c>
      <c r="DZ19" s="25">
        <v>10</v>
      </c>
      <c r="EA19" s="25">
        <v>101</v>
      </c>
      <c r="ED19" s="25" t="s">
        <v>5459</v>
      </c>
      <c r="EE19" s="25">
        <v>104</v>
      </c>
      <c r="EH19" s="25" t="s">
        <v>5499</v>
      </c>
      <c r="ER19" s="25">
        <v>13</v>
      </c>
      <c r="ES19" s="25">
        <v>160</v>
      </c>
      <c r="FA19" s="25" t="s">
        <v>264</v>
      </c>
    </row>
    <row r="20" spans="1:157" x14ac:dyDescent="0.2">
      <c r="A20" s="25">
        <v>20</v>
      </c>
      <c r="B20" s="25">
        <v>45</v>
      </c>
      <c r="D20" s="25">
        <v>20</v>
      </c>
      <c r="E20" s="25">
        <v>265</v>
      </c>
      <c r="G20" s="25">
        <v>20</v>
      </c>
      <c r="H20" s="25">
        <v>220</v>
      </c>
      <c r="J20" s="25">
        <v>20</v>
      </c>
      <c r="K20" s="25">
        <v>12</v>
      </c>
      <c r="L20" s="25">
        <v>3</v>
      </c>
      <c r="M20" s="45" t="s">
        <v>5144</v>
      </c>
      <c r="O20" s="25">
        <v>90</v>
      </c>
      <c r="P20" s="25">
        <v>1</v>
      </c>
      <c r="Q20" s="25">
        <v>0</v>
      </c>
      <c r="S20" s="25" t="s">
        <v>5056</v>
      </c>
      <c r="X20" s="25">
        <v>59</v>
      </c>
      <c r="Y20" s="25" t="s">
        <v>466</v>
      </c>
      <c r="Z20" s="25">
        <v>0</v>
      </c>
      <c r="AA20" s="25">
        <v>-20</v>
      </c>
      <c r="AB20" s="27" t="s">
        <v>467</v>
      </c>
      <c r="AC20" s="45" t="s">
        <v>5703</v>
      </c>
      <c r="AD20" s="45" t="s">
        <v>5703</v>
      </c>
      <c r="AE20" s="25" t="s">
        <v>433</v>
      </c>
      <c r="AF20" s="25" t="s">
        <v>468</v>
      </c>
      <c r="AG20" s="26">
        <v>8</v>
      </c>
      <c r="AH20" s="26">
        <v>-1</v>
      </c>
      <c r="AI20" s="26">
        <v>15</v>
      </c>
      <c r="AO20" s="26">
        <v>-305</v>
      </c>
      <c r="AP20" s="25">
        <v>7</v>
      </c>
      <c r="AR20" s="25">
        <v>5</v>
      </c>
      <c r="AS20" s="25" t="s">
        <v>469</v>
      </c>
      <c r="AX20" s="25" t="s">
        <v>446</v>
      </c>
      <c r="AY20" s="25">
        <v>150</v>
      </c>
      <c r="AZ20" s="25">
        <v>0</v>
      </c>
      <c r="BA20" s="45" t="s">
        <v>5703</v>
      </c>
      <c r="BB20" s="25" t="s">
        <v>66</v>
      </c>
      <c r="BC20" s="45" t="s">
        <v>5703</v>
      </c>
      <c r="BD20" s="25" t="s">
        <v>445</v>
      </c>
      <c r="BE20" s="45" t="s">
        <v>5703</v>
      </c>
      <c r="BF20" s="26">
        <v>20</v>
      </c>
      <c r="BG20" s="26">
        <v>14</v>
      </c>
      <c r="BH20" s="26">
        <v>15</v>
      </c>
      <c r="BI20" s="45" t="s">
        <v>5703</v>
      </c>
      <c r="BK20" s="25">
        <v>4</v>
      </c>
      <c r="BL20" s="25" t="s">
        <v>5308</v>
      </c>
      <c r="BN20" s="25" t="s">
        <v>500</v>
      </c>
      <c r="BO20" s="25" t="s">
        <v>5247</v>
      </c>
      <c r="BP20" s="25" t="s">
        <v>618</v>
      </c>
      <c r="BR20" s="25" t="s">
        <v>589</v>
      </c>
      <c r="BV20" s="25" t="s">
        <v>5481</v>
      </c>
      <c r="BY20" s="25" t="s">
        <v>5314</v>
      </c>
      <c r="BZ20" s="25">
        <v>20</v>
      </c>
      <c r="CA20" s="25">
        <v>-10</v>
      </c>
      <c r="CB20" s="25">
        <v>0</v>
      </c>
      <c r="CC20" s="25">
        <v>12</v>
      </c>
      <c r="CD20" s="25">
        <v>25</v>
      </c>
      <c r="CE20" s="25" t="s">
        <v>729</v>
      </c>
      <c r="CF20" s="25" t="s">
        <v>730</v>
      </c>
      <c r="CG20" s="25">
        <v>3</v>
      </c>
      <c r="CH20" s="25">
        <v>1</v>
      </c>
      <c r="CI20" s="25">
        <v>1</v>
      </c>
      <c r="CJ20" s="25">
        <v>0</v>
      </c>
      <c r="CK20" s="25">
        <v>2</v>
      </c>
      <c r="CL20" s="25">
        <v>2</v>
      </c>
      <c r="CM20" s="25">
        <v>2</v>
      </c>
      <c r="CQ20" s="85" t="str">
        <f>T('Hoja básica'!BK48:BL48)</f>
        <v/>
      </c>
      <c r="CS20" s="85">
        <v>120</v>
      </c>
      <c r="CU20" s="25">
        <v>30</v>
      </c>
      <c r="DH20" s="25" t="s">
        <v>5360</v>
      </c>
      <c r="DJ20" s="25" t="s">
        <v>5365</v>
      </c>
      <c r="DK20" s="25" t="s">
        <v>5366</v>
      </c>
      <c r="DL20" s="25" t="s">
        <v>87</v>
      </c>
      <c r="DM20" s="25">
        <v>40</v>
      </c>
      <c r="DN20" s="25">
        <v>40</v>
      </c>
      <c r="DO20" s="25" t="s">
        <v>5367</v>
      </c>
      <c r="DQ20" s="25">
        <v>7</v>
      </c>
      <c r="DR20" s="25">
        <v>20</v>
      </c>
      <c r="DS20" s="25">
        <f t="shared" si="1"/>
        <v>80</v>
      </c>
      <c r="DV20" s="25" t="s">
        <v>5430</v>
      </c>
      <c r="DW20" s="25" t="s">
        <v>5438</v>
      </c>
      <c r="DX20" s="25" t="s">
        <v>5445</v>
      </c>
      <c r="DY20" s="25">
        <v>20</v>
      </c>
      <c r="DZ20" s="25">
        <v>30</v>
      </c>
      <c r="EA20" s="25">
        <v>96</v>
      </c>
      <c r="EH20" s="25" t="s">
        <v>5500</v>
      </c>
      <c r="ER20" s="25">
        <v>14</v>
      </c>
      <c r="ES20" s="25">
        <v>180</v>
      </c>
      <c r="FA20" s="25" t="s">
        <v>4173</v>
      </c>
    </row>
    <row r="21" spans="1:157" x14ac:dyDescent="0.2">
      <c r="A21" s="25">
        <v>1</v>
      </c>
      <c r="B21" s="25">
        <v>5</v>
      </c>
      <c r="D21" s="25">
        <v>1</v>
      </c>
      <c r="E21" s="25">
        <v>0</v>
      </c>
      <c r="G21" s="25">
        <v>1</v>
      </c>
      <c r="H21" s="25">
        <v>1</v>
      </c>
      <c r="J21" s="25">
        <v>1</v>
      </c>
      <c r="K21" s="25">
        <v>1</v>
      </c>
      <c r="L21" s="25">
        <v>4</v>
      </c>
      <c r="M21" s="45" t="s">
        <v>5143</v>
      </c>
      <c r="O21" s="25">
        <v>95</v>
      </c>
      <c r="P21" s="25">
        <v>1</v>
      </c>
      <c r="Q21" s="25">
        <v>0</v>
      </c>
      <c r="S21" s="25" t="s">
        <v>5057</v>
      </c>
      <c r="U21" s="25" t="s">
        <v>5623</v>
      </c>
      <c r="X21" s="25">
        <v>99</v>
      </c>
      <c r="Y21" s="25" t="s">
        <v>470</v>
      </c>
      <c r="Z21" s="25">
        <v>25</v>
      </c>
      <c r="AA21" s="25">
        <v>-5</v>
      </c>
      <c r="AB21" s="27" t="s">
        <v>440</v>
      </c>
      <c r="AC21" s="25" t="s">
        <v>66</v>
      </c>
      <c r="AD21" s="45" t="s">
        <v>5703</v>
      </c>
      <c r="AE21" s="25" t="s">
        <v>429</v>
      </c>
      <c r="AF21" s="45" t="s">
        <v>5703</v>
      </c>
      <c r="AG21" s="26">
        <v>12</v>
      </c>
      <c r="AH21" s="26">
        <v>2</v>
      </c>
      <c r="AI21" s="26">
        <v>15</v>
      </c>
      <c r="AO21" s="26">
        <v>-300</v>
      </c>
      <c r="AP21" s="25">
        <v>7</v>
      </c>
      <c r="AR21" s="25">
        <v>6</v>
      </c>
      <c r="AS21" s="25" t="s">
        <v>471</v>
      </c>
      <c r="AX21" s="25" t="s">
        <v>447</v>
      </c>
      <c r="AY21" s="25">
        <v>60</v>
      </c>
      <c r="AZ21" s="25">
        <v>0</v>
      </c>
      <c r="BA21" s="45" t="s">
        <v>5703</v>
      </c>
      <c r="BB21" s="25" t="s">
        <v>424</v>
      </c>
      <c r="BC21" s="45" t="s">
        <v>5703</v>
      </c>
      <c r="BD21" s="25" t="s">
        <v>445</v>
      </c>
      <c r="BE21" s="45" t="s">
        <v>5703</v>
      </c>
      <c r="BF21" s="26">
        <v>11</v>
      </c>
      <c r="BG21" s="26">
        <v>5</v>
      </c>
      <c r="BH21" s="26">
        <v>15</v>
      </c>
      <c r="BI21" s="45" t="s">
        <v>5703</v>
      </c>
      <c r="BK21" s="25">
        <v>5</v>
      </c>
      <c r="BL21" s="25" t="s">
        <v>681</v>
      </c>
      <c r="BN21" s="25" t="s">
        <v>505</v>
      </c>
      <c r="BO21" s="25" t="s">
        <v>5249</v>
      </c>
      <c r="BP21" s="25" t="s">
        <v>608</v>
      </c>
      <c r="BR21" s="25" t="s">
        <v>5294</v>
      </c>
      <c r="BV21" s="25" t="s">
        <v>5449</v>
      </c>
      <c r="BY21" s="25" t="s">
        <v>743</v>
      </c>
      <c r="BZ21" s="33">
        <v>30</v>
      </c>
      <c r="CA21" s="25">
        <v>-15</v>
      </c>
      <c r="CB21" s="25">
        <v>1</v>
      </c>
      <c r="CC21" s="25">
        <v>15</v>
      </c>
      <c r="CD21" s="25">
        <v>30</v>
      </c>
      <c r="CE21" s="25" t="s">
        <v>732</v>
      </c>
      <c r="CF21" s="25" t="s">
        <v>730</v>
      </c>
      <c r="CG21" s="25">
        <v>4</v>
      </c>
      <c r="CH21" s="25">
        <v>2</v>
      </c>
      <c r="CI21" s="25">
        <v>1</v>
      </c>
      <c r="CJ21" s="25">
        <v>2</v>
      </c>
      <c r="CK21" s="25">
        <v>0</v>
      </c>
      <c r="CL21" s="25">
        <v>1</v>
      </c>
      <c r="CM21" s="25">
        <v>0</v>
      </c>
      <c r="CQ21" s="85" t="str">
        <f>T('Hoja básica'!BO48:BQ48)</f>
        <v/>
      </c>
      <c r="CS21" s="85">
        <v>140</v>
      </c>
      <c r="CU21" s="25">
        <v>40</v>
      </c>
      <c r="DH21" s="25" t="s">
        <v>5361</v>
      </c>
      <c r="DJ21" s="25" t="s">
        <v>5352</v>
      </c>
      <c r="DK21" s="25" t="s">
        <v>5353</v>
      </c>
      <c r="DL21" s="25" t="s">
        <v>87</v>
      </c>
      <c r="DM21" s="25">
        <v>40</v>
      </c>
      <c r="DN21" s="25">
        <v>10</v>
      </c>
      <c r="DO21" s="25" t="s">
        <v>5362</v>
      </c>
      <c r="DQ21" s="25">
        <v>8</v>
      </c>
      <c r="DR21" s="25">
        <v>20</v>
      </c>
      <c r="DS21" s="25">
        <f t="shared" si="1"/>
        <v>100</v>
      </c>
      <c r="DV21" s="25" t="s">
        <v>5441</v>
      </c>
      <c r="DW21" s="25" t="s">
        <v>5442</v>
      </c>
      <c r="DX21" s="25" t="s">
        <v>698</v>
      </c>
      <c r="DY21" s="25">
        <v>50</v>
      </c>
      <c r="DZ21" s="25">
        <v>50</v>
      </c>
      <c r="EA21" s="25">
        <v>99</v>
      </c>
      <c r="EH21" s="25" t="s">
        <v>5501</v>
      </c>
      <c r="ER21" s="25">
        <v>15</v>
      </c>
      <c r="ES21" s="25">
        <v>200</v>
      </c>
    </row>
    <row r="22" spans="1:157" x14ac:dyDescent="0.2">
      <c r="A22" s="25">
        <v>2</v>
      </c>
      <c r="B22" s="25">
        <v>20</v>
      </c>
      <c r="D22" s="25">
        <v>2</v>
      </c>
      <c r="E22" s="25">
        <v>0</v>
      </c>
      <c r="G22" s="25">
        <v>2</v>
      </c>
      <c r="H22" s="25">
        <v>1</v>
      </c>
      <c r="J22" s="25">
        <v>2</v>
      </c>
      <c r="K22" s="25">
        <v>2</v>
      </c>
      <c r="L22" s="25">
        <v>5</v>
      </c>
      <c r="M22" s="25">
        <v>0</v>
      </c>
      <c r="O22" s="25">
        <v>100</v>
      </c>
      <c r="P22" s="25">
        <v>1</v>
      </c>
      <c r="Q22" s="25">
        <v>0</v>
      </c>
      <c r="S22" s="25" t="s">
        <v>5058</v>
      </c>
      <c r="U22" s="25" t="s">
        <v>5614</v>
      </c>
      <c r="V22" s="25" t="s">
        <v>5624</v>
      </c>
      <c r="X22" s="25">
        <v>76</v>
      </c>
      <c r="Y22" s="25" t="s">
        <v>472</v>
      </c>
      <c r="Z22" s="25">
        <v>20</v>
      </c>
      <c r="AA22" s="25">
        <v>0</v>
      </c>
      <c r="AB22" s="27" t="s">
        <v>440</v>
      </c>
      <c r="AC22" s="25" t="s">
        <v>473</v>
      </c>
      <c r="AD22" s="45" t="s">
        <v>5703</v>
      </c>
      <c r="AE22" s="25" t="s">
        <v>474</v>
      </c>
      <c r="AF22" s="45" t="s">
        <v>5703</v>
      </c>
      <c r="AG22" s="26" t="s">
        <v>475</v>
      </c>
      <c r="AH22" s="26" t="s">
        <v>476</v>
      </c>
      <c r="AI22" s="26" t="s">
        <v>477</v>
      </c>
      <c r="AO22" s="26">
        <v>-295</v>
      </c>
      <c r="AP22" s="25">
        <v>7</v>
      </c>
      <c r="AR22" s="25">
        <v>7</v>
      </c>
      <c r="AS22" s="25" t="s">
        <v>478</v>
      </c>
      <c r="AX22" s="25" t="s">
        <v>5296</v>
      </c>
      <c r="AY22" s="25">
        <v>30</v>
      </c>
      <c r="AZ22" s="25">
        <v>0</v>
      </c>
      <c r="BA22" s="45" t="s">
        <v>5703</v>
      </c>
      <c r="BB22" s="25" t="s">
        <v>424</v>
      </c>
      <c r="BC22" s="45" t="s">
        <v>5703</v>
      </c>
      <c r="BD22" s="25" t="s">
        <v>445</v>
      </c>
      <c r="BE22" s="45" t="s">
        <v>5703</v>
      </c>
      <c r="BF22" s="25">
        <v>6</v>
      </c>
      <c r="BG22" s="25">
        <v>1</v>
      </c>
      <c r="BH22" s="25">
        <v>10</v>
      </c>
      <c r="BI22" s="45" t="s">
        <v>5703</v>
      </c>
      <c r="BK22" s="25">
        <v>6</v>
      </c>
      <c r="BL22" s="25" t="s">
        <v>445</v>
      </c>
      <c r="BN22" s="25" t="s">
        <v>507</v>
      </c>
      <c r="BO22" s="25" t="s">
        <v>5251</v>
      </c>
      <c r="BP22" s="25" t="s">
        <v>622</v>
      </c>
      <c r="BR22" s="27" t="s">
        <v>5297</v>
      </c>
      <c r="BV22" s="25" t="s">
        <v>5450</v>
      </c>
      <c r="BY22" s="25" t="s">
        <v>5318</v>
      </c>
      <c r="BZ22" s="25">
        <v>30</v>
      </c>
      <c r="CA22" s="25">
        <v>-10</v>
      </c>
      <c r="CB22" s="25">
        <v>1</v>
      </c>
      <c r="CC22" s="25">
        <v>15</v>
      </c>
      <c r="CD22" s="25">
        <v>30</v>
      </c>
      <c r="CE22" s="25" t="s">
        <v>732</v>
      </c>
      <c r="CF22" s="25" t="s">
        <v>733</v>
      </c>
      <c r="CG22" s="25">
        <v>3</v>
      </c>
      <c r="CH22" s="25">
        <v>2</v>
      </c>
      <c r="CI22" s="25">
        <v>3</v>
      </c>
      <c r="CJ22" s="25">
        <v>2</v>
      </c>
      <c r="CK22" s="25">
        <v>2</v>
      </c>
      <c r="CL22" s="25">
        <v>2</v>
      </c>
      <c r="CM22" s="25">
        <v>2</v>
      </c>
      <c r="CQ22" s="85" t="str">
        <f>T('Hoja básica'!BT48:BU48)</f>
        <v/>
      </c>
      <c r="CS22" s="85">
        <v>180</v>
      </c>
      <c r="CU22" s="25">
        <v>50</v>
      </c>
      <c r="DH22" s="25" t="s">
        <v>5364</v>
      </c>
      <c r="DJ22" s="25" t="s">
        <v>5368</v>
      </c>
      <c r="DK22" s="25" t="s">
        <v>5375</v>
      </c>
      <c r="DL22" s="25" t="s">
        <v>5369</v>
      </c>
      <c r="DM22" s="25">
        <v>30</v>
      </c>
      <c r="DN22" s="25">
        <v>30</v>
      </c>
      <c r="DO22" s="25" t="s">
        <v>5367</v>
      </c>
      <c r="DQ22" s="25">
        <v>9</v>
      </c>
      <c r="DR22" s="25">
        <v>25</v>
      </c>
      <c r="DS22" s="25">
        <f t="shared" si="1"/>
        <v>125</v>
      </c>
      <c r="EH22" s="25" t="s">
        <v>5502</v>
      </c>
    </row>
    <row r="23" spans="1:157" x14ac:dyDescent="0.2">
      <c r="A23" s="25">
        <v>3</v>
      </c>
      <c r="B23" s="25">
        <v>40</v>
      </c>
      <c r="D23" s="25">
        <v>3</v>
      </c>
      <c r="E23" s="25">
        <v>0</v>
      </c>
      <c r="G23" s="25">
        <v>3</v>
      </c>
      <c r="H23" s="25">
        <v>1</v>
      </c>
      <c r="J23" s="25">
        <v>3</v>
      </c>
      <c r="K23" s="25">
        <v>3</v>
      </c>
      <c r="O23" s="25">
        <v>105</v>
      </c>
      <c r="P23" s="25">
        <v>1</v>
      </c>
      <c r="Q23" s="25">
        <v>0</v>
      </c>
      <c r="S23" s="25" t="s">
        <v>5059</v>
      </c>
      <c r="U23" s="25">
        <v>1</v>
      </c>
      <c r="V23" s="25">
        <v>1</v>
      </c>
      <c r="X23" s="25">
        <v>75</v>
      </c>
      <c r="Y23" s="25" t="s">
        <v>479</v>
      </c>
      <c r="Z23" s="25">
        <v>30</v>
      </c>
      <c r="AA23" s="25">
        <v>-10</v>
      </c>
      <c r="AB23" s="27" t="s">
        <v>440</v>
      </c>
      <c r="AC23" s="25" t="s">
        <v>66</v>
      </c>
      <c r="AD23" s="45" t="s">
        <v>5703</v>
      </c>
      <c r="AE23" s="25" t="s">
        <v>474</v>
      </c>
      <c r="AF23" s="25" t="s">
        <v>480</v>
      </c>
      <c r="AG23" s="26" t="s">
        <v>432</v>
      </c>
      <c r="AH23" s="26" t="s">
        <v>476</v>
      </c>
      <c r="AI23" s="26" t="s">
        <v>477</v>
      </c>
      <c r="AJ23" s="25" t="s">
        <v>481</v>
      </c>
      <c r="AO23" s="26">
        <v>-290</v>
      </c>
      <c r="AP23" s="25">
        <v>7</v>
      </c>
      <c r="AR23" s="25">
        <v>8</v>
      </c>
      <c r="AS23" s="25" t="s">
        <v>482</v>
      </c>
      <c r="AX23" s="25" t="s">
        <v>448</v>
      </c>
      <c r="AY23" s="25">
        <v>0</v>
      </c>
      <c r="AZ23" s="25">
        <v>-80</v>
      </c>
      <c r="BA23" s="135" t="s">
        <v>5703</v>
      </c>
      <c r="BB23" s="45" t="s">
        <v>5703</v>
      </c>
      <c r="BC23" s="45" t="s">
        <v>5703</v>
      </c>
      <c r="BD23" s="25" t="s">
        <v>433</v>
      </c>
      <c r="BE23" s="25" t="s">
        <v>6430</v>
      </c>
      <c r="BF23" s="26">
        <v>18</v>
      </c>
      <c r="BG23" s="136" t="s">
        <v>5703</v>
      </c>
      <c r="BH23" s="26">
        <v>25</v>
      </c>
      <c r="BI23" s="45" t="s">
        <v>5703</v>
      </c>
      <c r="BK23" s="25">
        <v>7</v>
      </c>
      <c r="BL23" s="25" t="s">
        <v>520</v>
      </c>
      <c r="BN23" s="25" t="s">
        <v>510</v>
      </c>
      <c r="BO23" s="25" t="s">
        <v>5253</v>
      </c>
      <c r="BP23" s="25" t="s">
        <v>5272</v>
      </c>
      <c r="BV23" s="25" t="s">
        <v>5453</v>
      </c>
      <c r="BY23" s="25" t="s">
        <v>5313</v>
      </c>
      <c r="BZ23" s="25">
        <v>10</v>
      </c>
      <c r="CA23" s="25">
        <v>-10</v>
      </c>
      <c r="CB23" s="25">
        <v>0</v>
      </c>
      <c r="CC23" s="25">
        <v>11</v>
      </c>
      <c r="CD23" s="25">
        <v>25</v>
      </c>
      <c r="CE23" s="25" t="s">
        <v>729</v>
      </c>
      <c r="CF23" s="25" t="s">
        <v>730</v>
      </c>
      <c r="CG23" s="25">
        <v>2</v>
      </c>
      <c r="CH23" s="25">
        <v>1</v>
      </c>
      <c r="CI23" s="25">
        <v>2</v>
      </c>
      <c r="CJ23" s="25">
        <v>0</v>
      </c>
      <c r="CK23" s="25">
        <v>2</v>
      </c>
      <c r="CL23" s="25">
        <v>2</v>
      </c>
      <c r="CM23" s="25">
        <v>2</v>
      </c>
      <c r="CQ23" s="85" t="str">
        <f>T('Hoja básica'!BK66:BL66)</f>
        <v/>
      </c>
      <c r="CS23" s="85">
        <v>240</v>
      </c>
      <c r="CU23" s="25">
        <v>60</v>
      </c>
      <c r="DH23" s="25" t="s">
        <v>5365</v>
      </c>
      <c r="DJ23" s="25" t="s">
        <v>5373</v>
      </c>
      <c r="DK23" s="25" t="s">
        <v>5374</v>
      </c>
      <c r="DL23" s="25" t="s">
        <v>87</v>
      </c>
      <c r="DM23" s="25">
        <v>40</v>
      </c>
      <c r="DN23" s="25">
        <v>40</v>
      </c>
      <c r="DO23" s="25" t="s">
        <v>5379</v>
      </c>
      <c r="DQ23" s="25">
        <v>10</v>
      </c>
      <c r="DR23" s="25">
        <v>25</v>
      </c>
      <c r="DS23" s="25">
        <f t="shared" si="1"/>
        <v>150</v>
      </c>
      <c r="EH23" s="25" t="s">
        <v>282</v>
      </c>
    </row>
    <row r="24" spans="1:157" x14ac:dyDescent="0.2">
      <c r="A24" s="25">
        <v>4</v>
      </c>
      <c r="B24" s="25">
        <v>55</v>
      </c>
      <c r="D24" s="25">
        <v>4</v>
      </c>
      <c r="E24" s="25">
        <v>0</v>
      </c>
      <c r="G24" s="25">
        <v>4</v>
      </c>
      <c r="H24" s="25">
        <v>1</v>
      </c>
      <c r="J24" s="25">
        <v>4</v>
      </c>
      <c r="K24" s="25">
        <v>4</v>
      </c>
      <c r="O24" s="25">
        <v>110</v>
      </c>
      <c r="P24" s="25">
        <v>1</v>
      </c>
      <c r="Q24" s="25">
        <v>0</v>
      </c>
      <c r="S24" s="25" t="s">
        <v>5060</v>
      </c>
      <c r="U24" s="25">
        <v>10</v>
      </c>
      <c r="V24" s="25">
        <v>1</v>
      </c>
      <c r="X24" s="25">
        <v>96</v>
      </c>
      <c r="Y24" s="25" t="s">
        <v>483</v>
      </c>
      <c r="Z24" s="25">
        <v>15</v>
      </c>
      <c r="AA24" s="25">
        <v>10</v>
      </c>
      <c r="AB24" s="27" t="s">
        <v>460</v>
      </c>
      <c r="AC24" s="25" t="s">
        <v>415</v>
      </c>
      <c r="AD24" s="25" t="s">
        <v>66</v>
      </c>
      <c r="AE24" s="25" t="s">
        <v>416</v>
      </c>
      <c r="AF24" s="45" t="s">
        <v>5703</v>
      </c>
      <c r="AG24" s="26">
        <v>5</v>
      </c>
      <c r="AH24" s="26">
        <v>-3</v>
      </c>
      <c r="AI24" s="26">
        <v>15</v>
      </c>
      <c r="AO24" s="26">
        <v>-285</v>
      </c>
      <c r="AP24" s="25">
        <v>7</v>
      </c>
      <c r="AR24" s="25">
        <v>9</v>
      </c>
      <c r="AS24" s="25" t="s">
        <v>484</v>
      </c>
      <c r="AX24" s="25" t="s">
        <v>451</v>
      </c>
      <c r="AY24" s="25">
        <v>0</v>
      </c>
      <c r="AZ24" s="25">
        <v>-100</v>
      </c>
      <c r="BA24" s="135" t="s">
        <v>5703</v>
      </c>
      <c r="BB24" s="45" t="s">
        <v>5703</v>
      </c>
      <c r="BC24" s="45" t="s">
        <v>5703</v>
      </c>
      <c r="BD24" s="25" t="s">
        <v>433</v>
      </c>
      <c r="BE24" s="25" t="s">
        <v>6429</v>
      </c>
      <c r="BF24" s="26">
        <v>20</v>
      </c>
      <c r="BG24" s="136" t="s">
        <v>5703</v>
      </c>
      <c r="BH24" s="26">
        <v>30</v>
      </c>
      <c r="BI24" s="45" t="s">
        <v>5703</v>
      </c>
      <c r="BK24" s="25">
        <v>8</v>
      </c>
      <c r="BL24" s="25" t="s">
        <v>5311</v>
      </c>
      <c r="BN24" s="25" t="s">
        <v>512</v>
      </c>
      <c r="BO24" s="25" t="s">
        <v>5254</v>
      </c>
      <c r="BP24" s="25" t="s">
        <v>5273</v>
      </c>
      <c r="BV24" s="25" t="s">
        <v>5455</v>
      </c>
      <c r="BY24" s="25" t="s">
        <v>738</v>
      </c>
      <c r="BZ24" s="33">
        <v>40</v>
      </c>
      <c r="CA24" s="25">
        <v>-15</v>
      </c>
      <c r="CB24" s="25">
        <v>1</v>
      </c>
      <c r="CC24" s="25">
        <v>16</v>
      </c>
      <c r="CD24" s="25">
        <v>30</v>
      </c>
      <c r="CE24" s="25" t="s">
        <v>738</v>
      </c>
      <c r="CF24" s="25" t="s">
        <v>733</v>
      </c>
      <c r="CG24" s="25">
        <v>4</v>
      </c>
      <c r="CH24" s="25">
        <v>5</v>
      </c>
      <c r="CI24" s="25">
        <v>4</v>
      </c>
      <c r="CJ24" s="25">
        <v>1</v>
      </c>
      <c r="CK24" s="25">
        <v>0</v>
      </c>
      <c r="CL24" s="25">
        <v>1</v>
      </c>
      <c r="CM24" s="25">
        <v>0</v>
      </c>
      <c r="CQ24" s="85" t="str">
        <f>T('Hoja básica'!BO66:BQ66)</f>
        <v/>
      </c>
      <c r="CS24" s="85">
        <v>280</v>
      </c>
      <c r="CU24" s="25">
        <v>70</v>
      </c>
      <c r="DH24" s="25" t="s">
        <v>5368</v>
      </c>
      <c r="DJ24" s="25" t="s">
        <v>5349</v>
      </c>
      <c r="DK24" s="25" t="s">
        <v>5350</v>
      </c>
      <c r="DL24" s="25" t="s">
        <v>87</v>
      </c>
      <c r="DM24" s="25">
        <v>10</v>
      </c>
      <c r="DN24" s="25">
        <v>10</v>
      </c>
      <c r="DO24" s="25" t="s">
        <v>5362</v>
      </c>
      <c r="EH24" s="25" t="s">
        <v>5503</v>
      </c>
    </row>
    <row r="25" spans="1:157" x14ac:dyDescent="0.2">
      <c r="A25" s="25">
        <v>5</v>
      </c>
      <c r="B25" s="25">
        <v>70</v>
      </c>
      <c r="D25" s="25">
        <v>5</v>
      </c>
      <c r="E25" s="25">
        <v>5</v>
      </c>
      <c r="G25" s="25">
        <v>5</v>
      </c>
      <c r="H25" s="25">
        <v>1</v>
      </c>
      <c r="J25" s="25">
        <v>5</v>
      </c>
      <c r="K25" s="25">
        <v>5</v>
      </c>
      <c r="O25" s="25">
        <v>115</v>
      </c>
      <c r="P25" s="25">
        <v>1</v>
      </c>
      <c r="Q25" s="25">
        <v>0</v>
      </c>
      <c r="S25" s="25" t="s">
        <v>5062</v>
      </c>
      <c r="U25" s="25">
        <v>11</v>
      </c>
      <c r="V25" s="25">
        <v>2</v>
      </c>
      <c r="X25" s="25">
        <v>42</v>
      </c>
      <c r="Y25" s="25" t="s">
        <v>485</v>
      </c>
      <c r="Z25" s="25">
        <v>30</v>
      </c>
      <c r="AA25" s="25">
        <v>10</v>
      </c>
      <c r="AB25" s="27" t="s">
        <v>414</v>
      </c>
      <c r="AC25" s="25" t="s">
        <v>66</v>
      </c>
      <c r="AD25" s="25" t="s">
        <v>415</v>
      </c>
      <c r="AE25" s="25" t="s">
        <v>416</v>
      </c>
      <c r="AF25" s="25" t="s">
        <v>486</v>
      </c>
      <c r="AG25" s="25">
        <v>10</v>
      </c>
      <c r="AH25" s="25">
        <v>0</v>
      </c>
      <c r="AI25" s="25">
        <v>15</v>
      </c>
      <c r="AJ25" s="25" t="s">
        <v>487</v>
      </c>
      <c r="AO25" s="26">
        <v>-280</v>
      </c>
      <c r="AP25" s="25">
        <v>7</v>
      </c>
      <c r="AR25" s="25">
        <v>10</v>
      </c>
      <c r="AS25" s="25" t="s">
        <v>488</v>
      </c>
      <c r="AX25" s="25" t="s">
        <v>453</v>
      </c>
      <c r="AY25" s="25">
        <v>0</v>
      </c>
      <c r="AZ25" s="25">
        <v>0</v>
      </c>
      <c r="BA25" s="27" t="s">
        <v>454</v>
      </c>
      <c r="BB25" s="45" t="s">
        <v>5703</v>
      </c>
      <c r="BC25" s="45" t="s">
        <v>5703</v>
      </c>
      <c r="BD25" s="25" t="s">
        <v>433</v>
      </c>
      <c r="BE25" s="25" t="s">
        <v>6431</v>
      </c>
      <c r="BF25" s="26" t="s">
        <v>456</v>
      </c>
      <c r="BG25" s="26" t="s">
        <v>457</v>
      </c>
      <c r="BH25" s="26" t="s">
        <v>458</v>
      </c>
      <c r="BI25" s="45" t="s">
        <v>5703</v>
      </c>
      <c r="BK25" s="25">
        <v>9</v>
      </c>
      <c r="BL25" s="25" t="s">
        <v>5483</v>
      </c>
      <c r="BN25" s="25" t="s">
        <v>514</v>
      </c>
      <c r="BO25" s="25" t="s">
        <v>5255</v>
      </c>
      <c r="BP25" s="25" t="s">
        <v>5274</v>
      </c>
      <c r="BV25" s="25" t="s">
        <v>5457</v>
      </c>
      <c r="BY25" s="25" t="s">
        <v>745</v>
      </c>
      <c r="BZ25" s="33">
        <v>10</v>
      </c>
      <c r="CA25" s="25">
        <v>-10</v>
      </c>
      <c r="CB25" s="25">
        <v>0</v>
      </c>
      <c r="CC25" s="25">
        <v>10</v>
      </c>
      <c r="CD25" s="25">
        <v>25</v>
      </c>
      <c r="CE25" s="25" t="s">
        <v>729</v>
      </c>
      <c r="CF25" s="25" t="s">
        <v>730</v>
      </c>
      <c r="CG25" s="25">
        <v>2</v>
      </c>
      <c r="CH25" s="25">
        <v>1</v>
      </c>
      <c r="CI25" s="25">
        <v>2</v>
      </c>
      <c r="CJ25" s="25">
        <v>1</v>
      </c>
      <c r="CK25" s="25">
        <v>2</v>
      </c>
      <c r="CL25" s="25">
        <v>2</v>
      </c>
      <c r="CM25" s="25">
        <v>0</v>
      </c>
      <c r="CQ25" s="85" t="str">
        <f>T('Hoja básica'!BT66:BU66)</f>
        <v/>
      </c>
      <c r="CS25" s="85">
        <v>320</v>
      </c>
      <c r="CU25" s="25">
        <v>80</v>
      </c>
      <c r="DH25" s="25" t="s">
        <v>5370</v>
      </c>
      <c r="DJ25" s="25" t="s">
        <v>5370</v>
      </c>
      <c r="DK25" s="25" t="s">
        <v>5371</v>
      </c>
      <c r="DL25" s="25" t="s">
        <v>87</v>
      </c>
      <c r="DM25" s="25">
        <v>30</v>
      </c>
      <c r="DN25" s="25">
        <v>50</v>
      </c>
      <c r="DO25" s="25" t="s">
        <v>5372</v>
      </c>
      <c r="EH25" s="25" t="s">
        <v>5504</v>
      </c>
    </row>
    <row r="26" spans="1:157" ht="13.5" thickBot="1" x14ac:dyDescent="0.25">
      <c r="A26" s="25">
        <v>6</v>
      </c>
      <c r="B26" s="25">
        <v>85</v>
      </c>
      <c r="D26" s="25">
        <v>6</v>
      </c>
      <c r="E26" s="25">
        <v>5</v>
      </c>
      <c r="G26" s="25">
        <v>6</v>
      </c>
      <c r="H26" s="25">
        <v>1</v>
      </c>
      <c r="J26" s="25">
        <v>6</v>
      </c>
      <c r="K26" s="25">
        <v>6</v>
      </c>
      <c r="O26" s="25">
        <v>120</v>
      </c>
      <c r="P26" s="25">
        <v>1</v>
      </c>
      <c r="Q26" s="25">
        <v>0</v>
      </c>
      <c r="S26" s="25" t="s">
        <v>5063</v>
      </c>
      <c r="U26" s="25">
        <v>14</v>
      </c>
      <c r="V26" s="25">
        <v>2</v>
      </c>
      <c r="X26" s="25">
        <v>3</v>
      </c>
      <c r="Y26" s="25" t="s">
        <v>462</v>
      </c>
      <c r="Z26" s="25">
        <v>25</v>
      </c>
      <c r="AA26" s="25">
        <v>0</v>
      </c>
      <c r="AB26" s="27" t="s">
        <v>432</v>
      </c>
      <c r="AC26" s="25" t="s">
        <v>66</v>
      </c>
      <c r="AD26" s="45" t="s">
        <v>5703</v>
      </c>
      <c r="AE26" s="25" t="s">
        <v>489</v>
      </c>
      <c r="AF26" s="25" t="s">
        <v>490</v>
      </c>
      <c r="AG26" s="25">
        <v>13</v>
      </c>
      <c r="AH26" s="25">
        <v>2</v>
      </c>
      <c r="AI26" s="25">
        <v>15</v>
      </c>
      <c r="AO26" s="26">
        <v>-275</v>
      </c>
      <c r="AP26" s="25">
        <v>7</v>
      </c>
      <c r="AR26" s="25">
        <v>11</v>
      </c>
      <c r="AS26" s="25" t="s">
        <v>491</v>
      </c>
      <c r="AX26" s="25" t="s">
        <v>459</v>
      </c>
      <c r="AY26" s="25">
        <v>0</v>
      </c>
      <c r="AZ26" s="25">
        <v>10</v>
      </c>
      <c r="BA26" s="27" t="s">
        <v>460</v>
      </c>
      <c r="BB26" s="45" t="s">
        <v>5703</v>
      </c>
      <c r="BC26" s="45" t="s">
        <v>5703</v>
      </c>
      <c r="BD26" s="25" t="s">
        <v>433</v>
      </c>
      <c r="BE26" s="25" t="s">
        <v>6433</v>
      </c>
      <c r="BF26" s="26">
        <v>5</v>
      </c>
      <c r="BG26" s="26">
        <v>-4</v>
      </c>
      <c r="BH26" s="26">
        <v>15</v>
      </c>
      <c r="BI26" s="45" t="s">
        <v>5703</v>
      </c>
      <c r="BN26" s="25" t="s">
        <v>516</v>
      </c>
      <c r="BO26" s="25" t="s">
        <v>5256</v>
      </c>
      <c r="BP26" s="25" t="s">
        <v>5275</v>
      </c>
      <c r="BV26" s="25" t="s">
        <v>5459</v>
      </c>
      <c r="BY26" s="25" t="s">
        <v>746</v>
      </c>
      <c r="BZ26" s="33">
        <v>50</v>
      </c>
      <c r="CA26" s="25">
        <v>-20</v>
      </c>
      <c r="CB26" s="25">
        <v>2</v>
      </c>
      <c r="CC26" s="25">
        <v>15</v>
      </c>
      <c r="CD26" s="25">
        <v>30</v>
      </c>
      <c r="CE26" s="25" t="s">
        <v>732</v>
      </c>
      <c r="CF26" s="25" t="s">
        <v>733</v>
      </c>
      <c r="CG26" s="25">
        <v>4</v>
      </c>
      <c r="CH26" s="25">
        <v>3</v>
      </c>
      <c r="CI26" s="25">
        <v>2</v>
      </c>
      <c r="CJ26" s="25">
        <v>3</v>
      </c>
      <c r="CK26" s="25">
        <v>2</v>
      </c>
      <c r="CL26" s="25">
        <v>2</v>
      </c>
      <c r="CM26" s="25">
        <v>0</v>
      </c>
      <c r="CQ26" s="85" t="str">
        <f>T('Hoja básica'!BK84:BL84)</f>
        <v/>
      </c>
      <c r="CS26" s="86">
        <v>440</v>
      </c>
      <c r="CU26" s="25">
        <v>90</v>
      </c>
      <c r="DH26" s="25" t="s">
        <v>5373</v>
      </c>
      <c r="DJ26" s="25" t="s">
        <v>5356</v>
      </c>
      <c r="DK26" s="25" t="s">
        <v>87</v>
      </c>
      <c r="DL26" s="25" t="s">
        <v>87</v>
      </c>
      <c r="DM26" s="25">
        <v>30</v>
      </c>
      <c r="DN26" s="25">
        <v>10</v>
      </c>
      <c r="DO26" s="25" t="s">
        <v>5362</v>
      </c>
      <c r="EH26" s="25" t="s">
        <v>5505</v>
      </c>
    </row>
    <row r="27" spans="1:157" x14ac:dyDescent="0.2">
      <c r="A27" s="25">
        <v>7</v>
      </c>
      <c r="B27" s="25">
        <v>95</v>
      </c>
      <c r="D27" s="25">
        <v>7</v>
      </c>
      <c r="E27" s="25">
        <v>5</v>
      </c>
      <c r="G27" s="25">
        <v>7</v>
      </c>
      <c r="H27" s="25">
        <v>1</v>
      </c>
      <c r="J27" s="25">
        <v>7</v>
      </c>
      <c r="K27" s="25">
        <v>7</v>
      </c>
      <c r="O27" s="25">
        <v>125</v>
      </c>
      <c r="P27" s="25">
        <v>1</v>
      </c>
      <c r="Q27" s="25">
        <v>0</v>
      </c>
      <c r="S27" s="25" t="s">
        <v>5066</v>
      </c>
      <c r="U27" s="25">
        <v>15</v>
      </c>
      <c r="V27" s="25">
        <v>3</v>
      </c>
      <c r="X27" s="25">
        <v>91</v>
      </c>
      <c r="Y27" s="25" t="s">
        <v>492</v>
      </c>
      <c r="Z27" s="25">
        <v>0</v>
      </c>
      <c r="AA27" s="25">
        <v>-100</v>
      </c>
      <c r="AB27" s="135" t="s">
        <v>5703</v>
      </c>
      <c r="AC27" s="45" t="s">
        <v>5703</v>
      </c>
      <c r="AD27" s="45" t="s">
        <v>5703</v>
      </c>
      <c r="AE27" s="25" t="s">
        <v>433</v>
      </c>
      <c r="AF27" s="25" t="s">
        <v>493</v>
      </c>
      <c r="AG27" s="26">
        <v>14</v>
      </c>
      <c r="AH27" s="136" t="s">
        <v>5703</v>
      </c>
      <c r="AI27" s="26">
        <v>30</v>
      </c>
      <c r="AO27" s="26">
        <v>-270</v>
      </c>
      <c r="AP27" s="25">
        <v>7</v>
      </c>
      <c r="AR27" s="25">
        <v>12</v>
      </c>
      <c r="AS27" s="25" t="s">
        <v>494</v>
      </c>
      <c r="AX27" s="25" t="s">
        <v>463</v>
      </c>
      <c r="AY27" s="25">
        <v>0</v>
      </c>
      <c r="AZ27" s="25">
        <v>0</v>
      </c>
      <c r="BA27" s="27" t="s">
        <v>464</v>
      </c>
      <c r="BB27" s="45" t="s">
        <v>5703</v>
      </c>
      <c r="BC27" s="45" t="s">
        <v>5703</v>
      </c>
      <c r="BD27" s="25" t="s">
        <v>433</v>
      </c>
      <c r="BE27" s="25" t="s">
        <v>6431</v>
      </c>
      <c r="BF27" s="26">
        <v>6</v>
      </c>
      <c r="BG27" s="26">
        <v>-2</v>
      </c>
      <c r="BH27" s="26">
        <v>20</v>
      </c>
      <c r="BI27" s="45" t="s">
        <v>5703</v>
      </c>
      <c r="BN27" s="25" t="s">
        <v>519</v>
      </c>
      <c r="BO27" s="25" t="s">
        <v>5257</v>
      </c>
      <c r="BP27" s="25" t="s">
        <v>5276</v>
      </c>
      <c r="BY27" s="25" t="s">
        <v>747</v>
      </c>
      <c r="BZ27" s="34">
        <v>90</v>
      </c>
      <c r="CA27" s="25">
        <v>-35</v>
      </c>
      <c r="CB27" s="25">
        <v>4</v>
      </c>
      <c r="CC27" s="25">
        <v>17</v>
      </c>
      <c r="CD27" s="25">
        <v>40</v>
      </c>
      <c r="CE27" s="25" t="s">
        <v>732</v>
      </c>
      <c r="CF27" s="25" t="s">
        <v>733</v>
      </c>
      <c r="CG27" s="25">
        <v>5</v>
      </c>
      <c r="CH27" s="25">
        <v>4</v>
      </c>
      <c r="CI27" s="25">
        <v>5</v>
      </c>
      <c r="CJ27" s="25">
        <v>3</v>
      </c>
      <c r="CK27" s="25">
        <v>0</v>
      </c>
      <c r="CL27" s="25">
        <v>3</v>
      </c>
      <c r="CM27" s="25">
        <v>1</v>
      </c>
      <c r="CQ27" s="85" t="str">
        <f>T('Hoja básica'!BO84:BQ84)</f>
        <v/>
      </c>
      <c r="CU27" s="25">
        <v>100</v>
      </c>
      <c r="DH27" s="25" t="s">
        <v>5380</v>
      </c>
      <c r="DJ27" s="25" t="s">
        <v>5380</v>
      </c>
      <c r="DK27" s="25" t="s">
        <v>5381</v>
      </c>
      <c r="DL27" s="25" t="s">
        <v>87</v>
      </c>
      <c r="DM27" s="25">
        <v>50</v>
      </c>
      <c r="DN27" s="25">
        <v>50</v>
      </c>
      <c r="DO27" s="25" t="s">
        <v>5379</v>
      </c>
      <c r="EH27" s="25" t="s">
        <v>5506</v>
      </c>
    </row>
    <row r="28" spans="1:157" ht="13.5" thickBot="1" x14ac:dyDescent="0.25">
      <c r="A28" s="25">
        <v>8</v>
      </c>
      <c r="B28" s="25">
        <v>110</v>
      </c>
      <c r="D28" s="25">
        <v>8</v>
      </c>
      <c r="E28" s="25">
        <v>10</v>
      </c>
      <c r="G28" s="25">
        <v>8</v>
      </c>
      <c r="H28" s="25">
        <v>1</v>
      </c>
      <c r="J28" s="25">
        <v>8</v>
      </c>
      <c r="K28" s="25">
        <v>8</v>
      </c>
      <c r="O28" s="25">
        <v>130</v>
      </c>
      <c r="P28" s="25">
        <v>1</v>
      </c>
      <c r="Q28" s="25">
        <v>0</v>
      </c>
      <c r="S28" s="25" t="s">
        <v>5067</v>
      </c>
      <c r="U28" s="25">
        <v>19</v>
      </c>
      <c r="V28" s="25">
        <v>3</v>
      </c>
      <c r="X28" s="25">
        <v>79</v>
      </c>
      <c r="Y28" s="25" t="s">
        <v>495</v>
      </c>
      <c r="Z28" s="25">
        <v>0</v>
      </c>
      <c r="AA28" s="25">
        <v>-10</v>
      </c>
      <c r="AB28" s="27" t="s">
        <v>414</v>
      </c>
      <c r="AC28" s="45" t="s">
        <v>5703</v>
      </c>
      <c r="AD28" s="45" t="s">
        <v>5703</v>
      </c>
      <c r="AE28" s="25" t="s">
        <v>433</v>
      </c>
      <c r="AF28" s="45" t="s">
        <v>5703</v>
      </c>
      <c r="AG28" s="26">
        <v>3</v>
      </c>
      <c r="AH28" s="26">
        <v>-3</v>
      </c>
      <c r="AI28" s="26">
        <v>20</v>
      </c>
      <c r="AJ28" s="25" t="s">
        <v>496</v>
      </c>
      <c r="AO28" s="26">
        <v>-265</v>
      </c>
      <c r="AP28" s="25">
        <v>7</v>
      </c>
      <c r="AR28" s="25">
        <v>13</v>
      </c>
      <c r="AS28" s="25" t="s">
        <v>497</v>
      </c>
      <c r="AX28" s="25" t="s">
        <v>466</v>
      </c>
      <c r="AY28" s="25">
        <v>0</v>
      </c>
      <c r="AZ28" s="25">
        <v>-20</v>
      </c>
      <c r="BA28" s="27" t="s">
        <v>467</v>
      </c>
      <c r="BB28" s="45" t="s">
        <v>5703</v>
      </c>
      <c r="BC28" s="45" t="s">
        <v>5703</v>
      </c>
      <c r="BD28" s="25" t="s">
        <v>433</v>
      </c>
      <c r="BE28" s="25" t="s">
        <v>6432</v>
      </c>
      <c r="BF28" s="26">
        <v>8</v>
      </c>
      <c r="BG28" s="26">
        <v>-1</v>
      </c>
      <c r="BH28" s="26">
        <v>15</v>
      </c>
      <c r="BI28" s="45" t="s">
        <v>5703</v>
      </c>
      <c r="BN28" s="25" t="s">
        <v>523</v>
      </c>
      <c r="BO28" s="25" t="s">
        <v>5258</v>
      </c>
      <c r="BP28" s="25" t="s">
        <v>5277</v>
      </c>
      <c r="BY28" s="25" t="s">
        <v>5319</v>
      </c>
      <c r="BZ28" s="25">
        <v>30</v>
      </c>
      <c r="CA28" s="25">
        <v>-15</v>
      </c>
      <c r="CB28" s="25">
        <v>0</v>
      </c>
      <c r="CC28" s="25">
        <v>13</v>
      </c>
      <c r="CD28" s="25">
        <v>25</v>
      </c>
      <c r="CE28" s="25" t="s">
        <v>729</v>
      </c>
      <c r="CF28" s="25" t="s">
        <v>733</v>
      </c>
      <c r="CG28" s="25">
        <v>4</v>
      </c>
      <c r="CH28" s="25">
        <v>3</v>
      </c>
      <c r="CI28" s="25">
        <v>3</v>
      </c>
      <c r="CJ28" s="25">
        <v>2</v>
      </c>
      <c r="CK28" s="25">
        <v>0</v>
      </c>
      <c r="CL28" s="25">
        <v>2</v>
      </c>
      <c r="CM28" s="25">
        <v>2</v>
      </c>
      <c r="CQ28" s="86" t="str">
        <f>T('Hoja básica'!BT84:BU84)</f>
        <v/>
      </c>
      <c r="DH28" s="25" t="s">
        <v>5382</v>
      </c>
      <c r="DJ28" s="25" t="s">
        <v>5382</v>
      </c>
      <c r="DK28" s="25" t="s">
        <v>5383</v>
      </c>
      <c r="DL28" s="25" t="s">
        <v>87</v>
      </c>
      <c r="DM28" s="25">
        <v>30</v>
      </c>
      <c r="DN28" s="25">
        <v>50</v>
      </c>
      <c r="DO28" s="25" t="s">
        <v>5379</v>
      </c>
      <c r="EH28" s="25" t="s">
        <v>5507</v>
      </c>
    </row>
    <row r="29" spans="1:157" x14ac:dyDescent="0.2">
      <c r="A29" s="25">
        <v>9</v>
      </c>
      <c r="B29" s="25">
        <v>120</v>
      </c>
      <c r="D29" s="25">
        <v>9</v>
      </c>
      <c r="E29" s="25">
        <v>10</v>
      </c>
      <c r="G29" s="25">
        <v>9</v>
      </c>
      <c r="H29" s="25">
        <v>1</v>
      </c>
      <c r="J29" s="25">
        <v>9</v>
      </c>
      <c r="K29" s="25">
        <v>9</v>
      </c>
      <c r="O29" s="25">
        <v>135</v>
      </c>
      <c r="P29" s="25">
        <v>1</v>
      </c>
      <c r="Q29" s="25">
        <v>0</v>
      </c>
      <c r="S29" s="25" t="s">
        <v>6006</v>
      </c>
      <c r="U29" s="25">
        <v>20</v>
      </c>
      <c r="V29" s="25">
        <v>4</v>
      </c>
      <c r="X29" s="25">
        <v>4</v>
      </c>
      <c r="Y29" s="25" t="s">
        <v>465</v>
      </c>
      <c r="Z29" s="25">
        <v>25</v>
      </c>
      <c r="AA29" s="25">
        <v>10</v>
      </c>
      <c r="AB29" s="27" t="s">
        <v>460</v>
      </c>
      <c r="AC29" s="25" t="s">
        <v>424</v>
      </c>
      <c r="AD29" s="25" t="s">
        <v>415</v>
      </c>
      <c r="AE29" s="25" t="s">
        <v>416</v>
      </c>
      <c r="AF29" s="45" t="s">
        <v>5703</v>
      </c>
      <c r="AG29" s="25">
        <v>11</v>
      </c>
      <c r="AH29" s="25">
        <v>-2</v>
      </c>
      <c r="AI29" s="25">
        <v>15</v>
      </c>
      <c r="AO29" s="26">
        <v>-260</v>
      </c>
      <c r="AP29" s="25">
        <v>7</v>
      </c>
      <c r="AR29" s="25">
        <v>14</v>
      </c>
      <c r="AS29" s="25" t="s">
        <v>498</v>
      </c>
      <c r="AX29" s="25" t="s">
        <v>470</v>
      </c>
      <c r="AY29" s="25">
        <v>25</v>
      </c>
      <c r="AZ29" s="25">
        <v>-5</v>
      </c>
      <c r="BA29" s="27" t="s">
        <v>440</v>
      </c>
      <c r="BB29" s="25" t="s">
        <v>66</v>
      </c>
      <c r="BC29" s="45" t="s">
        <v>5703</v>
      </c>
      <c r="BD29" s="25" t="s">
        <v>429</v>
      </c>
      <c r="BE29" s="45" t="s">
        <v>5703</v>
      </c>
      <c r="BF29" s="26">
        <v>12</v>
      </c>
      <c r="BG29" s="26">
        <v>2</v>
      </c>
      <c r="BH29" s="26">
        <v>15</v>
      </c>
      <c r="BI29" s="45" t="s">
        <v>5703</v>
      </c>
      <c r="BN29" s="25" t="s">
        <v>526</v>
      </c>
      <c r="BO29" s="25" t="s">
        <v>5259</v>
      </c>
      <c r="BP29" s="25" t="s">
        <v>5278</v>
      </c>
      <c r="BY29" s="25" t="s">
        <v>748</v>
      </c>
      <c r="BZ29" s="33">
        <v>70</v>
      </c>
      <c r="CA29" s="25">
        <v>-20</v>
      </c>
      <c r="CB29" s="25">
        <v>3</v>
      </c>
      <c r="CC29" s="25">
        <v>16</v>
      </c>
      <c r="CD29" s="25">
        <v>35</v>
      </c>
      <c r="CE29" s="25" t="s">
        <v>732</v>
      </c>
      <c r="CF29" s="25" t="s">
        <v>733</v>
      </c>
      <c r="CG29" s="25">
        <v>4</v>
      </c>
      <c r="CH29" s="25">
        <v>4</v>
      </c>
      <c r="CI29" s="25">
        <v>4</v>
      </c>
      <c r="CJ29" s="25">
        <v>2</v>
      </c>
      <c r="CK29" s="25">
        <v>0</v>
      </c>
      <c r="CL29" s="25">
        <v>1</v>
      </c>
      <c r="CM29" s="25">
        <v>1</v>
      </c>
      <c r="DH29" s="25" t="s">
        <v>5384</v>
      </c>
      <c r="DJ29" s="25" t="s">
        <v>5384</v>
      </c>
      <c r="DK29" s="25" t="s">
        <v>5385</v>
      </c>
      <c r="DL29" s="25" t="s">
        <v>87</v>
      </c>
      <c r="DM29" s="25">
        <v>60</v>
      </c>
      <c r="DN29" s="25">
        <v>60</v>
      </c>
      <c r="DO29" s="25" t="s">
        <v>5386</v>
      </c>
    </row>
    <row r="30" spans="1:157" x14ac:dyDescent="0.2">
      <c r="A30" s="25">
        <v>10</v>
      </c>
      <c r="B30" s="25">
        <v>135</v>
      </c>
      <c r="D30" s="25">
        <v>10</v>
      </c>
      <c r="E30" s="25">
        <v>10</v>
      </c>
      <c r="G30" s="25">
        <v>10</v>
      </c>
      <c r="H30" s="25">
        <v>2</v>
      </c>
      <c r="J30" s="25">
        <v>10</v>
      </c>
      <c r="K30" s="25">
        <v>10</v>
      </c>
      <c r="O30" s="25">
        <v>140</v>
      </c>
      <c r="P30" s="25">
        <v>1</v>
      </c>
      <c r="Q30" s="25">
        <v>0</v>
      </c>
      <c r="U30" s="25">
        <v>22</v>
      </c>
      <c r="V30" s="25">
        <v>4</v>
      </c>
      <c r="X30" s="25">
        <v>5</v>
      </c>
      <c r="Y30" s="25" t="s">
        <v>469</v>
      </c>
      <c r="Z30" s="25">
        <v>50</v>
      </c>
      <c r="AA30" s="25">
        <v>-5</v>
      </c>
      <c r="AB30" s="27" t="s">
        <v>440</v>
      </c>
      <c r="AC30" s="25" t="s">
        <v>415</v>
      </c>
      <c r="AD30" s="45" t="s">
        <v>5703</v>
      </c>
      <c r="AE30" s="25" t="s">
        <v>499</v>
      </c>
      <c r="AF30" s="45" t="s">
        <v>5703</v>
      </c>
      <c r="AG30" s="25">
        <v>13</v>
      </c>
      <c r="AH30" s="25">
        <v>4</v>
      </c>
      <c r="AI30" s="25">
        <v>20</v>
      </c>
      <c r="AO30" s="26">
        <v>-255</v>
      </c>
      <c r="AP30" s="25">
        <v>7</v>
      </c>
      <c r="AR30" s="25">
        <v>15</v>
      </c>
      <c r="AS30" s="25" t="s">
        <v>500</v>
      </c>
      <c r="AX30" s="25" t="s">
        <v>5231</v>
      </c>
      <c r="AY30" s="25">
        <v>25</v>
      </c>
      <c r="AZ30" s="25">
        <v>15</v>
      </c>
      <c r="BA30" s="25">
        <v>5</v>
      </c>
      <c r="BB30" s="25" t="s">
        <v>66</v>
      </c>
      <c r="BC30" s="45" t="s">
        <v>5703</v>
      </c>
      <c r="BD30" s="25" t="s">
        <v>425</v>
      </c>
      <c r="BE30" s="45" t="s">
        <v>5703</v>
      </c>
      <c r="BF30" s="25">
        <v>10</v>
      </c>
      <c r="BG30" s="25">
        <v>-1</v>
      </c>
      <c r="BH30" s="25">
        <v>15</v>
      </c>
      <c r="BI30" s="45" t="s">
        <v>5703</v>
      </c>
      <c r="BN30" s="25" t="s">
        <v>527</v>
      </c>
      <c r="BO30" s="25" t="s">
        <v>5260</v>
      </c>
      <c r="BP30" s="25" t="s">
        <v>5279</v>
      </c>
      <c r="BY30" s="25" t="s">
        <v>5320</v>
      </c>
      <c r="BZ30" s="25">
        <v>35</v>
      </c>
      <c r="CA30" s="25">
        <v>-15</v>
      </c>
      <c r="CB30" s="25">
        <v>1</v>
      </c>
      <c r="CC30" s="25">
        <v>14</v>
      </c>
      <c r="CD30" s="25">
        <v>25</v>
      </c>
      <c r="CE30" s="25" t="s">
        <v>729</v>
      </c>
      <c r="CF30" s="25" t="s">
        <v>733</v>
      </c>
      <c r="CG30" s="25">
        <v>4</v>
      </c>
      <c r="CH30" s="25">
        <v>2</v>
      </c>
      <c r="CI30" s="25">
        <v>3</v>
      </c>
      <c r="CJ30" s="25">
        <v>1</v>
      </c>
      <c r="CK30" s="25">
        <v>0</v>
      </c>
      <c r="CL30" s="25">
        <v>1</v>
      </c>
      <c r="CM30" s="25">
        <v>1</v>
      </c>
      <c r="DH30" s="25" t="s">
        <v>5387</v>
      </c>
      <c r="DJ30" s="25" t="s">
        <v>5387</v>
      </c>
      <c r="DK30" s="25" t="s">
        <v>5388</v>
      </c>
      <c r="DL30" s="25" t="s">
        <v>87</v>
      </c>
      <c r="DM30" s="25">
        <v>40</v>
      </c>
      <c r="DN30" s="25">
        <v>60</v>
      </c>
      <c r="DO30" s="25" t="s">
        <v>5386</v>
      </c>
    </row>
    <row r="31" spans="1:157" x14ac:dyDescent="0.2">
      <c r="A31" s="25">
        <v>11</v>
      </c>
      <c r="B31" s="25">
        <v>150</v>
      </c>
      <c r="D31" s="25">
        <v>11</v>
      </c>
      <c r="E31" s="25">
        <v>10</v>
      </c>
      <c r="G31" s="25">
        <v>11</v>
      </c>
      <c r="H31" s="25">
        <v>2</v>
      </c>
      <c r="J31" s="25">
        <v>11</v>
      </c>
      <c r="K31" s="25">
        <v>12</v>
      </c>
      <c r="O31" s="25">
        <v>145</v>
      </c>
      <c r="P31" s="25">
        <v>1</v>
      </c>
      <c r="Q31" s="25">
        <v>0</v>
      </c>
      <c r="U31" s="25">
        <v>23</v>
      </c>
      <c r="V31" s="25">
        <v>5</v>
      </c>
      <c r="X31" s="25">
        <v>37</v>
      </c>
      <c r="Y31" s="25" t="s">
        <v>501</v>
      </c>
      <c r="Z31" s="25">
        <v>10</v>
      </c>
      <c r="AA31" s="25">
        <v>20</v>
      </c>
      <c r="AB31" s="27" t="s">
        <v>502</v>
      </c>
      <c r="AC31" s="25" t="s">
        <v>66</v>
      </c>
      <c r="AD31" s="45" t="s">
        <v>5703</v>
      </c>
      <c r="AE31" s="25" t="s">
        <v>503</v>
      </c>
      <c r="AF31" s="25" t="s">
        <v>504</v>
      </c>
      <c r="AG31" s="25">
        <f>'Hoja básica'!$E$11</f>
        <v>5</v>
      </c>
      <c r="AH31" s="25">
        <v>-2</v>
      </c>
      <c r="AI31" s="25">
        <f>'Hoja básica'!$H$71</f>
        <v>30</v>
      </c>
      <c r="AO31" s="26">
        <v>-250</v>
      </c>
      <c r="AP31" s="25">
        <v>7</v>
      </c>
      <c r="AR31" s="25">
        <v>16</v>
      </c>
      <c r="AS31" s="25" t="s">
        <v>505</v>
      </c>
      <c r="AX31" s="25" t="s">
        <v>5232</v>
      </c>
      <c r="AY31" s="25">
        <v>50</v>
      </c>
      <c r="AZ31" s="25">
        <v>-10</v>
      </c>
      <c r="BA31" s="25">
        <v>6</v>
      </c>
      <c r="BB31" s="25" t="s">
        <v>424</v>
      </c>
      <c r="BC31" s="25" t="s">
        <v>66</v>
      </c>
      <c r="BD31" s="25" t="s">
        <v>5233</v>
      </c>
      <c r="BE31" s="25" t="s">
        <v>6423</v>
      </c>
      <c r="BF31" s="25">
        <v>12</v>
      </c>
      <c r="BG31" s="25">
        <v>2</v>
      </c>
      <c r="BH31" s="25">
        <v>20</v>
      </c>
      <c r="BI31" s="45" t="s">
        <v>5703</v>
      </c>
      <c r="BN31" s="25" t="s">
        <v>531</v>
      </c>
      <c r="BO31" s="25" t="s">
        <v>5262</v>
      </c>
      <c r="BP31" s="25" t="s">
        <v>5280</v>
      </c>
      <c r="DH31" s="25" t="s">
        <v>5389</v>
      </c>
      <c r="DJ31" s="25" t="s">
        <v>5389</v>
      </c>
      <c r="DK31" s="25" t="s">
        <v>5390</v>
      </c>
      <c r="DL31" s="25" t="s">
        <v>87</v>
      </c>
      <c r="DM31" s="25">
        <v>60</v>
      </c>
      <c r="DN31" s="25">
        <v>60</v>
      </c>
      <c r="DO31" s="25" t="s">
        <v>5386</v>
      </c>
    </row>
    <row r="32" spans="1:157" x14ac:dyDescent="0.2">
      <c r="A32" s="25">
        <v>12</v>
      </c>
      <c r="B32" s="25">
        <v>160</v>
      </c>
      <c r="D32" s="25">
        <v>12</v>
      </c>
      <c r="E32" s="25">
        <v>15</v>
      </c>
      <c r="G32" s="25">
        <v>12</v>
      </c>
      <c r="H32" s="25">
        <v>2</v>
      </c>
      <c r="J32" s="25">
        <v>12</v>
      </c>
      <c r="K32" s="25">
        <v>14</v>
      </c>
      <c r="O32" s="25">
        <v>150</v>
      </c>
      <c r="P32" s="25">
        <v>1</v>
      </c>
      <c r="Q32" s="25">
        <v>0</v>
      </c>
      <c r="U32" s="25">
        <v>25</v>
      </c>
      <c r="V32" s="25">
        <v>5</v>
      </c>
      <c r="X32" s="25">
        <v>101</v>
      </c>
      <c r="Y32" s="25" t="s">
        <v>506</v>
      </c>
      <c r="Z32" s="25">
        <v>25</v>
      </c>
      <c r="AA32" s="25">
        <v>10</v>
      </c>
      <c r="AB32" s="27" t="s">
        <v>414</v>
      </c>
      <c r="AC32" s="25" t="s">
        <v>415</v>
      </c>
      <c r="AD32" s="45" t="s">
        <v>5703</v>
      </c>
      <c r="AE32" s="25" t="s">
        <v>416</v>
      </c>
      <c r="AF32" s="45" t="s">
        <v>5703</v>
      </c>
      <c r="AG32" s="26">
        <v>9</v>
      </c>
      <c r="AH32" s="26">
        <v>-1</v>
      </c>
      <c r="AI32" s="26">
        <v>10</v>
      </c>
      <c r="AO32" s="26">
        <v>-245</v>
      </c>
      <c r="AP32" s="25">
        <v>7</v>
      </c>
      <c r="AR32" s="25">
        <v>17</v>
      </c>
      <c r="AS32" s="25" t="s">
        <v>507</v>
      </c>
      <c r="AX32" s="25" t="s">
        <v>5234</v>
      </c>
      <c r="AY32" s="25">
        <v>50</v>
      </c>
      <c r="AZ32" s="25">
        <v>-15</v>
      </c>
      <c r="BA32" s="25">
        <v>6</v>
      </c>
      <c r="BB32" s="25" t="s">
        <v>415</v>
      </c>
      <c r="BC32" s="25" t="s">
        <v>66</v>
      </c>
      <c r="BD32" s="25" t="s">
        <v>425</v>
      </c>
      <c r="BE32" s="25" t="s">
        <v>6423</v>
      </c>
      <c r="BF32" s="25">
        <v>12</v>
      </c>
      <c r="BG32" s="25">
        <v>4</v>
      </c>
      <c r="BH32" s="25">
        <v>20</v>
      </c>
      <c r="BI32" s="45" t="s">
        <v>5703</v>
      </c>
      <c r="BN32" s="25" t="s">
        <v>549</v>
      </c>
      <c r="BO32" s="25" t="s">
        <v>5263</v>
      </c>
      <c r="BP32" s="25" t="s">
        <v>5283</v>
      </c>
      <c r="DH32" s="25" t="s">
        <v>5391</v>
      </c>
      <c r="DJ32" s="25" t="s">
        <v>5391</v>
      </c>
      <c r="DK32" s="25" t="s">
        <v>5392</v>
      </c>
      <c r="DL32" s="25" t="s">
        <v>87</v>
      </c>
      <c r="DM32" s="25">
        <v>60</v>
      </c>
      <c r="DN32" s="25">
        <v>80</v>
      </c>
      <c r="DO32" s="25" t="s">
        <v>5393</v>
      </c>
    </row>
    <row r="33" spans="1:119" x14ac:dyDescent="0.2">
      <c r="A33" s="25">
        <v>13</v>
      </c>
      <c r="B33" s="25">
        <v>175</v>
      </c>
      <c r="D33" s="25">
        <v>13</v>
      </c>
      <c r="E33" s="25">
        <v>15</v>
      </c>
      <c r="G33" s="25">
        <v>13</v>
      </c>
      <c r="H33" s="25">
        <v>3</v>
      </c>
      <c r="J33" s="25">
        <v>13</v>
      </c>
      <c r="K33" s="25">
        <v>16</v>
      </c>
      <c r="O33" s="25">
        <v>155</v>
      </c>
      <c r="P33" s="25">
        <v>1</v>
      </c>
      <c r="Q33" s="25">
        <v>0</v>
      </c>
      <c r="U33" s="25">
        <v>26</v>
      </c>
      <c r="V33" s="25">
        <v>6</v>
      </c>
      <c r="X33" s="25">
        <v>45</v>
      </c>
      <c r="Y33" s="25" t="s">
        <v>508</v>
      </c>
      <c r="Z33" s="25">
        <v>35</v>
      </c>
      <c r="AA33" s="25">
        <v>10</v>
      </c>
      <c r="AB33" s="27" t="s">
        <v>414</v>
      </c>
      <c r="AC33" s="25" t="s">
        <v>66</v>
      </c>
      <c r="AD33" s="25" t="s">
        <v>415</v>
      </c>
      <c r="AE33" s="25" t="s">
        <v>416</v>
      </c>
      <c r="AF33" s="25" t="s">
        <v>509</v>
      </c>
      <c r="AG33" s="25">
        <v>11</v>
      </c>
      <c r="AH33" s="25">
        <v>2</v>
      </c>
      <c r="AI33" s="25">
        <v>25</v>
      </c>
      <c r="AO33" s="26">
        <v>-240</v>
      </c>
      <c r="AP33" s="25">
        <v>7</v>
      </c>
      <c r="AR33" s="25">
        <v>18</v>
      </c>
      <c r="AS33" s="25" t="s">
        <v>510</v>
      </c>
      <c r="AX33" s="25" t="s">
        <v>5272</v>
      </c>
      <c r="AY33" s="25">
        <v>25</v>
      </c>
      <c r="AZ33" s="25">
        <v>0</v>
      </c>
      <c r="BA33" s="45" t="s">
        <v>598</v>
      </c>
      <c r="BB33" s="25" t="s">
        <v>66</v>
      </c>
      <c r="BC33" s="45" t="s">
        <v>5703</v>
      </c>
      <c r="BD33" s="25" t="s">
        <v>499</v>
      </c>
      <c r="BE33" s="25" t="s">
        <v>6434</v>
      </c>
      <c r="BF33" s="25">
        <v>8</v>
      </c>
      <c r="BG33" s="25">
        <v>-1</v>
      </c>
      <c r="BH33" s="25">
        <v>15</v>
      </c>
      <c r="BI33" s="45" t="s">
        <v>5703</v>
      </c>
      <c r="BN33" s="25" t="s">
        <v>550</v>
      </c>
      <c r="BO33" s="25" t="s">
        <v>5265</v>
      </c>
      <c r="BP33" s="25" t="s">
        <v>5284</v>
      </c>
      <c r="DH33" s="25" t="s">
        <v>5394</v>
      </c>
      <c r="DJ33" s="25" t="s">
        <v>5394</v>
      </c>
      <c r="DK33" s="25" t="s">
        <v>5395</v>
      </c>
      <c r="DL33" s="25" t="s">
        <v>87</v>
      </c>
      <c r="DM33" s="25">
        <v>30</v>
      </c>
      <c r="DN33" s="25">
        <v>30</v>
      </c>
      <c r="DO33" s="25" t="s">
        <v>5393</v>
      </c>
    </row>
    <row r="34" spans="1:119" x14ac:dyDescent="0.2">
      <c r="A34" s="25">
        <v>14</v>
      </c>
      <c r="B34" s="25">
        <v>185</v>
      </c>
      <c r="D34" s="25">
        <v>14</v>
      </c>
      <c r="E34" s="25">
        <v>15</v>
      </c>
      <c r="G34" s="25">
        <v>14</v>
      </c>
      <c r="H34" s="25">
        <v>3</v>
      </c>
      <c r="J34" s="25">
        <v>14</v>
      </c>
      <c r="K34" s="25">
        <v>18</v>
      </c>
      <c r="O34" s="25">
        <v>160</v>
      </c>
      <c r="P34" s="25">
        <v>1</v>
      </c>
      <c r="Q34" s="25">
        <v>0</v>
      </c>
      <c r="U34" s="25">
        <v>28</v>
      </c>
      <c r="V34" s="25">
        <v>6</v>
      </c>
      <c r="X34" s="25">
        <v>6</v>
      </c>
      <c r="Y34" s="25" t="s">
        <v>471</v>
      </c>
      <c r="Z34" s="25">
        <v>30</v>
      </c>
      <c r="AA34" s="25">
        <v>20</v>
      </c>
      <c r="AB34" s="27" t="s">
        <v>460</v>
      </c>
      <c r="AC34" s="25" t="s">
        <v>424</v>
      </c>
      <c r="AD34" s="25" t="s">
        <v>415</v>
      </c>
      <c r="AE34" s="25" t="s">
        <v>416</v>
      </c>
      <c r="AF34" s="25" t="s">
        <v>511</v>
      </c>
      <c r="AG34" s="25">
        <v>10</v>
      </c>
      <c r="AH34" s="25">
        <v>-2</v>
      </c>
      <c r="AI34" s="25">
        <v>15</v>
      </c>
      <c r="AO34" s="26">
        <v>-235</v>
      </c>
      <c r="AP34" s="25">
        <v>7</v>
      </c>
      <c r="AR34" s="25">
        <v>19</v>
      </c>
      <c r="AS34" s="25" t="s">
        <v>512</v>
      </c>
      <c r="AX34" s="25" t="s">
        <v>472</v>
      </c>
      <c r="AY34" s="25">
        <v>20</v>
      </c>
      <c r="AZ34" s="25">
        <v>0</v>
      </c>
      <c r="BA34" s="27" t="s">
        <v>440</v>
      </c>
      <c r="BB34" s="25" t="s">
        <v>66</v>
      </c>
      <c r="BC34" s="45" t="s">
        <v>5703</v>
      </c>
      <c r="BD34" s="25" t="s">
        <v>474</v>
      </c>
      <c r="BE34" s="45" t="s">
        <v>5703</v>
      </c>
      <c r="BF34" s="26" t="s">
        <v>475</v>
      </c>
      <c r="BG34" s="26" t="s">
        <v>476</v>
      </c>
      <c r="BH34" s="26" t="s">
        <v>477</v>
      </c>
      <c r="BI34" s="45" t="s">
        <v>5703</v>
      </c>
      <c r="BN34" s="25" t="s">
        <v>552</v>
      </c>
      <c r="BO34" s="25" t="s">
        <v>5266</v>
      </c>
      <c r="BP34" s="25" t="s">
        <v>5285</v>
      </c>
      <c r="CU34" s="218"/>
      <c r="CV34" s="240"/>
      <c r="CW34" s="240"/>
      <c r="DH34" s="25" t="s">
        <v>5396</v>
      </c>
      <c r="DJ34" s="25" t="s">
        <v>5396</v>
      </c>
      <c r="DK34" s="25" t="s">
        <v>5390</v>
      </c>
      <c r="DL34" s="25" t="s">
        <v>87</v>
      </c>
      <c r="DM34" s="25">
        <v>50</v>
      </c>
      <c r="DN34" s="25">
        <v>50</v>
      </c>
      <c r="DO34" s="25" t="s">
        <v>5393</v>
      </c>
    </row>
    <row r="35" spans="1:119" x14ac:dyDescent="0.2">
      <c r="A35" s="25">
        <v>15</v>
      </c>
      <c r="B35" s="25">
        <v>200</v>
      </c>
      <c r="D35" s="25">
        <v>15</v>
      </c>
      <c r="E35" s="25">
        <v>20</v>
      </c>
      <c r="G35" s="25">
        <v>15</v>
      </c>
      <c r="H35" s="25">
        <v>3</v>
      </c>
      <c r="J35" s="25">
        <v>15</v>
      </c>
      <c r="K35" s="25">
        <v>20</v>
      </c>
      <c r="O35" s="25">
        <v>165</v>
      </c>
      <c r="P35" s="25">
        <v>1</v>
      </c>
      <c r="Q35" s="25">
        <v>0</v>
      </c>
      <c r="U35" s="25">
        <v>29</v>
      </c>
      <c r="V35" s="25">
        <v>8</v>
      </c>
      <c r="X35" s="25">
        <v>7</v>
      </c>
      <c r="Y35" s="25" t="s">
        <v>478</v>
      </c>
      <c r="Z35" s="25">
        <v>30</v>
      </c>
      <c r="AA35" s="25">
        <v>15</v>
      </c>
      <c r="AB35" s="27" t="s">
        <v>460</v>
      </c>
      <c r="AC35" s="25" t="s">
        <v>424</v>
      </c>
      <c r="AD35" s="25" t="s">
        <v>415</v>
      </c>
      <c r="AE35" s="25" t="s">
        <v>416</v>
      </c>
      <c r="AF35" s="25" t="s">
        <v>513</v>
      </c>
      <c r="AG35" s="25">
        <v>12</v>
      </c>
      <c r="AH35" s="25">
        <v>0</v>
      </c>
      <c r="AI35" s="25">
        <v>20</v>
      </c>
      <c r="AO35" s="26">
        <v>-230</v>
      </c>
      <c r="AP35" s="25">
        <v>7</v>
      </c>
      <c r="AR35" s="25">
        <v>20</v>
      </c>
      <c r="AS35" s="25" t="s">
        <v>514</v>
      </c>
      <c r="AX35" s="25" t="s">
        <v>479</v>
      </c>
      <c r="AY35" s="25">
        <v>30</v>
      </c>
      <c r="AZ35" s="25">
        <v>-10</v>
      </c>
      <c r="BA35" s="27" t="s">
        <v>440</v>
      </c>
      <c r="BB35" s="25" t="s">
        <v>66</v>
      </c>
      <c r="BC35" s="45" t="s">
        <v>5703</v>
      </c>
      <c r="BD35" s="25" t="s">
        <v>474</v>
      </c>
      <c r="BE35" s="25" t="s">
        <v>6435</v>
      </c>
      <c r="BF35" s="26" t="s">
        <v>432</v>
      </c>
      <c r="BG35" s="26" t="s">
        <v>476</v>
      </c>
      <c r="BH35" s="26" t="s">
        <v>477</v>
      </c>
      <c r="BI35" s="25" t="s">
        <v>481</v>
      </c>
      <c r="BN35" s="25" t="s">
        <v>554</v>
      </c>
      <c r="BO35" s="25" t="s">
        <v>5267</v>
      </c>
      <c r="BP35" s="25" t="s">
        <v>5287</v>
      </c>
      <c r="CU35" s="218"/>
      <c r="CV35" s="240"/>
      <c r="CW35" s="240"/>
      <c r="DH35" s="25" t="s">
        <v>5397</v>
      </c>
      <c r="DJ35" s="25" t="s">
        <v>5400</v>
      </c>
      <c r="DK35" s="25" t="s">
        <v>5401</v>
      </c>
      <c r="DL35" s="25" t="s">
        <v>5402</v>
      </c>
      <c r="DM35" s="25">
        <v>20</v>
      </c>
      <c r="DN35" s="25">
        <v>40</v>
      </c>
      <c r="DO35" s="25" t="s">
        <v>5399</v>
      </c>
    </row>
    <row r="36" spans="1:119" x14ac:dyDescent="0.2">
      <c r="A36" s="25">
        <v>16</v>
      </c>
      <c r="B36" s="25">
        <v>215</v>
      </c>
      <c r="D36" s="25">
        <v>16</v>
      </c>
      <c r="E36" s="25">
        <v>25</v>
      </c>
      <c r="G36" s="25">
        <v>16</v>
      </c>
      <c r="H36" s="25">
        <v>4</v>
      </c>
      <c r="J36" s="25">
        <v>16</v>
      </c>
      <c r="K36" s="25">
        <v>22</v>
      </c>
      <c r="O36" s="25">
        <v>170</v>
      </c>
      <c r="P36" s="25">
        <v>1</v>
      </c>
      <c r="Q36" s="25">
        <v>0</v>
      </c>
      <c r="U36" s="25">
        <v>31</v>
      </c>
      <c r="V36" s="25">
        <v>8</v>
      </c>
      <c r="X36" s="25">
        <v>80</v>
      </c>
      <c r="Y36" s="25" t="s">
        <v>515</v>
      </c>
      <c r="Z36" s="25">
        <v>5</v>
      </c>
      <c r="AA36" s="25">
        <v>0</v>
      </c>
      <c r="AB36" s="45" t="s">
        <v>5703</v>
      </c>
      <c r="AC36" s="25" t="s">
        <v>424</v>
      </c>
      <c r="AD36" s="45" t="s">
        <v>5703</v>
      </c>
      <c r="AE36" s="25" t="s">
        <v>445</v>
      </c>
      <c r="AF36" s="45" t="s">
        <v>5703</v>
      </c>
      <c r="AG36" s="26">
        <v>2</v>
      </c>
      <c r="AH36" s="26">
        <v>-4</v>
      </c>
      <c r="AI36" s="26">
        <v>15</v>
      </c>
      <c r="AO36" s="26">
        <v>-225</v>
      </c>
      <c r="AP36" s="25">
        <v>7</v>
      </c>
      <c r="AR36" s="25">
        <v>21</v>
      </c>
      <c r="AS36" s="25" t="s">
        <v>516</v>
      </c>
      <c r="AX36" s="25" t="s">
        <v>483</v>
      </c>
      <c r="AY36" s="25">
        <v>15</v>
      </c>
      <c r="AZ36" s="25">
        <v>10</v>
      </c>
      <c r="BA36" s="27" t="s">
        <v>460</v>
      </c>
      <c r="BB36" s="25" t="s">
        <v>415</v>
      </c>
      <c r="BC36" s="25" t="s">
        <v>66</v>
      </c>
      <c r="BD36" s="25" t="s">
        <v>416</v>
      </c>
      <c r="BE36" s="45" t="s">
        <v>5703</v>
      </c>
      <c r="BF36" s="26">
        <v>5</v>
      </c>
      <c r="BG36" s="26">
        <v>-3</v>
      </c>
      <c r="BH36" s="26">
        <v>15</v>
      </c>
      <c r="BI36" s="45" t="s">
        <v>5703</v>
      </c>
      <c r="BN36" s="25" t="s">
        <v>429</v>
      </c>
      <c r="BO36" s="25" t="s">
        <v>5268</v>
      </c>
      <c r="BP36" s="25" t="s">
        <v>5288</v>
      </c>
      <c r="CU36" s="218"/>
      <c r="CV36" s="241"/>
      <c r="CW36" s="241"/>
      <c r="DH36" s="25" t="s">
        <v>5400</v>
      </c>
      <c r="DJ36" s="25" t="s">
        <v>5405</v>
      </c>
      <c r="DK36" s="25" t="s">
        <v>5406</v>
      </c>
      <c r="DL36" s="25" t="s">
        <v>5407</v>
      </c>
      <c r="DM36" s="25">
        <v>20</v>
      </c>
      <c r="DN36" s="25">
        <v>50</v>
      </c>
      <c r="DO36" s="25" t="s">
        <v>5408</v>
      </c>
    </row>
    <row r="37" spans="1:119" x14ac:dyDescent="0.2">
      <c r="A37" s="25">
        <v>17</v>
      </c>
      <c r="B37" s="25">
        <v>225</v>
      </c>
      <c r="D37" s="25">
        <v>17</v>
      </c>
      <c r="E37" s="25">
        <v>25</v>
      </c>
      <c r="G37" s="25">
        <v>17</v>
      </c>
      <c r="H37" s="25">
        <v>4</v>
      </c>
      <c r="J37" s="25">
        <v>17</v>
      </c>
      <c r="K37" s="25">
        <v>24</v>
      </c>
      <c r="O37" s="25">
        <v>175</v>
      </c>
      <c r="P37" s="25">
        <v>1</v>
      </c>
      <c r="Q37" s="25">
        <v>0</v>
      </c>
      <c r="U37" s="25">
        <v>32</v>
      </c>
      <c r="V37" s="25">
        <v>10</v>
      </c>
      <c r="X37" s="25">
        <v>77</v>
      </c>
      <c r="Y37" s="25" t="s">
        <v>517</v>
      </c>
      <c r="Z37" s="25">
        <v>20</v>
      </c>
      <c r="AA37" s="25">
        <v>20</v>
      </c>
      <c r="AB37" s="27" t="s">
        <v>460</v>
      </c>
      <c r="AC37" s="25" t="s">
        <v>424</v>
      </c>
      <c r="AD37" s="45" t="s">
        <v>5703</v>
      </c>
      <c r="AE37" s="25" t="s">
        <v>474</v>
      </c>
      <c r="AF37" s="45" t="s">
        <v>5703</v>
      </c>
      <c r="AG37" s="26" t="s">
        <v>460</v>
      </c>
      <c r="AH37" s="26" t="s">
        <v>518</v>
      </c>
      <c r="AI37" s="26" t="s">
        <v>458</v>
      </c>
      <c r="AO37" s="26">
        <v>-220</v>
      </c>
      <c r="AP37" s="25">
        <v>7</v>
      </c>
      <c r="AR37" s="25">
        <v>22</v>
      </c>
      <c r="AS37" s="25" t="s">
        <v>519</v>
      </c>
      <c r="AX37" s="25" t="s">
        <v>5235</v>
      </c>
      <c r="AY37" s="25">
        <v>60</v>
      </c>
      <c r="AZ37" s="25">
        <v>-10</v>
      </c>
      <c r="BA37" s="25">
        <v>7</v>
      </c>
      <c r="BB37" s="25" t="s">
        <v>415</v>
      </c>
      <c r="BC37" s="45" t="s">
        <v>5703</v>
      </c>
      <c r="BD37" s="25" t="s">
        <v>499</v>
      </c>
      <c r="BE37" s="45" t="s">
        <v>5703</v>
      </c>
      <c r="BF37" s="25">
        <v>15</v>
      </c>
      <c r="BG37" s="25">
        <v>4</v>
      </c>
      <c r="BH37" s="25">
        <v>20</v>
      </c>
      <c r="BI37" s="45" t="s">
        <v>5703</v>
      </c>
      <c r="BN37" s="25" t="s">
        <v>560</v>
      </c>
      <c r="BO37" s="25" t="s">
        <v>5270</v>
      </c>
      <c r="BP37" s="25" t="s">
        <v>5289</v>
      </c>
      <c r="BX37" s="34"/>
      <c r="BZ37" s="33"/>
      <c r="CU37" s="218"/>
      <c r="CV37" s="241"/>
      <c r="CW37" s="241"/>
      <c r="DH37" s="25" t="s">
        <v>5403</v>
      </c>
      <c r="DJ37" s="25" t="s">
        <v>5397</v>
      </c>
      <c r="DK37" s="25" t="s">
        <v>5398</v>
      </c>
      <c r="DL37" s="25" t="s">
        <v>87</v>
      </c>
      <c r="DM37" s="25">
        <v>30</v>
      </c>
      <c r="DN37" s="25">
        <v>50</v>
      </c>
      <c r="DO37" s="25" t="s">
        <v>5399</v>
      </c>
    </row>
    <row r="38" spans="1:119" x14ac:dyDescent="0.2">
      <c r="A38" s="25">
        <v>18</v>
      </c>
      <c r="B38" s="25">
        <v>240</v>
      </c>
      <c r="D38" s="25">
        <v>18</v>
      </c>
      <c r="E38" s="25">
        <v>30</v>
      </c>
      <c r="G38" s="25">
        <v>18</v>
      </c>
      <c r="H38" s="25">
        <v>4</v>
      </c>
      <c r="J38" s="25">
        <v>18</v>
      </c>
      <c r="K38" s="25">
        <v>26</v>
      </c>
      <c r="O38" s="25">
        <v>180</v>
      </c>
      <c r="P38" s="25">
        <v>1</v>
      </c>
      <c r="Q38" s="25">
        <v>0</v>
      </c>
      <c r="X38" s="25">
        <v>94</v>
      </c>
      <c r="Y38" s="25" t="s">
        <v>520</v>
      </c>
      <c r="Z38" s="25">
        <v>20</v>
      </c>
      <c r="AA38" s="25">
        <v>-25</v>
      </c>
      <c r="AB38" s="27" t="s">
        <v>521</v>
      </c>
      <c r="AC38" s="25" t="s">
        <v>66</v>
      </c>
      <c r="AD38" s="45" t="s">
        <v>5703</v>
      </c>
      <c r="AE38" s="25" t="s">
        <v>520</v>
      </c>
      <c r="AF38" s="25" t="s">
        <v>522</v>
      </c>
      <c r="AG38" s="26">
        <v>16</v>
      </c>
      <c r="AH38" s="26">
        <v>0</v>
      </c>
      <c r="AI38" s="26">
        <v>25</v>
      </c>
      <c r="AO38" s="26">
        <v>-215</v>
      </c>
      <c r="AP38" s="25">
        <v>7</v>
      </c>
      <c r="AR38" s="25">
        <v>23</v>
      </c>
      <c r="AS38" s="25" t="s">
        <v>523</v>
      </c>
      <c r="AX38" s="25" t="s">
        <v>5236</v>
      </c>
      <c r="AY38" s="25">
        <v>40</v>
      </c>
      <c r="AZ38" s="25">
        <v>0</v>
      </c>
      <c r="BA38" s="25">
        <v>6</v>
      </c>
      <c r="BB38" s="25" t="s">
        <v>66</v>
      </c>
      <c r="BC38" s="45" t="s">
        <v>5703</v>
      </c>
      <c r="BD38" s="25" t="s">
        <v>425</v>
      </c>
      <c r="BE38" s="25" t="s">
        <v>6436</v>
      </c>
      <c r="BF38" s="25">
        <v>9</v>
      </c>
      <c r="BG38" s="25">
        <v>3</v>
      </c>
      <c r="BH38" s="25">
        <v>25</v>
      </c>
      <c r="BI38" s="25" t="s">
        <v>5237</v>
      </c>
      <c r="BN38" s="25" t="s">
        <v>564</v>
      </c>
      <c r="BP38" s="25" t="s">
        <v>5290</v>
      </c>
      <c r="BV38" s="33"/>
      <c r="BX38" s="33">
        <v>0</v>
      </c>
      <c r="BY38" s="25" t="s">
        <v>736</v>
      </c>
      <c r="BZ38" s="33"/>
      <c r="CA38" s="25">
        <v>0</v>
      </c>
      <c r="CB38" s="25" t="s">
        <v>750</v>
      </c>
      <c r="CU38" s="218"/>
      <c r="CV38" s="241"/>
      <c r="CW38" s="241"/>
      <c r="DH38" s="25" t="s">
        <v>5405</v>
      </c>
      <c r="DJ38" s="25" t="s">
        <v>5403</v>
      </c>
      <c r="DK38" s="25" t="s">
        <v>5404</v>
      </c>
      <c r="DL38" s="25" t="s">
        <v>87</v>
      </c>
      <c r="DM38" s="25">
        <v>100</v>
      </c>
      <c r="DN38" s="25">
        <v>100</v>
      </c>
      <c r="DO38" s="25" t="s">
        <v>5399</v>
      </c>
    </row>
    <row r="39" spans="1:119" x14ac:dyDescent="0.2">
      <c r="A39" s="25">
        <v>19</v>
      </c>
      <c r="B39" s="25">
        <v>250</v>
      </c>
      <c r="D39" s="25">
        <v>19</v>
      </c>
      <c r="E39" s="25">
        <v>30</v>
      </c>
      <c r="G39" s="25">
        <v>19</v>
      </c>
      <c r="H39" s="25">
        <v>4</v>
      </c>
      <c r="J39" s="25">
        <v>19</v>
      </c>
      <c r="K39" s="25">
        <v>28</v>
      </c>
      <c r="O39" s="25">
        <v>185</v>
      </c>
      <c r="P39" s="25">
        <v>1</v>
      </c>
      <c r="Q39" s="25">
        <v>0</v>
      </c>
      <c r="X39" s="25">
        <v>95</v>
      </c>
      <c r="Y39" s="25" t="s">
        <v>524</v>
      </c>
      <c r="Z39" s="25">
        <v>25</v>
      </c>
      <c r="AA39" s="25">
        <v>-40</v>
      </c>
      <c r="AB39" s="27" t="s">
        <v>475</v>
      </c>
      <c r="AC39" s="25" t="s">
        <v>66</v>
      </c>
      <c r="AD39" s="45" t="s">
        <v>5703</v>
      </c>
      <c r="AE39" s="25" t="s">
        <v>520</v>
      </c>
      <c r="AF39" s="25" t="s">
        <v>525</v>
      </c>
      <c r="AG39" s="26">
        <v>18</v>
      </c>
      <c r="AH39" s="26">
        <v>1</v>
      </c>
      <c r="AI39" s="26">
        <v>25</v>
      </c>
      <c r="AO39" s="26">
        <v>-210</v>
      </c>
      <c r="AP39" s="25">
        <v>7</v>
      </c>
      <c r="AR39" s="25">
        <v>24</v>
      </c>
      <c r="AS39" s="25" t="s">
        <v>526</v>
      </c>
      <c r="AX39" s="25" t="s">
        <v>485</v>
      </c>
      <c r="AY39" s="25">
        <v>30</v>
      </c>
      <c r="AZ39" s="25">
        <v>10</v>
      </c>
      <c r="BA39" s="27" t="s">
        <v>414</v>
      </c>
      <c r="BB39" s="25" t="s">
        <v>66</v>
      </c>
      <c r="BC39" s="25" t="s">
        <v>415</v>
      </c>
      <c r="BD39" s="25" t="s">
        <v>416</v>
      </c>
      <c r="BE39" s="25" t="s">
        <v>486</v>
      </c>
      <c r="BF39" s="25">
        <v>10</v>
      </c>
      <c r="BG39" s="25">
        <v>0</v>
      </c>
      <c r="BH39" s="25">
        <v>15</v>
      </c>
      <c r="BI39" s="25" t="s">
        <v>487</v>
      </c>
      <c r="BN39" s="25" t="s">
        <v>567</v>
      </c>
      <c r="BP39" s="25" t="s">
        <v>5291</v>
      </c>
      <c r="BV39" s="33"/>
      <c r="BX39" s="33">
        <v>5</v>
      </c>
      <c r="BY39" s="25" t="s">
        <v>728</v>
      </c>
      <c r="CA39" s="25">
        <v>0</v>
      </c>
      <c r="CB39" s="25" t="s">
        <v>752</v>
      </c>
      <c r="CU39" s="218"/>
      <c r="CV39" s="241"/>
      <c r="CW39" s="241"/>
      <c r="DH39" s="25" t="s">
        <v>5411</v>
      </c>
      <c r="DJ39" s="25" t="s">
        <v>5411</v>
      </c>
      <c r="DK39" s="25" t="s">
        <v>5412</v>
      </c>
      <c r="DL39" s="25" t="s">
        <v>87</v>
      </c>
      <c r="DM39" s="25">
        <v>30</v>
      </c>
      <c r="DN39" s="25">
        <v>50</v>
      </c>
      <c r="DO39" s="25" t="s">
        <v>5413</v>
      </c>
    </row>
    <row r="40" spans="1:119" x14ac:dyDescent="0.2">
      <c r="A40" s="25">
        <v>20</v>
      </c>
      <c r="B40" s="25">
        <v>265</v>
      </c>
      <c r="D40" s="25">
        <v>20</v>
      </c>
      <c r="E40" s="25">
        <v>35</v>
      </c>
      <c r="G40" s="25">
        <v>20</v>
      </c>
      <c r="H40" s="25">
        <v>4</v>
      </c>
      <c r="J40" s="25">
        <v>20</v>
      </c>
      <c r="K40" s="25">
        <v>30</v>
      </c>
      <c r="O40" s="25">
        <v>190</v>
      </c>
      <c r="P40" s="25">
        <v>1</v>
      </c>
      <c r="Q40" s="25">
        <v>0</v>
      </c>
      <c r="X40" s="25">
        <v>8</v>
      </c>
      <c r="Y40" s="25" t="s">
        <v>482</v>
      </c>
      <c r="Z40" s="25">
        <v>55</v>
      </c>
      <c r="AA40" s="25">
        <v>-5</v>
      </c>
      <c r="AB40" s="27" t="s">
        <v>440</v>
      </c>
      <c r="AC40" s="25" t="s">
        <v>415</v>
      </c>
      <c r="AD40" s="45" t="s">
        <v>5703</v>
      </c>
      <c r="AE40" s="25" t="s">
        <v>499</v>
      </c>
      <c r="AF40" s="45" t="s">
        <v>5703</v>
      </c>
      <c r="AG40" s="25">
        <v>15</v>
      </c>
      <c r="AH40" s="25">
        <v>3</v>
      </c>
      <c r="AI40" s="25">
        <v>25</v>
      </c>
      <c r="AO40" s="26">
        <v>-205</v>
      </c>
      <c r="AP40" s="25">
        <v>7</v>
      </c>
      <c r="AR40" s="25">
        <v>25</v>
      </c>
      <c r="AS40" s="25" t="s">
        <v>527</v>
      </c>
      <c r="AX40" s="25" t="s">
        <v>462</v>
      </c>
      <c r="AY40" s="25">
        <v>25</v>
      </c>
      <c r="AZ40" s="25">
        <v>0</v>
      </c>
      <c r="BA40" s="27" t="s">
        <v>432</v>
      </c>
      <c r="BB40" s="25" t="s">
        <v>66</v>
      </c>
      <c r="BC40" s="45" t="s">
        <v>5703</v>
      </c>
      <c r="BD40" s="25" t="s">
        <v>489</v>
      </c>
      <c r="BE40" s="25" t="s">
        <v>490</v>
      </c>
      <c r="BF40" s="25">
        <v>13</v>
      </c>
      <c r="BG40" s="25">
        <v>2</v>
      </c>
      <c r="BH40" s="25">
        <v>15</v>
      </c>
      <c r="BI40" s="45" t="s">
        <v>5703</v>
      </c>
      <c r="BN40" s="25" t="s">
        <v>568</v>
      </c>
      <c r="BP40" s="25" t="s">
        <v>5292</v>
      </c>
      <c r="BS40" s="25" t="s">
        <v>6020</v>
      </c>
      <c r="BV40" s="34"/>
      <c r="BX40" s="33">
        <v>5</v>
      </c>
      <c r="BY40" s="25" t="s">
        <v>742</v>
      </c>
      <c r="CA40" s="25">
        <v>0</v>
      </c>
      <c r="CB40" s="25" t="s">
        <v>756</v>
      </c>
      <c r="CU40" s="218"/>
      <c r="CV40" s="241"/>
      <c r="CW40" s="241"/>
      <c r="DJ40" s="25" t="s">
        <v>5346</v>
      </c>
      <c r="DK40" s="25" t="s">
        <v>5347</v>
      </c>
      <c r="DL40" s="25" t="s">
        <v>87</v>
      </c>
      <c r="DM40" s="25">
        <v>20</v>
      </c>
      <c r="DN40" s="25">
        <v>10</v>
      </c>
      <c r="DO40" s="25" t="s">
        <v>5359</v>
      </c>
    </row>
    <row r="41" spans="1:119" x14ac:dyDescent="0.2">
      <c r="X41" s="25">
        <v>9</v>
      </c>
      <c r="Y41" s="25" t="s">
        <v>484</v>
      </c>
      <c r="Z41" s="25">
        <v>70</v>
      </c>
      <c r="AA41" s="25">
        <v>-30</v>
      </c>
      <c r="AB41" s="27" t="s">
        <v>528</v>
      </c>
      <c r="AC41" s="25" t="s">
        <v>415</v>
      </c>
      <c r="AD41" s="25" t="s">
        <v>66</v>
      </c>
      <c r="AE41" s="25" t="s">
        <v>529</v>
      </c>
      <c r="AF41" s="25" t="s">
        <v>530</v>
      </c>
      <c r="AG41" s="25">
        <v>15</v>
      </c>
      <c r="AH41" s="25">
        <v>5</v>
      </c>
      <c r="AI41" s="25">
        <v>25</v>
      </c>
      <c r="AO41" s="26">
        <v>-200</v>
      </c>
      <c r="AP41" s="25">
        <v>7</v>
      </c>
      <c r="AR41" s="25">
        <v>26</v>
      </c>
      <c r="AS41" s="25" t="s">
        <v>531</v>
      </c>
      <c r="AX41" s="25" t="s">
        <v>5432</v>
      </c>
      <c r="AY41" s="25">
        <v>60</v>
      </c>
      <c r="AZ41" s="25">
        <v>20</v>
      </c>
      <c r="BA41" s="25">
        <v>4</v>
      </c>
      <c r="BB41" s="25" t="s">
        <v>415</v>
      </c>
      <c r="BC41" s="25" t="s">
        <v>424</v>
      </c>
      <c r="BD41" s="25" t="s">
        <v>5473</v>
      </c>
      <c r="BE41" s="25" t="s">
        <v>5470</v>
      </c>
      <c r="BF41" s="25">
        <v>20</v>
      </c>
      <c r="BG41" s="25">
        <v>2</v>
      </c>
      <c r="BH41" s="25">
        <v>80</v>
      </c>
      <c r="BI41" s="25" t="s">
        <v>5463</v>
      </c>
      <c r="BN41" s="25" t="s">
        <v>571</v>
      </c>
      <c r="BP41" s="25" t="s">
        <v>5293</v>
      </c>
      <c r="BS41" s="25" t="str">
        <f>IF('Hoja básica'!C45=0,"",'Hoja básica'!C45)</f>
        <v/>
      </c>
      <c r="BV41" s="33"/>
      <c r="BX41" s="33">
        <v>10</v>
      </c>
      <c r="BY41" s="25" t="s">
        <v>734</v>
      </c>
      <c r="CA41" s="25">
        <v>0</v>
      </c>
      <c r="CB41" s="25" t="s">
        <v>757</v>
      </c>
      <c r="CU41" s="218"/>
      <c r="CV41" s="241"/>
      <c r="CW41" s="241"/>
    </row>
    <row r="42" spans="1:119" x14ac:dyDescent="0.2">
      <c r="C42" s="25" t="s">
        <v>310</v>
      </c>
      <c r="D42" s="25" t="s">
        <v>532</v>
      </c>
      <c r="E42" s="25" t="s">
        <v>533</v>
      </c>
      <c r="F42" s="25" t="s">
        <v>534</v>
      </c>
      <c r="G42" s="25" t="s">
        <v>535</v>
      </c>
      <c r="H42" s="25" t="s">
        <v>536</v>
      </c>
      <c r="I42" s="25" t="s">
        <v>537</v>
      </c>
      <c r="J42" s="25" t="s">
        <v>538</v>
      </c>
      <c r="K42" s="25" t="s">
        <v>539</v>
      </c>
      <c r="L42" s="25" t="s">
        <v>540</v>
      </c>
      <c r="M42" s="25" t="s">
        <v>356</v>
      </c>
      <c r="N42" s="25" t="s">
        <v>541</v>
      </c>
      <c r="O42" s="25" t="s">
        <v>542</v>
      </c>
      <c r="P42" s="25" t="s">
        <v>23</v>
      </c>
      <c r="Q42" s="25" t="s">
        <v>543</v>
      </c>
      <c r="R42" s="25" t="s">
        <v>544</v>
      </c>
      <c r="S42" s="25" t="s">
        <v>545</v>
      </c>
      <c r="T42" s="25" t="s">
        <v>546</v>
      </c>
      <c r="U42" s="25" t="s">
        <v>547</v>
      </c>
      <c r="V42" s="25" t="s">
        <v>548</v>
      </c>
      <c r="X42" s="25">
        <v>10</v>
      </c>
      <c r="Y42" s="25" t="s">
        <v>488</v>
      </c>
      <c r="Z42" s="25">
        <v>40</v>
      </c>
      <c r="AA42" s="25">
        <v>15</v>
      </c>
      <c r="AB42" s="27" t="s">
        <v>414</v>
      </c>
      <c r="AC42" s="25" t="s">
        <v>424</v>
      </c>
      <c r="AD42" s="25" t="s">
        <v>415</v>
      </c>
      <c r="AE42" s="25" t="s">
        <v>416</v>
      </c>
      <c r="AF42" s="25" t="s">
        <v>504</v>
      </c>
      <c r="AG42" s="25">
        <v>12</v>
      </c>
      <c r="AH42" s="25">
        <v>1</v>
      </c>
      <c r="AI42" s="25">
        <v>20</v>
      </c>
      <c r="AO42" s="26">
        <v>-195</v>
      </c>
      <c r="AP42" s="25">
        <v>7</v>
      </c>
      <c r="AR42" s="25">
        <v>27</v>
      </c>
      <c r="AS42" s="25" t="s">
        <v>549</v>
      </c>
      <c r="AX42" s="25" t="s">
        <v>5433</v>
      </c>
      <c r="AY42" s="25">
        <v>60</v>
      </c>
      <c r="AZ42" s="25">
        <v>20</v>
      </c>
      <c r="BA42" s="25">
        <v>4</v>
      </c>
      <c r="BB42" s="25" t="s">
        <v>415</v>
      </c>
      <c r="BC42" s="25" t="s">
        <v>424</v>
      </c>
      <c r="BD42" s="25" t="s">
        <v>5473</v>
      </c>
      <c r="BE42" s="25" t="s">
        <v>5470</v>
      </c>
      <c r="BF42" s="25">
        <v>20</v>
      </c>
      <c r="BG42" s="25">
        <v>2</v>
      </c>
      <c r="BH42" s="25">
        <v>80</v>
      </c>
      <c r="BI42" s="25" t="s">
        <v>5464</v>
      </c>
      <c r="BN42" s="25" t="s">
        <v>6056</v>
      </c>
      <c r="BS42" s="25" t="str">
        <f>IF('Hoja básica'!C51=0,"",'Hoja básica'!C51)</f>
        <v/>
      </c>
      <c r="BV42" s="34"/>
      <c r="BX42" s="33">
        <v>20</v>
      </c>
      <c r="BY42" s="25" t="s">
        <v>745</v>
      </c>
      <c r="CA42" s="25">
        <v>10</v>
      </c>
      <c r="CB42" s="25" t="s">
        <v>753</v>
      </c>
      <c r="CU42" s="218"/>
      <c r="CV42" s="241"/>
      <c r="CW42" s="241"/>
    </row>
    <row r="43" spans="1:119" x14ac:dyDescent="0.2">
      <c r="B43" s="25" t="s">
        <v>105</v>
      </c>
      <c r="C43" s="45" t="s">
        <v>5703</v>
      </c>
      <c r="D43" s="45" t="s">
        <v>5703</v>
      </c>
      <c r="E43" s="45" t="s">
        <v>5703</v>
      </c>
      <c r="F43" s="45" t="s">
        <v>5703</v>
      </c>
      <c r="G43" s="45" t="s">
        <v>5703</v>
      </c>
      <c r="H43" s="45" t="s">
        <v>5703</v>
      </c>
      <c r="I43" s="45" t="s">
        <v>5703</v>
      </c>
      <c r="J43" s="45" t="s">
        <v>5703</v>
      </c>
      <c r="K43" s="45" t="s">
        <v>5703</v>
      </c>
      <c r="L43" s="45" t="s">
        <v>5703</v>
      </c>
      <c r="M43" s="45" t="s">
        <v>5703</v>
      </c>
      <c r="N43" s="45" t="s">
        <v>5703</v>
      </c>
      <c r="O43" s="45" t="s">
        <v>5703</v>
      </c>
      <c r="P43" s="45" t="s">
        <v>5703</v>
      </c>
      <c r="Q43" s="45" t="s">
        <v>5703</v>
      </c>
      <c r="R43" s="45" t="s">
        <v>5703</v>
      </c>
      <c r="S43" s="45" t="s">
        <v>5703</v>
      </c>
      <c r="T43" s="45" t="s">
        <v>5703</v>
      </c>
      <c r="U43" s="45" t="s">
        <v>5703</v>
      </c>
      <c r="V43" s="45" t="s">
        <v>5703</v>
      </c>
      <c r="X43" s="25">
        <v>11</v>
      </c>
      <c r="Y43" s="25" t="s">
        <v>491</v>
      </c>
      <c r="Z43" s="25">
        <v>50</v>
      </c>
      <c r="AA43" s="25">
        <v>0</v>
      </c>
      <c r="AB43" s="27" t="s">
        <v>432</v>
      </c>
      <c r="AC43" s="25" t="s">
        <v>415</v>
      </c>
      <c r="AD43" s="45" t="s">
        <v>5703</v>
      </c>
      <c r="AE43" s="25" t="s">
        <v>499</v>
      </c>
      <c r="AF43" s="45" t="s">
        <v>5703</v>
      </c>
      <c r="AG43" s="25">
        <v>13</v>
      </c>
      <c r="AH43" s="25">
        <v>3</v>
      </c>
      <c r="AI43" s="25">
        <v>25</v>
      </c>
      <c r="AO43" s="26">
        <v>-190</v>
      </c>
      <c r="AP43" s="25">
        <v>7</v>
      </c>
      <c r="AR43" s="25">
        <v>28</v>
      </c>
      <c r="AS43" s="25" t="s">
        <v>550</v>
      </c>
      <c r="AX43" s="25" t="s">
        <v>492</v>
      </c>
      <c r="AY43" s="25">
        <v>0</v>
      </c>
      <c r="AZ43" s="25">
        <v>-100</v>
      </c>
      <c r="BA43" s="135" t="s">
        <v>5703</v>
      </c>
      <c r="BB43" s="45" t="s">
        <v>5703</v>
      </c>
      <c r="BC43" s="45" t="s">
        <v>5703</v>
      </c>
      <c r="BD43" s="25" t="s">
        <v>433</v>
      </c>
      <c r="BE43" s="25" t="s">
        <v>6437</v>
      </c>
      <c r="BF43" s="26">
        <v>14</v>
      </c>
      <c r="BG43" s="136" t="s">
        <v>5703</v>
      </c>
      <c r="BH43" s="26">
        <v>30</v>
      </c>
      <c r="BI43" s="45" t="s">
        <v>5703</v>
      </c>
      <c r="BS43" s="25" t="str">
        <f>IF('Hoja básica'!C57=0,"",'Hoja básica'!C57)</f>
        <v/>
      </c>
      <c r="BV43" s="33"/>
      <c r="BX43" s="33">
        <v>20</v>
      </c>
      <c r="BY43" s="25" t="s">
        <v>5313</v>
      </c>
      <c r="CA43" s="25">
        <v>25</v>
      </c>
      <c r="CB43" s="25" t="s">
        <v>754</v>
      </c>
      <c r="CU43" s="218"/>
      <c r="CV43" s="241"/>
      <c r="CW43" s="241"/>
    </row>
    <row r="44" spans="1:119" x14ac:dyDescent="0.2">
      <c r="B44" s="25" t="s">
        <v>551</v>
      </c>
      <c r="C44" s="25">
        <v>2</v>
      </c>
      <c r="D44" s="25">
        <v>2</v>
      </c>
      <c r="E44" s="25">
        <v>2</v>
      </c>
      <c r="F44" s="25">
        <v>2</v>
      </c>
      <c r="G44" s="25">
        <v>2</v>
      </c>
      <c r="H44" s="25">
        <v>2</v>
      </c>
      <c r="I44" s="25">
        <v>2</v>
      </c>
      <c r="J44" s="25">
        <v>2</v>
      </c>
      <c r="K44" s="25">
        <v>2</v>
      </c>
      <c r="L44" s="25">
        <v>2</v>
      </c>
      <c r="M44" s="25">
        <v>1</v>
      </c>
      <c r="N44" s="25">
        <v>2</v>
      </c>
      <c r="O44" s="25">
        <v>2</v>
      </c>
      <c r="P44" s="25">
        <v>2</v>
      </c>
      <c r="Q44" s="25">
        <v>2</v>
      </c>
      <c r="R44" s="25">
        <v>2</v>
      </c>
      <c r="S44" s="25">
        <v>2</v>
      </c>
      <c r="T44" s="25">
        <v>2</v>
      </c>
      <c r="U44" s="25">
        <v>2</v>
      </c>
      <c r="V44" s="25">
        <v>2</v>
      </c>
      <c r="X44" s="25">
        <v>12</v>
      </c>
      <c r="Y44" s="25" t="s">
        <v>494</v>
      </c>
      <c r="Z44" s="25">
        <v>25</v>
      </c>
      <c r="AA44" s="25">
        <v>20</v>
      </c>
      <c r="AB44" s="27" t="s">
        <v>460</v>
      </c>
      <c r="AC44" s="25" t="s">
        <v>424</v>
      </c>
      <c r="AD44" s="45" t="s">
        <v>5703</v>
      </c>
      <c r="AE44" s="25" t="s">
        <v>416</v>
      </c>
      <c r="AF44" s="25" t="s">
        <v>511</v>
      </c>
      <c r="AG44" s="25">
        <v>8</v>
      </c>
      <c r="AH44" s="25">
        <v>-3</v>
      </c>
      <c r="AI44" s="25">
        <v>15</v>
      </c>
      <c r="AO44" s="26">
        <v>-185</v>
      </c>
      <c r="AP44" s="25">
        <v>7</v>
      </c>
      <c r="AR44" s="25">
        <v>29</v>
      </c>
      <c r="AS44" s="25" t="s">
        <v>552</v>
      </c>
      <c r="AX44" s="25" t="s">
        <v>5453</v>
      </c>
      <c r="AY44" s="25">
        <v>100</v>
      </c>
      <c r="AZ44" s="25">
        <v>20</v>
      </c>
      <c r="BA44" s="25">
        <v>3</v>
      </c>
      <c r="BB44" s="25" t="s">
        <v>424</v>
      </c>
      <c r="BC44" s="45" t="s">
        <v>5703</v>
      </c>
      <c r="BD44" s="25" t="s">
        <v>5473</v>
      </c>
      <c r="BE44" s="25" t="s">
        <v>5470</v>
      </c>
      <c r="BF44" s="25">
        <v>8</v>
      </c>
      <c r="BG44" s="25">
        <v>-5</v>
      </c>
      <c r="BH44" s="25">
        <v>20</v>
      </c>
      <c r="BI44" s="25" t="s">
        <v>5468</v>
      </c>
      <c r="BS44" s="25" t="str">
        <f>IF('Hoja básica'!C63=0,"",'Hoja básica'!C63)</f>
        <v/>
      </c>
      <c r="BV44" s="33"/>
      <c r="BX44" s="33">
        <v>30</v>
      </c>
      <c r="BY44" s="25" t="s">
        <v>737</v>
      </c>
      <c r="CA44" s="25">
        <v>40</v>
      </c>
      <c r="CB44" s="25" t="s">
        <v>755</v>
      </c>
      <c r="CU44" s="218"/>
      <c r="CV44" s="241"/>
      <c r="CW44" s="241"/>
    </row>
    <row r="45" spans="1:119" x14ac:dyDescent="0.2">
      <c r="B45" s="25" t="s">
        <v>553</v>
      </c>
      <c r="C45" s="25">
        <v>2</v>
      </c>
      <c r="D45" s="25">
        <v>2</v>
      </c>
      <c r="E45" s="25">
        <v>2</v>
      </c>
      <c r="F45" s="25">
        <v>2</v>
      </c>
      <c r="G45" s="25">
        <v>2</v>
      </c>
      <c r="H45" s="25">
        <v>2</v>
      </c>
      <c r="I45" s="25">
        <v>2</v>
      </c>
      <c r="J45" s="25">
        <v>2</v>
      </c>
      <c r="K45" s="25">
        <v>2</v>
      </c>
      <c r="L45" s="25">
        <v>2</v>
      </c>
      <c r="M45" s="25">
        <v>1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2</v>
      </c>
      <c r="V45" s="25">
        <v>2</v>
      </c>
      <c r="X45" s="25">
        <v>13</v>
      </c>
      <c r="Y45" s="25" t="s">
        <v>497</v>
      </c>
      <c r="Z45" s="25">
        <v>40</v>
      </c>
      <c r="AA45" s="25">
        <v>15</v>
      </c>
      <c r="AB45" s="27" t="s">
        <v>414</v>
      </c>
      <c r="AC45" s="25" t="s">
        <v>424</v>
      </c>
      <c r="AD45" s="25" t="s">
        <v>415</v>
      </c>
      <c r="AE45" s="25" t="s">
        <v>499</v>
      </c>
      <c r="AF45" s="25" t="s">
        <v>504</v>
      </c>
      <c r="AG45" s="25">
        <v>11</v>
      </c>
      <c r="AH45" s="25">
        <v>2</v>
      </c>
      <c r="AI45" s="25">
        <v>20</v>
      </c>
      <c r="AO45" s="26">
        <v>-180</v>
      </c>
      <c r="AP45" s="25">
        <v>7</v>
      </c>
      <c r="AR45" s="25">
        <v>30</v>
      </c>
      <c r="AS45" s="25" t="s">
        <v>554</v>
      </c>
      <c r="AX45" s="25" t="s">
        <v>495</v>
      </c>
      <c r="AY45" s="25">
        <v>0</v>
      </c>
      <c r="AZ45" s="25">
        <v>-10</v>
      </c>
      <c r="BA45" s="27" t="s">
        <v>414</v>
      </c>
      <c r="BB45" s="45" t="s">
        <v>5703</v>
      </c>
      <c r="BC45" s="45" t="s">
        <v>5703</v>
      </c>
      <c r="BD45" s="25" t="s">
        <v>433</v>
      </c>
      <c r="BE45" s="45" t="s">
        <v>5703</v>
      </c>
      <c r="BF45" s="26">
        <v>3</v>
      </c>
      <c r="BG45" s="26">
        <v>-3</v>
      </c>
      <c r="BH45" s="26">
        <v>20</v>
      </c>
      <c r="BI45" s="25" t="s">
        <v>496</v>
      </c>
      <c r="BS45" s="25" t="str">
        <f>IF('Hoja básica'!Y17=0,"",'Hoja básica'!Y17)</f>
        <v/>
      </c>
      <c r="BV45" s="33"/>
      <c r="BX45" s="33">
        <v>30</v>
      </c>
      <c r="BY45" s="25" t="s">
        <v>5314</v>
      </c>
      <c r="CU45" s="218"/>
      <c r="CV45" s="241"/>
      <c r="CW45" s="241"/>
    </row>
    <row r="46" spans="1:119" x14ac:dyDescent="0.2">
      <c r="B46" s="25" t="s">
        <v>555</v>
      </c>
      <c r="C46" s="25">
        <v>2</v>
      </c>
      <c r="D46" s="25">
        <v>2</v>
      </c>
      <c r="E46" s="25">
        <v>2</v>
      </c>
      <c r="F46" s="25">
        <v>2</v>
      </c>
      <c r="G46" s="25">
        <v>2</v>
      </c>
      <c r="H46" s="25">
        <v>2</v>
      </c>
      <c r="I46" s="25">
        <v>2</v>
      </c>
      <c r="J46" s="25">
        <v>2</v>
      </c>
      <c r="K46" s="25">
        <v>2</v>
      </c>
      <c r="L46" s="25">
        <v>2</v>
      </c>
      <c r="M46" s="25">
        <v>1</v>
      </c>
      <c r="N46" s="25">
        <v>2</v>
      </c>
      <c r="O46" s="25">
        <v>2</v>
      </c>
      <c r="P46" s="25">
        <v>2</v>
      </c>
      <c r="Q46" s="25">
        <v>2</v>
      </c>
      <c r="R46" s="25">
        <v>2</v>
      </c>
      <c r="S46" s="25">
        <v>2</v>
      </c>
      <c r="T46" s="25">
        <v>2</v>
      </c>
      <c r="U46" s="25">
        <v>2</v>
      </c>
      <c r="V46" s="25">
        <v>2</v>
      </c>
      <c r="X46" s="25">
        <v>73</v>
      </c>
      <c r="Y46" s="25" t="s">
        <v>556</v>
      </c>
      <c r="Z46" s="25">
        <v>40</v>
      </c>
      <c r="AA46" s="25">
        <v>0</v>
      </c>
      <c r="AB46" s="135" t="s">
        <v>5703</v>
      </c>
      <c r="AC46" s="25" t="s">
        <v>424</v>
      </c>
      <c r="AD46" s="45" t="s">
        <v>5703</v>
      </c>
      <c r="AE46" s="25" t="s">
        <v>445</v>
      </c>
      <c r="AF46" s="45" t="s">
        <v>5703</v>
      </c>
      <c r="AG46" s="26">
        <v>4</v>
      </c>
      <c r="AH46" s="26">
        <v>1</v>
      </c>
      <c r="AI46" s="26">
        <v>20</v>
      </c>
      <c r="AO46" s="26">
        <v>-175</v>
      </c>
      <c r="AP46" s="25">
        <v>7</v>
      </c>
      <c r="AR46" s="25">
        <v>31</v>
      </c>
      <c r="AS46" s="25" t="s">
        <v>429</v>
      </c>
      <c r="AX46" s="25" t="s">
        <v>465</v>
      </c>
      <c r="AY46" s="25">
        <v>25</v>
      </c>
      <c r="AZ46" s="25">
        <v>10</v>
      </c>
      <c r="BA46" s="27" t="s">
        <v>460</v>
      </c>
      <c r="BB46" s="25" t="s">
        <v>424</v>
      </c>
      <c r="BC46" s="25" t="s">
        <v>415</v>
      </c>
      <c r="BD46" s="25" t="s">
        <v>416</v>
      </c>
      <c r="BE46" s="45" t="s">
        <v>5703</v>
      </c>
      <c r="BF46" s="25">
        <v>11</v>
      </c>
      <c r="BG46" s="25">
        <v>-2</v>
      </c>
      <c r="BH46" s="25">
        <v>15</v>
      </c>
      <c r="BI46" s="45" t="s">
        <v>5703</v>
      </c>
      <c r="BV46" s="34"/>
      <c r="BX46" s="33">
        <v>35</v>
      </c>
      <c r="BY46" s="25" t="s">
        <v>739</v>
      </c>
      <c r="CU46" s="218"/>
      <c r="CV46" s="241"/>
      <c r="CW46" s="241"/>
    </row>
    <row r="47" spans="1:119" x14ac:dyDescent="0.2">
      <c r="B47" s="25" t="s">
        <v>557</v>
      </c>
      <c r="C47" s="25">
        <v>2</v>
      </c>
      <c r="D47" s="25">
        <v>2</v>
      </c>
      <c r="E47" s="25">
        <v>2</v>
      </c>
      <c r="F47" s="25">
        <v>2</v>
      </c>
      <c r="G47" s="25">
        <v>2</v>
      </c>
      <c r="H47" s="25">
        <v>2</v>
      </c>
      <c r="I47" s="25">
        <v>2</v>
      </c>
      <c r="J47" s="25">
        <v>2</v>
      </c>
      <c r="K47" s="25">
        <v>2</v>
      </c>
      <c r="L47" s="25">
        <v>2</v>
      </c>
      <c r="M47" s="25">
        <v>1</v>
      </c>
      <c r="N47" s="25">
        <v>2</v>
      </c>
      <c r="O47" s="25">
        <v>2</v>
      </c>
      <c r="P47" s="25">
        <v>2</v>
      </c>
      <c r="Q47" s="25">
        <v>2</v>
      </c>
      <c r="R47" s="25">
        <v>2</v>
      </c>
      <c r="S47" s="25">
        <v>2</v>
      </c>
      <c r="T47" s="25">
        <v>2</v>
      </c>
      <c r="U47" s="25">
        <v>2</v>
      </c>
      <c r="V47" s="25">
        <v>2</v>
      </c>
      <c r="X47" s="25">
        <v>72</v>
      </c>
      <c r="Y47" s="25" t="s">
        <v>558</v>
      </c>
      <c r="Z47" s="25">
        <v>30</v>
      </c>
      <c r="AA47" s="25">
        <v>0</v>
      </c>
      <c r="AB47" s="135" t="s">
        <v>5703</v>
      </c>
      <c r="AC47" s="25" t="s">
        <v>424</v>
      </c>
      <c r="AD47" s="45" t="s">
        <v>5703</v>
      </c>
      <c r="AE47" s="25" t="s">
        <v>445</v>
      </c>
      <c r="AF47" s="45" t="s">
        <v>5703</v>
      </c>
      <c r="AG47" s="26">
        <v>3</v>
      </c>
      <c r="AH47" s="26">
        <v>0</v>
      </c>
      <c r="AI47" s="26">
        <v>20</v>
      </c>
      <c r="AJ47" s="25" t="s">
        <v>559</v>
      </c>
      <c r="AO47" s="26">
        <v>-170</v>
      </c>
      <c r="AP47" s="25">
        <v>7</v>
      </c>
      <c r="AR47" s="25">
        <v>32</v>
      </c>
      <c r="AS47" s="25" t="s">
        <v>560</v>
      </c>
      <c r="AX47" s="25" t="s">
        <v>5238</v>
      </c>
      <c r="AY47" s="25">
        <v>40</v>
      </c>
      <c r="AZ47" s="25">
        <v>5</v>
      </c>
      <c r="BA47" s="25">
        <v>6</v>
      </c>
      <c r="BB47" s="25" t="s">
        <v>66</v>
      </c>
      <c r="BC47" s="45" t="s">
        <v>5703</v>
      </c>
      <c r="BD47" s="25" t="s">
        <v>429</v>
      </c>
      <c r="BE47" s="45" t="s">
        <v>5703</v>
      </c>
      <c r="BF47" s="25">
        <v>13</v>
      </c>
      <c r="BG47" s="25">
        <v>3</v>
      </c>
      <c r="BH47" s="25">
        <v>15</v>
      </c>
      <c r="BI47" s="45" t="s">
        <v>5703</v>
      </c>
      <c r="BV47" s="34"/>
      <c r="BX47" s="33">
        <v>35</v>
      </c>
      <c r="BY47" s="25" t="s">
        <v>5315</v>
      </c>
      <c r="BZ47" s="33"/>
      <c r="CU47" s="218"/>
      <c r="CV47" s="241"/>
      <c r="CW47" s="241"/>
    </row>
    <row r="48" spans="1:119" x14ac:dyDescent="0.2">
      <c r="B48" s="25" t="s">
        <v>561</v>
      </c>
      <c r="C48" s="25">
        <v>2</v>
      </c>
      <c r="D48" s="25">
        <v>2</v>
      </c>
      <c r="E48" s="25">
        <v>2</v>
      </c>
      <c r="F48" s="25">
        <v>2</v>
      </c>
      <c r="G48" s="25">
        <v>2</v>
      </c>
      <c r="H48" s="25">
        <v>2</v>
      </c>
      <c r="I48" s="25">
        <v>2</v>
      </c>
      <c r="J48" s="25">
        <v>2</v>
      </c>
      <c r="K48" s="25">
        <v>2</v>
      </c>
      <c r="L48" s="25">
        <v>2</v>
      </c>
      <c r="M48" s="25">
        <v>1</v>
      </c>
      <c r="N48" s="25">
        <v>2</v>
      </c>
      <c r="O48" s="25">
        <v>2</v>
      </c>
      <c r="P48" s="25">
        <v>2</v>
      </c>
      <c r="Q48" s="25">
        <v>2</v>
      </c>
      <c r="R48" s="25">
        <v>2</v>
      </c>
      <c r="S48" s="25">
        <v>2</v>
      </c>
      <c r="T48" s="25">
        <v>2</v>
      </c>
      <c r="U48" s="25">
        <v>2</v>
      </c>
      <c r="V48" s="25">
        <v>2</v>
      </c>
      <c r="X48" s="25">
        <v>74</v>
      </c>
      <c r="Y48" s="25" t="s">
        <v>562</v>
      </c>
      <c r="Z48" s="25">
        <v>30</v>
      </c>
      <c r="AA48" s="25">
        <v>0</v>
      </c>
      <c r="AB48" s="135" t="s">
        <v>5703</v>
      </c>
      <c r="AC48" s="25" t="s">
        <v>424</v>
      </c>
      <c r="AD48" s="45" t="s">
        <v>5703</v>
      </c>
      <c r="AE48" s="25" t="s">
        <v>445</v>
      </c>
      <c r="AF48" s="45" t="s">
        <v>5703</v>
      </c>
      <c r="AG48" s="26">
        <v>3</v>
      </c>
      <c r="AH48" s="26">
        <v>0</v>
      </c>
      <c r="AI48" s="26">
        <v>20</v>
      </c>
      <c r="AJ48" s="25" t="s">
        <v>563</v>
      </c>
      <c r="AO48" s="26">
        <v>-165</v>
      </c>
      <c r="AP48" s="25">
        <v>7</v>
      </c>
      <c r="AR48" s="25">
        <v>33</v>
      </c>
      <c r="AS48" s="25" t="s">
        <v>564</v>
      </c>
      <c r="AX48" s="25" t="s">
        <v>469</v>
      </c>
      <c r="AY48" s="25">
        <v>50</v>
      </c>
      <c r="AZ48" s="25">
        <v>-5</v>
      </c>
      <c r="BA48" s="27" t="s">
        <v>440</v>
      </c>
      <c r="BB48" s="25" t="s">
        <v>415</v>
      </c>
      <c r="BC48" s="45" t="s">
        <v>5703</v>
      </c>
      <c r="BD48" s="25" t="s">
        <v>499</v>
      </c>
      <c r="BE48" s="45" t="s">
        <v>5703</v>
      </c>
      <c r="BF48" s="25">
        <v>13</v>
      </c>
      <c r="BG48" s="25">
        <v>4</v>
      </c>
      <c r="BH48" s="25">
        <v>20</v>
      </c>
      <c r="BI48" s="45" t="s">
        <v>5703</v>
      </c>
      <c r="BV48" s="33"/>
      <c r="BX48" s="33">
        <v>35</v>
      </c>
      <c r="BY48" s="25" t="s">
        <v>5316</v>
      </c>
      <c r="BZ48" s="33"/>
      <c r="DH48" s="27"/>
    </row>
    <row r="49" spans="2:112" x14ac:dyDescent="0.2">
      <c r="B49" s="25" t="s">
        <v>565</v>
      </c>
      <c r="C49" s="25">
        <v>2</v>
      </c>
      <c r="D49" s="25">
        <v>2</v>
      </c>
      <c r="E49" s="25">
        <v>2</v>
      </c>
      <c r="F49" s="25">
        <v>2</v>
      </c>
      <c r="G49" s="25">
        <v>2</v>
      </c>
      <c r="H49" s="25">
        <v>2</v>
      </c>
      <c r="I49" s="25">
        <v>2</v>
      </c>
      <c r="J49" s="25">
        <v>2</v>
      </c>
      <c r="K49" s="25">
        <v>2</v>
      </c>
      <c r="L49" s="25">
        <v>2</v>
      </c>
      <c r="M49" s="25">
        <v>1</v>
      </c>
      <c r="N49" s="25">
        <v>2</v>
      </c>
      <c r="O49" s="25">
        <v>2</v>
      </c>
      <c r="P49" s="25">
        <v>2</v>
      </c>
      <c r="Q49" s="25">
        <v>2</v>
      </c>
      <c r="R49" s="25">
        <v>2</v>
      </c>
      <c r="S49" s="25">
        <v>2</v>
      </c>
      <c r="T49" s="25">
        <v>2</v>
      </c>
      <c r="U49" s="25">
        <v>2</v>
      </c>
      <c r="V49" s="25">
        <v>2</v>
      </c>
      <c r="X49" s="25">
        <v>14</v>
      </c>
      <c r="Y49" s="25" t="s">
        <v>498</v>
      </c>
      <c r="Z49" s="25">
        <v>35</v>
      </c>
      <c r="AA49" s="25">
        <v>15</v>
      </c>
      <c r="AB49" s="27" t="s">
        <v>460</v>
      </c>
      <c r="AC49" s="25" t="s">
        <v>424</v>
      </c>
      <c r="AD49" s="45" t="s">
        <v>5703</v>
      </c>
      <c r="AE49" s="25" t="s">
        <v>566</v>
      </c>
      <c r="AF49" s="25" t="s">
        <v>504</v>
      </c>
      <c r="AG49" s="25">
        <v>9</v>
      </c>
      <c r="AH49" s="25">
        <v>-2</v>
      </c>
      <c r="AI49" s="25">
        <v>20</v>
      </c>
      <c r="AO49" s="26">
        <v>-160</v>
      </c>
      <c r="AP49" s="25">
        <v>7</v>
      </c>
      <c r="AR49" s="25">
        <v>34</v>
      </c>
      <c r="AS49" s="25" t="s">
        <v>567</v>
      </c>
      <c r="AX49" s="25" t="s">
        <v>5239</v>
      </c>
      <c r="AY49" s="25">
        <v>35</v>
      </c>
      <c r="AZ49" s="25">
        <v>0</v>
      </c>
      <c r="BA49" s="25">
        <v>4</v>
      </c>
      <c r="BB49" s="25" t="s">
        <v>424</v>
      </c>
      <c r="BC49" s="25" t="s">
        <v>415</v>
      </c>
      <c r="BD49" s="25" t="s">
        <v>416</v>
      </c>
      <c r="BE49" s="25" t="s">
        <v>504</v>
      </c>
      <c r="BF49" s="25">
        <v>12</v>
      </c>
      <c r="BG49" s="25">
        <v>0</v>
      </c>
      <c r="BH49" s="25">
        <v>20</v>
      </c>
      <c r="BI49" s="45" t="s">
        <v>5703</v>
      </c>
      <c r="BV49" s="33"/>
      <c r="BX49" s="33">
        <v>40</v>
      </c>
      <c r="BY49" s="25" t="s">
        <v>5317</v>
      </c>
      <c r="BZ49" s="34"/>
      <c r="DH49" s="27"/>
    </row>
    <row r="50" spans="2:112" x14ac:dyDescent="0.2">
      <c r="B50" s="25" t="s">
        <v>146</v>
      </c>
      <c r="C50" s="45" t="s">
        <v>5703</v>
      </c>
      <c r="D50" s="45" t="s">
        <v>5703</v>
      </c>
      <c r="E50" s="45" t="s">
        <v>5703</v>
      </c>
      <c r="F50" s="45" t="s">
        <v>5703</v>
      </c>
      <c r="G50" s="45" t="s">
        <v>5703</v>
      </c>
      <c r="H50" s="45" t="s">
        <v>5703</v>
      </c>
      <c r="I50" s="45" t="s">
        <v>5703</v>
      </c>
      <c r="J50" s="45" t="s">
        <v>5703</v>
      </c>
      <c r="K50" s="45" t="s">
        <v>5703</v>
      </c>
      <c r="L50" s="45" t="s">
        <v>5703</v>
      </c>
      <c r="M50" s="45" t="s">
        <v>5703</v>
      </c>
      <c r="N50" s="45" t="s">
        <v>5703</v>
      </c>
      <c r="O50" s="45" t="s">
        <v>5703</v>
      </c>
      <c r="P50" s="45" t="s">
        <v>5703</v>
      </c>
      <c r="Q50" s="45" t="s">
        <v>5703</v>
      </c>
      <c r="R50" s="45" t="s">
        <v>5703</v>
      </c>
      <c r="S50" s="45" t="s">
        <v>5703</v>
      </c>
      <c r="T50" s="45" t="s">
        <v>5703</v>
      </c>
      <c r="U50" s="45" t="s">
        <v>5703</v>
      </c>
      <c r="V50" s="45" t="s">
        <v>5703</v>
      </c>
      <c r="X50" s="25">
        <v>15</v>
      </c>
      <c r="Y50" s="25" t="s">
        <v>500</v>
      </c>
      <c r="Z50" s="25">
        <v>30</v>
      </c>
      <c r="AA50" s="25">
        <v>10</v>
      </c>
      <c r="AB50" s="27" t="s">
        <v>460</v>
      </c>
      <c r="AC50" s="25" t="s">
        <v>424</v>
      </c>
      <c r="AD50" s="45" t="s">
        <v>5703</v>
      </c>
      <c r="AE50" s="25" t="s">
        <v>416</v>
      </c>
      <c r="AF50" s="45" t="s">
        <v>5703</v>
      </c>
      <c r="AG50" s="25">
        <v>11</v>
      </c>
      <c r="AH50" s="25">
        <v>-2</v>
      </c>
      <c r="AI50" s="25">
        <v>15</v>
      </c>
      <c r="AO50" s="26">
        <v>-155</v>
      </c>
      <c r="AP50" s="25">
        <v>7</v>
      </c>
      <c r="AR50" s="25">
        <v>35</v>
      </c>
      <c r="AS50" s="25" t="s">
        <v>568</v>
      </c>
      <c r="AX50" s="25" t="s">
        <v>5240</v>
      </c>
      <c r="AY50" s="25">
        <v>65</v>
      </c>
      <c r="AZ50" s="25">
        <v>-20</v>
      </c>
      <c r="BA50" s="25">
        <v>7</v>
      </c>
      <c r="BB50" s="25" t="s">
        <v>415</v>
      </c>
      <c r="BC50" s="25" t="s">
        <v>66</v>
      </c>
      <c r="BD50" s="25" t="s">
        <v>549</v>
      </c>
      <c r="BE50" s="25" t="s">
        <v>6423</v>
      </c>
      <c r="BF50" s="25">
        <v>16</v>
      </c>
      <c r="BG50" s="25">
        <v>5</v>
      </c>
      <c r="BH50" s="25">
        <v>25</v>
      </c>
      <c r="BI50" s="45" t="s">
        <v>5703</v>
      </c>
      <c r="BV50" s="33"/>
      <c r="BX50" s="33">
        <v>40</v>
      </c>
      <c r="BY50" s="25" t="s">
        <v>5318</v>
      </c>
      <c r="BZ50" s="33"/>
      <c r="CW50" s="25" t="s">
        <v>6709</v>
      </c>
      <c r="CX50" s="25" t="s">
        <v>6710</v>
      </c>
      <c r="CY50" s="25" t="s">
        <v>6711</v>
      </c>
      <c r="CZ50" s="25" t="s">
        <v>6712</v>
      </c>
      <c r="DH50" s="27"/>
    </row>
    <row r="51" spans="2:112" x14ac:dyDescent="0.2">
      <c r="B51" s="25" t="s">
        <v>569</v>
      </c>
      <c r="C51" s="25">
        <v>2</v>
      </c>
      <c r="D51" s="25">
        <v>3</v>
      </c>
      <c r="E51" s="25">
        <v>3</v>
      </c>
      <c r="F51" s="25">
        <v>2</v>
      </c>
      <c r="G51" s="25">
        <v>2</v>
      </c>
      <c r="H51" s="25">
        <v>2</v>
      </c>
      <c r="I51" s="25">
        <v>2</v>
      </c>
      <c r="J51" s="25">
        <v>3</v>
      </c>
      <c r="K51" s="25">
        <v>3</v>
      </c>
      <c r="L51" s="25">
        <v>3</v>
      </c>
      <c r="M51" s="25">
        <v>3</v>
      </c>
      <c r="N51" s="25">
        <v>1</v>
      </c>
      <c r="O51" s="25">
        <v>3</v>
      </c>
      <c r="P51" s="25">
        <v>2</v>
      </c>
      <c r="Q51" s="25">
        <v>2</v>
      </c>
      <c r="R51" s="25">
        <v>1</v>
      </c>
      <c r="S51" s="25">
        <v>2</v>
      </c>
      <c r="T51" s="25">
        <v>2</v>
      </c>
      <c r="U51" s="25">
        <v>2</v>
      </c>
      <c r="V51" s="25">
        <v>2</v>
      </c>
      <c r="X51" s="25">
        <v>40</v>
      </c>
      <c r="Y51" s="25" t="s">
        <v>570</v>
      </c>
      <c r="Z51" s="25">
        <v>30</v>
      </c>
      <c r="AA51" s="25">
        <v>15</v>
      </c>
      <c r="AB51" s="27" t="s">
        <v>414</v>
      </c>
      <c r="AC51" s="25" t="s">
        <v>415</v>
      </c>
      <c r="AD51" s="25" t="s">
        <v>424</v>
      </c>
      <c r="AE51" s="25" t="s">
        <v>416</v>
      </c>
      <c r="AF51" s="45" t="s">
        <v>5703</v>
      </c>
      <c r="AG51" s="25">
        <v>12</v>
      </c>
      <c r="AH51" s="25">
        <v>2</v>
      </c>
      <c r="AI51" s="25">
        <v>15</v>
      </c>
      <c r="AO51" s="26">
        <v>-150</v>
      </c>
      <c r="AP51" s="25">
        <v>7</v>
      </c>
      <c r="AR51" s="25">
        <v>36</v>
      </c>
      <c r="AS51" s="25" t="s">
        <v>571</v>
      </c>
      <c r="AX51" s="25" t="s">
        <v>6056</v>
      </c>
      <c r="AY51" s="25">
        <f>MAX(LOOKUP('Hoja básica'!C5,Tabla14[RAZAS],Tabla14[Armas naturales]),IF(OR('Hoja básica'!O98="Armas naturales",'Hoja básica'!O100="Armas naturales"),40,10))</f>
        <v>10</v>
      </c>
      <c r="AZ51" s="25">
        <v>20</v>
      </c>
      <c r="BA51" s="27" t="s">
        <v>502</v>
      </c>
      <c r="BB51" s="25" t="str">
        <f>IF(Tabla11[[#This Row],[Daño]]&gt;10,"FIL","CON")</f>
        <v>CON</v>
      </c>
      <c r="BC51" s="45" t="str">
        <f>IF('Hoja básica'!C5="Jayán","PEN","")</f>
        <v/>
      </c>
      <c r="BD51" s="25" t="s">
        <v>503</v>
      </c>
      <c r="BE51" s="25" t="s">
        <v>504</v>
      </c>
      <c r="BF51" s="25">
        <f>'Hoja básica'!$E$11</f>
        <v>5</v>
      </c>
      <c r="BG51" s="25">
        <v>-2</v>
      </c>
      <c r="BH51" s="25">
        <f>'Hoja básica'!$H$71</f>
        <v>30</v>
      </c>
      <c r="BI51" s="45" t="s">
        <v>5703</v>
      </c>
      <c r="BV51" s="33"/>
      <c r="BX51" s="33">
        <v>45</v>
      </c>
      <c r="BY51" s="25" t="s">
        <v>743</v>
      </c>
      <c r="BZ51" s="33"/>
      <c r="CV51" s="238" t="s">
        <v>29</v>
      </c>
      <c r="CW51" s="239">
        <f>'Hoja básica'!BD3</f>
        <v>0</v>
      </c>
      <c r="CX51" s="25">
        <f>_xlfn.IFNA(IF(VLOOKUP(CV51,'Hoja básica'!$BF$5:$BH$6,1,FALSE)=CV51,-40,0),0)</f>
        <v>0</v>
      </c>
      <c r="CY51" s="25">
        <f>IF($CY$61=1,2,IF(CW51+CX51&lt;CW52+CX52,2,1))</f>
        <v>2</v>
      </c>
      <c r="CZ51" s="25">
        <f>(CW51+CX51)*CY51</f>
        <v>0</v>
      </c>
      <c r="DH51" s="27"/>
    </row>
    <row r="52" spans="2:112" x14ac:dyDescent="0.2">
      <c r="B52" s="25" t="s">
        <v>572</v>
      </c>
      <c r="C52" s="25">
        <v>3</v>
      </c>
      <c r="D52" s="25">
        <v>3</v>
      </c>
      <c r="E52" s="25">
        <v>3</v>
      </c>
      <c r="F52" s="25">
        <v>1</v>
      </c>
      <c r="G52" s="25">
        <v>2</v>
      </c>
      <c r="H52" s="25">
        <v>2</v>
      </c>
      <c r="I52" s="25">
        <v>2</v>
      </c>
      <c r="J52" s="25">
        <v>3</v>
      </c>
      <c r="K52" s="25">
        <v>3</v>
      </c>
      <c r="L52" s="25">
        <v>3</v>
      </c>
      <c r="M52" s="25">
        <v>3</v>
      </c>
      <c r="N52" s="25">
        <v>1</v>
      </c>
      <c r="O52" s="25">
        <v>3</v>
      </c>
      <c r="P52" s="25">
        <v>2</v>
      </c>
      <c r="Q52" s="25">
        <v>2</v>
      </c>
      <c r="R52" s="25">
        <v>2</v>
      </c>
      <c r="S52" s="25">
        <v>2</v>
      </c>
      <c r="T52" s="25">
        <v>2</v>
      </c>
      <c r="U52" s="25">
        <v>2</v>
      </c>
      <c r="V52" s="25">
        <v>2</v>
      </c>
      <c r="X52" s="25">
        <v>16</v>
      </c>
      <c r="Y52" s="25" t="s">
        <v>505</v>
      </c>
      <c r="Z52" s="25">
        <v>30</v>
      </c>
      <c r="AA52" s="25">
        <v>0</v>
      </c>
      <c r="AB52" s="27" t="s">
        <v>440</v>
      </c>
      <c r="AC52" s="25" t="s">
        <v>66</v>
      </c>
      <c r="AD52" s="45" t="s">
        <v>5703</v>
      </c>
      <c r="AE52" s="25" t="s">
        <v>429</v>
      </c>
      <c r="AF52" s="45" t="s">
        <v>5703</v>
      </c>
      <c r="AG52" s="25">
        <v>11</v>
      </c>
      <c r="AH52" s="25">
        <v>-2</v>
      </c>
      <c r="AI52" s="25">
        <v>15</v>
      </c>
      <c r="AO52" s="26">
        <v>-145</v>
      </c>
      <c r="AP52" s="25">
        <v>7</v>
      </c>
      <c r="AQ52" s="25" t="s">
        <v>573</v>
      </c>
      <c r="AR52" s="25">
        <v>37</v>
      </c>
      <c r="AS52" s="25" t="s">
        <v>501</v>
      </c>
      <c r="AX52" s="25" t="s">
        <v>506</v>
      </c>
      <c r="AY52" s="25">
        <v>25</v>
      </c>
      <c r="AZ52" s="25">
        <v>10</v>
      </c>
      <c r="BA52" s="27" t="s">
        <v>414</v>
      </c>
      <c r="BB52" s="25" t="s">
        <v>415</v>
      </c>
      <c r="BC52" s="45" t="s">
        <v>5703</v>
      </c>
      <c r="BD52" s="25" t="s">
        <v>416</v>
      </c>
      <c r="BE52" s="45" t="s">
        <v>5703</v>
      </c>
      <c r="BF52" s="26">
        <v>9</v>
      </c>
      <c r="BG52" s="26">
        <v>-1</v>
      </c>
      <c r="BH52" s="26">
        <v>10</v>
      </c>
      <c r="BI52" s="45" t="s">
        <v>5703</v>
      </c>
      <c r="BV52" s="33"/>
      <c r="BX52" s="33">
        <v>45</v>
      </c>
      <c r="BY52" s="25" t="s">
        <v>5319</v>
      </c>
      <c r="BZ52" s="33"/>
      <c r="CV52" s="238" t="s">
        <v>39</v>
      </c>
      <c r="CW52" s="239">
        <f>'Hoja básica'!BD4</f>
        <v>0</v>
      </c>
      <c r="CX52" s="25">
        <f>_xlfn.IFNA(IF(VLOOKUP(CV52,'Hoja básica'!$BF$5:$BH$6,1,FALSE)=CV52,-40,0),0)</f>
        <v>0</v>
      </c>
      <c r="CY52" s="25">
        <f>IF($CY$61=1,2,IF(CW51+CX51&gt;=CW52+CX52,2,1))</f>
        <v>2</v>
      </c>
      <c r="CZ52" s="25">
        <f t="shared" ref="CZ52:CZ61" si="2">(CW52+CX52)*CY52</f>
        <v>0</v>
      </c>
      <c r="DH52" s="27"/>
    </row>
    <row r="53" spans="2:112" x14ac:dyDescent="0.2">
      <c r="B53" s="25" t="s">
        <v>574</v>
      </c>
      <c r="C53" s="25">
        <v>3</v>
      </c>
      <c r="D53" s="25">
        <v>3</v>
      </c>
      <c r="E53" s="25">
        <v>3</v>
      </c>
      <c r="F53" s="25">
        <v>2</v>
      </c>
      <c r="G53" s="25">
        <v>2</v>
      </c>
      <c r="H53" s="25">
        <v>2</v>
      </c>
      <c r="I53" s="25">
        <v>2</v>
      </c>
      <c r="J53" s="25">
        <v>3</v>
      </c>
      <c r="K53" s="25">
        <v>3</v>
      </c>
      <c r="L53" s="25">
        <v>3</v>
      </c>
      <c r="M53" s="25">
        <v>3</v>
      </c>
      <c r="N53" s="25">
        <v>1</v>
      </c>
      <c r="O53" s="25">
        <v>3</v>
      </c>
      <c r="P53" s="25">
        <v>2</v>
      </c>
      <c r="Q53" s="25">
        <v>1</v>
      </c>
      <c r="R53" s="25">
        <v>2</v>
      </c>
      <c r="S53" s="25">
        <v>2</v>
      </c>
      <c r="T53" s="25">
        <v>2</v>
      </c>
      <c r="U53" s="25">
        <v>2</v>
      </c>
      <c r="V53" s="25">
        <v>2</v>
      </c>
      <c r="X53" s="25">
        <v>17</v>
      </c>
      <c r="Y53" s="25" t="s">
        <v>507</v>
      </c>
      <c r="Z53" s="25">
        <v>70</v>
      </c>
      <c r="AA53" s="25">
        <v>-35</v>
      </c>
      <c r="AB53" s="27" t="s">
        <v>467</v>
      </c>
      <c r="AC53" s="25" t="s">
        <v>66</v>
      </c>
      <c r="AD53" s="25" t="s">
        <v>424</v>
      </c>
      <c r="AE53" s="25" t="s">
        <v>429</v>
      </c>
      <c r="AF53" s="25" t="s">
        <v>530</v>
      </c>
      <c r="AG53" s="25">
        <v>16</v>
      </c>
      <c r="AH53" s="25">
        <v>6</v>
      </c>
      <c r="AI53" s="25">
        <v>20</v>
      </c>
      <c r="AO53" s="26">
        <v>-140</v>
      </c>
      <c r="AP53" s="25">
        <v>7</v>
      </c>
      <c r="AR53" s="25">
        <v>37.5</v>
      </c>
      <c r="AS53" s="25" t="s">
        <v>575</v>
      </c>
      <c r="AX53" s="25" t="s">
        <v>508</v>
      </c>
      <c r="AY53" s="25">
        <v>35</v>
      </c>
      <c r="AZ53" s="25">
        <v>10</v>
      </c>
      <c r="BA53" s="27" t="s">
        <v>414</v>
      </c>
      <c r="BB53" s="25" t="s">
        <v>66</v>
      </c>
      <c r="BC53" s="25" t="s">
        <v>415</v>
      </c>
      <c r="BD53" s="25" t="s">
        <v>416</v>
      </c>
      <c r="BE53" s="25" t="s">
        <v>6438</v>
      </c>
      <c r="BF53" s="25">
        <v>11</v>
      </c>
      <c r="BG53" s="25">
        <v>2</v>
      </c>
      <c r="BH53" s="25">
        <v>25</v>
      </c>
      <c r="BI53" s="45" t="s">
        <v>5703</v>
      </c>
      <c r="BV53" s="34"/>
      <c r="BX53" s="33">
        <v>50</v>
      </c>
      <c r="BY53" s="25" t="s">
        <v>5320</v>
      </c>
      <c r="BZ53" s="34"/>
      <c r="CV53" s="238" t="s">
        <v>49</v>
      </c>
      <c r="CW53" s="239">
        <f>'Hoja básica'!BD5</f>
        <v>0</v>
      </c>
      <c r="CX53" s="25">
        <f>_xlfn.IFNA(IF(VLOOKUP(CV53,'Hoja básica'!$BF$5:$BH$6,1,FALSE)=CV53,-40,0),0)</f>
        <v>0</v>
      </c>
      <c r="CY53" s="25">
        <f>IF($CY$61=1,2,IF(CW53+CX53&lt;CW54+CX54,2,1))</f>
        <v>2</v>
      </c>
      <c r="CZ53" s="25">
        <f t="shared" si="2"/>
        <v>0</v>
      </c>
      <c r="DH53" s="27"/>
    </row>
    <row r="54" spans="2:112" x14ac:dyDescent="0.2">
      <c r="B54" s="25" t="s">
        <v>163</v>
      </c>
      <c r="C54" s="45" t="s">
        <v>5703</v>
      </c>
      <c r="D54" s="45" t="s">
        <v>5703</v>
      </c>
      <c r="E54" s="45" t="s">
        <v>5703</v>
      </c>
      <c r="F54" s="45" t="s">
        <v>5703</v>
      </c>
      <c r="G54" s="45" t="s">
        <v>5703</v>
      </c>
      <c r="H54" s="45" t="s">
        <v>5703</v>
      </c>
      <c r="I54" s="45" t="s">
        <v>5703</v>
      </c>
      <c r="J54" s="45" t="s">
        <v>5703</v>
      </c>
      <c r="K54" s="45" t="s">
        <v>5703</v>
      </c>
      <c r="L54" s="45" t="s">
        <v>5703</v>
      </c>
      <c r="M54" s="45" t="s">
        <v>5703</v>
      </c>
      <c r="N54" s="45" t="s">
        <v>5703</v>
      </c>
      <c r="O54" s="45" t="s">
        <v>5703</v>
      </c>
      <c r="P54" s="45" t="s">
        <v>5703</v>
      </c>
      <c r="Q54" s="45" t="s">
        <v>5703</v>
      </c>
      <c r="R54" s="45" t="s">
        <v>5703</v>
      </c>
      <c r="S54" s="45" t="s">
        <v>5703</v>
      </c>
      <c r="T54" s="45" t="s">
        <v>5703</v>
      </c>
      <c r="U54" s="45" t="s">
        <v>5703</v>
      </c>
      <c r="V54" s="45" t="s">
        <v>5703</v>
      </c>
      <c r="X54" s="25">
        <v>18</v>
      </c>
      <c r="Y54" s="25" t="s">
        <v>510</v>
      </c>
      <c r="Z54" s="25">
        <v>35</v>
      </c>
      <c r="AA54" s="25">
        <v>0</v>
      </c>
      <c r="AB54" s="27" t="s">
        <v>576</v>
      </c>
      <c r="AC54" s="25" t="s">
        <v>415</v>
      </c>
      <c r="AD54" s="25" t="s">
        <v>66</v>
      </c>
      <c r="AE54" s="25" t="s">
        <v>420</v>
      </c>
      <c r="AF54" s="25" t="s">
        <v>530</v>
      </c>
      <c r="AG54" s="25">
        <v>12</v>
      </c>
      <c r="AH54" s="25">
        <v>2</v>
      </c>
      <c r="AI54" s="25">
        <v>25</v>
      </c>
      <c r="AO54" s="26">
        <v>-135</v>
      </c>
      <c r="AP54" s="25">
        <v>7</v>
      </c>
      <c r="AR54" s="25">
        <v>38</v>
      </c>
      <c r="AS54" s="25" t="s">
        <v>577</v>
      </c>
      <c r="AX54" s="25" t="s">
        <v>471</v>
      </c>
      <c r="AY54" s="25">
        <v>30</v>
      </c>
      <c r="AZ54" s="25">
        <v>20</v>
      </c>
      <c r="BA54" s="27" t="s">
        <v>460</v>
      </c>
      <c r="BB54" s="25" t="s">
        <v>424</v>
      </c>
      <c r="BC54" s="25" t="s">
        <v>415</v>
      </c>
      <c r="BD54" s="25" t="s">
        <v>416</v>
      </c>
      <c r="BE54" s="25" t="s">
        <v>511</v>
      </c>
      <c r="BF54" s="25">
        <v>10</v>
      </c>
      <c r="BG54" s="25">
        <v>-2</v>
      </c>
      <c r="BH54" s="25">
        <v>15</v>
      </c>
      <c r="BI54" s="45" t="s">
        <v>5703</v>
      </c>
      <c r="BV54" s="33"/>
      <c r="BX54" s="33">
        <v>55</v>
      </c>
      <c r="BY54" s="25" t="s">
        <v>738</v>
      </c>
      <c r="BZ54" s="33"/>
      <c r="CV54" s="238" t="s">
        <v>61</v>
      </c>
      <c r="CW54" s="239">
        <f>'Hoja básica'!BD6</f>
        <v>0</v>
      </c>
      <c r="CX54" s="25">
        <f>_xlfn.IFNA(IF(VLOOKUP(CV54,'Hoja básica'!$BF$5:$BH$6,1,FALSE)=CV54,-40,0),0)</f>
        <v>0</v>
      </c>
      <c r="CY54" s="25">
        <f>IF($CY$61=1,2,IF(CW53+CX53&gt;=CW54+CX54,2,1))</f>
        <v>2</v>
      </c>
      <c r="CZ54" s="25">
        <f t="shared" si="2"/>
        <v>0</v>
      </c>
      <c r="DH54" s="27"/>
    </row>
    <row r="55" spans="2:112" x14ac:dyDescent="0.2">
      <c r="B55" s="25" t="s">
        <v>578</v>
      </c>
      <c r="C55" s="25">
        <v>1</v>
      </c>
      <c r="D55" s="25">
        <v>2</v>
      </c>
      <c r="E55" s="25">
        <v>1</v>
      </c>
      <c r="F55" s="25">
        <v>2</v>
      </c>
      <c r="G55" s="25">
        <v>2</v>
      </c>
      <c r="H55" s="25">
        <v>2</v>
      </c>
      <c r="I55" s="25">
        <v>2</v>
      </c>
      <c r="J55" s="25">
        <v>2</v>
      </c>
      <c r="K55" s="25">
        <v>2</v>
      </c>
      <c r="L55" s="25">
        <v>2</v>
      </c>
      <c r="M55" s="25">
        <v>2</v>
      </c>
      <c r="N55" s="25">
        <v>2</v>
      </c>
      <c r="O55" s="25">
        <v>2</v>
      </c>
      <c r="P55" s="25">
        <v>2</v>
      </c>
      <c r="Q55" s="25">
        <v>2</v>
      </c>
      <c r="R55" s="25">
        <v>2</v>
      </c>
      <c r="S55" s="25">
        <v>2</v>
      </c>
      <c r="T55" s="25">
        <v>2</v>
      </c>
      <c r="U55" s="25">
        <v>2</v>
      </c>
      <c r="V55" s="25">
        <v>2</v>
      </c>
      <c r="X55" s="25">
        <v>19</v>
      </c>
      <c r="Y55" s="25" t="s">
        <v>512</v>
      </c>
      <c r="Z55" s="25">
        <v>100</v>
      </c>
      <c r="AA55" s="25">
        <v>-70</v>
      </c>
      <c r="AB55" s="27" t="s">
        <v>579</v>
      </c>
      <c r="AC55" s="25" t="s">
        <v>415</v>
      </c>
      <c r="AD55" s="25" t="s">
        <v>66</v>
      </c>
      <c r="AE55" s="25" t="s">
        <v>580</v>
      </c>
      <c r="AF55" s="25" t="s">
        <v>530</v>
      </c>
      <c r="AG55" s="25">
        <v>17</v>
      </c>
      <c r="AH55" s="25">
        <v>7</v>
      </c>
      <c r="AI55" s="25">
        <v>30</v>
      </c>
      <c r="AO55" s="26">
        <v>-130</v>
      </c>
      <c r="AP55" s="25">
        <v>7</v>
      </c>
      <c r="AR55" s="25">
        <v>39</v>
      </c>
      <c r="AS55" s="25" t="s">
        <v>581</v>
      </c>
      <c r="AX55" s="25" t="s">
        <v>478</v>
      </c>
      <c r="AY55" s="25">
        <v>30</v>
      </c>
      <c r="AZ55" s="25">
        <v>15</v>
      </c>
      <c r="BA55" s="27" t="s">
        <v>460</v>
      </c>
      <c r="BB55" s="25" t="s">
        <v>424</v>
      </c>
      <c r="BC55" s="25" t="s">
        <v>415</v>
      </c>
      <c r="BD55" s="25" t="s">
        <v>416</v>
      </c>
      <c r="BE55" s="25" t="s">
        <v>6422</v>
      </c>
      <c r="BF55" s="25">
        <v>12</v>
      </c>
      <c r="BG55" s="25">
        <v>0</v>
      </c>
      <c r="BH55" s="25">
        <v>20</v>
      </c>
      <c r="BI55" s="45" t="s">
        <v>5703</v>
      </c>
      <c r="BX55" s="33">
        <v>70</v>
      </c>
      <c r="BY55" s="25" t="s">
        <v>746</v>
      </c>
      <c r="CV55" s="238" t="s">
        <v>70</v>
      </c>
      <c r="CW55" s="239">
        <f>'Hoja básica'!BD7</f>
        <v>0</v>
      </c>
      <c r="CX55" s="25">
        <f>_xlfn.IFNA(IF(VLOOKUP(CV55,'Hoja básica'!$BF$5:$BH$6,1,FALSE)=CV55,-40,0),0)</f>
        <v>0</v>
      </c>
      <c r="CY55" s="25">
        <f>IF($CY$61=1,2,IF(CW55+CX55&lt;CW56+CX56,2,1))</f>
        <v>2</v>
      </c>
      <c r="CZ55" s="25">
        <f t="shared" si="2"/>
        <v>0</v>
      </c>
      <c r="DH55" s="27"/>
    </row>
    <row r="56" spans="2:112" x14ac:dyDescent="0.2">
      <c r="B56" s="25" t="s">
        <v>582</v>
      </c>
      <c r="C56" s="25">
        <v>1</v>
      </c>
      <c r="D56" s="25">
        <v>2</v>
      </c>
      <c r="E56" s="25">
        <v>1</v>
      </c>
      <c r="F56" s="25">
        <v>2</v>
      </c>
      <c r="G56" s="25">
        <v>2</v>
      </c>
      <c r="H56" s="25">
        <v>2</v>
      </c>
      <c r="I56" s="25">
        <v>2</v>
      </c>
      <c r="J56" s="25">
        <v>2</v>
      </c>
      <c r="K56" s="25">
        <v>2</v>
      </c>
      <c r="L56" s="25">
        <v>2</v>
      </c>
      <c r="M56" s="25">
        <v>2</v>
      </c>
      <c r="N56" s="25">
        <v>2</v>
      </c>
      <c r="O56" s="25">
        <v>2</v>
      </c>
      <c r="P56" s="25">
        <v>2</v>
      </c>
      <c r="Q56" s="25">
        <v>2</v>
      </c>
      <c r="R56" s="25">
        <v>2</v>
      </c>
      <c r="S56" s="25">
        <v>2</v>
      </c>
      <c r="T56" s="25">
        <v>2</v>
      </c>
      <c r="U56" s="25">
        <v>2</v>
      </c>
      <c r="V56" s="25">
        <v>2</v>
      </c>
      <c r="X56" s="25">
        <v>20</v>
      </c>
      <c r="Y56" s="25" t="s">
        <v>514</v>
      </c>
      <c r="Z56" s="25">
        <v>70</v>
      </c>
      <c r="AA56" s="25">
        <v>-30</v>
      </c>
      <c r="AB56" s="27" t="s">
        <v>521</v>
      </c>
      <c r="AC56" s="25" t="s">
        <v>415</v>
      </c>
      <c r="AD56" s="25" t="s">
        <v>66</v>
      </c>
      <c r="AE56" s="25" t="s">
        <v>443</v>
      </c>
      <c r="AF56" s="25" t="s">
        <v>583</v>
      </c>
      <c r="AG56" s="25">
        <v>15</v>
      </c>
      <c r="AH56" s="25">
        <v>5</v>
      </c>
      <c r="AI56" s="25">
        <v>25</v>
      </c>
      <c r="AO56" s="26">
        <v>-125</v>
      </c>
      <c r="AP56" s="25">
        <v>7</v>
      </c>
      <c r="AR56" s="25">
        <v>40</v>
      </c>
      <c r="AS56" s="25" t="s">
        <v>570</v>
      </c>
      <c r="AX56" s="27" t="s">
        <v>5297</v>
      </c>
      <c r="AY56" s="25">
        <v>0</v>
      </c>
      <c r="AZ56" s="25">
        <v>-30</v>
      </c>
      <c r="BA56" s="25">
        <v>7</v>
      </c>
      <c r="BB56" s="45" t="s">
        <v>5703</v>
      </c>
      <c r="BC56" s="45" t="s">
        <v>5703</v>
      </c>
      <c r="BD56" s="25" t="s">
        <v>433</v>
      </c>
      <c r="BE56" s="25" t="s">
        <v>6423</v>
      </c>
      <c r="BF56" s="25">
        <v>8</v>
      </c>
      <c r="BG56" s="25">
        <v>-2</v>
      </c>
      <c r="BH56" s="25">
        <v>20</v>
      </c>
      <c r="BI56" s="45" t="s">
        <v>5703</v>
      </c>
      <c r="BX56" s="33">
        <v>80</v>
      </c>
      <c r="BY56" s="25" t="s">
        <v>731</v>
      </c>
      <c r="CV56" s="238" t="s">
        <v>65</v>
      </c>
      <c r="CW56" s="239">
        <f>'Hoja básica'!BD8</f>
        <v>0</v>
      </c>
      <c r="CX56" s="25">
        <f>_xlfn.IFNA(IF(VLOOKUP(CV56,'Hoja básica'!$BF$5:$BH$6,1,FALSE)=CV56,-40,0),0)</f>
        <v>0</v>
      </c>
      <c r="CY56" s="25">
        <f>IF($CY$61=1,2,IF(CW55+CX55&gt;=CW56+CX56,2,1))</f>
        <v>2</v>
      </c>
      <c r="CZ56" s="25">
        <f t="shared" si="2"/>
        <v>0</v>
      </c>
      <c r="DH56" s="27"/>
    </row>
    <row r="57" spans="2:112" x14ac:dyDescent="0.2">
      <c r="B57" s="25" t="s">
        <v>584</v>
      </c>
      <c r="C57" s="25">
        <v>1</v>
      </c>
      <c r="D57" s="25">
        <v>2</v>
      </c>
      <c r="E57" s="25">
        <v>1</v>
      </c>
      <c r="F57" s="25">
        <v>2</v>
      </c>
      <c r="G57" s="25">
        <v>2</v>
      </c>
      <c r="H57" s="25">
        <v>2</v>
      </c>
      <c r="I57" s="25">
        <v>2</v>
      </c>
      <c r="J57" s="25">
        <v>2</v>
      </c>
      <c r="K57" s="25">
        <v>2</v>
      </c>
      <c r="L57" s="25">
        <v>2</v>
      </c>
      <c r="M57" s="25">
        <v>2</v>
      </c>
      <c r="N57" s="25">
        <v>2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X57" s="25">
        <v>103</v>
      </c>
      <c r="Y57" s="25" t="s">
        <v>585</v>
      </c>
      <c r="Z57" s="25">
        <v>40</v>
      </c>
      <c r="AA57" s="25">
        <v>-10</v>
      </c>
      <c r="AB57" s="27" t="s">
        <v>586</v>
      </c>
      <c r="AC57" s="25" t="s">
        <v>415</v>
      </c>
      <c r="AD57" s="45" t="s">
        <v>5703</v>
      </c>
      <c r="AE57" s="25" t="s">
        <v>443</v>
      </c>
      <c r="AF57" s="25" t="s">
        <v>530</v>
      </c>
      <c r="AG57" s="26">
        <v>12</v>
      </c>
      <c r="AH57" s="26">
        <v>3</v>
      </c>
      <c r="AI57" s="26">
        <v>15</v>
      </c>
      <c r="AO57" s="26">
        <v>-120</v>
      </c>
      <c r="AP57" s="25">
        <v>7</v>
      </c>
      <c r="AR57" s="25">
        <v>41</v>
      </c>
      <c r="AS57" s="25" t="s">
        <v>587</v>
      </c>
      <c r="AX57" s="25" t="s">
        <v>515</v>
      </c>
      <c r="AY57" s="25">
        <v>5</v>
      </c>
      <c r="AZ57" s="25">
        <v>0</v>
      </c>
      <c r="BA57" s="45" t="s">
        <v>5703</v>
      </c>
      <c r="BB57" s="25" t="s">
        <v>424</v>
      </c>
      <c r="BC57" s="45" t="s">
        <v>5703</v>
      </c>
      <c r="BD57" s="25" t="s">
        <v>445</v>
      </c>
      <c r="BE57" s="45" t="s">
        <v>5703</v>
      </c>
      <c r="BF57" s="26">
        <v>2</v>
      </c>
      <c r="BG57" s="26">
        <v>-4</v>
      </c>
      <c r="BH57" s="26">
        <v>15</v>
      </c>
      <c r="BI57" s="45" t="s">
        <v>5703</v>
      </c>
      <c r="BX57" s="33">
        <v>90</v>
      </c>
      <c r="BY57" s="25" t="s">
        <v>748</v>
      </c>
      <c r="CV57" s="238" t="s">
        <v>35</v>
      </c>
      <c r="CW57" s="239">
        <f>'Hoja básica'!BD9</f>
        <v>0</v>
      </c>
      <c r="CX57" s="25">
        <f>_xlfn.IFNA(IF(VLOOKUP(CV57,'Hoja básica'!$BF$5:$BH$6,1,FALSE)=CV57,-40,0),0)</f>
        <v>0</v>
      </c>
      <c r="CY57" s="25">
        <f>IF($CY$61=1,2,IF(CW57+CX57&lt;CW58+CX58,2,1))</f>
        <v>2</v>
      </c>
      <c r="CZ57" s="25">
        <f t="shared" si="2"/>
        <v>0</v>
      </c>
      <c r="DH57" s="27"/>
    </row>
    <row r="58" spans="2:112" x14ac:dyDescent="0.2">
      <c r="B58" s="25" t="s">
        <v>178</v>
      </c>
      <c r="C58" s="45" t="s">
        <v>5703</v>
      </c>
      <c r="D58" s="45" t="s">
        <v>5703</v>
      </c>
      <c r="E58" s="45" t="s">
        <v>5703</v>
      </c>
      <c r="F58" s="45" t="s">
        <v>5703</v>
      </c>
      <c r="G58" s="45" t="s">
        <v>5703</v>
      </c>
      <c r="H58" s="45" t="s">
        <v>5703</v>
      </c>
      <c r="I58" s="45" t="s">
        <v>5703</v>
      </c>
      <c r="J58" s="45" t="s">
        <v>5703</v>
      </c>
      <c r="K58" s="45" t="s">
        <v>5703</v>
      </c>
      <c r="L58" s="45" t="s">
        <v>5703</v>
      </c>
      <c r="M58" s="45" t="s">
        <v>5703</v>
      </c>
      <c r="N58" s="45" t="s">
        <v>5703</v>
      </c>
      <c r="O58" s="45" t="s">
        <v>5703</v>
      </c>
      <c r="P58" s="45" t="s">
        <v>5703</v>
      </c>
      <c r="Q58" s="45" t="s">
        <v>5703</v>
      </c>
      <c r="R58" s="45" t="s">
        <v>5703</v>
      </c>
      <c r="S58" s="45" t="s">
        <v>5703</v>
      </c>
      <c r="T58" s="45" t="s">
        <v>5703</v>
      </c>
      <c r="U58" s="45" t="s">
        <v>5703</v>
      </c>
      <c r="V58" s="45" t="s">
        <v>5703</v>
      </c>
      <c r="X58" s="25">
        <v>21</v>
      </c>
      <c r="Y58" s="25" t="s">
        <v>516</v>
      </c>
      <c r="Z58" s="25">
        <v>45</v>
      </c>
      <c r="AA58" s="25">
        <v>0</v>
      </c>
      <c r="AB58" s="27" t="s">
        <v>440</v>
      </c>
      <c r="AC58" s="25" t="s">
        <v>415</v>
      </c>
      <c r="AD58" s="45" t="s">
        <v>5703</v>
      </c>
      <c r="AE58" s="25" t="s">
        <v>443</v>
      </c>
      <c r="AF58" s="25" t="s">
        <v>583</v>
      </c>
      <c r="AG58" s="25">
        <v>13</v>
      </c>
      <c r="AH58" s="25">
        <v>4</v>
      </c>
      <c r="AI58" s="25">
        <v>15</v>
      </c>
      <c r="AO58" s="26">
        <v>-115</v>
      </c>
      <c r="AP58" s="25">
        <v>7</v>
      </c>
      <c r="AR58" s="25">
        <v>42</v>
      </c>
      <c r="AS58" s="25" t="s">
        <v>485</v>
      </c>
      <c r="AX58" s="25" t="s">
        <v>517</v>
      </c>
      <c r="AY58" s="25">
        <v>20</v>
      </c>
      <c r="AZ58" s="25">
        <v>20</v>
      </c>
      <c r="BA58" s="27" t="s">
        <v>460</v>
      </c>
      <c r="BB58" s="25" t="s">
        <v>424</v>
      </c>
      <c r="BC58" s="45" t="s">
        <v>5703</v>
      </c>
      <c r="BD58" s="25" t="s">
        <v>474</v>
      </c>
      <c r="BE58" s="45" t="s">
        <v>5703</v>
      </c>
      <c r="BF58" s="26" t="s">
        <v>460</v>
      </c>
      <c r="BG58" s="26" t="s">
        <v>518</v>
      </c>
      <c r="BH58" s="26" t="s">
        <v>458</v>
      </c>
      <c r="BI58" s="45" t="s">
        <v>5703</v>
      </c>
      <c r="BX58" s="33">
        <v>95</v>
      </c>
      <c r="BY58" s="25" t="s">
        <v>741</v>
      </c>
      <c r="CV58" s="238" t="s">
        <v>60</v>
      </c>
      <c r="CW58" s="239">
        <f>'Hoja básica'!BD10</f>
        <v>0</v>
      </c>
      <c r="CX58" s="25">
        <f>_xlfn.IFNA(IF(VLOOKUP(CV58,'Hoja básica'!$BF$5:$BH$6,1,FALSE)=CV58,-40,0),0)</f>
        <v>0</v>
      </c>
      <c r="CY58" s="25">
        <f>IF($CY$61=1,2,IF(CW57+CX57&gt;=CW58+CX58,2,1))</f>
        <v>2</v>
      </c>
      <c r="CZ58" s="25">
        <f t="shared" si="2"/>
        <v>0</v>
      </c>
    </row>
    <row r="59" spans="2:112" x14ac:dyDescent="0.2">
      <c r="B59" s="25" t="s">
        <v>588</v>
      </c>
      <c r="C59" s="25">
        <v>3</v>
      </c>
      <c r="D59" s="25">
        <v>2</v>
      </c>
      <c r="E59" s="25">
        <v>1</v>
      </c>
      <c r="F59" s="25">
        <v>3</v>
      </c>
      <c r="G59" s="25">
        <v>3</v>
      </c>
      <c r="H59" s="25">
        <v>2</v>
      </c>
      <c r="I59" s="25">
        <v>3</v>
      </c>
      <c r="J59" s="25">
        <v>2</v>
      </c>
      <c r="K59" s="25">
        <v>2</v>
      </c>
      <c r="L59" s="25">
        <v>2</v>
      </c>
      <c r="M59" s="25">
        <v>3</v>
      </c>
      <c r="N59" s="25">
        <v>3</v>
      </c>
      <c r="O59" s="25">
        <v>2</v>
      </c>
      <c r="P59" s="25">
        <v>2</v>
      </c>
      <c r="Q59" s="25">
        <v>2</v>
      </c>
      <c r="R59" s="25">
        <v>2</v>
      </c>
      <c r="S59" s="25">
        <v>3</v>
      </c>
      <c r="T59" s="25">
        <v>3</v>
      </c>
      <c r="U59" s="25">
        <v>3</v>
      </c>
      <c r="V59" s="25">
        <v>2</v>
      </c>
      <c r="X59" s="25">
        <v>85</v>
      </c>
      <c r="Y59" s="25" t="s">
        <v>589</v>
      </c>
      <c r="Z59" s="25">
        <v>0</v>
      </c>
      <c r="AA59" s="25">
        <v>-40</v>
      </c>
      <c r="AB59" s="27" t="s">
        <v>414</v>
      </c>
      <c r="AC59" s="45" t="s">
        <v>5703</v>
      </c>
      <c r="AD59" s="45" t="s">
        <v>5703</v>
      </c>
      <c r="AE59" s="25" t="s">
        <v>433</v>
      </c>
      <c r="AF59" s="45" t="s">
        <v>5703</v>
      </c>
      <c r="AG59" s="26">
        <v>3</v>
      </c>
      <c r="AH59" s="26">
        <v>-6</v>
      </c>
      <c r="AI59" s="26">
        <v>10</v>
      </c>
      <c r="AO59" s="26">
        <v>-110</v>
      </c>
      <c r="AP59" s="25">
        <v>7</v>
      </c>
      <c r="AR59" s="25">
        <v>43</v>
      </c>
      <c r="AS59" s="25" t="s">
        <v>590</v>
      </c>
      <c r="AX59" s="25" t="s">
        <v>5241</v>
      </c>
      <c r="AY59" s="25">
        <v>35</v>
      </c>
      <c r="AZ59" s="25">
        <v>15</v>
      </c>
      <c r="BA59" s="25">
        <v>5</v>
      </c>
      <c r="BB59" s="25" t="s">
        <v>424</v>
      </c>
      <c r="BC59" s="45" t="s">
        <v>5703</v>
      </c>
      <c r="BD59" s="25" t="s">
        <v>416</v>
      </c>
      <c r="BE59" s="25" t="s">
        <v>504</v>
      </c>
      <c r="BF59" s="25">
        <v>10</v>
      </c>
      <c r="BG59" s="25">
        <v>-2</v>
      </c>
      <c r="BH59" s="25">
        <v>15</v>
      </c>
      <c r="BI59" s="45" t="s">
        <v>5703</v>
      </c>
      <c r="BX59" s="33">
        <v>125</v>
      </c>
      <c r="BY59" s="25" t="s">
        <v>747</v>
      </c>
      <c r="CV59" s="238" t="s">
        <v>90</v>
      </c>
      <c r="CW59" s="239">
        <f>'Hoja básica'!BD11</f>
        <v>0</v>
      </c>
      <c r="CX59" s="25">
        <f>_xlfn.IFNA(IF(VLOOKUP(CV59,'Hoja básica'!$BF$5:$BH$6,1,FALSE)=CV59,-40,0),0)</f>
        <v>0</v>
      </c>
      <c r="CY59" s="25">
        <f>IF($CY$61=1,2,IF(CW59+CX59&lt;CW60+CX60,2,1))</f>
        <v>2</v>
      </c>
      <c r="CZ59" s="25">
        <f t="shared" si="2"/>
        <v>0</v>
      </c>
      <c r="DA59" s="25">
        <f>(LOOKUP('Hoja básica'!E14,HM!A2:B21)+(Sheet3!O402*'Hoja básica'!C3))</f>
        <v>0</v>
      </c>
    </row>
    <row r="60" spans="2:112" x14ac:dyDescent="0.2">
      <c r="B60" s="25" t="s">
        <v>591</v>
      </c>
      <c r="C60" s="25">
        <v>3</v>
      </c>
      <c r="D60" s="25">
        <v>2</v>
      </c>
      <c r="E60" s="25">
        <v>3</v>
      </c>
      <c r="F60" s="25">
        <v>3</v>
      </c>
      <c r="G60" s="25">
        <v>3</v>
      </c>
      <c r="H60" s="25">
        <v>2</v>
      </c>
      <c r="I60" s="25">
        <v>3</v>
      </c>
      <c r="J60" s="25">
        <v>2</v>
      </c>
      <c r="K60" s="25">
        <v>2</v>
      </c>
      <c r="L60" s="25">
        <v>2</v>
      </c>
      <c r="M60" s="25">
        <v>3</v>
      </c>
      <c r="N60" s="25">
        <v>3</v>
      </c>
      <c r="O60" s="25">
        <v>2</v>
      </c>
      <c r="P60" s="25">
        <v>2</v>
      </c>
      <c r="Q60" s="25">
        <v>2</v>
      </c>
      <c r="R60" s="25">
        <v>2</v>
      </c>
      <c r="S60" s="25">
        <v>3</v>
      </c>
      <c r="T60" s="25">
        <v>3</v>
      </c>
      <c r="U60" s="25">
        <v>3</v>
      </c>
      <c r="V60" s="25">
        <v>2</v>
      </c>
      <c r="X60" s="25">
        <v>105</v>
      </c>
      <c r="Y60" s="25" t="s">
        <v>592</v>
      </c>
      <c r="Z60" s="25">
        <v>35</v>
      </c>
      <c r="AA60" s="25">
        <v>-10</v>
      </c>
      <c r="AB60" s="27" t="s">
        <v>414</v>
      </c>
      <c r="AC60" s="25" t="s">
        <v>156</v>
      </c>
      <c r="AD60" s="25" t="s">
        <v>424</v>
      </c>
      <c r="AE60" s="25" t="s">
        <v>416</v>
      </c>
      <c r="AF60" s="45" t="s">
        <v>5703</v>
      </c>
      <c r="AG60" s="26">
        <v>8</v>
      </c>
      <c r="AH60" s="26">
        <v>0</v>
      </c>
      <c r="AI60" s="26">
        <v>15</v>
      </c>
      <c r="AO60" s="26">
        <v>-105</v>
      </c>
      <c r="AP60" s="25">
        <v>7</v>
      </c>
      <c r="AR60" s="25">
        <v>44</v>
      </c>
      <c r="AS60" s="25" t="s">
        <v>593</v>
      </c>
      <c r="AX60" s="25" t="s">
        <v>5242</v>
      </c>
      <c r="AY60" s="25">
        <v>45</v>
      </c>
      <c r="AZ60" s="25">
        <v>0</v>
      </c>
      <c r="BA60" s="25">
        <v>5</v>
      </c>
      <c r="BB60" s="25" t="s">
        <v>415</v>
      </c>
      <c r="BC60" s="25" t="s">
        <v>424</v>
      </c>
      <c r="BD60" s="25" t="s">
        <v>416</v>
      </c>
      <c r="BE60" s="45" t="s">
        <v>5703</v>
      </c>
      <c r="BF60" s="25">
        <v>14</v>
      </c>
      <c r="BG60" s="25">
        <v>4</v>
      </c>
      <c r="BH60" s="25">
        <v>20</v>
      </c>
      <c r="BI60" s="45" t="s">
        <v>5703</v>
      </c>
      <c r="BX60" s="33">
        <v>150</v>
      </c>
      <c r="BY60" s="25" t="s">
        <v>732</v>
      </c>
      <c r="CV60" s="238" t="s">
        <v>94</v>
      </c>
      <c r="CW60" s="239">
        <f>'Hoja básica'!BD12</f>
        <v>0</v>
      </c>
      <c r="CX60" s="25">
        <f>_xlfn.IFNA(IF(VLOOKUP(CV60,'Hoja básica'!$BF$5:$BH$6,1,FALSE)=CV60,-40,0),0)</f>
        <v>0</v>
      </c>
      <c r="CY60" s="25">
        <f>IF($CY$61=1,2,IF(CW59+CX59&gt;=CW60+CX60,2,1))</f>
        <v>2</v>
      </c>
      <c r="CZ60" s="25">
        <f t="shared" si="2"/>
        <v>0</v>
      </c>
    </row>
    <row r="61" spans="2:112" x14ac:dyDescent="0.2">
      <c r="B61" s="25" t="s">
        <v>594</v>
      </c>
      <c r="C61" s="25">
        <v>3</v>
      </c>
      <c r="D61" s="25">
        <v>2</v>
      </c>
      <c r="E61" s="25">
        <v>2</v>
      </c>
      <c r="F61" s="25">
        <v>3</v>
      </c>
      <c r="G61" s="25">
        <v>3</v>
      </c>
      <c r="H61" s="25">
        <v>2</v>
      </c>
      <c r="I61" s="25">
        <v>3</v>
      </c>
      <c r="J61" s="25">
        <v>2</v>
      </c>
      <c r="K61" s="25">
        <v>2</v>
      </c>
      <c r="L61" s="25">
        <v>2</v>
      </c>
      <c r="M61" s="25">
        <v>3</v>
      </c>
      <c r="N61" s="25">
        <v>3</v>
      </c>
      <c r="O61" s="25">
        <v>2</v>
      </c>
      <c r="P61" s="25">
        <v>2</v>
      </c>
      <c r="Q61" s="25">
        <v>2</v>
      </c>
      <c r="R61" s="25">
        <v>2</v>
      </c>
      <c r="S61" s="25">
        <v>3</v>
      </c>
      <c r="T61" s="25">
        <v>3</v>
      </c>
      <c r="U61" s="25">
        <v>3</v>
      </c>
      <c r="V61" s="25">
        <v>2</v>
      </c>
      <c r="X61" s="25">
        <v>22</v>
      </c>
      <c r="Y61" s="25" t="s">
        <v>519</v>
      </c>
      <c r="Z61" s="25">
        <v>35</v>
      </c>
      <c r="AA61" s="25">
        <v>5</v>
      </c>
      <c r="AB61" s="27" t="s">
        <v>414</v>
      </c>
      <c r="AC61" s="25" t="s">
        <v>424</v>
      </c>
      <c r="AD61" s="45" t="s">
        <v>5703</v>
      </c>
      <c r="AE61" s="25" t="s">
        <v>425</v>
      </c>
      <c r="AF61" s="25" t="s">
        <v>583</v>
      </c>
      <c r="AG61" s="25">
        <v>10</v>
      </c>
      <c r="AH61" s="25">
        <v>-2</v>
      </c>
      <c r="AI61" s="25">
        <v>20</v>
      </c>
      <c r="AO61" s="26">
        <v>-100</v>
      </c>
      <c r="AP61" s="25">
        <v>7</v>
      </c>
      <c r="AR61" s="25">
        <v>45</v>
      </c>
      <c r="AS61" s="25" t="s">
        <v>508</v>
      </c>
      <c r="AX61" s="25" t="s">
        <v>520</v>
      </c>
      <c r="AY61" s="25">
        <v>20</v>
      </c>
      <c r="AZ61" s="25">
        <v>-25</v>
      </c>
      <c r="BA61" s="27" t="s">
        <v>521</v>
      </c>
      <c r="BB61" s="25" t="s">
        <v>66</v>
      </c>
      <c r="BC61" s="45" t="s">
        <v>5703</v>
      </c>
      <c r="BD61" s="25" t="s">
        <v>520</v>
      </c>
      <c r="BE61" s="45" t="s">
        <v>6440</v>
      </c>
      <c r="BF61" s="26">
        <v>16</v>
      </c>
      <c r="BG61" s="26">
        <v>0</v>
      </c>
      <c r="BH61" s="26">
        <v>25</v>
      </c>
      <c r="BI61" s="45" t="s">
        <v>5703</v>
      </c>
      <c r="BX61" s="33">
        <v>180</v>
      </c>
      <c r="BY61" s="25" t="s">
        <v>735</v>
      </c>
      <c r="CV61" s="238" t="s">
        <v>101</v>
      </c>
      <c r="CW61" s="239">
        <f>'Hoja básica'!BD13</f>
        <v>0</v>
      </c>
      <c r="CX61" s="25">
        <f>_xlfn.IFNA(IF(VLOOKUP(CV61,'Hoja básica'!$BF$5:$BH$6,1,FALSE)=CV61,-40,0),0)</f>
        <v>0</v>
      </c>
      <c r="CY61" s="25">
        <f>IF(CW61+CX61&gt;=MAX(CW51+CX51,CW52+CX52,CW53+CX53,CW54+CX54,CW55+CX55,CW56+CX56,CW57+CX57,CW58+CX58,CW59+CX59,CW60+CX60),1,2)</f>
        <v>1</v>
      </c>
      <c r="CZ61" s="25">
        <f t="shared" si="2"/>
        <v>0</v>
      </c>
    </row>
    <row r="62" spans="2:112" x14ac:dyDescent="0.2">
      <c r="B62" s="25" t="s">
        <v>595</v>
      </c>
      <c r="C62" s="25">
        <v>3</v>
      </c>
      <c r="D62" s="25">
        <v>2</v>
      </c>
      <c r="E62" s="25">
        <v>3</v>
      </c>
      <c r="F62" s="25">
        <v>3</v>
      </c>
      <c r="G62" s="25">
        <v>3</v>
      </c>
      <c r="H62" s="25">
        <v>2</v>
      </c>
      <c r="I62" s="25">
        <v>3</v>
      </c>
      <c r="J62" s="25">
        <v>2</v>
      </c>
      <c r="K62" s="25">
        <v>2</v>
      </c>
      <c r="L62" s="25">
        <v>2</v>
      </c>
      <c r="M62" s="25">
        <v>3</v>
      </c>
      <c r="N62" s="25">
        <v>3</v>
      </c>
      <c r="O62" s="25">
        <v>2</v>
      </c>
      <c r="P62" s="25">
        <v>2</v>
      </c>
      <c r="Q62" s="25">
        <v>2</v>
      </c>
      <c r="R62" s="25">
        <v>2</v>
      </c>
      <c r="S62" s="25">
        <v>3</v>
      </c>
      <c r="T62" s="25">
        <v>3</v>
      </c>
      <c r="U62" s="25">
        <v>3</v>
      </c>
      <c r="V62" s="25">
        <v>2</v>
      </c>
      <c r="X62" s="25">
        <v>100</v>
      </c>
      <c r="Y62" s="25" t="s">
        <v>596</v>
      </c>
      <c r="Z62" s="25">
        <v>15</v>
      </c>
      <c r="AA62" s="25">
        <v>-10</v>
      </c>
      <c r="AB62" s="27" t="s">
        <v>414</v>
      </c>
      <c r="AC62" s="25" t="s">
        <v>66</v>
      </c>
      <c r="AD62" s="45" t="s">
        <v>5703</v>
      </c>
      <c r="AE62" s="25" t="s">
        <v>429</v>
      </c>
      <c r="AF62" s="25" t="s">
        <v>583</v>
      </c>
      <c r="AG62" s="26">
        <v>6</v>
      </c>
      <c r="AH62" s="26">
        <v>-2</v>
      </c>
      <c r="AI62" s="26">
        <v>20</v>
      </c>
      <c r="AO62" s="26">
        <v>-95</v>
      </c>
      <c r="AP62" s="25">
        <v>7</v>
      </c>
      <c r="AR62" s="25">
        <v>46</v>
      </c>
      <c r="AS62" s="25" t="s">
        <v>422</v>
      </c>
      <c r="AX62" s="25" t="s">
        <v>524</v>
      </c>
      <c r="AY62" s="25">
        <v>25</v>
      </c>
      <c r="AZ62" s="25">
        <v>-40</v>
      </c>
      <c r="BA62" s="27" t="s">
        <v>475</v>
      </c>
      <c r="BB62" s="25" t="s">
        <v>66</v>
      </c>
      <c r="BC62" s="45" t="s">
        <v>5703</v>
      </c>
      <c r="BD62" s="25" t="s">
        <v>520</v>
      </c>
      <c r="BE62" s="45" t="s">
        <v>6439</v>
      </c>
      <c r="BF62" s="26">
        <v>18</v>
      </c>
      <c r="BG62" s="26">
        <v>1</v>
      </c>
      <c r="BH62" s="26">
        <v>25</v>
      </c>
      <c r="BI62" s="45" t="s">
        <v>5703</v>
      </c>
      <c r="BX62" s="33">
        <v>220</v>
      </c>
      <c r="BY62" s="25" t="s">
        <v>740</v>
      </c>
      <c r="CV62" s="238" t="s">
        <v>136</v>
      </c>
      <c r="CW62" s="239">
        <f>'Hoja básica'!BD14</f>
        <v>0</v>
      </c>
      <c r="CZ62" s="26">
        <f>CW62</f>
        <v>0</v>
      </c>
      <c r="DA62" s="25" t="s">
        <v>6713</v>
      </c>
    </row>
    <row r="63" spans="2:112" x14ac:dyDescent="0.2">
      <c r="B63" s="25" t="s">
        <v>597</v>
      </c>
      <c r="C63" s="25">
        <v>3</v>
      </c>
      <c r="D63" s="25">
        <v>2</v>
      </c>
      <c r="E63" s="25">
        <v>2</v>
      </c>
      <c r="F63" s="25">
        <v>3</v>
      </c>
      <c r="G63" s="25">
        <v>3</v>
      </c>
      <c r="H63" s="25">
        <v>2</v>
      </c>
      <c r="I63" s="25">
        <v>3</v>
      </c>
      <c r="J63" s="25">
        <v>2</v>
      </c>
      <c r="K63" s="25">
        <v>2</v>
      </c>
      <c r="L63" s="25">
        <v>2</v>
      </c>
      <c r="M63" s="25">
        <v>3</v>
      </c>
      <c r="N63" s="25">
        <v>3</v>
      </c>
      <c r="O63" s="25">
        <v>2</v>
      </c>
      <c r="P63" s="25">
        <v>2</v>
      </c>
      <c r="Q63" s="25">
        <v>2</v>
      </c>
      <c r="R63" s="25">
        <v>2</v>
      </c>
      <c r="S63" s="25">
        <v>3</v>
      </c>
      <c r="T63" s="25">
        <v>3</v>
      </c>
      <c r="U63" s="25">
        <v>3</v>
      </c>
      <c r="V63" s="25">
        <v>2</v>
      </c>
      <c r="X63" s="25">
        <v>38</v>
      </c>
      <c r="Y63" s="25" t="s">
        <v>577</v>
      </c>
      <c r="Z63" s="25">
        <v>50</v>
      </c>
      <c r="AA63" s="25">
        <v>0</v>
      </c>
      <c r="AB63" s="27" t="s">
        <v>598</v>
      </c>
      <c r="AC63" s="25" t="s">
        <v>415</v>
      </c>
      <c r="AD63" s="45" t="s">
        <v>5703</v>
      </c>
      <c r="AE63" s="25" t="s">
        <v>499</v>
      </c>
      <c r="AF63" s="25" t="s">
        <v>530</v>
      </c>
      <c r="AG63" s="25">
        <v>11</v>
      </c>
      <c r="AH63" s="25">
        <v>3</v>
      </c>
      <c r="AI63" s="25">
        <v>40</v>
      </c>
      <c r="AO63" s="26">
        <v>-90</v>
      </c>
      <c r="AP63" s="25">
        <v>7</v>
      </c>
      <c r="AR63" s="25">
        <v>47</v>
      </c>
      <c r="AS63" s="25" t="s">
        <v>599</v>
      </c>
      <c r="AX63" s="25" t="s">
        <v>482</v>
      </c>
      <c r="AY63" s="25">
        <v>55</v>
      </c>
      <c r="AZ63" s="25">
        <v>-5</v>
      </c>
      <c r="BA63" s="27" t="s">
        <v>440</v>
      </c>
      <c r="BB63" s="25" t="s">
        <v>415</v>
      </c>
      <c r="BC63" s="45" t="s">
        <v>5703</v>
      </c>
      <c r="BD63" s="25" t="s">
        <v>499</v>
      </c>
      <c r="BE63" s="45" t="s">
        <v>5703</v>
      </c>
      <c r="BF63" s="25">
        <v>15</v>
      </c>
      <c r="BG63" s="25">
        <v>3</v>
      </c>
      <c r="BH63" s="25">
        <v>25</v>
      </c>
      <c r="BI63" s="45" t="s">
        <v>5703</v>
      </c>
      <c r="CZ63" s="25">
        <f>SUM(CZ51:CZ62)+DE115+DR85</f>
        <v>0</v>
      </c>
      <c r="DA63" s="25">
        <f>MAX(CZ63-DA59,0)</f>
        <v>0</v>
      </c>
    </row>
    <row r="64" spans="2:112" x14ac:dyDescent="0.2">
      <c r="B64" s="25" t="s">
        <v>600</v>
      </c>
      <c r="C64" s="25">
        <v>2</v>
      </c>
      <c r="D64" s="25">
        <v>2</v>
      </c>
      <c r="E64" s="25">
        <v>3</v>
      </c>
      <c r="F64" s="25">
        <v>3</v>
      </c>
      <c r="G64" s="25">
        <v>3</v>
      </c>
      <c r="H64" s="25">
        <v>2</v>
      </c>
      <c r="I64" s="25">
        <v>3</v>
      </c>
      <c r="J64" s="25">
        <v>2</v>
      </c>
      <c r="K64" s="25">
        <v>2</v>
      </c>
      <c r="L64" s="25">
        <v>2</v>
      </c>
      <c r="M64" s="25">
        <v>3</v>
      </c>
      <c r="N64" s="25">
        <v>3</v>
      </c>
      <c r="O64" s="25">
        <v>2</v>
      </c>
      <c r="P64" s="25">
        <v>2</v>
      </c>
      <c r="Q64" s="25">
        <v>2</v>
      </c>
      <c r="R64" s="25">
        <v>2</v>
      </c>
      <c r="S64" s="25">
        <v>3</v>
      </c>
      <c r="T64" s="25">
        <v>3</v>
      </c>
      <c r="U64" s="25">
        <v>3</v>
      </c>
      <c r="V64" s="25">
        <v>2</v>
      </c>
      <c r="X64" s="25">
        <v>47</v>
      </c>
      <c r="Y64" s="25" t="s">
        <v>599</v>
      </c>
      <c r="Z64" s="25">
        <v>55</v>
      </c>
      <c r="AA64" s="25">
        <v>-5</v>
      </c>
      <c r="AB64" s="27" t="s">
        <v>456</v>
      </c>
      <c r="AC64" s="25" t="s">
        <v>415</v>
      </c>
      <c r="AD64" s="45" t="s">
        <v>5703</v>
      </c>
      <c r="AE64" s="25" t="s">
        <v>499</v>
      </c>
      <c r="AF64" s="25" t="s">
        <v>601</v>
      </c>
      <c r="AG64" s="25">
        <v>11</v>
      </c>
      <c r="AH64" s="25">
        <v>3</v>
      </c>
      <c r="AI64" s="25">
        <v>40</v>
      </c>
      <c r="AJ64" s="25" t="s">
        <v>602</v>
      </c>
      <c r="AO64" s="26">
        <v>-85</v>
      </c>
      <c r="AP64" s="25">
        <v>7</v>
      </c>
      <c r="AR64" s="25">
        <v>48</v>
      </c>
      <c r="AS64" s="25" t="s">
        <v>603</v>
      </c>
      <c r="AX64" s="25" t="s">
        <v>484</v>
      </c>
      <c r="AY64" s="25">
        <v>70</v>
      </c>
      <c r="AZ64" s="25">
        <v>-30</v>
      </c>
      <c r="BA64" s="27" t="s">
        <v>528</v>
      </c>
      <c r="BB64" s="25" t="s">
        <v>415</v>
      </c>
      <c r="BC64" s="25" t="s">
        <v>66</v>
      </c>
      <c r="BD64" s="25" t="s">
        <v>529</v>
      </c>
      <c r="BE64" s="25" t="s">
        <v>6441</v>
      </c>
      <c r="BF64" s="25">
        <v>15</v>
      </c>
      <c r="BG64" s="25">
        <v>5</v>
      </c>
      <c r="BH64" s="25">
        <v>25</v>
      </c>
      <c r="BI64" s="45" t="s">
        <v>5703</v>
      </c>
    </row>
    <row r="65" spans="2:121" x14ac:dyDescent="0.2">
      <c r="B65" s="25" t="s">
        <v>604</v>
      </c>
      <c r="C65" s="25">
        <v>3</v>
      </c>
      <c r="D65" s="25">
        <v>2</v>
      </c>
      <c r="E65" s="25">
        <v>3</v>
      </c>
      <c r="F65" s="25">
        <v>3</v>
      </c>
      <c r="G65" s="25">
        <v>3</v>
      </c>
      <c r="H65" s="25">
        <v>2</v>
      </c>
      <c r="I65" s="25">
        <v>3</v>
      </c>
      <c r="J65" s="25">
        <v>2</v>
      </c>
      <c r="K65" s="25">
        <v>2</v>
      </c>
      <c r="L65" s="25">
        <v>2</v>
      </c>
      <c r="M65" s="25">
        <v>3</v>
      </c>
      <c r="N65" s="25">
        <v>3</v>
      </c>
      <c r="O65" s="25">
        <v>2</v>
      </c>
      <c r="P65" s="25">
        <v>2</v>
      </c>
      <c r="Q65" s="25">
        <v>2</v>
      </c>
      <c r="R65" s="25">
        <v>2</v>
      </c>
      <c r="S65" s="25">
        <v>3</v>
      </c>
      <c r="T65" s="25">
        <v>3</v>
      </c>
      <c r="U65" s="25">
        <v>3</v>
      </c>
      <c r="V65" s="25">
        <v>2</v>
      </c>
      <c r="X65" s="25">
        <v>39</v>
      </c>
      <c r="Y65" s="25" t="s">
        <v>581</v>
      </c>
      <c r="Z65" s="25">
        <v>40</v>
      </c>
      <c r="AA65" s="25">
        <v>10</v>
      </c>
      <c r="AB65" s="27" t="s">
        <v>456</v>
      </c>
      <c r="AC65" s="25" t="s">
        <v>424</v>
      </c>
      <c r="AD65" s="25" t="s">
        <v>415</v>
      </c>
      <c r="AE65" s="25" t="s">
        <v>416</v>
      </c>
      <c r="AF65" s="25" t="s">
        <v>605</v>
      </c>
      <c r="AG65" s="25">
        <v>13</v>
      </c>
      <c r="AH65" s="25">
        <v>3</v>
      </c>
      <c r="AI65" s="25">
        <v>25</v>
      </c>
      <c r="AO65" s="26">
        <v>-80</v>
      </c>
      <c r="AP65" s="25">
        <v>7</v>
      </c>
      <c r="AR65" s="25">
        <v>49</v>
      </c>
      <c r="AS65" s="25" t="s">
        <v>606</v>
      </c>
      <c r="AX65" s="25" t="s">
        <v>488</v>
      </c>
      <c r="AY65" s="25">
        <v>40</v>
      </c>
      <c r="AZ65" s="25">
        <v>15</v>
      </c>
      <c r="BA65" s="27" t="s">
        <v>414</v>
      </c>
      <c r="BB65" s="25" t="s">
        <v>424</v>
      </c>
      <c r="BC65" s="25" t="s">
        <v>415</v>
      </c>
      <c r="BD65" s="25" t="s">
        <v>416</v>
      </c>
      <c r="BE65" s="25" t="s">
        <v>504</v>
      </c>
      <c r="BF65" s="25">
        <v>12</v>
      </c>
      <c r="BG65" s="25">
        <v>1</v>
      </c>
      <c r="BH65" s="25">
        <v>20</v>
      </c>
      <c r="BI65" s="45" t="s">
        <v>5703</v>
      </c>
    </row>
    <row r="66" spans="2:121" ht="13.5" thickBot="1" x14ac:dyDescent="0.25">
      <c r="B66" s="25" t="s">
        <v>607</v>
      </c>
      <c r="C66" s="25">
        <v>3</v>
      </c>
      <c r="D66" s="25">
        <v>1</v>
      </c>
      <c r="E66" s="25">
        <v>3</v>
      </c>
      <c r="F66" s="25">
        <v>3</v>
      </c>
      <c r="G66" s="25">
        <v>3</v>
      </c>
      <c r="H66" s="25">
        <v>2</v>
      </c>
      <c r="I66" s="25">
        <v>3</v>
      </c>
      <c r="J66" s="25">
        <v>2</v>
      </c>
      <c r="K66" s="25">
        <v>2</v>
      </c>
      <c r="L66" s="25">
        <v>2</v>
      </c>
      <c r="M66" s="25">
        <v>3</v>
      </c>
      <c r="N66" s="25">
        <v>3</v>
      </c>
      <c r="O66" s="25">
        <v>2</v>
      </c>
      <c r="P66" s="25">
        <v>2</v>
      </c>
      <c r="Q66" s="25">
        <v>2</v>
      </c>
      <c r="R66" s="25">
        <v>2</v>
      </c>
      <c r="S66" s="25">
        <v>3</v>
      </c>
      <c r="T66" s="25">
        <v>3</v>
      </c>
      <c r="U66" s="25">
        <v>3</v>
      </c>
      <c r="V66" s="25">
        <v>2</v>
      </c>
      <c r="X66" s="25">
        <v>53</v>
      </c>
      <c r="Y66" s="25" t="s">
        <v>608</v>
      </c>
      <c r="Z66" s="25">
        <v>40</v>
      </c>
      <c r="AA66" s="25">
        <v>5</v>
      </c>
      <c r="AB66" s="27" t="s">
        <v>440</v>
      </c>
      <c r="AC66" s="25" t="s">
        <v>415</v>
      </c>
      <c r="AD66" s="25" t="s">
        <v>66</v>
      </c>
      <c r="AE66" s="25" t="s">
        <v>609</v>
      </c>
      <c r="AF66" s="25" t="s">
        <v>610</v>
      </c>
      <c r="AG66" s="25">
        <v>12</v>
      </c>
      <c r="AH66" s="25">
        <v>4</v>
      </c>
      <c r="AI66" s="25">
        <v>25</v>
      </c>
      <c r="AJ66" s="25" t="s">
        <v>611</v>
      </c>
      <c r="AO66" s="26">
        <v>-75</v>
      </c>
      <c r="AP66" s="25">
        <v>7</v>
      </c>
      <c r="AR66" s="25">
        <v>50</v>
      </c>
      <c r="AS66" s="25" t="s">
        <v>612</v>
      </c>
      <c r="AX66" s="25" t="s">
        <v>491</v>
      </c>
      <c r="AY66" s="25">
        <v>50</v>
      </c>
      <c r="AZ66" s="25">
        <v>0</v>
      </c>
      <c r="BA66" s="27" t="s">
        <v>432</v>
      </c>
      <c r="BB66" s="25" t="s">
        <v>415</v>
      </c>
      <c r="BC66" s="45" t="s">
        <v>5703</v>
      </c>
      <c r="BD66" s="25" t="s">
        <v>499</v>
      </c>
      <c r="BE66" s="45" t="s">
        <v>5703</v>
      </c>
      <c r="BF66" s="25">
        <v>13</v>
      </c>
      <c r="BG66" s="25">
        <v>3</v>
      </c>
      <c r="BH66" s="25">
        <v>25</v>
      </c>
      <c r="BI66" s="45" t="s">
        <v>5703</v>
      </c>
    </row>
    <row r="67" spans="2:121" ht="13.5" thickBot="1" x14ac:dyDescent="0.25">
      <c r="B67" s="25" t="s">
        <v>613</v>
      </c>
      <c r="C67" s="25">
        <v>3</v>
      </c>
      <c r="D67" s="25">
        <v>2</v>
      </c>
      <c r="E67" s="25">
        <v>3</v>
      </c>
      <c r="F67" s="25">
        <v>3</v>
      </c>
      <c r="G67" s="25">
        <v>3</v>
      </c>
      <c r="H67" s="25">
        <v>2</v>
      </c>
      <c r="I67" s="25">
        <v>3</v>
      </c>
      <c r="J67" s="25">
        <v>2</v>
      </c>
      <c r="K67" s="25">
        <v>2</v>
      </c>
      <c r="L67" s="25">
        <v>2</v>
      </c>
      <c r="M67" s="25">
        <v>1</v>
      </c>
      <c r="N67" s="25">
        <v>3</v>
      </c>
      <c r="O67" s="25">
        <v>2</v>
      </c>
      <c r="P67" s="25">
        <v>2</v>
      </c>
      <c r="Q67" s="25">
        <v>2</v>
      </c>
      <c r="R67" s="25">
        <v>2</v>
      </c>
      <c r="S67" s="25">
        <v>3</v>
      </c>
      <c r="T67" s="25">
        <v>3</v>
      </c>
      <c r="U67" s="25">
        <v>3</v>
      </c>
      <c r="V67" s="25">
        <v>2</v>
      </c>
      <c r="X67" s="25">
        <v>23</v>
      </c>
      <c r="Y67" s="25" t="s">
        <v>523</v>
      </c>
      <c r="Z67" s="25">
        <v>40</v>
      </c>
      <c r="AA67" s="25">
        <v>5</v>
      </c>
      <c r="AB67" s="27" t="s">
        <v>614</v>
      </c>
      <c r="AC67" s="25" t="s">
        <v>424</v>
      </c>
      <c r="AD67" s="45" t="s">
        <v>5703</v>
      </c>
      <c r="AE67" s="25" t="s">
        <v>425</v>
      </c>
      <c r="AF67" s="25" t="s">
        <v>615</v>
      </c>
      <c r="AG67" s="25">
        <v>13</v>
      </c>
      <c r="AH67" s="25">
        <v>2</v>
      </c>
      <c r="AI67" s="25">
        <v>25</v>
      </c>
      <c r="AO67" s="26">
        <v>-70</v>
      </c>
      <c r="AP67" s="25">
        <v>7</v>
      </c>
      <c r="AR67" s="25">
        <v>51</v>
      </c>
      <c r="AS67" s="25" t="s">
        <v>413</v>
      </c>
      <c r="AX67" s="25" t="s">
        <v>494</v>
      </c>
      <c r="AY67" s="25">
        <v>25</v>
      </c>
      <c r="AZ67" s="25">
        <v>20</v>
      </c>
      <c r="BA67" s="27" t="s">
        <v>460</v>
      </c>
      <c r="BB67" s="25" t="s">
        <v>424</v>
      </c>
      <c r="BC67" s="45" t="s">
        <v>5703</v>
      </c>
      <c r="BD67" s="25" t="s">
        <v>416</v>
      </c>
      <c r="BE67" s="25" t="s">
        <v>511</v>
      </c>
      <c r="BF67" s="25">
        <v>8</v>
      </c>
      <c r="BG67" s="25">
        <v>-3</v>
      </c>
      <c r="BH67" s="25">
        <v>15</v>
      </c>
      <c r="BI67" s="45" t="s">
        <v>5703</v>
      </c>
      <c r="CX67" s="109">
        <v>4</v>
      </c>
      <c r="CY67" s="110">
        <v>14</v>
      </c>
      <c r="CZ67" s="110">
        <v>24</v>
      </c>
      <c r="DA67" s="110">
        <v>34</v>
      </c>
      <c r="DB67" s="110">
        <v>44</v>
      </c>
      <c r="DC67" s="110">
        <v>54</v>
      </c>
      <c r="DD67" s="110">
        <v>64</v>
      </c>
      <c r="DE67" s="110">
        <v>74</v>
      </c>
      <c r="DF67" s="110">
        <v>84</v>
      </c>
      <c r="DG67" s="111">
        <v>94</v>
      </c>
      <c r="DH67" s="25">
        <v>2</v>
      </c>
      <c r="DI67" s="25">
        <v>4</v>
      </c>
      <c r="DJ67" s="25">
        <v>6</v>
      </c>
      <c r="DK67" s="25">
        <v>8</v>
      </c>
      <c r="DL67" s="25">
        <v>10</v>
      </c>
      <c r="DM67" s="25">
        <v>12</v>
      </c>
      <c r="DN67" s="25">
        <v>14</v>
      </c>
      <c r="DO67" s="25">
        <v>16</v>
      </c>
      <c r="DP67" s="25">
        <v>18</v>
      </c>
      <c r="DQ67" s="25">
        <v>20</v>
      </c>
    </row>
    <row r="68" spans="2:121" ht="13.5" thickBot="1" x14ac:dyDescent="0.25">
      <c r="B68" s="25" t="s">
        <v>616</v>
      </c>
      <c r="C68" s="25">
        <v>3</v>
      </c>
      <c r="D68" s="25">
        <v>2</v>
      </c>
      <c r="E68" s="25">
        <v>3</v>
      </c>
      <c r="F68" s="25">
        <v>3</v>
      </c>
      <c r="G68" s="25">
        <v>3</v>
      </c>
      <c r="H68" s="25">
        <v>2</v>
      </c>
      <c r="I68" s="25">
        <v>3</v>
      </c>
      <c r="J68" s="25">
        <v>1</v>
      </c>
      <c r="K68" s="25">
        <v>2</v>
      </c>
      <c r="L68" s="25">
        <v>2</v>
      </c>
      <c r="M68" s="25">
        <v>3</v>
      </c>
      <c r="N68" s="25">
        <v>3</v>
      </c>
      <c r="O68" s="25">
        <v>2</v>
      </c>
      <c r="P68" s="25">
        <v>2</v>
      </c>
      <c r="Q68" s="25">
        <v>2</v>
      </c>
      <c r="R68" s="25">
        <v>2</v>
      </c>
      <c r="S68" s="25">
        <v>3</v>
      </c>
      <c r="T68" s="25">
        <v>3</v>
      </c>
      <c r="U68" s="25">
        <v>3</v>
      </c>
      <c r="V68" s="25">
        <v>2</v>
      </c>
      <c r="X68" s="25">
        <v>24</v>
      </c>
      <c r="Y68" s="25" t="s">
        <v>526</v>
      </c>
      <c r="Z68" s="25">
        <v>80</v>
      </c>
      <c r="AA68" s="25">
        <v>-30</v>
      </c>
      <c r="AB68" s="27" t="s">
        <v>456</v>
      </c>
      <c r="AC68" s="25" t="s">
        <v>424</v>
      </c>
      <c r="AD68" s="45" t="s">
        <v>5703</v>
      </c>
      <c r="AE68" s="25" t="s">
        <v>425</v>
      </c>
      <c r="AF68" s="25" t="s">
        <v>601</v>
      </c>
      <c r="AG68" s="25">
        <v>12</v>
      </c>
      <c r="AH68" s="25">
        <v>7</v>
      </c>
      <c r="AI68" s="25">
        <v>25</v>
      </c>
      <c r="AJ68" s="25" t="s">
        <v>617</v>
      </c>
      <c r="AO68" s="26">
        <v>-65</v>
      </c>
      <c r="AP68" s="25">
        <v>7</v>
      </c>
      <c r="AR68" s="25">
        <v>52</v>
      </c>
      <c r="AS68" s="25" t="s">
        <v>618</v>
      </c>
      <c r="AX68" s="25" t="s">
        <v>497</v>
      </c>
      <c r="AY68" s="25">
        <v>40</v>
      </c>
      <c r="AZ68" s="25">
        <v>15</v>
      </c>
      <c r="BA68" s="27" t="s">
        <v>414</v>
      </c>
      <c r="BB68" s="25" t="s">
        <v>424</v>
      </c>
      <c r="BC68" s="25" t="s">
        <v>415</v>
      </c>
      <c r="BD68" s="25" t="s">
        <v>499</v>
      </c>
      <c r="BE68" s="25" t="s">
        <v>504</v>
      </c>
      <c r="BF68" s="25">
        <v>11</v>
      </c>
      <c r="BG68" s="25">
        <v>2</v>
      </c>
      <c r="BH68" s="25">
        <v>20</v>
      </c>
      <c r="BI68" s="45" t="s">
        <v>5703</v>
      </c>
      <c r="CV68" s="259"/>
      <c r="CW68" s="84" t="s">
        <v>6744</v>
      </c>
      <c r="CX68" s="250" t="s">
        <v>1785</v>
      </c>
      <c r="CY68" s="251" t="s">
        <v>759</v>
      </c>
      <c r="CZ68" s="251" t="s">
        <v>761</v>
      </c>
      <c r="DA68" s="251" t="s">
        <v>1786</v>
      </c>
      <c r="DB68" s="251" t="s">
        <v>1787</v>
      </c>
      <c r="DC68" s="251" t="s">
        <v>1788</v>
      </c>
      <c r="DD68" s="251" t="s">
        <v>1789</v>
      </c>
      <c r="DE68" s="251" t="s">
        <v>1790</v>
      </c>
      <c r="DF68" s="251" t="s">
        <v>1791</v>
      </c>
      <c r="DG68" s="252" t="s">
        <v>1792</v>
      </c>
      <c r="DH68" s="263" t="s">
        <v>5149</v>
      </c>
      <c r="DI68" s="264" t="s">
        <v>5150</v>
      </c>
      <c r="DJ68" s="264" t="s">
        <v>5151</v>
      </c>
      <c r="DK68" s="264" t="s">
        <v>5152</v>
      </c>
      <c r="DL68" s="264" t="s">
        <v>5153</v>
      </c>
      <c r="DM68" s="264" t="s">
        <v>5154</v>
      </c>
      <c r="DN68" s="264" t="s">
        <v>5155</v>
      </c>
      <c r="DO68" s="264" t="s">
        <v>5156</v>
      </c>
      <c r="DP68" s="264" t="s">
        <v>5157</v>
      </c>
      <c r="DQ68" s="265" t="s">
        <v>5158</v>
      </c>
    </row>
    <row r="69" spans="2:121" x14ac:dyDescent="0.2">
      <c r="B69" s="25" t="s">
        <v>206</v>
      </c>
      <c r="C69" s="45" t="s">
        <v>5703</v>
      </c>
      <c r="D69" s="45" t="s">
        <v>5703</v>
      </c>
      <c r="E69" s="45" t="s">
        <v>5703</v>
      </c>
      <c r="F69" s="45" t="s">
        <v>5703</v>
      </c>
      <c r="G69" s="45" t="s">
        <v>5703</v>
      </c>
      <c r="H69" s="45" t="s">
        <v>5703</v>
      </c>
      <c r="I69" s="45" t="s">
        <v>5703</v>
      </c>
      <c r="J69" s="45" t="s">
        <v>5703</v>
      </c>
      <c r="K69" s="45" t="s">
        <v>5703</v>
      </c>
      <c r="L69" s="45" t="s">
        <v>5703</v>
      </c>
      <c r="M69" s="45" t="s">
        <v>5703</v>
      </c>
      <c r="N69" s="45" t="s">
        <v>5703</v>
      </c>
      <c r="O69" s="45" t="s">
        <v>5703</v>
      </c>
      <c r="P69" s="45" t="s">
        <v>5703</v>
      </c>
      <c r="Q69" s="45" t="s">
        <v>5703</v>
      </c>
      <c r="R69" s="45" t="s">
        <v>5703</v>
      </c>
      <c r="S69" s="45" t="s">
        <v>5703</v>
      </c>
      <c r="T69" s="45" t="s">
        <v>5703</v>
      </c>
      <c r="U69" s="45" t="s">
        <v>5703</v>
      </c>
      <c r="V69" s="45" t="s">
        <v>5703</v>
      </c>
      <c r="X69" s="25">
        <v>25</v>
      </c>
      <c r="Y69" s="25" t="s">
        <v>527</v>
      </c>
      <c r="Z69" s="25">
        <v>35</v>
      </c>
      <c r="AA69" s="25">
        <v>-20</v>
      </c>
      <c r="AB69" s="27" t="s">
        <v>414</v>
      </c>
      <c r="AC69" s="25" t="s">
        <v>415</v>
      </c>
      <c r="AD69" s="25" t="s">
        <v>66</v>
      </c>
      <c r="AE69" s="25" t="s">
        <v>489</v>
      </c>
      <c r="AF69" s="25" t="s">
        <v>490</v>
      </c>
      <c r="AG69" s="25">
        <v>9</v>
      </c>
      <c r="AH69" s="25">
        <v>-3</v>
      </c>
      <c r="AI69" s="25">
        <v>20</v>
      </c>
      <c r="AO69" s="26">
        <v>-60</v>
      </c>
      <c r="AP69" s="25">
        <v>7</v>
      </c>
      <c r="AR69" s="25">
        <v>53</v>
      </c>
      <c r="AS69" s="25" t="s">
        <v>608</v>
      </c>
      <c r="AX69" s="25" t="s">
        <v>5243</v>
      </c>
      <c r="AY69" s="25">
        <v>40</v>
      </c>
      <c r="AZ69" s="25">
        <v>-10</v>
      </c>
      <c r="BA69" s="25">
        <v>7</v>
      </c>
      <c r="BB69" s="25" t="s">
        <v>415</v>
      </c>
      <c r="BC69" s="45" t="s">
        <v>5703</v>
      </c>
      <c r="BD69" s="25" t="s">
        <v>5244</v>
      </c>
      <c r="BE69" s="45" t="s">
        <v>5703</v>
      </c>
      <c r="BF69" s="25">
        <v>12</v>
      </c>
      <c r="BG69" s="25">
        <v>5</v>
      </c>
      <c r="BH69" s="25">
        <v>20</v>
      </c>
      <c r="BI69" s="45" t="s">
        <v>5703</v>
      </c>
      <c r="CV69" s="261" t="s">
        <v>29</v>
      </c>
      <c r="CW69" s="85">
        <f>IF('Hoja básica'!BD3&lt;&gt;0,1,0)-IF('Hoja básica'!BC3&lt;&gt;0,1,0)</f>
        <v>0</v>
      </c>
      <c r="CX69" s="253">
        <f>IF('Hoja básica'!$BD3&gt;=CX$67,1,0)</f>
        <v>0</v>
      </c>
      <c r="CY69" s="218">
        <f>IF('Hoja básica'!$BD3&gt;=CY$67,1,0)</f>
        <v>0</v>
      </c>
      <c r="CZ69" s="218">
        <f>IF('Hoja básica'!$BD3&gt;=CZ$67,1,0)</f>
        <v>0</v>
      </c>
      <c r="DA69" s="218">
        <f>IF('Hoja básica'!$BD3&gt;=DA$67,1,0)</f>
        <v>0</v>
      </c>
      <c r="DB69" s="218">
        <f>IF('Hoja básica'!$BD3&gt;=DB$67,1,0)</f>
        <v>0</v>
      </c>
      <c r="DC69" s="218">
        <f>IF('Hoja básica'!$BD3&gt;=DC$67,1,0)</f>
        <v>0</v>
      </c>
      <c r="DD69" s="218">
        <f>IF('Hoja básica'!$BD3&gt;=DD$67,1,0)</f>
        <v>0</v>
      </c>
      <c r="DE69" s="218">
        <f>IF('Hoja básica'!$BD3&gt;=DE$67,1,0)</f>
        <v>0</v>
      </c>
      <c r="DF69" s="218">
        <f>IF('Hoja básica'!$BD3&gt;=DF$67,1,0)</f>
        <v>0</v>
      </c>
      <c r="DG69" s="254">
        <f>IF('Hoja básica'!$BD3&gt;=DG$67,1,0)</f>
        <v>0</v>
      </c>
      <c r="DH69" s="253">
        <f>$CW69*CX69</f>
        <v>0</v>
      </c>
      <c r="DI69" s="218">
        <f t="shared" ref="DI69:DQ79" si="3">$CW69*CY69</f>
        <v>0</v>
      </c>
      <c r="DJ69" s="218">
        <f t="shared" si="3"/>
        <v>0</v>
      </c>
      <c r="DK69" s="218">
        <f t="shared" si="3"/>
        <v>0</v>
      </c>
      <c r="DL69" s="218">
        <f t="shared" si="3"/>
        <v>0</v>
      </c>
      <c r="DM69" s="218">
        <f t="shared" si="3"/>
        <v>0</v>
      </c>
      <c r="DN69" s="218">
        <f t="shared" si="3"/>
        <v>0</v>
      </c>
      <c r="DO69" s="218">
        <f t="shared" si="3"/>
        <v>0</v>
      </c>
      <c r="DP69" s="218">
        <f t="shared" si="3"/>
        <v>0</v>
      </c>
      <c r="DQ69" s="254">
        <f t="shared" si="3"/>
        <v>0</v>
      </c>
    </row>
    <row r="70" spans="2:121" x14ac:dyDescent="0.2">
      <c r="B70" s="25" t="s">
        <v>619</v>
      </c>
      <c r="C70" s="25">
        <v>2</v>
      </c>
      <c r="D70" s="25">
        <v>2</v>
      </c>
      <c r="E70" s="25">
        <v>2</v>
      </c>
      <c r="F70" s="25">
        <v>2</v>
      </c>
      <c r="G70" s="25">
        <v>2</v>
      </c>
      <c r="H70" s="25">
        <v>2</v>
      </c>
      <c r="I70" s="25">
        <v>2</v>
      </c>
      <c r="J70" s="25">
        <v>2</v>
      </c>
      <c r="K70" s="25">
        <v>2</v>
      </c>
      <c r="L70" s="25">
        <v>2</v>
      </c>
      <c r="M70" s="25">
        <v>2</v>
      </c>
      <c r="N70" s="25">
        <v>2</v>
      </c>
      <c r="O70" s="25">
        <v>2</v>
      </c>
      <c r="P70" s="25">
        <v>2</v>
      </c>
      <c r="Q70" s="25">
        <v>1</v>
      </c>
      <c r="R70" s="25">
        <v>1</v>
      </c>
      <c r="S70" s="25">
        <v>2</v>
      </c>
      <c r="T70" s="25">
        <v>2</v>
      </c>
      <c r="U70" s="25">
        <v>2</v>
      </c>
      <c r="V70" s="25">
        <v>2</v>
      </c>
      <c r="X70" s="25">
        <v>26</v>
      </c>
      <c r="Y70" s="25" t="s">
        <v>531</v>
      </c>
      <c r="Z70" s="25">
        <v>5</v>
      </c>
      <c r="AA70" s="25">
        <v>10</v>
      </c>
      <c r="AB70" s="27" t="s">
        <v>414</v>
      </c>
      <c r="AC70" s="25" t="s">
        <v>66</v>
      </c>
      <c r="AD70" s="45" t="s">
        <v>5703</v>
      </c>
      <c r="AE70" s="25" t="s">
        <v>489</v>
      </c>
      <c r="AF70" s="25" t="s">
        <v>620</v>
      </c>
      <c r="AG70" s="25">
        <v>9</v>
      </c>
      <c r="AH70" s="25">
        <v>-4</v>
      </c>
      <c r="AI70" s="25">
        <v>20</v>
      </c>
      <c r="AJ70" s="25" t="s">
        <v>621</v>
      </c>
      <c r="AO70" s="26">
        <v>-55</v>
      </c>
      <c r="AP70" s="25">
        <v>7</v>
      </c>
      <c r="AQ70" s="25" t="s">
        <v>573</v>
      </c>
      <c r="AR70" s="25">
        <v>54</v>
      </c>
      <c r="AS70" s="25" t="s">
        <v>622</v>
      </c>
      <c r="AX70" s="25" t="s">
        <v>556</v>
      </c>
      <c r="AY70" s="25">
        <v>40</v>
      </c>
      <c r="AZ70" s="25">
        <v>0</v>
      </c>
      <c r="BA70" s="135" t="s">
        <v>5703</v>
      </c>
      <c r="BB70" s="25" t="s">
        <v>424</v>
      </c>
      <c r="BC70" s="45" t="s">
        <v>5703</v>
      </c>
      <c r="BD70" s="25" t="s">
        <v>445</v>
      </c>
      <c r="BE70" s="45" t="s">
        <v>5703</v>
      </c>
      <c r="BF70" s="26">
        <v>4</v>
      </c>
      <c r="BG70" s="26">
        <v>1</v>
      </c>
      <c r="BH70" s="26">
        <v>20</v>
      </c>
      <c r="BI70" s="45" t="s">
        <v>5703</v>
      </c>
      <c r="CV70" s="261" t="s">
        <v>39</v>
      </c>
      <c r="CW70" s="85">
        <f>IF('Hoja básica'!BD4&lt;&gt;0,1,0)-IF('Hoja básica'!BC4&lt;&gt;0,1,0)</f>
        <v>0</v>
      </c>
      <c r="CX70" s="253">
        <f>IF('Hoja básica'!$BD4&gt;=CX$67,1,0)</f>
        <v>0</v>
      </c>
      <c r="CY70" s="218">
        <f>IF('Hoja básica'!$BD4&gt;=CY$67,1,0)</f>
        <v>0</v>
      </c>
      <c r="CZ70" s="218">
        <f>IF('Hoja básica'!$BD4&gt;=CZ$67,1,0)</f>
        <v>0</v>
      </c>
      <c r="DA70" s="218">
        <f>IF('Hoja básica'!$BD4&gt;=DA$67,1,0)</f>
        <v>0</v>
      </c>
      <c r="DB70" s="218">
        <f>IF('Hoja básica'!$BD4&gt;=DB$67,1,0)</f>
        <v>0</v>
      </c>
      <c r="DC70" s="218">
        <f>IF('Hoja básica'!$BD4&gt;=DC$67,1,0)</f>
        <v>0</v>
      </c>
      <c r="DD70" s="218">
        <f>IF('Hoja básica'!$BD4&gt;=DD$67,1,0)</f>
        <v>0</v>
      </c>
      <c r="DE70" s="218">
        <f>IF('Hoja básica'!$BD4&gt;=DE$67,1,0)</f>
        <v>0</v>
      </c>
      <c r="DF70" s="218">
        <f>IF('Hoja básica'!$BD4&gt;=DF$67,1,0)</f>
        <v>0</v>
      </c>
      <c r="DG70" s="254">
        <f>IF('Hoja básica'!$BD4&gt;=DG$67,1,0)</f>
        <v>0</v>
      </c>
      <c r="DH70" s="253">
        <f t="shared" ref="DH70:DH79" si="4">$CW70*CX70</f>
        <v>0</v>
      </c>
      <c r="DI70" s="218">
        <f t="shared" si="3"/>
        <v>0</v>
      </c>
      <c r="DJ70" s="218">
        <f t="shared" si="3"/>
        <v>0</v>
      </c>
      <c r="DK70" s="218">
        <f t="shared" si="3"/>
        <v>0</v>
      </c>
      <c r="DL70" s="218">
        <f t="shared" si="3"/>
        <v>0</v>
      </c>
      <c r="DM70" s="218">
        <f t="shared" si="3"/>
        <v>0</v>
      </c>
      <c r="DN70" s="218">
        <f t="shared" si="3"/>
        <v>0</v>
      </c>
      <c r="DO70" s="218">
        <f t="shared" si="3"/>
        <v>0</v>
      </c>
      <c r="DP70" s="218">
        <f t="shared" si="3"/>
        <v>0</v>
      </c>
      <c r="DQ70" s="254">
        <f t="shared" si="3"/>
        <v>0</v>
      </c>
    </row>
    <row r="71" spans="2:121" x14ac:dyDescent="0.2">
      <c r="B71" s="25" t="s">
        <v>623</v>
      </c>
      <c r="C71" s="25">
        <v>2</v>
      </c>
      <c r="D71" s="25">
        <v>2</v>
      </c>
      <c r="E71" s="25">
        <v>2</v>
      </c>
      <c r="F71" s="25">
        <v>2</v>
      </c>
      <c r="G71" s="25">
        <v>2</v>
      </c>
      <c r="H71" s="25">
        <v>2</v>
      </c>
      <c r="I71" s="25">
        <v>2</v>
      </c>
      <c r="J71" s="25">
        <v>2</v>
      </c>
      <c r="K71" s="25">
        <v>2</v>
      </c>
      <c r="L71" s="25">
        <v>2</v>
      </c>
      <c r="M71" s="25">
        <v>2</v>
      </c>
      <c r="N71" s="25">
        <v>2</v>
      </c>
      <c r="O71" s="25">
        <v>2</v>
      </c>
      <c r="P71" s="25">
        <v>2</v>
      </c>
      <c r="Q71" s="25">
        <v>1</v>
      </c>
      <c r="R71" s="25">
        <v>1</v>
      </c>
      <c r="S71" s="25">
        <v>2</v>
      </c>
      <c r="T71" s="25">
        <v>2</v>
      </c>
      <c r="U71" s="25">
        <v>2</v>
      </c>
      <c r="V71" s="25">
        <v>2</v>
      </c>
      <c r="X71" s="25">
        <v>27</v>
      </c>
      <c r="Y71" s="25" t="s">
        <v>549</v>
      </c>
      <c r="Z71" s="25">
        <v>90</v>
      </c>
      <c r="AA71" s="25">
        <v>-60</v>
      </c>
      <c r="AB71" s="27" t="s">
        <v>624</v>
      </c>
      <c r="AC71" s="25" t="s">
        <v>415</v>
      </c>
      <c r="AD71" s="25" t="s">
        <v>66</v>
      </c>
      <c r="AE71" s="25" t="s">
        <v>549</v>
      </c>
      <c r="AF71" s="25" t="s">
        <v>530</v>
      </c>
      <c r="AG71" s="25">
        <v>18</v>
      </c>
      <c r="AH71" s="25">
        <v>6</v>
      </c>
      <c r="AI71" s="25">
        <v>30</v>
      </c>
      <c r="AO71" s="26">
        <v>-50</v>
      </c>
      <c r="AP71" s="25">
        <v>7</v>
      </c>
      <c r="AR71" s="25">
        <v>54.5</v>
      </c>
      <c r="AS71" s="25" t="s">
        <v>625</v>
      </c>
      <c r="AX71" s="25" t="s">
        <v>558</v>
      </c>
      <c r="AY71" s="25">
        <v>30</v>
      </c>
      <c r="AZ71" s="25">
        <v>0</v>
      </c>
      <c r="BA71" s="135" t="s">
        <v>5703</v>
      </c>
      <c r="BB71" s="25" t="s">
        <v>424</v>
      </c>
      <c r="BC71" s="45" t="s">
        <v>5703</v>
      </c>
      <c r="BD71" s="25" t="s">
        <v>445</v>
      </c>
      <c r="BE71" s="45" t="s">
        <v>5703</v>
      </c>
      <c r="BF71" s="26">
        <v>3</v>
      </c>
      <c r="BG71" s="26">
        <v>0</v>
      </c>
      <c r="BH71" s="26">
        <v>20</v>
      </c>
      <c r="BI71" s="25" t="s">
        <v>559</v>
      </c>
      <c r="CV71" s="261" t="s">
        <v>49</v>
      </c>
      <c r="CW71" s="85">
        <f>IF('Hoja básica'!BD5&lt;&gt;0,1,0)-IF('Hoja básica'!BC5&lt;&gt;0,1,0)</f>
        <v>0</v>
      </c>
      <c r="CX71" s="253">
        <f>IF('Hoja básica'!$BD5&gt;=CX$67,1,0)</f>
        <v>0</v>
      </c>
      <c r="CY71" s="218">
        <f>IF('Hoja básica'!$BD5&gt;=CY$67,1,0)</f>
        <v>0</v>
      </c>
      <c r="CZ71" s="218">
        <f>IF('Hoja básica'!$BD5&gt;=CZ$67,1,0)</f>
        <v>0</v>
      </c>
      <c r="DA71" s="218">
        <f>IF('Hoja básica'!$BD5&gt;=DA$67,1,0)</f>
        <v>0</v>
      </c>
      <c r="DB71" s="218">
        <f>IF('Hoja básica'!$BD5&gt;=DB$67,1,0)</f>
        <v>0</v>
      </c>
      <c r="DC71" s="218">
        <f>IF('Hoja básica'!$BD5&gt;=DC$67,1,0)</f>
        <v>0</v>
      </c>
      <c r="DD71" s="218">
        <f>IF('Hoja básica'!$BD5&gt;=DD$67,1,0)</f>
        <v>0</v>
      </c>
      <c r="DE71" s="218">
        <f>IF('Hoja básica'!$BD5&gt;=DE$67,1,0)</f>
        <v>0</v>
      </c>
      <c r="DF71" s="218">
        <f>IF('Hoja básica'!$BD5&gt;=DF$67,1,0)</f>
        <v>0</v>
      </c>
      <c r="DG71" s="254">
        <f>IF('Hoja básica'!$BD5&gt;=DG$67,1,0)</f>
        <v>0</v>
      </c>
      <c r="DH71" s="253">
        <f t="shared" si="4"/>
        <v>0</v>
      </c>
      <c r="DI71" s="218">
        <f t="shared" si="3"/>
        <v>0</v>
      </c>
      <c r="DJ71" s="218">
        <f t="shared" si="3"/>
        <v>0</v>
      </c>
      <c r="DK71" s="218">
        <f t="shared" si="3"/>
        <v>0</v>
      </c>
      <c r="DL71" s="218">
        <f t="shared" si="3"/>
        <v>0</v>
      </c>
      <c r="DM71" s="218">
        <f t="shared" si="3"/>
        <v>0</v>
      </c>
      <c r="DN71" s="218">
        <f t="shared" si="3"/>
        <v>0</v>
      </c>
      <c r="DO71" s="218">
        <f t="shared" si="3"/>
        <v>0</v>
      </c>
      <c r="DP71" s="218">
        <f t="shared" si="3"/>
        <v>0</v>
      </c>
      <c r="DQ71" s="254">
        <f t="shared" si="3"/>
        <v>0</v>
      </c>
    </row>
    <row r="72" spans="2:121" x14ac:dyDescent="0.2">
      <c r="B72" s="25" t="s">
        <v>626</v>
      </c>
      <c r="C72" s="25">
        <v>2</v>
      </c>
      <c r="D72" s="25">
        <v>2</v>
      </c>
      <c r="E72" s="25">
        <v>2</v>
      </c>
      <c r="F72" s="25">
        <v>2</v>
      </c>
      <c r="G72" s="25">
        <v>2</v>
      </c>
      <c r="H72" s="25">
        <v>2</v>
      </c>
      <c r="I72" s="25">
        <v>2</v>
      </c>
      <c r="J72" s="25">
        <v>2</v>
      </c>
      <c r="K72" s="25">
        <v>2</v>
      </c>
      <c r="L72" s="25">
        <v>2</v>
      </c>
      <c r="M72" s="25">
        <v>2</v>
      </c>
      <c r="N72" s="25">
        <v>2</v>
      </c>
      <c r="O72" s="25">
        <v>2</v>
      </c>
      <c r="P72" s="25">
        <v>2</v>
      </c>
      <c r="Q72" s="25">
        <v>1</v>
      </c>
      <c r="R72" s="25">
        <v>1</v>
      </c>
      <c r="S72" s="25">
        <v>2</v>
      </c>
      <c r="T72" s="25">
        <v>2</v>
      </c>
      <c r="U72" s="25">
        <v>2</v>
      </c>
      <c r="V72" s="25">
        <v>2</v>
      </c>
      <c r="X72" s="25">
        <v>28</v>
      </c>
      <c r="Y72" s="25" t="s">
        <v>550</v>
      </c>
      <c r="Z72" s="25">
        <v>80</v>
      </c>
      <c r="AA72" s="25">
        <v>-50</v>
      </c>
      <c r="AB72" s="27" t="s">
        <v>624</v>
      </c>
      <c r="AC72" s="25" t="s">
        <v>66</v>
      </c>
      <c r="AD72" s="45" t="s">
        <v>5703</v>
      </c>
      <c r="AE72" s="25" t="s">
        <v>627</v>
      </c>
      <c r="AF72" s="25" t="s">
        <v>628</v>
      </c>
      <c r="AG72" s="25">
        <v>14</v>
      </c>
      <c r="AH72" s="25">
        <v>6</v>
      </c>
      <c r="AI72" s="25">
        <v>20</v>
      </c>
      <c r="AO72" s="26">
        <v>-45</v>
      </c>
      <c r="AP72" s="25">
        <v>7</v>
      </c>
      <c r="AR72" s="25">
        <v>55</v>
      </c>
      <c r="AS72" s="25" t="s">
        <v>483</v>
      </c>
      <c r="AX72" s="25" t="s">
        <v>562</v>
      </c>
      <c r="AY72" s="25">
        <v>30</v>
      </c>
      <c r="AZ72" s="25">
        <v>0</v>
      </c>
      <c r="BA72" s="135" t="s">
        <v>5703</v>
      </c>
      <c r="BB72" s="25" t="s">
        <v>424</v>
      </c>
      <c r="BC72" s="45" t="s">
        <v>5703</v>
      </c>
      <c r="BD72" s="25" t="s">
        <v>445</v>
      </c>
      <c r="BE72" s="45" t="s">
        <v>5703</v>
      </c>
      <c r="BF72" s="26">
        <v>3</v>
      </c>
      <c r="BG72" s="26">
        <v>0</v>
      </c>
      <c r="BH72" s="26">
        <v>20</v>
      </c>
      <c r="BI72" s="25" t="s">
        <v>563</v>
      </c>
      <c r="CV72" s="261" t="s">
        <v>61</v>
      </c>
      <c r="CW72" s="85">
        <f>IF('Hoja básica'!BD6&lt;&gt;0,1,0)-IF('Hoja básica'!BC6&lt;&gt;0,1,0)</f>
        <v>0</v>
      </c>
      <c r="CX72" s="253">
        <f>IF('Hoja básica'!$BD6&gt;=CX$67,1,0)</f>
        <v>0</v>
      </c>
      <c r="CY72" s="218">
        <f>IF('Hoja básica'!$BD6&gt;=CY$67,1,0)</f>
        <v>0</v>
      </c>
      <c r="CZ72" s="218">
        <f>IF('Hoja básica'!$BD6&gt;=CZ$67,1,0)</f>
        <v>0</v>
      </c>
      <c r="DA72" s="218">
        <f>IF('Hoja básica'!$BD6&gt;=DA$67,1,0)</f>
        <v>0</v>
      </c>
      <c r="DB72" s="218">
        <f>IF('Hoja básica'!$BD6&gt;=DB$67,1,0)</f>
        <v>0</v>
      </c>
      <c r="DC72" s="218">
        <f>IF('Hoja básica'!$BD6&gt;=DC$67,1,0)</f>
        <v>0</v>
      </c>
      <c r="DD72" s="218">
        <f>IF('Hoja básica'!$BD6&gt;=DD$67,1,0)</f>
        <v>0</v>
      </c>
      <c r="DE72" s="218">
        <f>IF('Hoja básica'!$BD6&gt;=DE$67,1,0)</f>
        <v>0</v>
      </c>
      <c r="DF72" s="218">
        <f>IF('Hoja básica'!$BD6&gt;=DF$67,1,0)</f>
        <v>0</v>
      </c>
      <c r="DG72" s="254">
        <f>IF('Hoja básica'!$BD6&gt;=DG$67,1,0)</f>
        <v>0</v>
      </c>
      <c r="DH72" s="253">
        <f t="shared" si="4"/>
        <v>0</v>
      </c>
      <c r="DI72" s="218">
        <f t="shared" si="3"/>
        <v>0</v>
      </c>
      <c r="DJ72" s="218">
        <f t="shared" si="3"/>
        <v>0</v>
      </c>
      <c r="DK72" s="218">
        <f t="shared" si="3"/>
        <v>0</v>
      </c>
      <c r="DL72" s="218">
        <f t="shared" si="3"/>
        <v>0</v>
      </c>
      <c r="DM72" s="218">
        <f t="shared" si="3"/>
        <v>0</v>
      </c>
      <c r="DN72" s="218">
        <f t="shared" si="3"/>
        <v>0</v>
      </c>
      <c r="DO72" s="218">
        <f t="shared" si="3"/>
        <v>0</v>
      </c>
      <c r="DP72" s="218">
        <f t="shared" si="3"/>
        <v>0</v>
      </c>
      <c r="DQ72" s="254">
        <f t="shared" si="3"/>
        <v>0</v>
      </c>
    </row>
    <row r="73" spans="2:121" x14ac:dyDescent="0.2">
      <c r="B73" s="25" t="s">
        <v>629</v>
      </c>
      <c r="C73" s="25">
        <v>2</v>
      </c>
      <c r="D73" s="25">
        <v>2</v>
      </c>
      <c r="E73" s="25">
        <v>2</v>
      </c>
      <c r="F73" s="25">
        <v>2</v>
      </c>
      <c r="G73" s="25">
        <v>2</v>
      </c>
      <c r="H73" s="25">
        <v>2</v>
      </c>
      <c r="I73" s="25">
        <v>2</v>
      </c>
      <c r="J73" s="25">
        <v>2</v>
      </c>
      <c r="K73" s="25">
        <v>2</v>
      </c>
      <c r="L73" s="25">
        <v>1</v>
      </c>
      <c r="M73" s="25">
        <v>2</v>
      </c>
      <c r="N73" s="25">
        <v>2</v>
      </c>
      <c r="O73" s="25">
        <v>2</v>
      </c>
      <c r="P73" s="25">
        <v>2</v>
      </c>
      <c r="Q73" s="25">
        <v>1</v>
      </c>
      <c r="R73" s="25">
        <v>1</v>
      </c>
      <c r="S73" s="25">
        <v>2</v>
      </c>
      <c r="T73" s="25">
        <v>2</v>
      </c>
      <c r="U73" s="25">
        <v>2</v>
      </c>
      <c r="V73" s="25">
        <v>2</v>
      </c>
      <c r="X73" s="25">
        <v>102</v>
      </c>
      <c r="Y73" s="25" t="s">
        <v>630</v>
      </c>
      <c r="Z73" s="25">
        <v>30</v>
      </c>
      <c r="AA73" s="25">
        <v>-20</v>
      </c>
      <c r="AB73" s="27" t="s">
        <v>414</v>
      </c>
      <c r="AC73" s="25" t="s">
        <v>66</v>
      </c>
      <c r="AD73" s="45" t="s">
        <v>5703</v>
      </c>
      <c r="AE73" s="25" t="s">
        <v>429</v>
      </c>
      <c r="AF73" s="45" t="s">
        <v>5703</v>
      </c>
      <c r="AG73" s="26">
        <v>12</v>
      </c>
      <c r="AH73" s="26">
        <v>2</v>
      </c>
      <c r="AI73" s="26">
        <v>10</v>
      </c>
      <c r="AO73" s="26">
        <v>-40</v>
      </c>
      <c r="AP73" s="25">
        <v>7</v>
      </c>
      <c r="AR73" s="25">
        <v>56</v>
      </c>
      <c r="AS73" s="25" t="s">
        <v>631</v>
      </c>
      <c r="AX73" s="25" t="s">
        <v>498</v>
      </c>
      <c r="AY73" s="25">
        <v>35</v>
      </c>
      <c r="AZ73" s="25">
        <v>15</v>
      </c>
      <c r="BA73" s="27" t="s">
        <v>460</v>
      </c>
      <c r="BB73" s="25" t="s">
        <v>424</v>
      </c>
      <c r="BC73" s="45" t="s">
        <v>5703</v>
      </c>
      <c r="BD73" s="25" t="s">
        <v>566</v>
      </c>
      <c r="BE73" s="25" t="s">
        <v>504</v>
      </c>
      <c r="BF73" s="25">
        <v>9</v>
      </c>
      <c r="BG73" s="25">
        <v>-2</v>
      </c>
      <c r="BH73" s="25">
        <v>20</v>
      </c>
      <c r="BI73" s="45" t="s">
        <v>5703</v>
      </c>
      <c r="CV73" s="261" t="s">
        <v>70</v>
      </c>
      <c r="CW73" s="85">
        <f>IF('Hoja básica'!BD7&lt;&gt;0,2,0)-IF('Hoja básica'!BC7&lt;&gt;0,1,0)</f>
        <v>0</v>
      </c>
      <c r="CX73" s="253">
        <f>IF('Hoja básica'!$BD7&gt;=CX$67,1,0)</f>
        <v>0</v>
      </c>
      <c r="CY73" s="218">
        <f>IF('Hoja básica'!$BD7&gt;=CY$67,1,0)</f>
        <v>0</v>
      </c>
      <c r="CZ73" s="218">
        <f>IF('Hoja básica'!$BD7&gt;=CZ$67,1,0)</f>
        <v>0</v>
      </c>
      <c r="DA73" s="218">
        <f>IF('Hoja básica'!$BD7&gt;=DA$67,1,0)</f>
        <v>0</v>
      </c>
      <c r="DB73" s="218">
        <f>IF('Hoja básica'!$BD7&gt;=DB$67,1,0)</f>
        <v>0</v>
      </c>
      <c r="DC73" s="218">
        <f>IF('Hoja básica'!$BD7&gt;=DC$67,1,0)</f>
        <v>0</v>
      </c>
      <c r="DD73" s="218">
        <f>IF('Hoja básica'!$BD7&gt;=DD$67,1,0)</f>
        <v>0</v>
      </c>
      <c r="DE73" s="218">
        <f>IF('Hoja básica'!$BD7&gt;=DE$67,1,0)</f>
        <v>0</v>
      </c>
      <c r="DF73" s="218">
        <f>IF('Hoja básica'!$BD7&gt;=DF$67,1,0)</f>
        <v>0</v>
      </c>
      <c r="DG73" s="254">
        <f>IF('Hoja básica'!$BD7&gt;=DG$67,1,0)</f>
        <v>0</v>
      </c>
      <c r="DH73" s="253">
        <f t="shared" si="4"/>
        <v>0</v>
      </c>
      <c r="DI73" s="218">
        <f t="shared" si="3"/>
        <v>0</v>
      </c>
      <c r="DJ73" s="218">
        <f t="shared" si="3"/>
        <v>0</v>
      </c>
      <c r="DK73" s="218">
        <f t="shared" si="3"/>
        <v>0</v>
      </c>
      <c r="DL73" s="218">
        <f t="shared" si="3"/>
        <v>0</v>
      </c>
      <c r="DM73" s="218">
        <f t="shared" si="3"/>
        <v>0</v>
      </c>
      <c r="DN73" s="218">
        <f t="shared" si="3"/>
        <v>0</v>
      </c>
      <c r="DO73" s="218">
        <f t="shared" si="3"/>
        <v>0</v>
      </c>
      <c r="DP73" s="218">
        <f t="shared" si="3"/>
        <v>0</v>
      </c>
      <c r="DQ73" s="254">
        <f t="shared" si="3"/>
        <v>0</v>
      </c>
    </row>
    <row r="74" spans="2:121" x14ac:dyDescent="0.2">
      <c r="B74" s="25" t="s">
        <v>211</v>
      </c>
      <c r="C74" s="45" t="s">
        <v>5703</v>
      </c>
      <c r="D74" s="45" t="s">
        <v>5703</v>
      </c>
      <c r="E74" s="45" t="s">
        <v>5703</v>
      </c>
      <c r="F74" s="45" t="s">
        <v>5703</v>
      </c>
      <c r="G74" s="45" t="s">
        <v>5703</v>
      </c>
      <c r="H74" s="45" t="s">
        <v>5703</v>
      </c>
      <c r="I74" s="45" t="s">
        <v>5703</v>
      </c>
      <c r="J74" s="45" t="s">
        <v>5703</v>
      </c>
      <c r="K74" s="45" t="s">
        <v>5703</v>
      </c>
      <c r="L74" s="45" t="s">
        <v>5703</v>
      </c>
      <c r="M74" s="45" t="s">
        <v>5703</v>
      </c>
      <c r="N74" s="45" t="s">
        <v>5703</v>
      </c>
      <c r="O74" s="45" t="s">
        <v>5703</v>
      </c>
      <c r="P74" s="45" t="s">
        <v>5703</v>
      </c>
      <c r="Q74" s="45" t="s">
        <v>5703</v>
      </c>
      <c r="R74" s="45" t="s">
        <v>5703</v>
      </c>
      <c r="S74" s="45" t="s">
        <v>5703</v>
      </c>
      <c r="T74" s="45" t="s">
        <v>5703</v>
      </c>
      <c r="U74" s="45" t="s">
        <v>5703</v>
      </c>
      <c r="V74" s="45" t="s">
        <v>5703</v>
      </c>
      <c r="X74" s="25">
        <v>29</v>
      </c>
      <c r="Y74" s="25" t="s">
        <v>552</v>
      </c>
      <c r="Z74" s="25">
        <v>50</v>
      </c>
      <c r="AA74" s="25">
        <v>-5</v>
      </c>
      <c r="AB74" s="27" t="s">
        <v>432</v>
      </c>
      <c r="AC74" s="25" t="s">
        <v>66</v>
      </c>
      <c r="AD74" s="45" t="s">
        <v>5703</v>
      </c>
      <c r="AE74" s="25" t="s">
        <v>429</v>
      </c>
      <c r="AF74" s="45" t="s">
        <v>5703</v>
      </c>
      <c r="AG74" s="25">
        <v>15</v>
      </c>
      <c r="AH74" s="25">
        <v>4</v>
      </c>
      <c r="AI74" s="25">
        <v>15</v>
      </c>
      <c r="AO74" s="26">
        <v>-35</v>
      </c>
      <c r="AP74" s="25">
        <v>7</v>
      </c>
      <c r="AR74" s="25">
        <v>57</v>
      </c>
      <c r="AS74" s="25" t="s">
        <v>632</v>
      </c>
      <c r="AX74" s="25" t="s">
        <v>500</v>
      </c>
      <c r="AY74" s="25">
        <v>30</v>
      </c>
      <c r="AZ74" s="25">
        <v>10</v>
      </c>
      <c r="BA74" s="27" t="s">
        <v>460</v>
      </c>
      <c r="BB74" s="25" t="s">
        <v>424</v>
      </c>
      <c r="BC74" s="45" t="s">
        <v>5703</v>
      </c>
      <c r="BD74" s="25" t="s">
        <v>416</v>
      </c>
      <c r="BE74" s="45" t="s">
        <v>5703</v>
      </c>
      <c r="BF74" s="25">
        <v>11</v>
      </c>
      <c r="BG74" s="25">
        <v>-2</v>
      </c>
      <c r="BH74" s="25">
        <v>15</v>
      </c>
      <c r="BI74" s="45" t="s">
        <v>5703</v>
      </c>
      <c r="CV74" s="261" t="s">
        <v>65</v>
      </c>
      <c r="CW74" s="85">
        <f>IF('Hoja básica'!BD8&lt;&gt;0,2,0)-IF('Hoja básica'!BC8&lt;&gt;0,1,0)</f>
        <v>0</v>
      </c>
      <c r="CX74" s="253">
        <f>IF('Hoja básica'!$BD8&gt;=CX$67,1,0)</f>
        <v>0</v>
      </c>
      <c r="CY74" s="218">
        <f>IF('Hoja básica'!$BD8&gt;=CY$67,1,0)</f>
        <v>0</v>
      </c>
      <c r="CZ74" s="218">
        <f>IF('Hoja básica'!$BD8&gt;=CZ$67,1,0)</f>
        <v>0</v>
      </c>
      <c r="DA74" s="218">
        <f>IF('Hoja básica'!$BD8&gt;=DA$67,1,0)</f>
        <v>0</v>
      </c>
      <c r="DB74" s="218">
        <f>IF('Hoja básica'!$BD8&gt;=DB$67,1,0)</f>
        <v>0</v>
      </c>
      <c r="DC74" s="218">
        <f>IF('Hoja básica'!$BD8&gt;=DC$67,1,0)</f>
        <v>0</v>
      </c>
      <c r="DD74" s="218">
        <f>IF('Hoja básica'!$BD8&gt;=DD$67,1,0)</f>
        <v>0</v>
      </c>
      <c r="DE74" s="218">
        <f>IF('Hoja básica'!$BD8&gt;=DE$67,1,0)</f>
        <v>0</v>
      </c>
      <c r="DF74" s="218">
        <f>IF('Hoja básica'!$BD8&gt;=DF$67,1,0)</f>
        <v>0</v>
      </c>
      <c r="DG74" s="254">
        <f>IF('Hoja básica'!$BD8&gt;=DG$67,1,0)</f>
        <v>0</v>
      </c>
      <c r="DH74" s="253">
        <f t="shared" si="4"/>
        <v>0</v>
      </c>
      <c r="DI74" s="218">
        <f t="shared" si="3"/>
        <v>0</v>
      </c>
      <c r="DJ74" s="218">
        <f t="shared" si="3"/>
        <v>0</v>
      </c>
      <c r="DK74" s="218">
        <f t="shared" si="3"/>
        <v>0</v>
      </c>
      <c r="DL74" s="218">
        <f t="shared" si="3"/>
        <v>0</v>
      </c>
      <c r="DM74" s="218">
        <f>$CW74*DC74</f>
        <v>0</v>
      </c>
      <c r="DN74" s="218">
        <f t="shared" si="3"/>
        <v>0</v>
      </c>
      <c r="DO74" s="218">
        <f t="shared" si="3"/>
        <v>0</v>
      </c>
      <c r="DP74" s="218">
        <f t="shared" si="3"/>
        <v>0</v>
      </c>
      <c r="DQ74" s="254">
        <f t="shared" si="3"/>
        <v>0</v>
      </c>
    </row>
    <row r="75" spans="2:121" x14ac:dyDescent="0.2">
      <c r="B75" s="25" t="s">
        <v>633</v>
      </c>
      <c r="C75" s="25">
        <v>2</v>
      </c>
      <c r="D75" s="25">
        <v>2</v>
      </c>
      <c r="E75" s="25">
        <v>2</v>
      </c>
      <c r="F75" s="25">
        <v>2</v>
      </c>
      <c r="G75" s="25">
        <v>2</v>
      </c>
      <c r="H75" s="25">
        <v>2</v>
      </c>
      <c r="I75" s="25">
        <v>2</v>
      </c>
      <c r="J75" s="25">
        <v>2</v>
      </c>
      <c r="K75" s="25">
        <v>2</v>
      </c>
      <c r="L75" s="25">
        <v>2</v>
      </c>
      <c r="M75" s="25">
        <v>1</v>
      </c>
      <c r="N75" s="25">
        <v>3</v>
      </c>
      <c r="O75" s="25">
        <v>2</v>
      </c>
      <c r="P75" s="25">
        <v>2</v>
      </c>
      <c r="Q75" s="25">
        <v>3</v>
      </c>
      <c r="R75" s="25">
        <v>2</v>
      </c>
      <c r="S75" s="25">
        <v>2</v>
      </c>
      <c r="T75" s="25">
        <v>2</v>
      </c>
      <c r="U75" s="25">
        <v>2</v>
      </c>
      <c r="V75" s="25">
        <v>2</v>
      </c>
      <c r="X75" s="25">
        <v>30</v>
      </c>
      <c r="Y75" s="25" t="s">
        <v>554</v>
      </c>
      <c r="Z75" s="25">
        <v>40</v>
      </c>
      <c r="AA75" s="25">
        <v>0</v>
      </c>
      <c r="AB75" s="27" t="s">
        <v>432</v>
      </c>
      <c r="AC75" s="25" t="s">
        <v>66</v>
      </c>
      <c r="AD75" s="45" t="s">
        <v>5703</v>
      </c>
      <c r="AE75" s="25" t="s">
        <v>634</v>
      </c>
      <c r="AF75" s="25" t="s">
        <v>628</v>
      </c>
      <c r="AG75" s="25">
        <v>13</v>
      </c>
      <c r="AH75" s="25">
        <v>4</v>
      </c>
      <c r="AI75" s="25">
        <v>15</v>
      </c>
      <c r="AO75" s="26">
        <v>-30</v>
      </c>
      <c r="AP75" s="25">
        <v>7</v>
      </c>
      <c r="AR75" s="25">
        <v>58</v>
      </c>
      <c r="AS75" s="25" t="s">
        <v>470</v>
      </c>
      <c r="AX75" s="25" t="s">
        <v>570</v>
      </c>
      <c r="AY75" s="25">
        <v>30</v>
      </c>
      <c r="AZ75" s="25">
        <v>15</v>
      </c>
      <c r="BA75" s="27" t="s">
        <v>414</v>
      </c>
      <c r="BB75" s="25" t="s">
        <v>415</v>
      </c>
      <c r="BC75" s="25" t="s">
        <v>424</v>
      </c>
      <c r="BD75" s="25" t="s">
        <v>416</v>
      </c>
      <c r="BE75" s="45" t="s">
        <v>5703</v>
      </c>
      <c r="BF75" s="25">
        <v>12</v>
      </c>
      <c r="BG75" s="25">
        <v>2</v>
      </c>
      <c r="BH75" s="25">
        <v>15</v>
      </c>
      <c r="BI75" s="45" t="s">
        <v>5703</v>
      </c>
      <c r="CV75" s="261" t="s">
        <v>35</v>
      </c>
      <c r="CW75" s="85">
        <f>IF('Hoja básica'!BD9&lt;&gt;0,2,0)-IF('Hoja básica'!BC9&lt;&gt;0,1,0)</f>
        <v>0</v>
      </c>
      <c r="CX75" s="253">
        <f>IF('Hoja básica'!$BD9&gt;=CX$67,1,0)</f>
        <v>0</v>
      </c>
      <c r="CY75" s="218">
        <f>IF('Hoja básica'!$BD9&gt;=CY$67,1,0)</f>
        <v>0</v>
      </c>
      <c r="CZ75" s="218">
        <f>IF('Hoja básica'!$BD9&gt;=CZ$67,1,0)</f>
        <v>0</v>
      </c>
      <c r="DA75" s="218">
        <f>IF('Hoja básica'!$BD9&gt;=DA$67,1,0)</f>
        <v>0</v>
      </c>
      <c r="DB75" s="218">
        <f>IF('Hoja básica'!$BD9&gt;=DB$67,1,0)</f>
        <v>0</v>
      </c>
      <c r="DC75" s="218">
        <f>IF('Hoja básica'!$BD9&gt;=DC$67,1,0)</f>
        <v>0</v>
      </c>
      <c r="DD75" s="218">
        <f>IF('Hoja básica'!$BD9&gt;=DD$67,1,0)</f>
        <v>0</v>
      </c>
      <c r="DE75" s="218">
        <f>IF('Hoja básica'!$BD9&gt;=DE$67,1,0)</f>
        <v>0</v>
      </c>
      <c r="DF75" s="218">
        <f>IF('Hoja básica'!$BD9&gt;=DF$67,1,0)</f>
        <v>0</v>
      </c>
      <c r="DG75" s="254">
        <f>IF('Hoja básica'!$BD9&gt;=DG$67,1,0)</f>
        <v>0</v>
      </c>
      <c r="DH75" s="253">
        <f t="shared" si="4"/>
        <v>0</v>
      </c>
      <c r="DI75" s="218">
        <f t="shared" si="3"/>
        <v>0</v>
      </c>
      <c r="DJ75" s="218">
        <f t="shared" si="3"/>
        <v>0</v>
      </c>
      <c r="DK75" s="218">
        <f t="shared" si="3"/>
        <v>0</v>
      </c>
      <c r="DL75" s="218">
        <f t="shared" si="3"/>
        <v>0</v>
      </c>
      <c r="DM75" s="218">
        <f t="shared" si="3"/>
        <v>0</v>
      </c>
      <c r="DN75" s="218">
        <f t="shared" si="3"/>
        <v>0</v>
      </c>
      <c r="DO75" s="218">
        <f t="shared" si="3"/>
        <v>0</v>
      </c>
      <c r="DP75" s="218">
        <f t="shared" si="3"/>
        <v>0</v>
      </c>
      <c r="DQ75" s="254">
        <f t="shared" si="3"/>
        <v>0</v>
      </c>
    </row>
    <row r="76" spans="2:121" x14ac:dyDescent="0.2">
      <c r="B76" s="25" t="s">
        <v>635</v>
      </c>
      <c r="C76" s="25">
        <v>2</v>
      </c>
      <c r="D76" s="25">
        <v>2</v>
      </c>
      <c r="E76" s="25">
        <v>2</v>
      </c>
      <c r="F76" s="25">
        <v>2</v>
      </c>
      <c r="G76" s="25">
        <v>2</v>
      </c>
      <c r="H76" s="25">
        <v>2</v>
      </c>
      <c r="I76" s="25">
        <v>2</v>
      </c>
      <c r="J76" s="25">
        <v>2</v>
      </c>
      <c r="K76" s="25">
        <v>2</v>
      </c>
      <c r="L76" s="25">
        <v>2</v>
      </c>
      <c r="M76" s="25">
        <v>1</v>
      </c>
      <c r="N76" s="25">
        <v>3</v>
      </c>
      <c r="O76" s="25">
        <v>2</v>
      </c>
      <c r="P76" s="25">
        <v>2</v>
      </c>
      <c r="Q76" s="25">
        <v>3</v>
      </c>
      <c r="R76" s="25">
        <v>2</v>
      </c>
      <c r="S76" s="25">
        <v>2</v>
      </c>
      <c r="T76" s="25">
        <v>2</v>
      </c>
      <c r="U76" s="25">
        <v>2</v>
      </c>
      <c r="V76" s="25">
        <v>2</v>
      </c>
      <c r="X76" s="25">
        <v>31</v>
      </c>
      <c r="Y76" s="25" t="s">
        <v>429</v>
      </c>
      <c r="Z76" s="25">
        <v>40</v>
      </c>
      <c r="AA76" s="25">
        <v>0</v>
      </c>
      <c r="AB76" s="27" t="s">
        <v>432</v>
      </c>
      <c r="AC76" s="25" t="s">
        <v>66</v>
      </c>
      <c r="AD76" s="45" t="s">
        <v>5703</v>
      </c>
      <c r="AE76" s="25" t="s">
        <v>429</v>
      </c>
      <c r="AF76" s="45" t="s">
        <v>5703</v>
      </c>
      <c r="AG76" s="25">
        <v>14</v>
      </c>
      <c r="AH76" s="25">
        <v>4</v>
      </c>
      <c r="AI76" s="25">
        <v>15</v>
      </c>
      <c r="AO76" s="26">
        <v>-25</v>
      </c>
      <c r="AP76" s="25">
        <v>7</v>
      </c>
      <c r="AR76" s="25">
        <v>59</v>
      </c>
      <c r="AS76" s="25" t="s">
        <v>596</v>
      </c>
      <c r="AX76" s="25" t="s">
        <v>505</v>
      </c>
      <c r="AY76" s="25">
        <v>30</v>
      </c>
      <c r="AZ76" s="25">
        <v>0</v>
      </c>
      <c r="BA76" s="27" t="s">
        <v>440</v>
      </c>
      <c r="BB76" s="25" t="s">
        <v>66</v>
      </c>
      <c r="BC76" s="45" t="s">
        <v>5703</v>
      </c>
      <c r="BD76" s="25" t="s">
        <v>429</v>
      </c>
      <c r="BE76" s="45" t="s">
        <v>5703</v>
      </c>
      <c r="BF76" s="25">
        <v>11</v>
      </c>
      <c r="BG76" s="25">
        <v>-2</v>
      </c>
      <c r="BH76" s="25">
        <v>15</v>
      </c>
      <c r="BI76" s="45" t="s">
        <v>5703</v>
      </c>
      <c r="CV76" s="261" t="s">
        <v>60</v>
      </c>
      <c r="CW76" s="85">
        <f>IF('Hoja básica'!BD10&lt;&gt;0,2,0)-IF('Hoja básica'!BC10&lt;&gt;0,1,0)</f>
        <v>0</v>
      </c>
      <c r="CX76" s="253">
        <f>IF('Hoja básica'!$BD10&gt;=CX$67,1,0)</f>
        <v>0</v>
      </c>
      <c r="CY76" s="218">
        <f>IF('Hoja básica'!$BD10&gt;=CY$67,1,0)</f>
        <v>0</v>
      </c>
      <c r="CZ76" s="218">
        <f>IF('Hoja básica'!$BD10&gt;=CZ$67,1,0)</f>
        <v>0</v>
      </c>
      <c r="DA76" s="218">
        <f>IF('Hoja básica'!$BD10&gt;=DA$67,1,0)</f>
        <v>0</v>
      </c>
      <c r="DB76" s="218">
        <f>IF('Hoja básica'!$BD10&gt;=DB$67,1,0)</f>
        <v>0</v>
      </c>
      <c r="DC76" s="218">
        <f>IF('Hoja básica'!$BD10&gt;=DC$67,1,0)</f>
        <v>0</v>
      </c>
      <c r="DD76" s="218">
        <f>IF('Hoja básica'!$BD10&gt;=DD$67,1,0)</f>
        <v>0</v>
      </c>
      <c r="DE76" s="218">
        <f>IF('Hoja básica'!$BD10&gt;=DE$67,1,0)</f>
        <v>0</v>
      </c>
      <c r="DF76" s="218">
        <f>IF('Hoja básica'!$BD10&gt;=DF$67,1,0)</f>
        <v>0</v>
      </c>
      <c r="DG76" s="254">
        <f>IF('Hoja básica'!$BD10&gt;=DG$67,1,0)</f>
        <v>0</v>
      </c>
      <c r="DH76" s="253">
        <f t="shared" si="4"/>
        <v>0</v>
      </c>
      <c r="DI76" s="218">
        <f t="shared" si="3"/>
        <v>0</v>
      </c>
      <c r="DJ76" s="218">
        <f t="shared" si="3"/>
        <v>0</v>
      </c>
      <c r="DK76" s="218">
        <f t="shared" si="3"/>
        <v>0</v>
      </c>
      <c r="DL76" s="218">
        <f t="shared" si="3"/>
        <v>0</v>
      </c>
      <c r="DM76" s="218">
        <f t="shared" si="3"/>
        <v>0</v>
      </c>
      <c r="DN76" s="218">
        <f t="shared" si="3"/>
        <v>0</v>
      </c>
      <c r="DO76" s="218">
        <f t="shared" si="3"/>
        <v>0</v>
      </c>
      <c r="DP76" s="218">
        <f t="shared" si="3"/>
        <v>0</v>
      </c>
      <c r="DQ76" s="254">
        <f t="shared" si="3"/>
        <v>0</v>
      </c>
    </row>
    <row r="77" spans="2:121" x14ac:dyDescent="0.2">
      <c r="B77" s="25" t="s">
        <v>636</v>
      </c>
      <c r="C77" s="25">
        <v>2</v>
      </c>
      <c r="D77" s="25">
        <v>2</v>
      </c>
      <c r="E77" s="25">
        <v>2</v>
      </c>
      <c r="F77" s="25">
        <v>2</v>
      </c>
      <c r="G77" s="25">
        <v>2</v>
      </c>
      <c r="H77" s="25">
        <v>2</v>
      </c>
      <c r="I77" s="25">
        <v>2</v>
      </c>
      <c r="J77" s="25">
        <v>2</v>
      </c>
      <c r="K77" s="25">
        <v>2</v>
      </c>
      <c r="L77" s="25">
        <v>2</v>
      </c>
      <c r="M77" s="25">
        <v>1</v>
      </c>
      <c r="N77" s="25">
        <v>3</v>
      </c>
      <c r="O77" s="25">
        <v>2</v>
      </c>
      <c r="P77" s="25">
        <v>2</v>
      </c>
      <c r="Q77" s="25">
        <v>3</v>
      </c>
      <c r="R77" s="25">
        <v>2</v>
      </c>
      <c r="S77" s="25">
        <v>2</v>
      </c>
      <c r="T77" s="25">
        <v>2</v>
      </c>
      <c r="U77" s="25">
        <v>2</v>
      </c>
      <c r="V77" s="25">
        <v>2</v>
      </c>
      <c r="X77" s="25">
        <v>32</v>
      </c>
      <c r="Y77" s="25" t="s">
        <v>560</v>
      </c>
      <c r="Z77" s="25">
        <v>60</v>
      </c>
      <c r="AA77" s="25">
        <v>-15</v>
      </c>
      <c r="AB77" s="27" t="s">
        <v>637</v>
      </c>
      <c r="AC77" s="25" t="s">
        <v>66</v>
      </c>
      <c r="AD77" s="45" t="s">
        <v>5703</v>
      </c>
      <c r="AE77" s="25" t="s">
        <v>627</v>
      </c>
      <c r="AF77" s="25" t="s">
        <v>530</v>
      </c>
      <c r="AG77" s="25">
        <v>16</v>
      </c>
      <c r="AH77" s="25">
        <v>5</v>
      </c>
      <c r="AI77" s="25">
        <v>15</v>
      </c>
      <c r="AO77" s="26">
        <v>-20</v>
      </c>
      <c r="AP77" s="25">
        <v>7</v>
      </c>
      <c r="AR77" s="25">
        <v>60</v>
      </c>
      <c r="AS77" s="25" t="s">
        <v>506</v>
      </c>
      <c r="AX77" s="25" t="s">
        <v>5431</v>
      </c>
      <c r="AY77" s="25">
        <v>0</v>
      </c>
      <c r="AZ77" s="25">
        <v>0</v>
      </c>
      <c r="BA77" s="45" t="s">
        <v>5703</v>
      </c>
      <c r="BB77" s="45" t="s">
        <v>5703</v>
      </c>
      <c r="BC77" s="45" t="s">
        <v>5703</v>
      </c>
      <c r="BD77" s="25" t="s">
        <v>5473</v>
      </c>
      <c r="BE77" s="25" t="s">
        <v>5470</v>
      </c>
      <c r="BF77" s="45" t="s">
        <v>5703</v>
      </c>
      <c r="BG77" s="45" t="s">
        <v>5703</v>
      </c>
      <c r="BH77" s="45" t="s">
        <v>5703</v>
      </c>
      <c r="BI77" s="25" t="s">
        <v>5462</v>
      </c>
      <c r="CV77" s="261" t="s">
        <v>90</v>
      </c>
      <c r="CW77" s="85">
        <f>IF('Hoja básica'!BD11&lt;&gt;0,2,0)-IF('Hoja básica'!BC11&lt;&gt;0,1,0)</f>
        <v>0</v>
      </c>
      <c r="CX77" s="253">
        <f>IF('Hoja básica'!$BD11&gt;=CX$67,1,0)</f>
        <v>0</v>
      </c>
      <c r="CY77" s="218">
        <f>IF('Hoja básica'!$BD11&gt;=CY$67,1,0)</f>
        <v>0</v>
      </c>
      <c r="CZ77" s="218">
        <f>IF('Hoja básica'!$BD11&gt;=CZ$67,1,0)</f>
        <v>0</v>
      </c>
      <c r="DA77" s="218">
        <f>IF('Hoja básica'!$BD11&gt;=DA$67,1,0)</f>
        <v>0</v>
      </c>
      <c r="DB77" s="218">
        <f>IF('Hoja básica'!$BD11&gt;=DB$67,1,0)</f>
        <v>0</v>
      </c>
      <c r="DC77" s="218">
        <f>IF('Hoja básica'!$BD11&gt;=DC$67,1,0)</f>
        <v>0</v>
      </c>
      <c r="DD77" s="218">
        <f>IF('Hoja básica'!$BD11&gt;=DD$67,1,0)</f>
        <v>0</v>
      </c>
      <c r="DE77" s="218">
        <f>IF('Hoja básica'!$BD11&gt;=DE$67,1,0)</f>
        <v>0</v>
      </c>
      <c r="DF77" s="218">
        <f>IF('Hoja básica'!$BD11&gt;=DF$67,1,0)</f>
        <v>0</v>
      </c>
      <c r="DG77" s="254">
        <f>IF('Hoja básica'!$BD11&gt;=DG$67,1,0)</f>
        <v>0</v>
      </c>
      <c r="DH77" s="253">
        <f t="shared" si="4"/>
        <v>0</v>
      </c>
      <c r="DI77" s="218">
        <f t="shared" si="3"/>
        <v>0</v>
      </c>
      <c r="DJ77" s="218">
        <f t="shared" si="3"/>
        <v>0</v>
      </c>
      <c r="DK77" s="218">
        <f t="shared" si="3"/>
        <v>0</v>
      </c>
      <c r="DL77" s="218">
        <f t="shared" si="3"/>
        <v>0</v>
      </c>
      <c r="DM77" s="218">
        <f t="shared" si="3"/>
        <v>0</v>
      </c>
      <c r="DN77" s="218">
        <f t="shared" si="3"/>
        <v>0</v>
      </c>
      <c r="DO77" s="218">
        <f t="shared" si="3"/>
        <v>0</v>
      </c>
      <c r="DP77" s="218">
        <f t="shared" si="3"/>
        <v>0</v>
      </c>
      <c r="DQ77" s="254">
        <f t="shared" si="3"/>
        <v>0</v>
      </c>
    </row>
    <row r="78" spans="2:121" x14ac:dyDescent="0.2">
      <c r="B78" s="25" t="s">
        <v>638</v>
      </c>
      <c r="C78" s="25">
        <v>2</v>
      </c>
      <c r="D78" s="25">
        <v>2</v>
      </c>
      <c r="E78" s="25">
        <v>2</v>
      </c>
      <c r="F78" s="25">
        <v>2</v>
      </c>
      <c r="G78" s="25">
        <v>2</v>
      </c>
      <c r="H78" s="25">
        <v>2</v>
      </c>
      <c r="I78" s="25">
        <v>2</v>
      </c>
      <c r="J78" s="25">
        <v>2</v>
      </c>
      <c r="K78" s="25">
        <v>2</v>
      </c>
      <c r="L78" s="25">
        <v>2</v>
      </c>
      <c r="M78" s="25">
        <v>1</v>
      </c>
      <c r="N78" s="25">
        <v>3</v>
      </c>
      <c r="O78" s="25">
        <v>2</v>
      </c>
      <c r="P78" s="25">
        <v>2</v>
      </c>
      <c r="Q78" s="25">
        <v>3</v>
      </c>
      <c r="R78" s="25">
        <v>2</v>
      </c>
      <c r="S78" s="25">
        <v>2</v>
      </c>
      <c r="T78" s="25">
        <v>2</v>
      </c>
      <c r="U78" s="25">
        <v>2</v>
      </c>
      <c r="V78" s="25">
        <v>2</v>
      </c>
      <c r="X78" s="25">
        <v>108</v>
      </c>
      <c r="Y78" s="45" t="s">
        <v>5703</v>
      </c>
      <c r="Z78" s="25">
        <v>0</v>
      </c>
      <c r="AA78" s="25">
        <v>20</v>
      </c>
      <c r="AB78" s="135" t="s">
        <v>5703</v>
      </c>
      <c r="AC78" s="45" t="s">
        <v>5703</v>
      </c>
      <c r="AD78" s="45" t="s">
        <v>5703</v>
      </c>
      <c r="AE78" s="45" t="s">
        <v>5703</v>
      </c>
      <c r="AF78" s="45" t="s">
        <v>5703</v>
      </c>
      <c r="AG78" s="26">
        <v>0</v>
      </c>
      <c r="AH78" s="26">
        <v>0</v>
      </c>
      <c r="AI78" s="26">
        <v>0</v>
      </c>
      <c r="AO78" s="26">
        <v>-15</v>
      </c>
      <c r="AP78" s="25">
        <v>7</v>
      </c>
      <c r="AR78" s="25">
        <v>61</v>
      </c>
      <c r="AS78" s="25" t="s">
        <v>630</v>
      </c>
      <c r="AX78" s="25" t="s">
        <v>5245</v>
      </c>
      <c r="AY78" s="25">
        <v>40</v>
      </c>
      <c r="AZ78" s="25">
        <v>0</v>
      </c>
      <c r="BA78" s="45" t="s">
        <v>664</v>
      </c>
      <c r="BB78" s="25" t="s">
        <v>424</v>
      </c>
      <c r="BC78" s="25" t="s">
        <v>415</v>
      </c>
      <c r="BD78" s="25" t="s">
        <v>425</v>
      </c>
      <c r="BE78" s="25" t="s">
        <v>6441</v>
      </c>
      <c r="BF78" s="25">
        <v>12</v>
      </c>
      <c r="BG78" s="25">
        <v>1</v>
      </c>
      <c r="BH78" s="25">
        <v>20</v>
      </c>
      <c r="BI78" s="45" t="s">
        <v>5703</v>
      </c>
      <c r="CV78" s="261" t="s">
        <v>94</v>
      </c>
      <c r="CW78" s="85">
        <f>IF('Hoja básica'!BD12&lt;&gt;0,2,0)-IF('Hoja básica'!BC12&lt;&gt;0,1,0)</f>
        <v>0</v>
      </c>
      <c r="CX78" s="253">
        <f>IF('Hoja básica'!$BD12&gt;=CX$67,1,0)</f>
        <v>0</v>
      </c>
      <c r="CY78" s="218">
        <f>IF('Hoja básica'!$BD12&gt;=CY$67,1,0)</f>
        <v>0</v>
      </c>
      <c r="CZ78" s="218">
        <f>IF('Hoja básica'!$BD12&gt;=CZ$67,1,0)</f>
        <v>0</v>
      </c>
      <c r="DA78" s="218">
        <f>IF('Hoja básica'!$BD12&gt;=DA$67,1,0)</f>
        <v>0</v>
      </c>
      <c r="DB78" s="218">
        <f>IF('Hoja básica'!$BD12&gt;=DB$67,1,0)</f>
        <v>0</v>
      </c>
      <c r="DC78" s="218">
        <f>IF('Hoja básica'!$BD12&gt;=DC$67,1,0)</f>
        <v>0</v>
      </c>
      <c r="DD78" s="218">
        <f>IF('Hoja básica'!$BD12&gt;=DD$67,1,0)</f>
        <v>0</v>
      </c>
      <c r="DE78" s="218">
        <f>IF('Hoja básica'!$BD12&gt;=DE$67,1,0)</f>
        <v>0</v>
      </c>
      <c r="DF78" s="218">
        <f>IF('Hoja básica'!$BD12&gt;=DF$67,1,0)</f>
        <v>0</v>
      </c>
      <c r="DG78" s="254">
        <f>IF('Hoja básica'!$BD12&gt;=DG$67,1,0)</f>
        <v>0</v>
      </c>
      <c r="DH78" s="253">
        <f t="shared" si="4"/>
        <v>0</v>
      </c>
      <c r="DI78" s="218">
        <f t="shared" si="3"/>
        <v>0</v>
      </c>
      <c r="DJ78" s="218">
        <f t="shared" si="3"/>
        <v>0</v>
      </c>
      <c r="DK78" s="218">
        <f t="shared" si="3"/>
        <v>0</v>
      </c>
      <c r="DL78" s="218">
        <f t="shared" si="3"/>
        <v>0</v>
      </c>
      <c r="DM78" s="218">
        <f t="shared" si="3"/>
        <v>0</v>
      </c>
      <c r="DN78" s="218">
        <f t="shared" si="3"/>
        <v>0</v>
      </c>
      <c r="DO78" s="218">
        <f t="shared" si="3"/>
        <v>0</v>
      </c>
      <c r="DP78" s="218">
        <f t="shared" si="3"/>
        <v>0</v>
      </c>
      <c r="DQ78" s="254">
        <f t="shared" si="3"/>
        <v>0</v>
      </c>
    </row>
    <row r="79" spans="2:121" ht="13.5" thickBot="1" x14ac:dyDescent="0.25">
      <c r="B79" s="25" t="s">
        <v>639</v>
      </c>
      <c r="C79" s="25">
        <v>1</v>
      </c>
      <c r="D79" s="25">
        <v>2</v>
      </c>
      <c r="E79" s="25">
        <v>2</v>
      </c>
      <c r="F79" s="25">
        <v>2</v>
      </c>
      <c r="G79" s="25">
        <v>2</v>
      </c>
      <c r="H79" s="25">
        <v>2</v>
      </c>
      <c r="I79" s="25">
        <v>2</v>
      </c>
      <c r="J79" s="25">
        <v>2</v>
      </c>
      <c r="K79" s="25">
        <v>2</v>
      </c>
      <c r="L79" s="25">
        <v>2</v>
      </c>
      <c r="M79" s="25">
        <v>1</v>
      </c>
      <c r="N79" s="25">
        <v>3</v>
      </c>
      <c r="O79" s="25">
        <v>2</v>
      </c>
      <c r="P79" s="25">
        <v>2</v>
      </c>
      <c r="Q79" s="25">
        <v>3</v>
      </c>
      <c r="R79" s="25">
        <v>2</v>
      </c>
      <c r="S79" s="25">
        <v>2</v>
      </c>
      <c r="T79" s="25">
        <v>2</v>
      </c>
      <c r="U79" s="25">
        <v>2</v>
      </c>
      <c r="V79" s="25">
        <v>2</v>
      </c>
      <c r="X79" s="25">
        <v>48</v>
      </c>
      <c r="Y79" s="25" t="s">
        <v>603</v>
      </c>
      <c r="Z79" s="25">
        <v>80</v>
      </c>
      <c r="AA79" s="25">
        <v>-35</v>
      </c>
      <c r="AB79" s="27" t="s">
        <v>624</v>
      </c>
      <c r="AC79" s="25" t="s">
        <v>415</v>
      </c>
      <c r="AD79" s="45" t="s">
        <v>5703</v>
      </c>
      <c r="AE79" s="25" t="s">
        <v>549</v>
      </c>
      <c r="AF79" s="25" t="s">
        <v>530</v>
      </c>
      <c r="AG79" s="25">
        <v>14</v>
      </c>
      <c r="AH79" s="25">
        <v>4</v>
      </c>
      <c r="AI79" s="25">
        <v>40</v>
      </c>
      <c r="AO79" s="26">
        <v>-10</v>
      </c>
      <c r="AP79" s="25">
        <v>7</v>
      </c>
      <c r="AR79" s="25">
        <v>62</v>
      </c>
      <c r="AS79" s="25" t="s">
        <v>585</v>
      </c>
      <c r="AX79" s="25" t="s">
        <v>5246</v>
      </c>
      <c r="AY79" s="25">
        <v>35</v>
      </c>
      <c r="AZ79" s="25">
        <v>5</v>
      </c>
      <c r="BA79" s="45" t="s">
        <v>614</v>
      </c>
      <c r="BB79" s="25" t="s">
        <v>424</v>
      </c>
      <c r="BC79" s="25" t="s">
        <v>66</v>
      </c>
      <c r="BD79" s="25" t="s">
        <v>425</v>
      </c>
      <c r="BE79" s="25" t="s">
        <v>6434</v>
      </c>
      <c r="BF79" s="25">
        <v>10</v>
      </c>
      <c r="BG79" s="25">
        <v>2</v>
      </c>
      <c r="BH79" s="25">
        <v>20</v>
      </c>
      <c r="BI79" s="45" t="s">
        <v>5703</v>
      </c>
      <c r="BV79" s="235" t="s">
        <v>6693</v>
      </c>
      <c r="BW79" s="235"/>
      <c r="BX79" s="235"/>
      <c r="BY79" s="235"/>
      <c r="CV79" s="262" t="s">
        <v>101</v>
      </c>
      <c r="CW79" s="86">
        <f>IF('Hoja básica'!BD13&lt;&gt;0,1,0)-IF('Hoja básica'!BC13&lt;&gt;0,1,0)</f>
        <v>0</v>
      </c>
      <c r="CX79" s="255">
        <f>IF('Hoja básica'!$BD13&gt;=CX$67,1,0)</f>
        <v>0</v>
      </c>
      <c r="CY79" s="256">
        <f>IF('Hoja básica'!$BD13&gt;=CY$67,1,0)</f>
        <v>0</v>
      </c>
      <c r="CZ79" s="256">
        <f>IF('Hoja básica'!$BD13&gt;=CZ$67,1,0)</f>
        <v>0</v>
      </c>
      <c r="DA79" s="256">
        <f>IF('Hoja básica'!$BD13&gt;=DA$67,1,0)</f>
        <v>0</v>
      </c>
      <c r="DB79" s="256">
        <f>IF('Hoja básica'!$BD13&gt;=DB$67,1,0)</f>
        <v>0</v>
      </c>
      <c r="DC79" s="256">
        <f>IF('Hoja básica'!$BD13&gt;=DC$67,1,0)</f>
        <v>0</v>
      </c>
      <c r="DD79" s="256">
        <f>IF('Hoja básica'!$BD13&gt;=DD$67,1,0)</f>
        <v>0</v>
      </c>
      <c r="DE79" s="256">
        <f>IF('Hoja básica'!$BD13&gt;=DE$67,1,0)</f>
        <v>0</v>
      </c>
      <c r="DF79" s="256">
        <f>IF('Hoja básica'!$BD13&gt;=DF$67,1,0)</f>
        <v>0</v>
      </c>
      <c r="DG79" s="257">
        <f>IF('Hoja básica'!$BD13&gt;=DG$67,1,0)</f>
        <v>0</v>
      </c>
      <c r="DH79" s="255">
        <f t="shared" si="4"/>
        <v>0</v>
      </c>
      <c r="DI79" s="256">
        <f t="shared" si="3"/>
        <v>0</v>
      </c>
      <c r="DJ79" s="256">
        <f t="shared" si="3"/>
        <v>0</v>
      </c>
      <c r="DK79" s="256">
        <f t="shared" si="3"/>
        <v>0</v>
      </c>
      <c r="DL79" s="256">
        <f t="shared" si="3"/>
        <v>0</v>
      </c>
      <c r="DM79" s="256">
        <f t="shared" si="3"/>
        <v>0</v>
      </c>
      <c r="DN79" s="256">
        <f t="shared" si="3"/>
        <v>0</v>
      </c>
      <c r="DO79" s="256">
        <f t="shared" si="3"/>
        <v>0</v>
      </c>
      <c r="DP79" s="256">
        <f t="shared" si="3"/>
        <v>0</v>
      </c>
      <c r="DQ79" s="257">
        <f t="shared" si="3"/>
        <v>0</v>
      </c>
    </row>
    <row r="80" spans="2:121" x14ac:dyDescent="0.2">
      <c r="B80" s="25" t="s">
        <v>640</v>
      </c>
      <c r="C80" s="25">
        <v>2</v>
      </c>
      <c r="D80" s="25">
        <v>2</v>
      </c>
      <c r="E80" s="25">
        <v>1</v>
      </c>
      <c r="F80" s="25">
        <v>2</v>
      </c>
      <c r="G80" s="25">
        <v>2</v>
      </c>
      <c r="H80" s="25">
        <v>2</v>
      </c>
      <c r="I80" s="25">
        <v>2</v>
      </c>
      <c r="J80" s="25">
        <v>2</v>
      </c>
      <c r="K80" s="25">
        <v>2</v>
      </c>
      <c r="L80" s="25">
        <v>2</v>
      </c>
      <c r="M80" s="25">
        <v>1</v>
      </c>
      <c r="N80" s="25">
        <v>3</v>
      </c>
      <c r="O80" s="25">
        <v>2</v>
      </c>
      <c r="P80" s="25">
        <v>2</v>
      </c>
      <c r="Q80" s="25">
        <v>3</v>
      </c>
      <c r="R80" s="25">
        <v>2</v>
      </c>
      <c r="S80" s="25">
        <v>2</v>
      </c>
      <c r="T80" s="25">
        <v>2</v>
      </c>
      <c r="U80" s="25">
        <v>2</v>
      </c>
      <c r="V80" s="25">
        <v>2</v>
      </c>
      <c r="X80" s="25">
        <v>41</v>
      </c>
      <c r="Y80" s="25" t="s">
        <v>587</v>
      </c>
      <c r="Z80" s="25">
        <v>30</v>
      </c>
      <c r="AA80" s="25">
        <v>15</v>
      </c>
      <c r="AB80" s="27" t="s">
        <v>440</v>
      </c>
      <c r="AC80" s="25" t="s">
        <v>66</v>
      </c>
      <c r="AD80" s="45" t="s">
        <v>5703</v>
      </c>
      <c r="AE80" s="25" t="s">
        <v>489</v>
      </c>
      <c r="AF80" s="45" t="s">
        <v>5703</v>
      </c>
      <c r="AG80" s="25">
        <v>11</v>
      </c>
      <c r="AH80" s="25">
        <v>0</v>
      </c>
      <c r="AI80" s="25">
        <v>15</v>
      </c>
      <c r="AO80" s="26">
        <v>-5</v>
      </c>
      <c r="AP80" s="25">
        <v>7</v>
      </c>
      <c r="AR80" s="25">
        <v>63</v>
      </c>
      <c r="AS80" s="25" t="s">
        <v>442</v>
      </c>
      <c r="AX80" s="25" t="s">
        <v>5247</v>
      </c>
      <c r="AY80" s="25">
        <v>75</v>
      </c>
      <c r="AZ80" s="25">
        <v>-30</v>
      </c>
      <c r="BA80" s="45" t="s">
        <v>5248</v>
      </c>
      <c r="BB80" s="25" t="s">
        <v>415</v>
      </c>
      <c r="BC80" s="45" t="s">
        <v>5703</v>
      </c>
      <c r="BD80" s="25" t="s">
        <v>549</v>
      </c>
      <c r="BE80" s="25" t="s">
        <v>6423</v>
      </c>
      <c r="BF80" s="25">
        <v>12</v>
      </c>
      <c r="BG80" s="25">
        <v>3</v>
      </c>
      <c r="BH80" s="25">
        <v>20</v>
      </c>
      <c r="BI80" s="45" t="s">
        <v>5703</v>
      </c>
      <c r="BV80" s="235" t="s">
        <v>6694</v>
      </c>
      <c r="BW80" s="235" t="s">
        <v>6699</v>
      </c>
      <c r="BX80" s="235" t="s">
        <v>6695</v>
      </c>
      <c r="BY80" s="235" t="s">
        <v>6700</v>
      </c>
      <c r="BZ80" s="235" t="s">
        <v>6701</v>
      </c>
      <c r="CA80" s="235" t="s">
        <v>6702</v>
      </c>
      <c r="CB80" s="25" t="s">
        <v>6756</v>
      </c>
      <c r="CC80" s="25">
        <v>1</v>
      </c>
      <c r="CD80" s="25">
        <v>2</v>
      </c>
      <c r="CE80" s="25">
        <v>3</v>
      </c>
      <c r="CF80" s="25">
        <v>4</v>
      </c>
      <c r="CG80" s="25">
        <v>5</v>
      </c>
      <c r="CH80" s="25">
        <v>6</v>
      </c>
      <c r="CI80" s="25">
        <v>7</v>
      </c>
      <c r="CV80" s="258"/>
      <c r="CW80" s="25">
        <f>SUM(CW69:CW79)</f>
        <v>0</v>
      </c>
      <c r="DG80" s="259" t="s">
        <v>6745</v>
      </c>
      <c r="DH80" s="266">
        <f>SUM(DH69:DH79)</f>
        <v>0</v>
      </c>
      <c r="DI80" s="266">
        <f t="shared" ref="DI80:DQ80" si="5">SUM(DI69:DI79)</f>
        <v>0</v>
      </c>
      <c r="DJ80" s="266">
        <f t="shared" si="5"/>
        <v>0</v>
      </c>
      <c r="DK80" s="266">
        <f t="shared" si="5"/>
        <v>0</v>
      </c>
      <c r="DL80" s="266">
        <f t="shared" si="5"/>
        <v>0</v>
      </c>
      <c r="DM80" s="266">
        <f t="shared" si="5"/>
        <v>0</v>
      </c>
      <c r="DN80" s="266">
        <f t="shared" si="5"/>
        <v>0</v>
      </c>
      <c r="DO80" s="266">
        <f t="shared" si="5"/>
        <v>0</v>
      </c>
      <c r="DP80" s="266">
        <f>SUM(DP69:DP79)</f>
        <v>0</v>
      </c>
      <c r="DQ80" s="260">
        <f t="shared" si="5"/>
        <v>0</v>
      </c>
    </row>
    <row r="81" spans="2:122" x14ac:dyDescent="0.2">
      <c r="B81" s="25" t="s">
        <v>240</v>
      </c>
      <c r="C81" s="25">
        <v>2</v>
      </c>
      <c r="D81" s="25">
        <v>2</v>
      </c>
      <c r="E81" s="25">
        <v>2</v>
      </c>
      <c r="F81" s="25">
        <v>2</v>
      </c>
      <c r="G81" s="25">
        <v>2</v>
      </c>
      <c r="H81" s="25">
        <v>2</v>
      </c>
      <c r="I81" s="25">
        <v>2</v>
      </c>
      <c r="J81" s="25">
        <v>2</v>
      </c>
      <c r="K81" s="25">
        <v>2</v>
      </c>
      <c r="L81" s="25">
        <v>2</v>
      </c>
      <c r="M81" s="25">
        <v>1</v>
      </c>
      <c r="N81" s="25">
        <v>3</v>
      </c>
      <c r="O81" s="25">
        <v>2</v>
      </c>
      <c r="P81" s="25">
        <v>2</v>
      </c>
      <c r="Q81" s="25">
        <v>3</v>
      </c>
      <c r="R81" s="25">
        <v>2</v>
      </c>
      <c r="S81" s="25">
        <v>2</v>
      </c>
      <c r="T81" s="25">
        <v>2</v>
      </c>
      <c r="U81" s="25">
        <v>2</v>
      </c>
      <c r="V81" s="25">
        <v>2</v>
      </c>
      <c r="X81" s="25">
        <v>98</v>
      </c>
      <c r="Y81" s="25" t="s">
        <v>632</v>
      </c>
      <c r="Z81" s="25">
        <v>20</v>
      </c>
      <c r="AA81" s="25">
        <v>0</v>
      </c>
      <c r="AB81" s="27" t="s">
        <v>414</v>
      </c>
      <c r="AC81" s="25" t="s">
        <v>66</v>
      </c>
      <c r="AD81" s="45" t="s">
        <v>5703</v>
      </c>
      <c r="AE81" s="25" t="s">
        <v>429</v>
      </c>
      <c r="AF81" s="45" t="s">
        <v>5703</v>
      </c>
      <c r="AG81" s="26">
        <v>8</v>
      </c>
      <c r="AH81" s="26">
        <v>-1</v>
      </c>
      <c r="AI81" s="26">
        <v>10</v>
      </c>
      <c r="AO81" s="26">
        <v>0</v>
      </c>
      <c r="AP81" s="25">
        <v>7</v>
      </c>
      <c r="AR81" s="25">
        <v>64</v>
      </c>
      <c r="AS81" s="25" t="s">
        <v>592</v>
      </c>
      <c r="AX81" s="25" t="s">
        <v>507</v>
      </c>
      <c r="AY81" s="25">
        <v>70</v>
      </c>
      <c r="AZ81" s="25">
        <v>-35</v>
      </c>
      <c r="BA81" s="27" t="s">
        <v>467</v>
      </c>
      <c r="BB81" s="25" t="s">
        <v>66</v>
      </c>
      <c r="BC81" s="25" t="s">
        <v>424</v>
      </c>
      <c r="BD81" s="25" t="s">
        <v>429</v>
      </c>
      <c r="BE81" s="25" t="s">
        <v>6441</v>
      </c>
      <c r="BF81" s="25">
        <v>16</v>
      </c>
      <c r="BG81" s="25">
        <v>6</v>
      </c>
      <c r="BH81" s="25">
        <v>20</v>
      </c>
      <c r="BI81" s="45" t="s">
        <v>5703</v>
      </c>
      <c r="BV81" s="235" t="s">
        <v>6696</v>
      </c>
      <c r="BW81" s="235">
        <v>2</v>
      </c>
      <c r="BX81" s="235">
        <f>IF('Arcana Sepirah'!AI10&lt;&gt;0,1,0)+IF('Arcana Sepirah'!J15&lt;&gt;0,1,0)</f>
        <v>0</v>
      </c>
      <c r="BY81" s="235" t="b">
        <v>0</v>
      </c>
      <c r="BZ81" s="235" t="str">
        <f>IF(BX81&gt;0,IF(BY81,", ","")&amp;BV81&amp;" ("&amp;BX81&amp;")","")</f>
        <v/>
      </c>
      <c r="CA81" s="235" t="str">
        <f>CONCATENATE(BZ81,BZ82,BZ83,BZ84,BZ85,BZ86,BZ87,BZ88,BZ89,BZ90,BZ91,BZ92,BZ93,BZ94,BZ95,BZ96,BZ97,BZ98,BZ99,BZ100,BZ101,BZ102,BZ103,BZ104,BZ105,BZ106,BZ107,BZ108,BZ109,BZ110,BZ111,BZ112,BZ113,BZ114,BZ115,BZ116,BZ117,BZ118,BZ119,BZ120,BZ121)</f>
        <v/>
      </c>
      <c r="CB81" s="235" t="s">
        <v>6696</v>
      </c>
      <c r="CC81" s="25">
        <f>5*(MAX(5-'Hoja básica'!$C$3,1))</f>
        <v>20</v>
      </c>
      <c r="DG81" s="253" t="s">
        <v>6746</v>
      </c>
      <c r="DH81" s="218">
        <f>COUNTIF('Hoja básica'!$AR$72:$AR$99,Sheet3!DH68)</f>
        <v>0</v>
      </c>
      <c r="DI81" s="218">
        <f>COUNTIF('Hoja básica'!$AR$72:$AR$99,Sheet3!DI68)</f>
        <v>0</v>
      </c>
      <c r="DJ81" s="218">
        <f>COUNTIF('Hoja básica'!$AR$72:$AR$99,Sheet3!DJ68)</f>
        <v>0</v>
      </c>
      <c r="DK81" s="218">
        <f>COUNTIF('Hoja básica'!$AR$72:$AR$99,Sheet3!DK68)</f>
        <v>0</v>
      </c>
      <c r="DL81" s="218">
        <f>COUNTIF('Hoja básica'!$AR$72:$AR$99,Sheet3!DL68)</f>
        <v>0</v>
      </c>
      <c r="DM81" s="218">
        <f>COUNTIF('Hoja básica'!$AR$72:$AR$99,Sheet3!DM68)</f>
        <v>0</v>
      </c>
      <c r="DN81" s="218">
        <f>COUNTIF('Hoja básica'!$AR$72:$AR$99,Sheet3!DN68)</f>
        <v>0</v>
      </c>
      <c r="DO81" s="218">
        <f>COUNTIF('Hoja básica'!$AR$72:$AR$99,Sheet3!DO68)</f>
        <v>0</v>
      </c>
      <c r="DP81" s="218">
        <f>COUNTIF('Hoja básica'!$AR$72:$AR$99,Sheet3!DP68)</f>
        <v>0</v>
      </c>
      <c r="DQ81" s="254">
        <f>COUNTIF('Hoja básica'!$AR$72:$AR$99,Sheet3!DQ68)</f>
        <v>0</v>
      </c>
    </row>
    <row r="82" spans="2:122" x14ac:dyDescent="0.2">
      <c r="B82" s="25" t="s">
        <v>226</v>
      </c>
      <c r="C82" s="45" t="s">
        <v>5703</v>
      </c>
      <c r="D82" s="45" t="s">
        <v>5703</v>
      </c>
      <c r="E82" s="45" t="s">
        <v>5703</v>
      </c>
      <c r="F82" s="45" t="s">
        <v>5703</v>
      </c>
      <c r="G82" s="45" t="s">
        <v>5703</v>
      </c>
      <c r="H82" s="45" t="s">
        <v>5703</v>
      </c>
      <c r="I82" s="45" t="s">
        <v>5703</v>
      </c>
      <c r="J82" s="45" t="s">
        <v>5703</v>
      </c>
      <c r="K82" s="45" t="s">
        <v>5703</v>
      </c>
      <c r="L82" s="45" t="s">
        <v>5703</v>
      </c>
      <c r="M82" s="45" t="s">
        <v>5703</v>
      </c>
      <c r="N82" s="45" t="s">
        <v>5703</v>
      </c>
      <c r="O82" s="45" t="s">
        <v>5703</v>
      </c>
      <c r="P82" s="45" t="s">
        <v>5703</v>
      </c>
      <c r="Q82" s="45" t="s">
        <v>5703</v>
      </c>
      <c r="R82" s="45" t="s">
        <v>5703</v>
      </c>
      <c r="S82" s="45" t="s">
        <v>5703</v>
      </c>
      <c r="T82" s="45" t="s">
        <v>5703</v>
      </c>
      <c r="U82" s="45" t="s">
        <v>5703</v>
      </c>
      <c r="V82" s="45" t="s">
        <v>5703</v>
      </c>
      <c r="X82" s="25">
        <v>106</v>
      </c>
      <c r="Y82" s="25" t="s">
        <v>641</v>
      </c>
      <c r="Z82" s="25">
        <v>40</v>
      </c>
      <c r="AA82" s="25">
        <v>-20</v>
      </c>
      <c r="AB82" s="27" t="s">
        <v>440</v>
      </c>
      <c r="AC82" s="25" t="s">
        <v>424</v>
      </c>
      <c r="AD82" s="45" t="s">
        <v>5703</v>
      </c>
      <c r="AE82" s="25" t="s">
        <v>416</v>
      </c>
      <c r="AF82" s="45" t="s">
        <v>5703</v>
      </c>
      <c r="AG82" s="26">
        <v>10</v>
      </c>
      <c r="AH82" s="26">
        <v>3</v>
      </c>
      <c r="AI82" s="26">
        <v>15</v>
      </c>
      <c r="AO82" s="26">
        <v>5</v>
      </c>
      <c r="AP82" s="25">
        <v>12</v>
      </c>
      <c r="AR82" s="25">
        <v>65</v>
      </c>
      <c r="AS82" s="25" t="s">
        <v>641</v>
      </c>
      <c r="AX82" s="25" t="s">
        <v>510</v>
      </c>
      <c r="AY82" s="25">
        <v>35</v>
      </c>
      <c r="AZ82" s="25">
        <v>0</v>
      </c>
      <c r="BA82" s="27" t="s">
        <v>576</v>
      </c>
      <c r="BB82" s="25" t="s">
        <v>415</v>
      </c>
      <c r="BC82" s="25" t="s">
        <v>66</v>
      </c>
      <c r="BD82" s="25" t="s">
        <v>420</v>
      </c>
      <c r="BE82" s="25" t="s">
        <v>6441</v>
      </c>
      <c r="BF82" s="25">
        <v>12</v>
      </c>
      <c r="BG82" s="25">
        <v>2</v>
      </c>
      <c r="BH82" s="25">
        <v>25</v>
      </c>
      <c r="BI82" s="45" t="s">
        <v>5703</v>
      </c>
      <c r="BV82" s="235" t="s">
        <v>6669</v>
      </c>
      <c r="BW82" s="235">
        <v>2</v>
      </c>
      <c r="BX82" s="235">
        <f>IF('Arcana Sepirah'!AS15&lt;&gt;0,1,0)+IF('Arcana Sepirah'!AN25&lt;&gt;0,1,0)</f>
        <v>0</v>
      </c>
      <c r="BY82" s="235" t="b">
        <f>OR(BY81,BX81&gt;0)</f>
        <v>0</v>
      </c>
      <c r="BZ82" s="235" t="str">
        <f>IF(BX82&gt;0,IF(BY82,", ","")&amp;BV82&amp;" ("&amp;BX82&amp;")","")</f>
        <v/>
      </c>
      <c r="CB82" s="235" t="s">
        <v>6669</v>
      </c>
      <c r="CC82" s="25">
        <f>5*(MAX(3-'Hoja básica'!$C$3,1))</f>
        <v>10</v>
      </c>
      <c r="CD82" s="25">
        <f>10*(MAX(7-'Hoja básica'!$C$3,1))</f>
        <v>60</v>
      </c>
      <c r="DG82" s="253" t="s">
        <v>6749</v>
      </c>
      <c r="DH82" s="218">
        <f t="shared" ref="DH82:DP82" si="6">IF(DH80+DI82-DH81&lt;0,0,DH80+DI82-DH81)</f>
        <v>0</v>
      </c>
      <c r="DI82" s="218">
        <f t="shared" si="6"/>
        <v>0</v>
      </c>
      <c r="DJ82" s="218">
        <f t="shared" si="6"/>
        <v>0</v>
      </c>
      <c r="DK82" s="218">
        <f t="shared" si="6"/>
        <v>0</v>
      </c>
      <c r="DL82" s="218">
        <f t="shared" si="6"/>
        <v>0</v>
      </c>
      <c r="DM82" s="218">
        <f t="shared" si="6"/>
        <v>0</v>
      </c>
      <c r="DN82" s="218">
        <f t="shared" si="6"/>
        <v>0</v>
      </c>
      <c r="DO82" s="218">
        <f t="shared" si="6"/>
        <v>0</v>
      </c>
      <c r="DP82" s="218">
        <f t="shared" si="6"/>
        <v>0</v>
      </c>
      <c r="DQ82" s="254">
        <f>DQ80-DQ81</f>
        <v>0</v>
      </c>
    </row>
    <row r="83" spans="2:122" x14ac:dyDescent="0.2">
      <c r="B83" s="25" t="s">
        <v>642</v>
      </c>
      <c r="C83" s="25">
        <v>2</v>
      </c>
      <c r="D83" s="25">
        <v>2</v>
      </c>
      <c r="E83" s="25">
        <v>2</v>
      </c>
      <c r="F83" s="25">
        <v>2</v>
      </c>
      <c r="G83" s="25">
        <v>2</v>
      </c>
      <c r="H83" s="25">
        <v>2</v>
      </c>
      <c r="I83" s="25">
        <v>2</v>
      </c>
      <c r="J83" s="25">
        <v>2</v>
      </c>
      <c r="K83" s="25">
        <v>2</v>
      </c>
      <c r="L83" s="25">
        <v>2</v>
      </c>
      <c r="M83" s="25">
        <v>2</v>
      </c>
      <c r="N83" s="25">
        <v>2</v>
      </c>
      <c r="O83" s="25">
        <v>2</v>
      </c>
      <c r="P83" s="25">
        <v>2</v>
      </c>
      <c r="Q83" s="25">
        <v>2</v>
      </c>
      <c r="R83" s="25">
        <v>2</v>
      </c>
      <c r="S83" s="25">
        <v>2</v>
      </c>
      <c r="T83" s="25">
        <v>2</v>
      </c>
      <c r="U83" s="25">
        <v>2</v>
      </c>
      <c r="V83" s="25">
        <v>2</v>
      </c>
      <c r="X83" s="25">
        <v>86</v>
      </c>
      <c r="Y83" s="25" t="s">
        <v>643</v>
      </c>
      <c r="Z83" s="25">
        <v>15</v>
      </c>
      <c r="AA83" s="25">
        <v>0</v>
      </c>
      <c r="AB83" s="45" t="s">
        <v>5703</v>
      </c>
      <c r="AC83" s="25" t="s">
        <v>66</v>
      </c>
      <c r="AD83" s="45" t="s">
        <v>5703</v>
      </c>
      <c r="AE83" s="25" t="s">
        <v>445</v>
      </c>
      <c r="AF83" s="45" t="s">
        <v>5703</v>
      </c>
      <c r="AG83" s="26">
        <v>7</v>
      </c>
      <c r="AH83" s="26">
        <v>2</v>
      </c>
      <c r="AI83" s="26">
        <v>10</v>
      </c>
      <c r="AO83" s="26">
        <v>10</v>
      </c>
      <c r="AP83" s="25">
        <v>12</v>
      </c>
      <c r="AQ83" s="25" t="s">
        <v>573</v>
      </c>
      <c r="AR83" s="25">
        <v>66</v>
      </c>
      <c r="AS83" s="25" t="s">
        <v>427</v>
      </c>
      <c r="AX83" s="25" t="s">
        <v>5249</v>
      </c>
      <c r="AY83" s="25">
        <v>65</v>
      </c>
      <c r="AZ83" s="25">
        <v>-20</v>
      </c>
      <c r="BA83" s="45" t="s">
        <v>5250</v>
      </c>
      <c r="BB83" s="25" t="s">
        <v>415</v>
      </c>
      <c r="BC83" s="25" t="s">
        <v>424</v>
      </c>
      <c r="BD83" s="25" t="s">
        <v>425</v>
      </c>
      <c r="BE83" s="25" t="s">
        <v>6423</v>
      </c>
      <c r="BF83" s="25">
        <v>13</v>
      </c>
      <c r="BG83" s="25">
        <v>3</v>
      </c>
      <c r="BH83" s="25">
        <v>20</v>
      </c>
      <c r="BI83" s="45" t="s">
        <v>5703</v>
      </c>
      <c r="BV83" s="235" t="s">
        <v>6668</v>
      </c>
      <c r="BW83" s="235">
        <v>2</v>
      </c>
      <c r="BX83" s="235">
        <f>IF('Arcana Sepirah'!AN5&lt;&gt;0,1,0)+IF('Arcana Sepirah'!BH15&lt;&gt;0,1,0)</f>
        <v>0</v>
      </c>
      <c r="BY83" s="235" t="b">
        <f t="shared" ref="BY83:BY121" si="7">OR(BY82,BX82&gt;0)</f>
        <v>0</v>
      </c>
      <c r="BZ83" s="235" t="str">
        <f t="shared" ref="BZ82:BZ121" si="8">IF(BX83&gt;0,IF(BY83,", ","")&amp;BV83&amp;" ("&amp;BX83&amp;")","")</f>
        <v/>
      </c>
      <c r="CB83" s="235" t="s">
        <v>6668</v>
      </c>
      <c r="CC83" s="25">
        <f>10*(MAX(5-'Hoja básica'!$C$3,1))</f>
        <v>40</v>
      </c>
      <c r="DG83" s="253" t="s">
        <v>6747</v>
      </c>
      <c r="DH83" s="218">
        <f t="shared" ref="DH83:DP83" si="9">DH80-DH81+DH82</f>
        <v>0</v>
      </c>
      <c r="DI83" s="218">
        <f t="shared" si="9"/>
        <v>0</v>
      </c>
      <c r="DJ83" s="218">
        <f t="shared" si="9"/>
        <v>0</v>
      </c>
      <c r="DK83" s="218">
        <f t="shared" si="9"/>
        <v>0</v>
      </c>
      <c r="DL83" s="218">
        <f t="shared" si="9"/>
        <v>0</v>
      </c>
      <c r="DM83" s="218">
        <f t="shared" si="9"/>
        <v>0</v>
      </c>
      <c r="DN83" s="218">
        <f t="shared" si="9"/>
        <v>0</v>
      </c>
      <c r="DO83" s="218">
        <f t="shared" si="9"/>
        <v>0</v>
      </c>
      <c r="DP83" s="218">
        <f t="shared" si="9"/>
        <v>0</v>
      </c>
      <c r="DQ83" s="254">
        <f>DQ80-DQ81</f>
        <v>0</v>
      </c>
    </row>
    <row r="84" spans="2:122" ht="13.5" thickBot="1" x14ac:dyDescent="0.25">
      <c r="B84" s="25" t="s">
        <v>644</v>
      </c>
      <c r="C84" s="25">
        <v>2</v>
      </c>
      <c r="D84" s="25">
        <v>2</v>
      </c>
      <c r="E84" s="25">
        <v>2</v>
      </c>
      <c r="F84" s="25">
        <v>2</v>
      </c>
      <c r="G84" s="25">
        <v>2</v>
      </c>
      <c r="H84" s="25">
        <v>2</v>
      </c>
      <c r="I84" s="25">
        <v>2</v>
      </c>
      <c r="J84" s="25">
        <v>2</v>
      </c>
      <c r="K84" s="25">
        <v>2</v>
      </c>
      <c r="L84" s="25">
        <v>2</v>
      </c>
      <c r="M84" s="25">
        <v>2</v>
      </c>
      <c r="N84" s="25">
        <v>2</v>
      </c>
      <c r="O84" s="25">
        <v>2</v>
      </c>
      <c r="P84" s="25">
        <v>2</v>
      </c>
      <c r="Q84" s="25">
        <v>2</v>
      </c>
      <c r="R84" s="25">
        <v>2</v>
      </c>
      <c r="S84" s="25">
        <v>2</v>
      </c>
      <c r="T84" s="25">
        <v>2</v>
      </c>
      <c r="U84" s="25">
        <v>2</v>
      </c>
      <c r="V84" s="25">
        <v>2</v>
      </c>
      <c r="X84" s="25">
        <v>81</v>
      </c>
      <c r="Y84" s="25" t="s">
        <v>645</v>
      </c>
      <c r="Z84" s="25">
        <v>0</v>
      </c>
      <c r="AA84" s="25">
        <v>0</v>
      </c>
      <c r="AB84" s="27" t="s">
        <v>414</v>
      </c>
      <c r="AC84" s="45" t="s">
        <v>5703</v>
      </c>
      <c r="AD84" s="45" t="s">
        <v>5703</v>
      </c>
      <c r="AE84" s="25" t="s">
        <v>433</v>
      </c>
      <c r="AF84" s="25" t="s">
        <v>646</v>
      </c>
      <c r="AG84" s="26">
        <v>8</v>
      </c>
      <c r="AH84" s="26">
        <v>-3</v>
      </c>
      <c r="AI84" s="26">
        <v>20</v>
      </c>
      <c r="AO84" s="26">
        <v>15</v>
      </c>
      <c r="AP84" s="25">
        <v>12</v>
      </c>
      <c r="AR84" s="25">
        <v>66.5</v>
      </c>
      <c r="AS84" s="25" t="s">
        <v>647</v>
      </c>
      <c r="AX84" s="25" t="s">
        <v>512</v>
      </c>
      <c r="AY84" s="25">
        <v>100</v>
      </c>
      <c r="AZ84" s="25">
        <v>-70</v>
      </c>
      <c r="BA84" s="27" t="s">
        <v>579</v>
      </c>
      <c r="BB84" s="25" t="s">
        <v>415</v>
      </c>
      <c r="BC84" s="25" t="s">
        <v>66</v>
      </c>
      <c r="BD84" s="25" t="s">
        <v>580</v>
      </c>
      <c r="BE84" s="25" t="s">
        <v>6441</v>
      </c>
      <c r="BF84" s="25">
        <v>17</v>
      </c>
      <c r="BG84" s="25">
        <v>7</v>
      </c>
      <c r="BH84" s="25">
        <v>30</v>
      </c>
      <c r="BI84" s="45" t="s">
        <v>5703</v>
      </c>
      <c r="BV84" s="235" t="s">
        <v>6667</v>
      </c>
      <c r="BW84" s="235">
        <v>2</v>
      </c>
      <c r="BX84" s="235">
        <f>IF('Arcana Sepirah'!AI15&lt;&gt;0,1,0)+IF('Arcana Sepirah'!AS25&lt;&gt;0,1,0)</f>
        <v>0</v>
      </c>
      <c r="BY84" s="235" t="b">
        <f t="shared" si="7"/>
        <v>0</v>
      </c>
      <c r="BZ84" s="235" t="str">
        <f t="shared" si="8"/>
        <v/>
      </c>
      <c r="CB84" s="235" t="s">
        <v>6667</v>
      </c>
      <c r="CC84" s="25">
        <f>10*(MAX(4-'Hoja básica'!$C$3,1))</f>
        <v>30</v>
      </c>
      <c r="CD84" s="25">
        <f>10*(MAX(7-'Hoja básica'!$C$3,1))</f>
        <v>60</v>
      </c>
      <c r="DG84" s="255" t="s">
        <v>6748</v>
      </c>
      <c r="DH84" s="218">
        <f>IF(DH83&lt;0,ABS(DH83),0)</f>
        <v>0</v>
      </c>
      <c r="DI84" s="218">
        <f t="shared" ref="DI84:DQ84" si="10">IF(DI83&lt;0,ABS(DI83),0)</f>
        <v>0</v>
      </c>
      <c r="DJ84" s="218">
        <f t="shared" si="10"/>
        <v>0</v>
      </c>
      <c r="DK84" s="218">
        <f t="shared" si="10"/>
        <v>0</v>
      </c>
      <c r="DL84" s="218">
        <f t="shared" si="10"/>
        <v>0</v>
      </c>
      <c r="DM84" s="218">
        <f t="shared" si="10"/>
        <v>0</v>
      </c>
      <c r="DN84" s="218">
        <f t="shared" si="10"/>
        <v>0</v>
      </c>
      <c r="DO84" s="218">
        <f t="shared" si="10"/>
        <v>0</v>
      </c>
      <c r="DP84" s="218">
        <f t="shared" si="10"/>
        <v>0</v>
      </c>
      <c r="DQ84" s="254">
        <f t="shared" si="10"/>
        <v>0</v>
      </c>
      <c r="DR84" s="25" t="s">
        <v>6750</v>
      </c>
    </row>
    <row r="85" spans="2:122" ht="13.5" thickBot="1" x14ac:dyDescent="0.25">
      <c r="B85" s="25" t="s">
        <v>648</v>
      </c>
      <c r="C85" s="25">
        <v>2</v>
      </c>
      <c r="D85" s="25">
        <v>2</v>
      </c>
      <c r="E85" s="25">
        <v>2</v>
      </c>
      <c r="F85" s="25">
        <v>2</v>
      </c>
      <c r="G85" s="25">
        <v>2</v>
      </c>
      <c r="H85" s="25">
        <v>2</v>
      </c>
      <c r="I85" s="25">
        <v>2</v>
      </c>
      <c r="J85" s="25">
        <v>2</v>
      </c>
      <c r="K85" s="25">
        <v>2</v>
      </c>
      <c r="L85" s="25">
        <v>2</v>
      </c>
      <c r="M85" s="25">
        <v>2</v>
      </c>
      <c r="N85" s="25">
        <v>2</v>
      </c>
      <c r="O85" s="25">
        <v>2</v>
      </c>
      <c r="P85" s="25">
        <v>2</v>
      </c>
      <c r="Q85" s="25">
        <v>2</v>
      </c>
      <c r="R85" s="25">
        <v>2</v>
      </c>
      <c r="S85" s="25">
        <v>2</v>
      </c>
      <c r="T85" s="25">
        <v>2</v>
      </c>
      <c r="U85" s="25">
        <v>2</v>
      </c>
      <c r="V85" s="25">
        <v>2</v>
      </c>
      <c r="X85" s="25">
        <v>43</v>
      </c>
      <c r="Y85" s="25" t="s">
        <v>590</v>
      </c>
      <c r="Z85" s="25">
        <v>50</v>
      </c>
      <c r="AA85" s="25">
        <v>-20</v>
      </c>
      <c r="AB85" s="27" t="s">
        <v>624</v>
      </c>
      <c r="AC85" s="25" t="s">
        <v>66</v>
      </c>
      <c r="AD85" s="25" t="s">
        <v>415</v>
      </c>
      <c r="AE85" s="25" t="s">
        <v>549</v>
      </c>
      <c r="AF85" s="25" t="s">
        <v>530</v>
      </c>
      <c r="AG85" s="25">
        <v>16</v>
      </c>
      <c r="AH85" s="25">
        <v>8</v>
      </c>
      <c r="AI85" s="25">
        <v>25</v>
      </c>
      <c r="AO85" s="26">
        <v>20</v>
      </c>
      <c r="AP85" s="25">
        <v>12</v>
      </c>
      <c r="AR85" s="25">
        <v>67</v>
      </c>
      <c r="AS85" s="25" t="s">
        <v>649</v>
      </c>
      <c r="AX85" s="25" t="s">
        <v>514</v>
      </c>
      <c r="AY85" s="25">
        <v>70</v>
      </c>
      <c r="AZ85" s="25">
        <v>-30</v>
      </c>
      <c r="BA85" s="27" t="s">
        <v>521</v>
      </c>
      <c r="BB85" s="25" t="s">
        <v>415</v>
      </c>
      <c r="BC85" s="25" t="s">
        <v>66</v>
      </c>
      <c r="BD85" s="25" t="s">
        <v>443</v>
      </c>
      <c r="BE85" s="25" t="s">
        <v>583</v>
      </c>
      <c r="BF85" s="25">
        <v>15</v>
      </c>
      <c r="BG85" s="25">
        <v>5</v>
      </c>
      <c r="BH85" s="25">
        <v>25</v>
      </c>
      <c r="BI85" s="45" t="s">
        <v>5703</v>
      </c>
      <c r="BV85" s="235" t="s">
        <v>6697</v>
      </c>
      <c r="BW85" s="235">
        <v>3</v>
      </c>
      <c r="BX85" s="235">
        <f>IF('Arcana Sepirah'!AS10&lt;&gt;0,1,0)+IF('Arcana Sepirah'!T15&lt;&gt;0,1,0)+IF('Arcana Sepirah'!BR15&lt;&gt;0,1,0)</f>
        <v>0</v>
      </c>
      <c r="BY85" s="235" t="b">
        <f t="shared" si="7"/>
        <v>0</v>
      </c>
      <c r="BZ85" s="235" t="str">
        <f t="shared" si="8"/>
        <v/>
      </c>
      <c r="CB85" s="235" t="s">
        <v>6697</v>
      </c>
      <c r="CC85" s="25">
        <f>5*(MAX(4-'Hoja básica'!$C$3,1))</f>
        <v>15</v>
      </c>
      <c r="CX85" s="25">
        <v>0</v>
      </c>
      <c r="CY85" s="25" t="b">
        <v>0</v>
      </c>
      <c r="DH85" s="109">
        <f>DH84*DH67</f>
        <v>0</v>
      </c>
      <c r="DI85" s="110">
        <f t="shared" ref="DI85:DQ85" si="11">DI84*DI67</f>
        <v>0</v>
      </c>
      <c r="DJ85" s="110">
        <f t="shared" si="11"/>
        <v>0</v>
      </c>
      <c r="DK85" s="110">
        <f t="shared" si="11"/>
        <v>0</v>
      </c>
      <c r="DL85" s="110">
        <f t="shared" si="11"/>
        <v>0</v>
      </c>
      <c r="DM85" s="110">
        <f t="shared" si="11"/>
        <v>0</v>
      </c>
      <c r="DN85" s="110">
        <f t="shared" si="11"/>
        <v>0</v>
      </c>
      <c r="DO85" s="110">
        <f t="shared" si="11"/>
        <v>0</v>
      </c>
      <c r="DP85" s="110">
        <f t="shared" si="11"/>
        <v>0</v>
      </c>
      <c r="DQ85" s="110">
        <f t="shared" si="11"/>
        <v>0</v>
      </c>
      <c r="DR85" s="111">
        <f>SUM(DH85:DQ85)</f>
        <v>0</v>
      </c>
    </row>
    <row r="86" spans="2:122" ht="13.5" thickBot="1" x14ac:dyDescent="0.25">
      <c r="B86" s="25" t="s">
        <v>650</v>
      </c>
      <c r="C86" s="25">
        <v>2</v>
      </c>
      <c r="D86" s="25">
        <v>2</v>
      </c>
      <c r="E86" s="25">
        <v>2</v>
      </c>
      <c r="F86" s="25">
        <v>2</v>
      </c>
      <c r="G86" s="25">
        <v>2</v>
      </c>
      <c r="H86" s="25">
        <v>2</v>
      </c>
      <c r="I86" s="25">
        <v>2</v>
      </c>
      <c r="J86" s="25">
        <v>2</v>
      </c>
      <c r="K86" s="25">
        <v>2</v>
      </c>
      <c r="L86" s="25">
        <v>2</v>
      </c>
      <c r="M86" s="25">
        <v>2</v>
      </c>
      <c r="N86" s="25">
        <v>2</v>
      </c>
      <c r="O86" s="25">
        <v>2</v>
      </c>
      <c r="P86" s="25">
        <v>2</v>
      </c>
      <c r="Q86" s="25">
        <v>2</v>
      </c>
      <c r="R86" s="25">
        <v>2</v>
      </c>
      <c r="S86" s="25">
        <v>2</v>
      </c>
      <c r="T86" s="25">
        <v>2</v>
      </c>
      <c r="U86" s="25">
        <v>2</v>
      </c>
      <c r="V86" s="25">
        <v>2</v>
      </c>
      <c r="X86" s="25">
        <v>33</v>
      </c>
      <c r="Y86" s="25" t="s">
        <v>564</v>
      </c>
      <c r="Z86" s="25">
        <v>5</v>
      </c>
      <c r="AA86" s="25">
        <v>0</v>
      </c>
      <c r="AB86" s="27" t="s">
        <v>414</v>
      </c>
      <c r="AC86" s="25" t="s">
        <v>66</v>
      </c>
      <c r="AD86" s="25" t="s">
        <v>415</v>
      </c>
      <c r="AE86" s="25" t="s">
        <v>489</v>
      </c>
      <c r="AF86" s="25" t="s">
        <v>651</v>
      </c>
      <c r="AG86" s="25">
        <v>13</v>
      </c>
      <c r="AH86" s="25">
        <v>4</v>
      </c>
      <c r="AI86" s="25">
        <v>15</v>
      </c>
      <c r="AJ86" s="25" t="s">
        <v>652</v>
      </c>
      <c r="AO86" s="26">
        <v>25</v>
      </c>
      <c r="AP86" s="25">
        <v>12</v>
      </c>
      <c r="AR86" s="25">
        <v>68</v>
      </c>
      <c r="AS86" s="25" t="s">
        <v>520</v>
      </c>
      <c r="AX86" s="25" t="s">
        <v>585</v>
      </c>
      <c r="AY86" s="25">
        <v>40</v>
      </c>
      <c r="AZ86" s="25">
        <v>-10</v>
      </c>
      <c r="BA86" s="27" t="s">
        <v>586</v>
      </c>
      <c r="BB86" s="25" t="s">
        <v>415</v>
      </c>
      <c r="BC86" s="45" t="s">
        <v>5703</v>
      </c>
      <c r="BD86" s="25" t="s">
        <v>443</v>
      </c>
      <c r="BE86" s="25" t="s">
        <v>6441</v>
      </c>
      <c r="BF86" s="26">
        <v>12</v>
      </c>
      <c r="BG86" s="26">
        <v>3</v>
      </c>
      <c r="BH86" s="26">
        <v>15</v>
      </c>
      <c r="BI86" s="45" t="s">
        <v>5703</v>
      </c>
      <c r="BV86" s="235" t="s">
        <v>2321</v>
      </c>
      <c r="BW86" s="235">
        <v>3</v>
      </c>
      <c r="BX86" s="235">
        <f>IF('Arcana Sepirah'!AN10&lt;&gt;0,1,0)+IF('Arcana Sepirah'!O20&lt;&gt;0,1,0)+IF('Arcana Sepirah'!AI25&lt;&gt;0,1,0)</f>
        <v>0</v>
      </c>
      <c r="BY86" s="235" t="b">
        <f t="shared" si="7"/>
        <v>0</v>
      </c>
      <c r="BZ86" s="235" t="str">
        <f t="shared" si="8"/>
        <v/>
      </c>
      <c r="CB86" s="235" t="s">
        <v>2321</v>
      </c>
      <c r="CC86" s="25">
        <f>10*(MAX(6-'Hoja básica'!$C$3,1))</f>
        <v>50</v>
      </c>
      <c r="CD86" s="25">
        <f>10*(MAX(7-'Hoja básica'!$C$3,1))</f>
        <v>60</v>
      </c>
      <c r="CX86" s="25" t="s">
        <v>65</v>
      </c>
      <c r="CY86" s="25" t="b">
        <v>1</v>
      </c>
      <c r="DA86" s="259">
        <v>0</v>
      </c>
      <c r="DB86" s="260">
        <v>0</v>
      </c>
    </row>
    <row r="87" spans="2:122" ht="13.5" thickBot="1" x14ac:dyDescent="0.25">
      <c r="B87" s="25" t="s">
        <v>653</v>
      </c>
      <c r="C87" s="25">
        <v>2</v>
      </c>
      <c r="D87" s="25">
        <v>2</v>
      </c>
      <c r="E87" s="25">
        <v>2</v>
      </c>
      <c r="F87" s="25">
        <v>2</v>
      </c>
      <c r="G87" s="25">
        <v>2</v>
      </c>
      <c r="H87" s="25">
        <v>2</v>
      </c>
      <c r="I87" s="25">
        <v>2</v>
      </c>
      <c r="J87" s="25">
        <v>2</v>
      </c>
      <c r="K87" s="25">
        <v>2</v>
      </c>
      <c r="L87" s="25">
        <v>1</v>
      </c>
      <c r="M87" s="25">
        <v>2</v>
      </c>
      <c r="N87" s="25">
        <v>2</v>
      </c>
      <c r="O87" s="25">
        <v>2</v>
      </c>
      <c r="P87" s="25">
        <v>2</v>
      </c>
      <c r="Q87" s="25">
        <v>2</v>
      </c>
      <c r="R87" s="25">
        <v>2</v>
      </c>
      <c r="S87" s="25">
        <v>2</v>
      </c>
      <c r="T87" s="25">
        <v>2</v>
      </c>
      <c r="U87" s="25">
        <v>2</v>
      </c>
      <c r="V87" s="25">
        <v>2</v>
      </c>
      <c r="X87" s="25">
        <v>93</v>
      </c>
      <c r="Y87" s="25" t="s">
        <v>649</v>
      </c>
      <c r="Z87" s="25">
        <v>15</v>
      </c>
      <c r="AA87" s="25">
        <v>-15</v>
      </c>
      <c r="AB87" s="27" t="s">
        <v>440</v>
      </c>
      <c r="AC87" s="25" t="s">
        <v>66</v>
      </c>
      <c r="AD87" s="45" t="s">
        <v>5703</v>
      </c>
      <c r="AE87" s="25" t="s">
        <v>520</v>
      </c>
      <c r="AF87" s="25" t="s">
        <v>654</v>
      </c>
      <c r="AG87" s="26">
        <v>14</v>
      </c>
      <c r="AH87" s="26">
        <v>0</v>
      </c>
      <c r="AI87" s="26">
        <v>20</v>
      </c>
      <c r="AO87" s="26">
        <v>30</v>
      </c>
      <c r="AP87" s="25">
        <v>12</v>
      </c>
      <c r="AQ87" s="25" t="s">
        <v>573</v>
      </c>
      <c r="AR87" s="25">
        <v>69</v>
      </c>
      <c r="AS87" s="25" t="s">
        <v>524</v>
      </c>
      <c r="AX87" s="25" t="s">
        <v>516</v>
      </c>
      <c r="AY87" s="25">
        <v>45</v>
      </c>
      <c r="AZ87" s="25">
        <v>0</v>
      </c>
      <c r="BA87" s="27" t="s">
        <v>440</v>
      </c>
      <c r="BB87" s="25" t="s">
        <v>415</v>
      </c>
      <c r="BC87" s="45" t="s">
        <v>5703</v>
      </c>
      <c r="BD87" s="25" t="s">
        <v>443</v>
      </c>
      <c r="BE87" s="25" t="s">
        <v>583</v>
      </c>
      <c r="BF87" s="25">
        <v>13</v>
      </c>
      <c r="BG87" s="25">
        <v>4</v>
      </c>
      <c r="BH87" s="25">
        <v>15</v>
      </c>
      <c r="BI87" s="45" t="s">
        <v>5703</v>
      </c>
      <c r="BV87" s="235" t="s">
        <v>3193</v>
      </c>
      <c r="BW87" s="235">
        <v>3</v>
      </c>
      <c r="BX87" s="235">
        <f>IF('Arcana Sepirah'!AN20&lt;&gt;0,1,0)+IF('Arcana Sepirah'!AN30&lt;&gt;0,1,0)+IF('Arcana Sepirah'!BM20&lt;&gt;0,1,0)</f>
        <v>0</v>
      </c>
      <c r="BY87" s="235" t="b">
        <f t="shared" si="7"/>
        <v>0</v>
      </c>
      <c r="BZ87" s="235" t="str">
        <f t="shared" si="8"/>
        <v/>
      </c>
      <c r="CB87" s="235" t="s">
        <v>3193</v>
      </c>
      <c r="CC87" s="25">
        <f>10*(MAX(6-'Hoja básica'!$C$3,1))</f>
        <v>50</v>
      </c>
      <c r="CD87" s="25">
        <f>10*(MAX(5-'Hoja básica'!$C$3,1))</f>
        <v>40</v>
      </c>
      <c r="CE87" s="25">
        <f>10*(MAX(8-'Hoja básica'!$C$3,1))</f>
        <v>70</v>
      </c>
      <c r="CX87" s="25" t="s">
        <v>60</v>
      </c>
      <c r="CY87" s="25" t="b">
        <v>1</v>
      </c>
      <c r="DA87" s="253">
        <v>2</v>
      </c>
      <c r="DB87" s="254">
        <v>2</v>
      </c>
      <c r="DD87" s="84" t="b">
        <f>_xlfn.IFNA(IF(LOOKUP('Hoja básica'!AR72,Sheet3!CX85:CY120),TRUE,FALSE),FALSE)</f>
        <v>0</v>
      </c>
      <c r="DE87" s="25">
        <f>_xlfn.IFNA(IF($DD87,LOOKUP('Hoja básica'!$AX72,Sheet3!$DA$86:$DB$106),0),0)</f>
        <v>0</v>
      </c>
      <c r="DG87" s="25" t="s">
        <v>6754</v>
      </c>
      <c r="DH87" s="249" t="str">
        <f>IF(SUM(DH80:DQ80)&gt;0,"Libre acceso disponibles: "&amp;DH68&amp;" ("&amp;DH80&amp;"), "&amp;DI68&amp;" ("&amp;DI80&amp;"), "&amp;DJ68&amp;" ("&amp;DJ80&amp;"), "&amp;DK68&amp;" ("&amp;DK80&amp;"), "&amp;DL68&amp;" ("&amp;DL80&amp;"), "&amp;DM68&amp;" ("&amp;DM80&amp;"), "&amp;DN68&amp;" ("&amp;DN80&amp;"), "&amp;DO68&amp;" ("&amp;DO80&amp;"), "&amp;DP68&amp;" ("&amp;DP80&amp;"), "&amp;DQ68&amp;" ("&amp;DQ80&amp;")","")</f>
        <v/>
      </c>
    </row>
    <row r="88" spans="2:122" x14ac:dyDescent="0.2">
      <c r="B88" s="25" t="s">
        <v>655</v>
      </c>
      <c r="C88" s="153">
        <f t="shared" ref="C88:H88" si="12">1/3</f>
        <v>0.33333333333333331</v>
      </c>
      <c r="D88" s="153">
        <f t="shared" si="12"/>
        <v>0.33333333333333331</v>
      </c>
      <c r="E88" s="153">
        <f t="shared" si="12"/>
        <v>0.33333333333333331</v>
      </c>
      <c r="F88" s="153">
        <f t="shared" si="12"/>
        <v>0.33333333333333331</v>
      </c>
      <c r="G88" s="153">
        <f t="shared" si="12"/>
        <v>0.33333333333333331</v>
      </c>
      <c r="H88" s="153">
        <f t="shared" si="12"/>
        <v>0.33333333333333331</v>
      </c>
      <c r="I88" s="153">
        <v>1</v>
      </c>
      <c r="J88" s="153">
        <f>1/3</f>
        <v>0.33333333333333331</v>
      </c>
      <c r="K88" s="153">
        <v>1</v>
      </c>
      <c r="L88" s="153">
        <f>1/3</f>
        <v>0.33333333333333331</v>
      </c>
      <c r="M88" s="153">
        <f>1/3</f>
        <v>0.33333333333333331</v>
      </c>
      <c r="N88" s="153">
        <f>1/3</f>
        <v>0.33333333333333331</v>
      </c>
      <c r="O88" s="153">
        <v>1</v>
      </c>
      <c r="P88" s="153">
        <f>1/2</f>
        <v>0.5</v>
      </c>
      <c r="Q88" s="153">
        <f t="shared" ref="Q88:V88" si="13">1/3</f>
        <v>0.33333333333333331</v>
      </c>
      <c r="R88" s="153">
        <f t="shared" si="13"/>
        <v>0.33333333333333331</v>
      </c>
      <c r="S88" s="153">
        <f t="shared" si="13"/>
        <v>0.33333333333333331</v>
      </c>
      <c r="T88" s="153">
        <f t="shared" si="13"/>
        <v>0.33333333333333331</v>
      </c>
      <c r="U88" s="153">
        <f t="shared" si="13"/>
        <v>0.33333333333333331</v>
      </c>
      <c r="V88" s="153">
        <f t="shared" si="13"/>
        <v>0.33333333333333331</v>
      </c>
      <c r="X88" s="25">
        <v>34</v>
      </c>
      <c r="Y88" s="25" t="s">
        <v>567</v>
      </c>
      <c r="Z88" s="25">
        <v>45</v>
      </c>
      <c r="AA88" s="25">
        <v>10</v>
      </c>
      <c r="AB88" s="27" t="s">
        <v>432</v>
      </c>
      <c r="AC88" s="25" t="s">
        <v>415</v>
      </c>
      <c r="AD88" s="25" t="s">
        <v>424</v>
      </c>
      <c r="AE88" s="25" t="s">
        <v>499</v>
      </c>
      <c r="AF88" s="45" t="s">
        <v>5703</v>
      </c>
      <c r="AG88" s="25">
        <v>12</v>
      </c>
      <c r="AH88" s="25">
        <v>3</v>
      </c>
      <c r="AI88" s="25">
        <v>20</v>
      </c>
      <c r="AO88" s="26">
        <v>35</v>
      </c>
      <c r="AP88" s="25">
        <v>12</v>
      </c>
      <c r="AR88" s="25">
        <v>69.5</v>
      </c>
      <c r="AS88" s="25" t="s">
        <v>656</v>
      </c>
      <c r="AX88" s="25" t="s">
        <v>589</v>
      </c>
      <c r="AY88" s="25">
        <v>0</v>
      </c>
      <c r="AZ88" s="25">
        <v>-40</v>
      </c>
      <c r="BA88" s="27" t="s">
        <v>414</v>
      </c>
      <c r="BB88" s="45" t="s">
        <v>5703</v>
      </c>
      <c r="BC88" s="45" t="s">
        <v>5703</v>
      </c>
      <c r="BD88" s="25" t="s">
        <v>433</v>
      </c>
      <c r="BE88" s="45" t="s">
        <v>5703</v>
      </c>
      <c r="BF88" s="26">
        <v>3</v>
      </c>
      <c r="BG88" s="26">
        <v>-6</v>
      </c>
      <c r="BH88" s="26">
        <v>10</v>
      </c>
      <c r="BI88" s="45" t="s">
        <v>5703</v>
      </c>
      <c r="BV88" s="235" t="s">
        <v>6670</v>
      </c>
      <c r="BW88" s="235">
        <v>1</v>
      </c>
      <c r="BX88" s="235">
        <f>IF('Arcana Sepirah'!AI35&lt;&gt;0,1,0)</f>
        <v>0</v>
      </c>
      <c r="BY88" s="235" t="b">
        <f t="shared" si="7"/>
        <v>0</v>
      </c>
      <c r="BZ88" s="235" t="str">
        <f t="shared" si="8"/>
        <v/>
      </c>
      <c r="CB88" s="235" t="s">
        <v>6670</v>
      </c>
      <c r="CC88" s="25">
        <f>20*(MAX(11-'Hoja básica'!$C$3,1))</f>
        <v>200</v>
      </c>
      <c r="CX88" s="25" t="s">
        <v>1516</v>
      </c>
      <c r="CY88" s="25" t="b">
        <v>1</v>
      </c>
      <c r="DA88" s="253">
        <v>10</v>
      </c>
      <c r="DB88" s="254">
        <v>2</v>
      </c>
      <c r="DD88" s="85" t="b">
        <f>_xlfn.IFNA(IF(LOOKUP('Hoja básica'!AR73,Sheet3!CX86:CY121),TRUE,FALSE),FALSE)</f>
        <v>0</v>
      </c>
      <c r="DE88" s="25">
        <f>_xlfn.IFNA(IF($DD88,LOOKUP('Hoja básica'!$AX73,Sheet3!$DA$86:$DB$106),0),0)</f>
        <v>0</v>
      </c>
    </row>
    <row r="89" spans="2:122" x14ac:dyDescent="0.2">
      <c r="B89" s="25" t="s">
        <v>6025</v>
      </c>
      <c r="C89" s="152" t="s">
        <v>706</v>
      </c>
      <c r="D89" s="45" t="s">
        <v>706</v>
      </c>
      <c r="E89" s="45" t="s">
        <v>706</v>
      </c>
      <c r="F89" s="45" t="s">
        <v>706</v>
      </c>
      <c r="G89" s="45" t="s">
        <v>706</v>
      </c>
      <c r="H89" s="45" t="s">
        <v>706</v>
      </c>
      <c r="I89" s="45" t="s">
        <v>6024</v>
      </c>
      <c r="J89" s="45" t="s">
        <v>706</v>
      </c>
      <c r="K89" s="45" t="s">
        <v>6024</v>
      </c>
      <c r="L89" s="45" t="s">
        <v>706</v>
      </c>
      <c r="M89" s="45" t="s">
        <v>706</v>
      </c>
      <c r="N89" s="45" t="s">
        <v>706</v>
      </c>
      <c r="O89" s="45" t="s">
        <v>6024</v>
      </c>
      <c r="P89" s="45" t="s">
        <v>708</v>
      </c>
      <c r="Q89" s="45" t="s">
        <v>706</v>
      </c>
      <c r="R89" s="45" t="s">
        <v>706</v>
      </c>
      <c r="S89" s="45" t="s">
        <v>706</v>
      </c>
      <c r="T89" s="45" t="s">
        <v>706</v>
      </c>
      <c r="U89" s="45" t="s">
        <v>706</v>
      </c>
      <c r="V89" s="45" t="s">
        <v>706</v>
      </c>
      <c r="X89" s="25">
        <v>56</v>
      </c>
      <c r="Y89" s="25" t="s">
        <v>657</v>
      </c>
      <c r="Z89" s="25">
        <v>40</v>
      </c>
      <c r="AA89" s="25">
        <v>0</v>
      </c>
      <c r="AB89" s="45" t="s">
        <v>5703</v>
      </c>
      <c r="AC89" s="25" t="s">
        <v>424</v>
      </c>
      <c r="AD89" s="45" t="s">
        <v>5703</v>
      </c>
      <c r="AE89" s="25" t="s">
        <v>445</v>
      </c>
      <c r="AF89" s="45" t="s">
        <v>5703</v>
      </c>
      <c r="AG89" s="26">
        <v>3</v>
      </c>
      <c r="AH89" s="26">
        <v>0</v>
      </c>
      <c r="AI89" s="26" t="s">
        <v>477</v>
      </c>
      <c r="AO89" s="26">
        <v>40</v>
      </c>
      <c r="AP89" s="25">
        <v>12</v>
      </c>
      <c r="AR89" s="25">
        <v>70</v>
      </c>
      <c r="AS89" s="25" t="s">
        <v>453</v>
      </c>
      <c r="AX89" s="25" t="s">
        <v>592</v>
      </c>
      <c r="AY89" s="25">
        <v>35</v>
      </c>
      <c r="AZ89" s="25">
        <v>-10</v>
      </c>
      <c r="BA89" s="27" t="s">
        <v>414</v>
      </c>
      <c r="BB89" s="25" t="s">
        <v>156</v>
      </c>
      <c r="BC89" s="25" t="s">
        <v>424</v>
      </c>
      <c r="BD89" s="25" t="s">
        <v>416</v>
      </c>
      <c r="BE89" s="45" t="s">
        <v>5703</v>
      </c>
      <c r="BF89" s="26">
        <v>8</v>
      </c>
      <c r="BG89" s="26">
        <v>0</v>
      </c>
      <c r="BH89" s="26">
        <v>15</v>
      </c>
      <c r="BI89" s="45" t="s">
        <v>5703</v>
      </c>
      <c r="BV89" s="235" t="s">
        <v>6686</v>
      </c>
      <c r="BW89" s="235">
        <v>1</v>
      </c>
      <c r="BX89" s="235">
        <f>IF('Arcana Sepirah'!AI55&lt;&gt;0,1,0)</f>
        <v>0</v>
      </c>
      <c r="BY89" s="235" t="b">
        <f t="shared" si="7"/>
        <v>0</v>
      </c>
      <c r="BZ89" s="235" t="str">
        <f t="shared" si="8"/>
        <v/>
      </c>
      <c r="CB89" s="235" t="s">
        <v>6686</v>
      </c>
      <c r="CC89" s="25">
        <f>5*(MAX(4-'Hoja básica'!$C$3,1))</f>
        <v>15</v>
      </c>
      <c r="CX89" s="25" t="s">
        <v>1571</v>
      </c>
      <c r="CY89" s="25" t="b">
        <v>1</v>
      </c>
      <c r="DA89" s="253">
        <v>12</v>
      </c>
      <c r="DB89" s="254">
        <v>4</v>
      </c>
      <c r="DD89" s="85" t="b">
        <f>_xlfn.IFNA(IF(LOOKUP('Hoja básica'!AR74,Sheet3!CX87:CY122),TRUE,FALSE),FALSE)</f>
        <v>0</v>
      </c>
      <c r="DE89" s="25">
        <f>_xlfn.IFNA(IF($DD89,LOOKUP('Hoja básica'!$AX74,Sheet3!$DA$86:$DB$106),0),0)</f>
        <v>0</v>
      </c>
    </row>
    <row r="90" spans="2:122" x14ac:dyDescent="0.2">
      <c r="X90" s="25">
        <v>62</v>
      </c>
      <c r="Y90" s="25" t="s">
        <v>658</v>
      </c>
      <c r="Z90" s="25">
        <v>30</v>
      </c>
      <c r="AA90" s="25">
        <v>0</v>
      </c>
      <c r="AB90" s="45" t="s">
        <v>5703</v>
      </c>
      <c r="AC90" s="25" t="s">
        <v>424</v>
      </c>
      <c r="AD90" s="45" t="s">
        <v>5703</v>
      </c>
      <c r="AE90" s="25" t="s">
        <v>445</v>
      </c>
      <c r="AF90" s="45" t="s">
        <v>5703</v>
      </c>
      <c r="AG90" s="26">
        <v>2</v>
      </c>
      <c r="AH90" s="26">
        <v>-1</v>
      </c>
      <c r="AI90" s="26">
        <v>20</v>
      </c>
      <c r="AO90" s="26">
        <v>45</v>
      </c>
      <c r="AP90" s="25">
        <v>12</v>
      </c>
      <c r="AR90" s="25">
        <v>71</v>
      </c>
      <c r="AS90" s="28" t="s">
        <v>657</v>
      </c>
      <c r="AX90" s="25" t="s">
        <v>5251</v>
      </c>
      <c r="AY90" s="25">
        <v>30</v>
      </c>
      <c r="AZ90" s="25">
        <v>15</v>
      </c>
      <c r="BA90" s="25">
        <v>5</v>
      </c>
      <c r="BB90" s="25" t="s">
        <v>415</v>
      </c>
      <c r="BC90" s="25" t="s">
        <v>66</v>
      </c>
      <c r="BD90" s="25" t="s">
        <v>416</v>
      </c>
      <c r="BE90" s="25" t="s">
        <v>5252</v>
      </c>
      <c r="BF90" s="25">
        <v>10</v>
      </c>
      <c r="BG90" s="25">
        <v>-2</v>
      </c>
      <c r="BH90" s="25">
        <v>20</v>
      </c>
      <c r="BI90" s="45" t="s">
        <v>5703</v>
      </c>
      <c r="BV90" s="235" t="s">
        <v>6687</v>
      </c>
      <c r="BW90" s="235">
        <v>1</v>
      </c>
      <c r="BX90" s="235">
        <f>IF('Arcana Sepirah'!AS55&lt;&gt;0,1,0)</f>
        <v>0</v>
      </c>
      <c r="BY90" s="235" t="b">
        <f t="shared" si="7"/>
        <v>0</v>
      </c>
      <c r="BZ90" s="235" t="str">
        <f t="shared" si="8"/>
        <v/>
      </c>
      <c r="CB90" s="235" t="s">
        <v>6687</v>
      </c>
      <c r="CC90" s="25">
        <f>5*(MAX(4-'Hoja básica'!$C$3,1))</f>
        <v>15</v>
      </c>
      <c r="CX90" s="25" t="s">
        <v>49</v>
      </c>
      <c r="CY90" s="25" t="b">
        <v>1</v>
      </c>
      <c r="DA90" s="253">
        <v>20</v>
      </c>
      <c r="DB90" s="254">
        <v>4</v>
      </c>
      <c r="DD90" s="85" t="b">
        <f>_xlfn.IFNA(IF(LOOKUP('Hoja básica'!AR75,Sheet3!CX88:CY123),TRUE,FALSE),FALSE)</f>
        <v>0</v>
      </c>
      <c r="DE90" s="25">
        <f>_xlfn.IFNA(IF($DD90,LOOKUP('Hoja básica'!$AX75,Sheet3!$DA$86:$DB$106),0),0)</f>
        <v>0</v>
      </c>
    </row>
    <row r="91" spans="2:122" x14ac:dyDescent="0.2">
      <c r="X91" s="25">
        <v>58</v>
      </c>
      <c r="Y91" s="25" t="s">
        <v>659</v>
      </c>
      <c r="Z91" s="25">
        <v>40</v>
      </c>
      <c r="AA91" s="25">
        <v>0</v>
      </c>
      <c r="AB91" s="45" t="s">
        <v>5703</v>
      </c>
      <c r="AC91" s="25" t="s">
        <v>424</v>
      </c>
      <c r="AD91" s="45" t="s">
        <v>5703</v>
      </c>
      <c r="AE91" s="25" t="s">
        <v>445</v>
      </c>
      <c r="AF91" s="45" t="s">
        <v>5703</v>
      </c>
      <c r="AG91" s="26">
        <v>3</v>
      </c>
      <c r="AH91" s="26">
        <v>0</v>
      </c>
      <c r="AI91" s="26">
        <v>15</v>
      </c>
      <c r="AO91" s="26">
        <v>50</v>
      </c>
      <c r="AP91" s="25">
        <v>12</v>
      </c>
      <c r="AR91" s="25">
        <v>72</v>
      </c>
      <c r="AS91" s="25" t="s">
        <v>463</v>
      </c>
      <c r="AX91" s="25" t="s">
        <v>519</v>
      </c>
      <c r="AY91" s="25">
        <v>35</v>
      </c>
      <c r="AZ91" s="25">
        <v>5</v>
      </c>
      <c r="BA91" s="27" t="s">
        <v>414</v>
      </c>
      <c r="BB91" s="25" t="s">
        <v>424</v>
      </c>
      <c r="BC91" s="45" t="s">
        <v>5703</v>
      </c>
      <c r="BD91" s="25" t="s">
        <v>425</v>
      </c>
      <c r="BE91" s="25" t="s">
        <v>583</v>
      </c>
      <c r="BF91" s="25">
        <v>10</v>
      </c>
      <c r="BG91" s="25">
        <v>-2</v>
      </c>
      <c r="BH91" s="25">
        <v>20</v>
      </c>
      <c r="BI91" s="45" t="s">
        <v>5703</v>
      </c>
      <c r="BV91" s="235" t="s">
        <v>6665</v>
      </c>
      <c r="BW91" s="235">
        <v>7</v>
      </c>
      <c r="BX91" s="235">
        <f>IF('Arcana Sepirah'!AN65&lt;&gt;0,1,0)+IF('Arcana Sepirah'!AN60&lt;&gt;0,1,0)+IF('Arcana Sepirah'!AN50&lt;&gt;0,1,0)+IF('Arcana Sepirah'!AS45&lt;&gt;0,1,0)+IF('Arcana Sepirah'!T55&lt;&gt;0,1,0)+IF('Arcana Sepirah'!O50&lt;&gt;0,1,0)+IF('Arcana Sepirah'!BR55&lt;&gt;0,1,0)</f>
        <v>0</v>
      </c>
      <c r="BY91" s="235" t="b">
        <f t="shared" si="7"/>
        <v>0</v>
      </c>
      <c r="BZ91" s="235" t="str">
        <f t="shared" si="8"/>
        <v/>
      </c>
      <c r="CB91" s="235" t="s">
        <v>6665</v>
      </c>
      <c r="CC91" s="25">
        <f>5*(MAX(6-'Hoja básica'!$C$3,1))</f>
        <v>25</v>
      </c>
      <c r="CD91" s="25">
        <f>5*(MAX(5-'Hoja básica'!$C$3,1))</f>
        <v>20</v>
      </c>
      <c r="CE91" s="25">
        <f>5*(MAX(7-'Hoja básica'!$C$3,1))</f>
        <v>30</v>
      </c>
      <c r="CF91" s="25">
        <f>5*(MAX(11-'Hoja básica'!$C$3,1))</f>
        <v>50</v>
      </c>
      <c r="CG91" s="25">
        <f>5*(MAX(4-'Hoja básica'!$C$3,1))</f>
        <v>15</v>
      </c>
      <c r="CX91" s="25" t="s">
        <v>61</v>
      </c>
      <c r="CY91" s="25" t="b">
        <v>1</v>
      </c>
      <c r="DA91" s="253">
        <v>22</v>
      </c>
      <c r="DB91" s="254">
        <v>6</v>
      </c>
      <c r="DD91" s="85" t="b">
        <f>_xlfn.IFNA(IF(LOOKUP('Hoja básica'!AR76,Sheet3!CX89:CY124),TRUE,FALSE),FALSE)</f>
        <v>0</v>
      </c>
      <c r="DE91" s="25">
        <f>_xlfn.IFNA(IF($DD91,LOOKUP('Hoja básica'!$AX76,Sheet3!$DA$86:$DB$106),0),0)</f>
        <v>0</v>
      </c>
    </row>
    <row r="92" spans="2:122" x14ac:dyDescent="0.2">
      <c r="X92" s="25">
        <v>60</v>
      </c>
      <c r="Y92" s="25" t="s">
        <v>660</v>
      </c>
      <c r="Z92" s="25">
        <v>60</v>
      </c>
      <c r="AA92" s="25">
        <v>0</v>
      </c>
      <c r="AB92" s="45" t="s">
        <v>5703</v>
      </c>
      <c r="AC92" s="25" t="s">
        <v>424</v>
      </c>
      <c r="AD92" s="45" t="s">
        <v>5703</v>
      </c>
      <c r="AE92" s="25" t="s">
        <v>445</v>
      </c>
      <c r="AF92" s="45" t="s">
        <v>5703</v>
      </c>
      <c r="AG92" s="26">
        <v>4</v>
      </c>
      <c r="AH92" s="26">
        <v>1</v>
      </c>
      <c r="AI92" s="26">
        <v>15</v>
      </c>
      <c r="AO92" s="26">
        <v>55</v>
      </c>
      <c r="AP92" s="25">
        <v>12</v>
      </c>
      <c r="AR92" s="25">
        <v>73</v>
      </c>
      <c r="AS92" s="28" t="s">
        <v>659</v>
      </c>
      <c r="AX92" s="25" t="s">
        <v>596</v>
      </c>
      <c r="AY92" s="25">
        <v>15</v>
      </c>
      <c r="AZ92" s="25">
        <v>-10</v>
      </c>
      <c r="BA92" s="27" t="s">
        <v>414</v>
      </c>
      <c r="BB92" s="25" t="s">
        <v>66</v>
      </c>
      <c r="BC92" s="45" t="s">
        <v>5703</v>
      </c>
      <c r="BD92" s="25" t="s">
        <v>429</v>
      </c>
      <c r="BE92" s="25" t="s">
        <v>583</v>
      </c>
      <c r="BF92" s="26">
        <v>6</v>
      </c>
      <c r="BG92" s="26">
        <v>-2</v>
      </c>
      <c r="BH92" s="26">
        <v>20</v>
      </c>
      <c r="BI92" s="45" t="s">
        <v>5703</v>
      </c>
      <c r="BV92" s="235" t="s">
        <v>6685</v>
      </c>
      <c r="BW92" s="235">
        <v>2</v>
      </c>
      <c r="BX92" s="235">
        <f>IF('Arcana Sepirah'!AS60&lt;&gt;0,1,0)+IF('Arcana Sepirah'!BH55&lt;&gt;0,1,0)</f>
        <v>0</v>
      </c>
      <c r="BY92" s="235" t="b">
        <f t="shared" si="7"/>
        <v>0</v>
      </c>
      <c r="BZ92" s="235" t="str">
        <f t="shared" si="8"/>
        <v/>
      </c>
      <c r="CB92" s="235" t="s">
        <v>6685</v>
      </c>
      <c r="CC92" s="25">
        <f>5*(MAX(4-'Hoja básica'!$C$3,1))</f>
        <v>15</v>
      </c>
      <c r="CX92" s="25" t="s">
        <v>90</v>
      </c>
      <c r="CY92" s="25" t="b">
        <v>1</v>
      </c>
      <c r="DA92" s="267">
        <v>30</v>
      </c>
      <c r="DB92" s="268">
        <v>6</v>
      </c>
      <c r="DD92" s="85" t="b">
        <f>_xlfn.IFNA(IF(LOOKUP('Hoja básica'!AR77,Sheet3!CX90:CY125),TRUE,FALSE),FALSE)</f>
        <v>0</v>
      </c>
      <c r="DE92" s="25">
        <f>_xlfn.IFNA(IF($DD92,LOOKUP('Hoja básica'!$AX77,Sheet3!$DA$86:$DB$106),0),0)</f>
        <v>0</v>
      </c>
    </row>
    <row r="93" spans="2:122" x14ac:dyDescent="0.2">
      <c r="X93" s="25">
        <v>52</v>
      </c>
      <c r="Y93" s="25" t="s">
        <v>618</v>
      </c>
      <c r="Z93" s="25">
        <v>35</v>
      </c>
      <c r="AA93" s="25">
        <v>15</v>
      </c>
      <c r="AB93" s="27" t="s">
        <v>414</v>
      </c>
      <c r="AC93" s="25" t="s">
        <v>424</v>
      </c>
      <c r="AD93" s="25" t="s">
        <v>415</v>
      </c>
      <c r="AE93" s="25" t="s">
        <v>416</v>
      </c>
      <c r="AF93" s="25" t="s">
        <v>661</v>
      </c>
      <c r="AG93" s="25">
        <v>12</v>
      </c>
      <c r="AH93" s="25">
        <v>0</v>
      </c>
      <c r="AI93" s="25">
        <v>25</v>
      </c>
      <c r="AO93" s="26">
        <v>60</v>
      </c>
      <c r="AP93" s="25">
        <v>12</v>
      </c>
      <c r="AR93" s="25">
        <v>74</v>
      </c>
      <c r="AS93" s="25" t="s">
        <v>466</v>
      </c>
      <c r="AX93" s="25" t="s">
        <v>5273</v>
      </c>
      <c r="AY93" s="25">
        <v>20</v>
      </c>
      <c r="AZ93" s="25">
        <v>15</v>
      </c>
      <c r="BA93" s="25">
        <v>4</v>
      </c>
      <c r="BB93" s="25" t="s">
        <v>66</v>
      </c>
      <c r="BC93" s="45" t="s">
        <v>5703</v>
      </c>
      <c r="BD93" s="25" t="s">
        <v>416</v>
      </c>
      <c r="BE93" s="25" t="s">
        <v>6442</v>
      </c>
      <c r="BF93" s="25">
        <v>13</v>
      </c>
      <c r="BG93" s="25">
        <v>2</v>
      </c>
      <c r="BH93" s="25">
        <v>20</v>
      </c>
      <c r="BI93" s="45" t="s">
        <v>5703</v>
      </c>
      <c r="BV93" s="235" t="s">
        <v>6666</v>
      </c>
      <c r="BW93" s="235">
        <v>3</v>
      </c>
      <c r="BX93" s="235">
        <f>IF('Arcana Sepirah'!AI60&lt;&gt;0,1,0)+IF('Arcana Sepirah'!AI45&lt;&gt;0,1,0)+IF('Arcana Sepirah'!J55&lt;&gt;0,1,0)</f>
        <v>0</v>
      </c>
      <c r="BY93" s="235" t="b">
        <f t="shared" si="7"/>
        <v>0</v>
      </c>
      <c r="BZ93" s="235" t="str">
        <f t="shared" si="8"/>
        <v/>
      </c>
      <c r="CB93" s="235" t="s">
        <v>6666</v>
      </c>
      <c r="CC93" s="25">
        <f>5*(MAX(6-'Hoja básica'!$C$3,1))</f>
        <v>25</v>
      </c>
      <c r="CD93" s="25">
        <f>5*(MAX(9-'Hoja básica'!$C$3,1))</f>
        <v>40</v>
      </c>
      <c r="CX93" s="25" t="s">
        <v>70</v>
      </c>
      <c r="CY93" s="25" t="b">
        <v>1</v>
      </c>
      <c r="DA93" s="267">
        <v>32</v>
      </c>
      <c r="DB93" s="268">
        <v>8</v>
      </c>
      <c r="DD93" s="85" t="b">
        <f>_xlfn.IFNA(IF(LOOKUP('Hoja básica'!AR78,Sheet3!CX91:CY126),TRUE,FALSE),FALSE)</f>
        <v>0</v>
      </c>
      <c r="DE93" s="25">
        <f>_xlfn.IFNA(IF($DD93,LOOKUP('Hoja básica'!$AX78,Sheet3!$DA$86:$DB$106),0),0)</f>
        <v>0</v>
      </c>
    </row>
    <row r="94" spans="2:122" x14ac:dyDescent="0.2">
      <c r="X94" s="25">
        <v>54</v>
      </c>
      <c r="Y94" s="25" t="s">
        <v>622</v>
      </c>
      <c r="Z94" s="25">
        <v>20</v>
      </c>
      <c r="AA94" s="25">
        <v>10</v>
      </c>
      <c r="AB94" s="27" t="s">
        <v>414</v>
      </c>
      <c r="AC94" s="25" t="s">
        <v>424</v>
      </c>
      <c r="AD94" s="45" t="s">
        <v>5703</v>
      </c>
      <c r="AE94" s="25" t="s">
        <v>416</v>
      </c>
      <c r="AF94" s="25" t="s">
        <v>601</v>
      </c>
      <c r="AG94" s="26">
        <v>9</v>
      </c>
      <c r="AH94" s="26">
        <v>-2</v>
      </c>
      <c r="AI94" s="26">
        <v>25</v>
      </c>
      <c r="AJ94" s="25" t="s">
        <v>662</v>
      </c>
      <c r="AO94" s="26">
        <v>65</v>
      </c>
      <c r="AP94" s="25">
        <v>12</v>
      </c>
      <c r="AR94" s="25">
        <v>75</v>
      </c>
      <c r="AS94" s="28" t="s">
        <v>660</v>
      </c>
      <c r="AX94" s="25" t="s">
        <v>5274</v>
      </c>
      <c r="AY94" s="25">
        <v>40</v>
      </c>
      <c r="AZ94" s="25">
        <v>5</v>
      </c>
      <c r="BA94" s="25">
        <v>4</v>
      </c>
      <c r="BB94" s="25" t="s">
        <v>415</v>
      </c>
      <c r="BC94" s="25" t="s">
        <v>424</v>
      </c>
      <c r="BD94" s="25" t="s">
        <v>416</v>
      </c>
      <c r="BE94" s="45" t="s">
        <v>5703</v>
      </c>
      <c r="BF94" s="25">
        <v>12</v>
      </c>
      <c r="BG94" s="25">
        <v>1</v>
      </c>
      <c r="BH94" s="25">
        <v>20</v>
      </c>
      <c r="BI94" s="45" t="s">
        <v>5703</v>
      </c>
      <c r="BV94" s="235" t="s">
        <v>6688</v>
      </c>
      <c r="BW94" s="235">
        <v>1</v>
      </c>
      <c r="BX94" s="235">
        <f>IF('Arcana Sepirah'!AN45&lt;&gt;0,1,0)</f>
        <v>0</v>
      </c>
      <c r="BY94" s="235" t="b">
        <f t="shared" si="7"/>
        <v>0</v>
      </c>
      <c r="BZ94" s="235" t="str">
        <f t="shared" si="8"/>
        <v/>
      </c>
      <c r="CB94" s="235" t="s">
        <v>6688</v>
      </c>
      <c r="CC94" s="25">
        <f>5*(MAX(7-'Hoja básica'!$C$3,1))</f>
        <v>30</v>
      </c>
      <c r="CX94" s="25" t="s">
        <v>1523</v>
      </c>
      <c r="CY94" s="25" t="b">
        <v>1</v>
      </c>
      <c r="DA94" s="267">
        <v>40</v>
      </c>
      <c r="DB94" s="268">
        <v>8</v>
      </c>
      <c r="DD94" s="85" t="b">
        <f>_xlfn.IFNA(IF(LOOKUP('Hoja básica'!AR79,Sheet3!CX92:CY127),TRUE,FALSE),FALSE)</f>
        <v>0</v>
      </c>
      <c r="DE94" s="25">
        <f>_xlfn.IFNA(IF($DD94,LOOKUP('Hoja básica'!$AX79,Sheet3!$DA$86:$DB$106),0),0)</f>
        <v>0</v>
      </c>
    </row>
    <row r="95" spans="2:122" x14ac:dyDescent="0.2">
      <c r="X95" s="25">
        <v>44</v>
      </c>
      <c r="Y95" s="25" t="s">
        <v>593</v>
      </c>
      <c r="Z95" s="25">
        <v>25</v>
      </c>
      <c r="AA95" s="25">
        <v>20</v>
      </c>
      <c r="AB95" s="27" t="s">
        <v>414</v>
      </c>
      <c r="AC95" s="25" t="s">
        <v>415</v>
      </c>
      <c r="AD95" s="25" t="s">
        <v>424</v>
      </c>
      <c r="AE95" s="25" t="s">
        <v>416</v>
      </c>
      <c r="AF95" s="25" t="s">
        <v>583</v>
      </c>
      <c r="AG95" s="25">
        <v>10</v>
      </c>
      <c r="AH95" s="25">
        <v>1</v>
      </c>
      <c r="AI95" s="25">
        <v>20</v>
      </c>
      <c r="AO95" s="26">
        <v>70</v>
      </c>
      <c r="AP95" s="25">
        <v>12</v>
      </c>
      <c r="AR95" s="25">
        <v>76</v>
      </c>
      <c r="AS95" s="25" t="s">
        <v>459</v>
      </c>
      <c r="AX95" s="25" t="s">
        <v>577</v>
      </c>
      <c r="AY95" s="25">
        <v>50</v>
      </c>
      <c r="AZ95" s="25">
        <v>0</v>
      </c>
      <c r="BA95" s="27" t="s">
        <v>598</v>
      </c>
      <c r="BB95" s="25" t="s">
        <v>415</v>
      </c>
      <c r="BC95" s="45" t="s">
        <v>5703</v>
      </c>
      <c r="BD95" s="25" t="s">
        <v>499</v>
      </c>
      <c r="BE95" s="25" t="s">
        <v>6441</v>
      </c>
      <c r="BF95" s="25">
        <v>11</v>
      </c>
      <c r="BG95" s="25">
        <v>3</v>
      </c>
      <c r="BH95" s="25">
        <v>40</v>
      </c>
      <c r="BI95" s="45" t="s">
        <v>5703</v>
      </c>
      <c r="BV95" s="235" t="s">
        <v>6689</v>
      </c>
      <c r="BW95" s="235">
        <v>1</v>
      </c>
      <c r="BX95" s="235">
        <f>IF('Arcana Sepirah'!AN40&lt;&gt;0,1,0)</f>
        <v>0</v>
      </c>
      <c r="BY95" s="235" t="b">
        <f t="shared" si="7"/>
        <v>0</v>
      </c>
      <c r="BZ95" s="235" t="str">
        <f t="shared" si="8"/>
        <v/>
      </c>
      <c r="CB95" s="235" t="s">
        <v>6689</v>
      </c>
      <c r="CC95" s="25">
        <f>20*(MAX(10-'Hoja básica'!$C$3,1))</f>
        <v>180</v>
      </c>
      <c r="CX95" s="25" t="s">
        <v>94</v>
      </c>
      <c r="CY95" s="25" t="b">
        <v>1</v>
      </c>
      <c r="DA95" s="267">
        <v>42</v>
      </c>
      <c r="DB95" s="268">
        <v>10</v>
      </c>
      <c r="DD95" s="85" t="b">
        <f>_xlfn.IFNA(IF(LOOKUP('Hoja básica'!AR80,Sheet3!CX93:CY128),TRUE,FALSE),FALSE)</f>
        <v>0</v>
      </c>
      <c r="DE95" s="25">
        <f>_xlfn.IFNA(IF($DD95,LOOKUP('Hoja básica'!$AX80,Sheet3!$DA$86:$DB$106),0),0)</f>
        <v>0</v>
      </c>
    </row>
    <row r="96" spans="2:122" x14ac:dyDescent="0.2">
      <c r="X96" s="25">
        <v>97</v>
      </c>
      <c r="Y96" s="25" t="s">
        <v>631</v>
      </c>
      <c r="Z96" s="25">
        <v>25</v>
      </c>
      <c r="AA96" s="25">
        <v>-20</v>
      </c>
      <c r="AB96" s="27" t="s">
        <v>440</v>
      </c>
      <c r="AC96" s="25" t="s">
        <v>66</v>
      </c>
      <c r="AD96" s="45" t="s">
        <v>5703</v>
      </c>
      <c r="AE96" s="25" t="s">
        <v>549</v>
      </c>
      <c r="AF96" s="25" t="s">
        <v>421</v>
      </c>
      <c r="AG96" s="26">
        <v>9</v>
      </c>
      <c r="AH96" s="26">
        <v>0</v>
      </c>
      <c r="AI96" s="26">
        <v>20</v>
      </c>
      <c r="AO96" s="26">
        <v>75</v>
      </c>
      <c r="AP96" s="25">
        <v>12</v>
      </c>
      <c r="AR96" s="25">
        <v>77</v>
      </c>
      <c r="AS96" s="28" t="s">
        <v>658</v>
      </c>
      <c r="AX96" s="25" t="s">
        <v>599</v>
      </c>
      <c r="AY96" s="25">
        <v>55</v>
      </c>
      <c r="AZ96" s="25">
        <v>-5</v>
      </c>
      <c r="BA96" s="27" t="s">
        <v>456</v>
      </c>
      <c r="BB96" s="25" t="s">
        <v>415</v>
      </c>
      <c r="BC96" s="45" t="s">
        <v>5703</v>
      </c>
      <c r="BD96" s="25" t="s">
        <v>499</v>
      </c>
      <c r="BE96" s="25" t="s">
        <v>601</v>
      </c>
      <c r="BF96" s="25">
        <v>11</v>
      </c>
      <c r="BG96" s="25">
        <v>3</v>
      </c>
      <c r="BH96" s="25">
        <v>40</v>
      </c>
      <c r="BI96" s="25" t="s">
        <v>602</v>
      </c>
      <c r="BV96" s="235" t="s">
        <v>6690</v>
      </c>
      <c r="BW96" s="235">
        <v>1</v>
      </c>
      <c r="BX96" s="235">
        <f>IF('Arcana Sepirah'!AS35&lt;&gt;0,1,0)</f>
        <v>0</v>
      </c>
      <c r="BY96" s="235" t="b">
        <f t="shared" si="7"/>
        <v>0</v>
      </c>
      <c r="BZ96" s="235" t="str">
        <f t="shared" si="8"/>
        <v/>
      </c>
      <c r="CB96" s="235" t="s">
        <v>6690</v>
      </c>
      <c r="CC96" s="25">
        <f>20*(MAX(11-'Hoja básica'!$C$3,1))</f>
        <v>200</v>
      </c>
      <c r="CX96" s="27" t="s">
        <v>5150</v>
      </c>
      <c r="CY96" s="25" t="b">
        <v>0</v>
      </c>
      <c r="DA96" s="267">
        <v>50</v>
      </c>
      <c r="DB96" s="268">
        <v>10</v>
      </c>
      <c r="DD96" s="85" t="b">
        <f>_xlfn.IFNA(IF(LOOKUP('Hoja básica'!AR81,Sheet3!CX94:CY129),TRUE,FALSE),FALSE)</f>
        <v>0</v>
      </c>
      <c r="DE96" s="25">
        <f>_xlfn.IFNA(IF($DD96,LOOKUP('Hoja básica'!$AX81,Sheet3!$DA$86:$DB$106),0),0)</f>
        <v>0</v>
      </c>
    </row>
    <row r="97" spans="2:109" x14ac:dyDescent="0.2">
      <c r="X97" s="25">
        <v>49</v>
      </c>
      <c r="Y97" s="25" t="s">
        <v>606</v>
      </c>
      <c r="Z97" s="25">
        <v>40</v>
      </c>
      <c r="AA97" s="25">
        <v>20</v>
      </c>
      <c r="AB97" s="27" t="s">
        <v>460</v>
      </c>
      <c r="AC97" s="25" t="s">
        <v>415</v>
      </c>
      <c r="AD97" s="45" t="s">
        <v>5703</v>
      </c>
      <c r="AE97" s="25" t="s">
        <v>416</v>
      </c>
      <c r="AF97" s="25" t="s">
        <v>504</v>
      </c>
      <c r="AG97" s="25">
        <v>9</v>
      </c>
      <c r="AH97" s="25">
        <v>1</v>
      </c>
      <c r="AI97" s="25">
        <v>40</v>
      </c>
      <c r="AO97" s="26">
        <v>80</v>
      </c>
      <c r="AP97" s="25">
        <v>12</v>
      </c>
      <c r="AR97" s="25">
        <v>78</v>
      </c>
      <c r="AS97" s="25" t="s">
        <v>437</v>
      </c>
      <c r="AX97" s="25" t="s">
        <v>581</v>
      </c>
      <c r="AY97" s="25">
        <v>40</v>
      </c>
      <c r="AZ97" s="25">
        <v>10</v>
      </c>
      <c r="BA97" s="27" t="s">
        <v>456</v>
      </c>
      <c r="BB97" s="25" t="s">
        <v>424</v>
      </c>
      <c r="BC97" s="25" t="s">
        <v>415</v>
      </c>
      <c r="BD97" s="25" t="s">
        <v>416</v>
      </c>
      <c r="BE97" s="25" t="s">
        <v>605</v>
      </c>
      <c r="BF97" s="25">
        <v>13</v>
      </c>
      <c r="BG97" s="25">
        <v>3</v>
      </c>
      <c r="BH97" s="25">
        <v>25</v>
      </c>
      <c r="BI97" s="45" t="s">
        <v>5703</v>
      </c>
      <c r="BV97" s="235" t="s">
        <v>6653</v>
      </c>
      <c r="BW97" s="235">
        <v>1</v>
      </c>
      <c r="BX97" s="235">
        <f>IF('Arcana Sepirah'!J30&lt;&gt;0,1,0)</f>
        <v>0</v>
      </c>
      <c r="BY97" s="235" t="b">
        <f t="shared" si="7"/>
        <v>0</v>
      </c>
      <c r="BZ97" s="235" t="str">
        <f t="shared" si="8"/>
        <v/>
      </c>
      <c r="CB97" s="235" t="s">
        <v>6653</v>
      </c>
      <c r="CC97" s="25">
        <f>5*(MAX(4-'Hoja básica'!$C$3,1))</f>
        <v>15</v>
      </c>
      <c r="CX97" s="27" t="s">
        <v>5149</v>
      </c>
      <c r="CY97" s="25" t="b">
        <v>0</v>
      </c>
      <c r="DA97" s="267">
        <v>52</v>
      </c>
      <c r="DB97" s="268">
        <v>12</v>
      </c>
      <c r="DD97" s="85" t="b">
        <f>_xlfn.IFNA(IF(LOOKUP('Hoja básica'!AR82,Sheet3!CX95:CY130),TRUE,FALSE),FALSE)</f>
        <v>0</v>
      </c>
      <c r="DE97" s="25">
        <f>_xlfn.IFNA(IF($DD97,LOOKUP('Hoja básica'!$AX82,Sheet3!$DA$86:$DB$106),0),0)</f>
        <v>0</v>
      </c>
    </row>
    <row r="98" spans="2:109" x14ac:dyDescent="0.2">
      <c r="X98" s="25">
        <v>50</v>
      </c>
      <c r="Y98" s="25" t="s">
        <v>612</v>
      </c>
      <c r="Z98" s="25">
        <v>30</v>
      </c>
      <c r="AA98" s="25">
        <v>20</v>
      </c>
      <c r="AB98" s="27" t="s">
        <v>414</v>
      </c>
      <c r="AC98" s="25" t="s">
        <v>66</v>
      </c>
      <c r="AD98" s="45" t="s">
        <v>5703</v>
      </c>
      <c r="AE98" s="25" t="s">
        <v>416</v>
      </c>
      <c r="AF98" s="25" t="s">
        <v>504</v>
      </c>
      <c r="AG98" s="25">
        <v>13</v>
      </c>
      <c r="AH98" s="25">
        <v>0</v>
      </c>
      <c r="AI98" s="25">
        <v>25</v>
      </c>
      <c r="AO98" s="26">
        <v>85</v>
      </c>
      <c r="AP98" s="25">
        <v>12</v>
      </c>
      <c r="AR98" s="25">
        <v>79</v>
      </c>
      <c r="AS98" s="25" t="s">
        <v>438</v>
      </c>
      <c r="AX98" s="25" t="s">
        <v>5253</v>
      </c>
      <c r="AY98" s="25">
        <v>45</v>
      </c>
      <c r="AZ98" s="25">
        <v>10</v>
      </c>
      <c r="BA98" s="25">
        <v>5</v>
      </c>
      <c r="BB98" s="25" t="s">
        <v>415</v>
      </c>
      <c r="BC98" s="45" t="s">
        <v>5703</v>
      </c>
      <c r="BD98" s="25" t="s">
        <v>416</v>
      </c>
      <c r="BE98" s="25" t="s">
        <v>601</v>
      </c>
      <c r="BF98" s="25">
        <v>13</v>
      </c>
      <c r="BG98" s="25">
        <v>2</v>
      </c>
      <c r="BH98" s="25">
        <v>20</v>
      </c>
      <c r="BI98" s="45" t="s">
        <v>5703</v>
      </c>
      <c r="BV98" s="235" t="s">
        <v>6654</v>
      </c>
      <c r="BW98" s="235">
        <v>2</v>
      </c>
      <c r="BX98" s="235">
        <f>IF('Arcana Sepirah'!T35&lt;&gt;0,1,0)+IF('Arcana Sepirah'!E35&lt;&gt;0,1,0)</f>
        <v>0</v>
      </c>
      <c r="BY98" s="235" t="b">
        <f t="shared" si="7"/>
        <v>0</v>
      </c>
      <c r="BZ98" s="235" t="str">
        <f t="shared" si="8"/>
        <v/>
      </c>
      <c r="CB98" s="235" t="s">
        <v>6654</v>
      </c>
      <c r="CC98" s="25">
        <f>5*(MAX(4-'Hoja básica'!$C$3,1))</f>
        <v>15</v>
      </c>
      <c r="CX98" s="27" t="s">
        <v>5151</v>
      </c>
      <c r="CY98" s="25" t="b">
        <v>0</v>
      </c>
      <c r="DA98" s="267">
        <v>60</v>
      </c>
      <c r="DB98" s="268">
        <v>12</v>
      </c>
      <c r="DD98" s="85" t="b">
        <f>_xlfn.IFNA(IF(LOOKUP('Hoja básica'!AR83,Sheet3!CX96:CY131),TRUE,FALSE),FALSE)</f>
        <v>0</v>
      </c>
      <c r="DE98" s="25">
        <f>_xlfn.IFNA(IF($DD98,LOOKUP('Hoja básica'!$AX83,Sheet3!$DA$86:$DB$106),0),0)</f>
        <v>0</v>
      </c>
    </row>
    <row r="99" spans="2:109" x14ac:dyDescent="0.2">
      <c r="B99" s="25" t="s">
        <v>663</v>
      </c>
      <c r="C99" s="25">
        <v>3</v>
      </c>
      <c r="D99" s="25">
        <v>3</v>
      </c>
      <c r="E99" s="25">
        <v>2</v>
      </c>
      <c r="F99" s="25">
        <v>2</v>
      </c>
      <c r="G99" s="25">
        <v>2</v>
      </c>
      <c r="H99" s="25">
        <v>2</v>
      </c>
      <c r="I99" s="25">
        <v>2</v>
      </c>
      <c r="J99" s="25">
        <v>3</v>
      </c>
      <c r="K99" s="25">
        <v>3</v>
      </c>
      <c r="L99" s="25">
        <v>3</v>
      </c>
      <c r="M99" s="25">
        <v>3</v>
      </c>
      <c r="N99" s="25">
        <v>1</v>
      </c>
      <c r="O99" s="25">
        <v>3</v>
      </c>
      <c r="P99" s="25">
        <v>2</v>
      </c>
      <c r="Q99" s="25">
        <v>2</v>
      </c>
      <c r="R99" s="25">
        <v>2</v>
      </c>
      <c r="S99" s="25">
        <v>2</v>
      </c>
      <c r="T99" s="25">
        <v>2</v>
      </c>
      <c r="U99" s="25">
        <v>2</v>
      </c>
      <c r="V99" s="25">
        <v>2</v>
      </c>
      <c r="X99" s="25">
        <v>35</v>
      </c>
      <c r="Y99" s="25" t="s">
        <v>568</v>
      </c>
      <c r="Z99" s="25">
        <v>40</v>
      </c>
      <c r="AA99" s="25">
        <v>-10</v>
      </c>
      <c r="AB99" s="27" t="s">
        <v>664</v>
      </c>
      <c r="AC99" s="25" t="s">
        <v>424</v>
      </c>
      <c r="AD99" s="45" t="s">
        <v>5703</v>
      </c>
      <c r="AE99" s="25" t="s">
        <v>425</v>
      </c>
      <c r="AF99" s="25" t="s">
        <v>421</v>
      </c>
      <c r="AG99" s="25">
        <v>11</v>
      </c>
      <c r="AH99" s="25">
        <v>0</v>
      </c>
      <c r="AI99" s="25">
        <v>30</v>
      </c>
      <c r="AO99" s="26">
        <v>90</v>
      </c>
      <c r="AP99" s="25">
        <v>12</v>
      </c>
      <c r="AR99" s="25">
        <v>80</v>
      </c>
      <c r="AS99" s="25" t="s">
        <v>435</v>
      </c>
      <c r="AX99" s="25" t="s">
        <v>5275</v>
      </c>
      <c r="AY99" s="25">
        <v>30</v>
      </c>
      <c r="AZ99" s="25">
        <v>0</v>
      </c>
      <c r="BA99" s="25">
        <v>6</v>
      </c>
      <c r="BB99" s="25" t="s">
        <v>66</v>
      </c>
      <c r="BC99" s="45" t="s">
        <v>5703</v>
      </c>
      <c r="BD99" s="25" t="s">
        <v>489</v>
      </c>
      <c r="BE99" s="25" t="s">
        <v>490</v>
      </c>
      <c r="BF99" s="25">
        <v>13</v>
      </c>
      <c r="BG99" s="25">
        <v>3</v>
      </c>
      <c r="BH99" s="25">
        <v>20</v>
      </c>
      <c r="BI99" s="45" t="s">
        <v>5703</v>
      </c>
      <c r="BV99" s="235" t="s">
        <v>6650</v>
      </c>
      <c r="BW99" s="235">
        <v>1</v>
      </c>
      <c r="BX99" s="235">
        <f>IF('Arcana Sepirah'!J25&lt;&gt;0,1,0)</f>
        <v>0</v>
      </c>
      <c r="BY99" s="235" t="b">
        <f t="shared" si="7"/>
        <v>0</v>
      </c>
      <c r="BZ99" s="235" t="str">
        <f t="shared" si="8"/>
        <v/>
      </c>
      <c r="CB99" s="235" t="s">
        <v>6650</v>
      </c>
      <c r="CC99" s="25">
        <f>5*(MAX(4-'Hoja básica'!$C$3,1))</f>
        <v>15</v>
      </c>
      <c r="CX99" s="27" t="s">
        <v>5152</v>
      </c>
      <c r="CY99" s="25" t="b">
        <v>0</v>
      </c>
      <c r="DA99" s="267">
        <v>62</v>
      </c>
      <c r="DB99" s="268">
        <v>14</v>
      </c>
      <c r="DD99" s="85" t="b">
        <f>_xlfn.IFNA(IF(LOOKUP('Hoja básica'!AR84,Sheet3!CX97:CY132),TRUE,FALSE),FALSE)</f>
        <v>0</v>
      </c>
      <c r="DE99" s="25">
        <f>_xlfn.IFNA(IF($DD99,LOOKUP('Hoja básica'!$AX84,Sheet3!$DA$86:$DB$106),0),0)</f>
        <v>0</v>
      </c>
    </row>
    <row r="100" spans="2:109" x14ac:dyDescent="0.2">
      <c r="B100" s="25" t="s">
        <v>665</v>
      </c>
      <c r="C100" s="25" t="s">
        <v>310</v>
      </c>
      <c r="D100" s="25" t="s">
        <v>532</v>
      </c>
      <c r="E100" s="25" t="s">
        <v>533</v>
      </c>
      <c r="F100" s="25" t="s">
        <v>534</v>
      </c>
      <c r="G100" s="25" t="s">
        <v>535</v>
      </c>
      <c r="H100" s="25" t="s">
        <v>536</v>
      </c>
      <c r="I100" s="25" t="s">
        <v>537</v>
      </c>
      <c r="J100" s="25" t="s">
        <v>538</v>
      </c>
      <c r="K100" s="25" t="s">
        <v>539</v>
      </c>
      <c r="L100" s="25" t="s">
        <v>540</v>
      </c>
      <c r="M100" s="25" t="s">
        <v>356</v>
      </c>
      <c r="N100" s="25" t="s">
        <v>541</v>
      </c>
      <c r="O100" s="25" t="s">
        <v>542</v>
      </c>
      <c r="P100" s="25" t="s">
        <v>23</v>
      </c>
      <c r="Q100" s="25" t="s">
        <v>543</v>
      </c>
      <c r="R100" s="25" t="s">
        <v>544</v>
      </c>
      <c r="S100" s="25" t="s">
        <v>545</v>
      </c>
      <c r="T100" s="25" t="s">
        <v>546</v>
      </c>
      <c r="U100" s="25" t="s">
        <v>547</v>
      </c>
      <c r="V100" s="25" t="s">
        <v>548</v>
      </c>
      <c r="X100" s="25">
        <v>78</v>
      </c>
      <c r="Y100" s="25" t="s">
        <v>666</v>
      </c>
      <c r="Z100" s="25">
        <v>40</v>
      </c>
      <c r="AA100" s="25">
        <v>0</v>
      </c>
      <c r="AB100" s="27" t="s">
        <v>432</v>
      </c>
      <c r="AC100" s="25" t="s">
        <v>415</v>
      </c>
      <c r="AD100" s="45" t="s">
        <v>5703</v>
      </c>
      <c r="AE100" s="25" t="s">
        <v>474</v>
      </c>
      <c r="AF100" s="25" t="s">
        <v>601</v>
      </c>
      <c r="AG100" s="26" t="s">
        <v>667</v>
      </c>
      <c r="AH100" s="26" t="s">
        <v>476</v>
      </c>
      <c r="AI100" s="26">
        <v>15</v>
      </c>
      <c r="AJ100" s="25" t="s">
        <v>487</v>
      </c>
      <c r="AO100" s="26">
        <v>95</v>
      </c>
      <c r="AP100" s="25">
        <v>12</v>
      </c>
      <c r="AR100" s="25">
        <v>81</v>
      </c>
      <c r="AS100" s="28" t="s">
        <v>558</v>
      </c>
      <c r="AX100" s="25" t="s">
        <v>5254</v>
      </c>
      <c r="AY100" s="25">
        <v>25</v>
      </c>
      <c r="AZ100" s="25">
        <v>20</v>
      </c>
      <c r="BA100" s="25">
        <v>4</v>
      </c>
      <c r="BB100" s="25" t="s">
        <v>415</v>
      </c>
      <c r="BC100" s="45" t="s">
        <v>5703</v>
      </c>
      <c r="BD100" s="25" t="s">
        <v>416</v>
      </c>
      <c r="BE100" s="25" t="s">
        <v>5252</v>
      </c>
      <c r="BF100" s="25">
        <v>10</v>
      </c>
      <c r="BG100" s="25">
        <v>-2</v>
      </c>
      <c r="BH100" s="25">
        <v>15</v>
      </c>
      <c r="BI100" s="45" t="s">
        <v>5703</v>
      </c>
      <c r="BV100" s="235" t="s">
        <v>6664</v>
      </c>
      <c r="BW100" s="235">
        <v>1</v>
      </c>
      <c r="BX100" s="235">
        <f>IF('Arcana Sepirah'!J45&lt;&gt;0,1,0)</f>
        <v>0</v>
      </c>
      <c r="BY100" s="235" t="b">
        <f t="shared" si="7"/>
        <v>0</v>
      </c>
      <c r="BZ100" s="235" t="str">
        <f t="shared" si="8"/>
        <v/>
      </c>
      <c r="CB100" s="235" t="s">
        <v>6664</v>
      </c>
      <c r="CC100" s="25">
        <f>5*(MAX(4-'Hoja básica'!$C$3,1))</f>
        <v>15</v>
      </c>
      <c r="CX100" s="27" t="s">
        <v>5153</v>
      </c>
      <c r="CY100" s="25" t="b">
        <v>0</v>
      </c>
      <c r="DA100" s="267">
        <v>70</v>
      </c>
      <c r="DB100" s="268">
        <v>14</v>
      </c>
      <c r="DD100" s="85" t="b">
        <f>_xlfn.IFNA(IF(LOOKUP('Hoja básica'!AR85,Sheet3!CX98:CY133),TRUE,FALSE),FALSE)</f>
        <v>0</v>
      </c>
      <c r="DE100" s="25">
        <f>_xlfn.IFNA(IF($DD100,LOOKUP('Hoja básica'!$AX85,Sheet3!$DA$86:$DB$106),0),0)</f>
        <v>0</v>
      </c>
    </row>
    <row r="101" spans="2:109" x14ac:dyDescent="0.2">
      <c r="B101" s="25" t="s">
        <v>105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X101" s="25">
        <v>36</v>
      </c>
      <c r="Y101" s="25" t="s">
        <v>571</v>
      </c>
      <c r="Z101" s="25">
        <v>30</v>
      </c>
      <c r="AA101" s="25">
        <v>10</v>
      </c>
      <c r="AB101" s="25">
        <v>4</v>
      </c>
      <c r="AC101" s="25" t="s">
        <v>66</v>
      </c>
      <c r="AD101" s="45" t="s">
        <v>5703</v>
      </c>
      <c r="AE101" s="25" t="s">
        <v>425</v>
      </c>
      <c r="AF101" s="25" t="s">
        <v>421</v>
      </c>
      <c r="AG101" s="25">
        <v>11</v>
      </c>
      <c r="AH101" s="25">
        <v>0</v>
      </c>
      <c r="AI101" s="25">
        <v>30</v>
      </c>
      <c r="AJ101" s="25" t="s">
        <v>668</v>
      </c>
      <c r="AO101" s="26">
        <v>100</v>
      </c>
      <c r="AP101" s="25">
        <v>12</v>
      </c>
      <c r="AR101" s="25">
        <v>82</v>
      </c>
      <c r="AS101" s="28" t="s">
        <v>556</v>
      </c>
      <c r="AX101" s="25" t="s">
        <v>5276</v>
      </c>
      <c r="AY101" s="25">
        <v>20</v>
      </c>
      <c r="AZ101" s="25">
        <v>15</v>
      </c>
      <c r="BA101" s="25">
        <v>4</v>
      </c>
      <c r="BB101" s="25" t="s">
        <v>66</v>
      </c>
      <c r="BC101" s="45" t="s">
        <v>5703</v>
      </c>
      <c r="BD101" s="25" t="s">
        <v>429</v>
      </c>
      <c r="BE101" s="45" t="s">
        <v>5703</v>
      </c>
      <c r="BF101" s="25">
        <v>13</v>
      </c>
      <c r="BG101" s="25">
        <v>3</v>
      </c>
      <c r="BH101" s="25">
        <v>20</v>
      </c>
      <c r="BI101" s="45" t="s">
        <v>5703</v>
      </c>
      <c r="BV101" s="235" t="s">
        <v>6656</v>
      </c>
      <c r="BW101" s="235">
        <v>2</v>
      </c>
      <c r="BX101" s="235">
        <f>IF('Arcana Sepirah'!Y40&lt;&gt;0,1,0)+IF('Arcana Sepirah'!Y35&lt;&gt;0,1,0)</f>
        <v>0</v>
      </c>
      <c r="BY101" s="235" t="b">
        <f t="shared" si="7"/>
        <v>0</v>
      </c>
      <c r="BZ101" s="235" t="str">
        <f t="shared" si="8"/>
        <v/>
      </c>
      <c r="CB101" s="235" t="s">
        <v>6656</v>
      </c>
      <c r="CC101" s="25">
        <f>15*(MAX(7-'Hoja básica'!$C$3,1))</f>
        <v>90</v>
      </c>
      <c r="CD101" s="25">
        <f>25*(MAX(10-'Hoja básica'!$C$3,1))</f>
        <v>225</v>
      </c>
      <c r="CX101" s="27" t="s">
        <v>5154</v>
      </c>
      <c r="CY101" s="25" t="b">
        <v>0</v>
      </c>
      <c r="DA101" s="267">
        <v>72</v>
      </c>
      <c r="DB101" s="268">
        <v>16</v>
      </c>
      <c r="DD101" s="85" t="b">
        <f>_xlfn.IFNA(IF(LOOKUP('Hoja básica'!AR86,Sheet3!CX99:CY134),TRUE,FALSE),FALSE)</f>
        <v>0</v>
      </c>
      <c r="DE101" s="25">
        <f>_xlfn.IFNA(IF($DD101,LOOKUP('Hoja básica'!$AX86,Sheet3!$DA$86:$DB$106),0),0)</f>
        <v>0</v>
      </c>
    </row>
    <row r="102" spans="2:109" x14ac:dyDescent="0.2">
      <c r="B102" s="25" t="s">
        <v>551</v>
      </c>
      <c r="C102" s="25">
        <v>0</v>
      </c>
      <c r="D102" s="25">
        <v>0</v>
      </c>
      <c r="E102" s="25">
        <v>0</v>
      </c>
      <c r="F102" s="25">
        <v>0</v>
      </c>
      <c r="G102" s="25">
        <v>10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X102" s="25">
        <v>88</v>
      </c>
      <c r="Y102" s="25" t="s">
        <v>669</v>
      </c>
      <c r="Z102" s="25">
        <v>120</v>
      </c>
      <c r="AA102" s="25">
        <v>0</v>
      </c>
      <c r="AB102" s="45" t="s">
        <v>5703</v>
      </c>
      <c r="AC102" s="25" t="s">
        <v>424</v>
      </c>
      <c r="AD102" s="45" t="s">
        <v>5703</v>
      </c>
      <c r="AE102" s="25" t="s">
        <v>445</v>
      </c>
      <c r="AF102" s="45" t="s">
        <v>5703</v>
      </c>
      <c r="AG102" s="26">
        <v>16</v>
      </c>
      <c r="AH102" s="26">
        <v>8</v>
      </c>
      <c r="AI102" s="26">
        <v>15</v>
      </c>
      <c r="AO102" s="26">
        <v>105</v>
      </c>
      <c r="AP102" s="25">
        <v>12</v>
      </c>
      <c r="AR102" s="25">
        <v>83</v>
      </c>
      <c r="AS102" s="28" t="s">
        <v>562</v>
      </c>
      <c r="AX102" s="25" t="s">
        <v>5255</v>
      </c>
      <c r="AY102" s="25">
        <v>60</v>
      </c>
      <c r="AZ102" s="25">
        <v>-30</v>
      </c>
      <c r="BA102" s="25">
        <v>8</v>
      </c>
      <c r="BB102" s="25" t="s">
        <v>424</v>
      </c>
      <c r="BC102" s="45" t="s">
        <v>5703</v>
      </c>
      <c r="BD102" s="25" t="s">
        <v>499</v>
      </c>
      <c r="BE102" s="25" t="s">
        <v>601</v>
      </c>
      <c r="BF102" s="25">
        <v>9</v>
      </c>
      <c r="BG102" s="25">
        <v>2</v>
      </c>
      <c r="BH102" s="25">
        <v>20</v>
      </c>
      <c r="BI102" s="45" t="s">
        <v>5703</v>
      </c>
      <c r="BV102" s="235" t="s">
        <v>6698</v>
      </c>
      <c r="BW102" s="235">
        <v>1</v>
      </c>
      <c r="BX102" s="235">
        <f>IF('Arcana Sepirah'!Y30&lt;&gt;0,1,0)</f>
        <v>0</v>
      </c>
      <c r="BY102" s="235" t="b">
        <f t="shared" si="7"/>
        <v>0</v>
      </c>
      <c r="BZ102" s="235" t="str">
        <f t="shared" si="8"/>
        <v/>
      </c>
      <c r="CB102" s="235" t="s">
        <v>6698</v>
      </c>
      <c r="CC102" s="25">
        <f>10*(MAX(7-'Hoja básica'!$C$3,1))</f>
        <v>60</v>
      </c>
      <c r="CX102" s="27" t="s">
        <v>5155</v>
      </c>
      <c r="CY102" s="25" t="b">
        <v>0</v>
      </c>
      <c r="DA102" s="267">
        <v>80</v>
      </c>
      <c r="DB102" s="268">
        <v>16</v>
      </c>
      <c r="DD102" s="85" t="b">
        <f>_xlfn.IFNA(IF(LOOKUP('Hoja básica'!AR87,Sheet3!CX100:CY135),TRUE,FALSE),FALSE)</f>
        <v>0</v>
      </c>
      <c r="DE102" s="25">
        <f>_xlfn.IFNA(IF($DD102,LOOKUP('Hoja básica'!$AX87,Sheet3!$DA$86:$DB$106),0),0)</f>
        <v>0</v>
      </c>
    </row>
    <row r="103" spans="2:109" x14ac:dyDescent="0.2">
      <c r="B103" s="25" t="s">
        <v>553</v>
      </c>
      <c r="C103" s="25">
        <v>0</v>
      </c>
      <c r="D103" s="25">
        <v>0</v>
      </c>
      <c r="E103" s="25">
        <v>0</v>
      </c>
      <c r="F103" s="25">
        <v>0</v>
      </c>
      <c r="G103" s="25">
        <v>10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X103" s="25">
        <v>90</v>
      </c>
      <c r="Y103" s="25" t="s">
        <v>670</v>
      </c>
      <c r="Z103" s="25">
        <v>120</v>
      </c>
      <c r="AA103" s="25">
        <v>0</v>
      </c>
      <c r="AB103" s="45" t="s">
        <v>5703</v>
      </c>
      <c r="AC103" s="25" t="s">
        <v>424</v>
      </c>
      <c r="AD103" s="45" t="s">
        <v>5703</v>
      </c>
      <c r="AE103" s="25" t="s">
        <v>445</v>
      </c>
      <c r="AF103" s="45" t="s">
        <v>5703</v>
      </c>
      <c r="AG103" s="26">
        <v>18</v>
      </c>
      <c r="AH103" s="26">
        <v>12</v>
      </c>
      <c r="AI103" s="26">
        <v>15</v>
      </c>
      <c r="AO103" s="26">
        <v>110</v>
      </c>
      <c r="AP103" s="25">
        <v>12</v>
      </c>
      <c r="AR103" s="25">
        <v>84</v>
      </c>
      <c r="AS103" s="25" t="s">
        <v>479</v>
      </c>
      <c r="AX103" s="25" t="s">
        <v>5277</v>
      </c>
      <c r="AY103" s="25">
        <v>30</v>
      </c>
      <c r="AZ103" s="25">
        <v>15</v>
      </c>
      <c r="BA103" s="25">
        <v>4</v>
      </c>
      <c r="BB103" s="25" t="s">
        <v>424</v>
      </c>
      <c r="BC103" s="25" t="s">
        <v>415</v>
      </c>
      <c r="BD103" s="25" t="s">
        <v>416</v>
      </c>
      <c r="BE103" s="25" t="s">
        <v>504</v>
      </c>
      <c r="BF103" s="25">
        <v>11</v>
      </c>
      <c r="BG103" s="25">
        <v>1</v>
      </c>
      <c r="BH103" s="25">
        <v>20</v>
      </c>
      <c r="BI103" s="45" t="s">
        <v>5703</v>
      </c>
      <c r="BV103" s="235" t="s">
        <v>6655</v>
      </c>
      <c r="BW103" s="235">
        <v>1</v>
      </c>
      <c r="BX103" s="235">
        <f>IF('Arcana Sepirah'!J35&lt;&gt;0,1,0)</f>
        <v>0</v>
      </c>
      <c r="BY103" s="235" t="b">
        <f t="shared" si="7"/>
        <v>0</v>
      </c>
      <c r="BZ103" s="235" t="str">
        <f t="shared" si="8"/>
        <v/>
      </c>
      <c r="CB103" s="235" t="s">
        <v>6655</v>
      </c>
      <c r="CC103" s="25">
        <f>5*(MAX(4-'Hoja básica'!$C$3,1))</f>
        <v>15</v>
      </c>
      <c r="CX103" s="27" t="s">
        <v>5156</v>
      </c>
      <c r="CY103" s="25" t="b">
        <v>0</v>
      </c>
      <c r="DA103" s="267">
        <v>82</v>
      </c>
      <c r="DB103" s="268">
        <v>18</v>
      </c>
      <c r="DD103" s="85" t="b">
        <f>_xlfn.IFNA(IF(LOOKUP('Hoja básica'!AR88,Sheet3!CX101:CY136),TRUE,FALSE),FALSE)</f>
        <v>0</v>
      </c>
      <c r="DE103" s="25">
        <f>_xlfn.IFNA(IF($DD103,LOOKUP('Hoja básica'!$AX88,Sheet3!$DA$86:$DB$106),0),0)</f>
        <v>0</v>
      </c>
    </row>
    <row r="104" spans="2:109" x14ac:dyDescent="0.2">
      <c r="B104" s="25" t="s">
        <v>555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AO104" s="26">
        <v>115</v>
      </c>
      <c r="AP104" s="25">
        <v>12</v>
      </c>
      <c r="AR104" s="25">
        <v>85</v>
      </c>
      <c r="AS104" s="25" t="s">
        <v>472</v>
      </c>
      <c r="AX104" s="25" t="s">
        <v>5256</v>
      </c>
      <c r="AY104" s="25">
        <v>35</v>
      </c>
      <c r="AZ104" s="25">
        <v>10</v>
      </c>
      <c r="BA104" s="25">
        <v>6</v>
      </c>
      <c r="BB104" s="25" t="s">
        <v>415</v>
      </c>
      <c r="BC104" s="45" t="s">
        <v>5703</v>
      </c>
      <c r="BD104" s="25" t="s">
        <v>416</v>
      </c>
      <c r="BE104" s="45" t="s">
        <v>5703</v>
      </c>
      <c r="BF104" s="25">
        <v>12</v>
      </c>
      <c r="BG104" s="25">
        <v>3</v>
      </c>
      <c r="BH104" s="25">
        <v>20</v>
      </c>
      <c r="BI104" s="45" t="s">
        <v>5703</v>
      </c>
      <c r="BV104" s="235" t="s">
        <v>6658</v>
      </c>
      <c r="BW104" s="235">
        <v>1</v>
      </c>
      <c r="BX104" s="235">
        <f>IF('Arcana Sepirah'!O40&lt;&gt;0,1,0)</f>
        <v>0</v>
      </c>
      <c r="BY104" s="235" t="b">
        <f t="shared" si="7"/>
        <v>0</v>
      </c>
      <c r="BZ104" s="235" t="str">
        <f t="shared" si="8"/>
        <v/>
      </c>
      <c r="CB104" s="235" t="s">
        <v>6658</v>
      </c>
      <c r="CC104" s="25">
        <f>10*(MAX(4-'Hoja básica'!$C$3,1))</f>
        <v>30</v>
      </c>
      <c r="CX104" s="27" t="s">
        <v>5157</v>
      </c>
      <c r="CY104" s="25" t="b">
        <v>0</v>
      </c>
      <c r="DA104" s="267">
        <v>90</v>
      </c>
      <c r="DB104" s="268">
        <v>18</v>
      </c>
      <c r="DD104" s="85" t="b">
        <f>_xlfn.IFNA(IF(LOOKUP('Hoja básica'!AR89,Sheet3!CX102:CY137),TRUE,FALSE),FALSE)</f>
        <v>0</v>
      </c>
      <c r="DE104" s="25">
        <f>_xlfn.IFNA(IF($DD104,LOOKUP('Hoja básica'!$AX89,Sheet3!$DA$86:$DB$106),0),0)</f>
        <v>0</v>
      </c>
    </row>
    <row r="105" spans="2:109" x14ac:dyDescent="0.2">
      <c r="B105" s="25" t="s">
        <v>557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AO105" s="26">
        <v>120</v>
      </c>
      <c r="AP105" s="25">
        <v>12</v>
      </c>
      <c r="AR105" s="25">
        <v>86</v>
      </c>
      <c r="AS105" s="25" t="s">
        <v>517</v>
      </c>
      <c r="AX105" s="25" t="s">
        <v>5278</v>
      </c>
      <c r="AY105" s="25">
        <v>35</v>
      </c>
      <c r="AZ105" s="25">
        <v>-10</v>
      </c>
      <c r="BA105" s="25">
        <v>4</v>
      </c>
      <c r="BB105" s="25" t="s">
        <v>424</v>
      </c>
      <c r="BC105" s="45" t="s">
        <v>5703</v>
      </c>
      <c r="BD105" s="25" t="s">
        <v>425</v>
      </c>
      <c r="BE105" s="25" t="s">
        <v>601</v>
      </c>
      <c r="BF105" s="25">
        <v>13</v>
      </c>
      <c r="BG105" s="25">
        <v>2</v>
      </c>
      <c r="BH105" s="25">
        <v>25</v>
      </c>
      <c r="BI105" s="45" t="s">
        <v>5703</v>
      </c>
      <c r="BV105" s="235" t="s">
        <v>6651</v>
      </c>
      <c r="BW105" s="235">
        <v>1</v>
      </c>
      <c r="BX105" s="235">
        <f>IF('Arcana Sepirah'!O30&lt;&gt;0,1,0)</f>
        <v>0</v>
      </c>
      <c r="BY105" s="235" t="b">
        <f t="shared" si="7"/>
        <v>0</v>
      </c>
      <c r="BZ105" s="235" t="str">
        <f t="shared" si="8"/>
        <v/>
      </c>
      <c r="CB105" s="235" t="s">
        <v>6651</v>
      </c>
      <c r="CC105" s="25">
        <f>5*(MAX(4-'Hoja básica'!$C$3,1))</f>
        <v>15</v>
      </c>
      <c r="CX105" s="27" t="s">
        <v>5158</v>
      </c>
      <c r="CY105" s="25" t="b">
        <v>0</v>
      </c>
      <c r="DA105" s="267">
        <v>92</v>
      </c>
      <c r="DB105" s="268">
        <v>20</v>
      </c>
      <c r="DD105" s="85" t="b">
        <f>_xlfn.IFNA(IF(LOOKUP('Hoja básica'!AR90,Sheet3!CX103:CY138),TRUE,FALSE),FALSE)</f>
        <v>0</v>
      </c>
      <c r="DE105" s="25">
        <f>_xlfn.IFNA(IF($DD105,LOOKUP('Hoja básica'!$AX90,Sheet3!$DA$86:$DB$106),0),0)</f>
        <v>0</v>
      </c>
    </row>
    <row r="106" spans="2:109" ht="13.5" thickBot="1" x14ac:dyDescent="0.25">
      <c r="B106" s="25" t="s">
        <v>561</v>
      </c>
      <c r="C106" s="25">
        <v>0</v>
      </c>
      <c r="D106" s="25">
        <v>0</v>
      </c>
      <c r="E106" s="25">
        <v>0</v>
      </c>
      <c r="F106" s="25">
        <v>0</v>
      </c>
      <c r="G106" s="25">
        <v>10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AO106" s="26">
        <v>125</v>
      </c>
      <c r="AP106" s="25">
        <v>12</v>
      </c>
      <c r="AR106" s="25">
        <v>87</v>
      </c>
      <c r="AS106" s="25" t="s">
        <v>666</v>
      </c>
      <c r="AX106" s="25" t="s">
        <v>5279</v>
      </c>
      <c r="AY106" s="25">
        <v>25</v>
      </c>
      <c r="AZ106" s="25">
        <v>20</v>
      </c>
      <c r="BA106" s="25">
        <v>4</v>
      </c>
      <c r="BB106" s="25" t="s">
        <v>424</v>
      </c>
      <c r="BC106" s="45" t="s">
        <v>5703</v>
      </c>
      <c r="BD106" s="25" t="s">
        <v>416</v>
      </c>
      <c r="BE106" s="25" t="s">
        <v>583</v>
      </c>
      <c r="BF106" s="25">
        <v>10</v>
      </c>
      <c r="BG106" s="25">
        <v>2</v>
      </c>
      <c r="BH106" s="25">
        <v>15</v>
      </c>
      <c r="BI106" s="45" t="s">
        <v>5703</v>
      </c>
      <c r="BV106" s="235" t="s">
        <v>6648</v>
      </c>
      <c r="BW106" s="235">
        <v>3</v>
      </c>
      <c r="BX106" s="235">
        <f>IF('Arcana Sepirah'!J40&lt;&gt;0,1,0)+IF('Arcana Sepirah'!T45&lt;&gt;0,1,0)+IF('Arcana Sepirah'!T25&lt;&gt;0,1,0)</f>
        <v>0</v>
      </c>
      <c r="BY106" s="235" t="b">
        <f t="shared" si="7"/>
        <v>0</v>
      </c>
      <c r="BZ106" s="235" t="str">
        <f t="shared" si="8"/>
        <v/>
      </c>
      <c r="CB106" s="235" t="s">
        <v>6648</v>
      </c>
      <c r="CC106" s="25">
        <f>5*(MAX(3-'Hoja básica'!$C$3,1))</f>
        <v>10</v>
      </c>
      <c r="CX106" s="25" t="s">
        <v>1531</v>
      </c>
      <c r="CY106" s="25" t="b">
        <v>1</v>
      </c>
      <c r="DA106" s="255">
        <v>100</v>
      </c>
      <c r="DB106" s="257">
        <v>20</v>
      </c>
      <c r="DD106" s="85" t="b">
        <f>_xlfn.IFNA(IF(LOOKUP('Hoja básica'!AR91,Sheet3!CX104:CY139),TRUE,FALSE),FALSE)</f>
        <v>0</v>
      </c>
      <c r="DE106" s="25">
        <f>_xlfn.IFNA(IF($DD106,LOOKUP('Hoja básica'!$AX91,Sheet3!$DA$86:$DB$106),0),0)</f>
        <v>0</v>
      </c>
    </row>
    <row r="107" spans="2:109" x14ac:dyDescent="0.2">
      <c r="B107" s="25" t="s">
        <v>565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AO107" s="26">
        <v>130</v>
      </c>
      <c r="AP107" s="25">
        <v>12</v>
      </c>
      <c r="AR107" s="25">
        <v>88</v>
      </c>
      <c r="AS107" s="25" t="s">
        <v>495</v>
      </c>
      <c r="AX107" s="25" t="s">
        <v>608</v>
      </c>
      <c r="AY107" s="25">
        <v>40</v>
      </c>
      <c r="AZ107" s="25">
        <v>5</v>
      </c>
      <c r="BA107" s="27" t="s">
        <v>440</v>
      </c>
      <c r="BB107" s="25" t="s">
        <v>415</v>
      </c>
      <c r="BC107" s="25" t="s">
        <v>66</v>
      </c>
      <c r="BD107" s="25" t="s">
        <v>609</v>
      </c>
      <c r="BE107" s="25" t="s">
        <v>6443</v>
      </c>
      <c r="BF107" s="25">
        <v>12</v>
      </c>
      <c r="BG107" s="25">
        <v>4</v>
      </c>
      <c r="BH107" s="25">
        <v>25</v>
      </c>
      <c r="BI107" s="25" t="s">
        <v>611</v>
      </c>
      <c r="BV107" s="235" t="s">
        <v>6659</v>
      </c>
      <c r="BW107" s="235">
        <v>1</v>
      </c>
      <c r="BX107" s="235">
        <f>IF('Arcana Sepirah'!AD35&lt;&gt;0,1,0)</f>
        <v>0</v>
      </c>
      <c r="BY107" s="235" t="b">
        <f t="shared" si="7"/>
        <v>0</v>
      </c>
      <c r="BZ107" s="235" t="str">
        <f t="shared" si="8"/>
        <v/>
      </c>
      <c r="CB107" s="235" t="s">
        <v>6659</v>
      </c>
      <c r="CC107" s="25">
        <f>20*(MAX(8-'Hoja básica'!$C$3,1))</f>
        <v>140</v>
      </c>
      <c r="CX107" s="25" t="s">
        <v>29</v>
      </c>
      <c r="CY107" s="25" t="b">
        <v>1</v>
      </c>
      <c r="DD107" s="85" t="b">
        <f>_xlfn.IFNA(IF(LOOKUP('Hoja básica'!AR92,Sheet3!CX105:CY140),TRUE,FALSE),FALSE)</f>
        <v>0</v>
      </c>
      <c r="DE107" s="25">
        <f>_xlfn.IFNA(IF($DD107,LOOKUP('Hoja básica'!$AX92,Sheet3!$DA$86:$DB$106),0),0)</f>
        <v>0</v>
      </c>
    </row>
    <row r="108" spans="2:109" x14ac:dyDescent="0.2">
      <c r="B108" s="25" t="s">
        <v>146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AO108" s="26">
        <v>135</v>
      </c>
      <c r="AP108" s="25">
        <v>12</v>
      </c>
      <c r="AR108" s="25">
        <v>89</v>
      </c>
      <c r="AS108" s="28" t="s">
        <v>515</v>
      </c>
      <c r="AX108" s="25" t="s">
        <v>5280</v>
      </c>
      <c r="AY108" s="25">
        <v>25</v>
      </c>
      <c r="AZ108" s="25">
        <v>10</v>
      </c>
      <c r="BA108" s="25">
        <v>4</v>
      </c>
      <c r="BB108" s="25" t="s">
        <v>424</v>
      </c>
      <c r="BC108" s="45" t="s">
        <v>5703</v>
      </c>
      <c r="BD108" s="25" t="s">
        <v>5281</v>
      </c>
      <c r="BE108" s="25" t="s">
        <v>5282</v>
      </c>
      <c r="BF108" s="25">
        <v>9</v>
      </c>
      <c r="BG108" s="25">
        <v>-3</v>
      </c>
      <c r="BH108" s="25">
        <v>20</v>
      </c>
      <c r="BI108" s="45" t="s">
        <v>5703</v>
      </c>
      <c r="BV108" s="235" t="s">
        <v>6662</v>
      </c>
      <c r="BW108" s="235">
        <v>1</v>
      </c>
      <c r="BX108" s="235">
        <f>IF('Arcana Sepirah'!AI40&lt;&gt;0,1,0)</f>
        <v>0</v>
      </c>
      <c r="BY108" s="235" t="b">
        <f t="shared" si="7"/>
        <v>0</v>
      </c>
      <c r="BZ108" s="235" t="str">
        <f t="shared" si="8"/>
        <v/>
      </c>
      <c r="CB108" s="235" t="s">
        <v>6662</v>
      </c>
      <c r="CC108" s="25">
        <f>20*(MAX(11-'Hoja básica'!$C$3,1))</f>
        <v>200</v>
      </c>
      <c r="CX108" s="25" t="s">
        <v>1535</v>
      </c>
      <c r="CY108" s="25" t="b">
        <v>1</v>
      </c>
      <c r="DD108" s="85" t="b">
        <f>_xlfn.IFNA(IF(LOOKUP('Hoja básica'!AR93,Sheet3!CX106:CY141),TRUE,FALSE),FALSE)</f>
        <v>0</v>
      </c>
      <c r="DE108" s="25">
        <f>_xlfn.IFNA(IF($DD108,LOOKUP('Hoja básica'!$AX93,Sheet3!$DA$86:$DB$106),0),0)</f>
        <v>0</v>
      </c>
    </row>
    <row r="109" spans="2:109" x14ac:dyDescent="0.2">
      <c r="B109" s="25" t="s">
        <v>569</v>
      </c>
      <c r="C109" s="25">
        <v>10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10</v>
      </c>
      <c r="S109" s="25">
        <v>0</v>
      </c>
      <c r="T109" s="25">
        <v>0</v>
      </c>
      <c r="U109" s="25">
        <v>0</v>
      </c>
      <c r="V109" s="25">
        <v>0</v>
      </c>
      <c r="AO109" s="26">
        <v>140</v>
      </c>
      <c r="AP109" s="25">
        <v>12</v>
      </c>
      <c r="AR109" s="25">
        <v>90</v>
      </c>
      <c r="AS109" s="25" t="s">
        <v>645</v>
      </c>
      <c r="AX109" s="25" t="s">
        <v>5283</v>
      </c>
      <c r="AY109" s="25">
        <v>40</v>
      </c>
      <c r="AZ109" s="25">
        <v>-5</v>
      </c>
      <c r="BA109" s="25">
        <v>6</v>
      </c>
      <c r="BB109" s="25" t="s">
        <v>415</v>
      </c>
      <c r="BC109" s="45" t="s">
        <v>5703</v>
      </c>
      <c r="BD109" s="25" t="s">
        <v>425</v>
      </c>
      <c r="BE109" s="25" t="s">
        <v>6424</v>
      </c>
      <c r="BF109" s="25">
        <v>13</v>
      </c>
      <c r="BG109" s="25">
        <v>3</v>
      </c>
      <c r="BH109" s="25">
        <v>25</v>
      </c>
      <c r="BI109" s="45" t="s">
        <v>5703</v>
      </c>
      <c r="BV109" s="235" t="s">
        <v>6675</v>
      </c>
      <c r="BW109" s="235">
        <v>1</v>
      </c>
      <c r="BX109" s="235">
        <f>IF('Arcana Sepirah'!BW35&lt;&gt;0,1,0)</f>
        <v>0</v>
      </c>
      <c r="BY109" s="235" t="b">
        <f t="shared" si="7"/>
        <v>0</v>
      </c>
      <c r="BZ109" s="235" t="str">
        <f t="shared" si="8"/>
        <v/>
      </c>
      <c r="CB109" s="235" t="s">
        <v>6675</v>
      </c>
      <c r="CC109" s="25">
        <f>5*(MAX(4-'Hoja básica'!$C$3,1))</f>
        <v>15</v>
      </c>
      <c r="CX109" s="25" t="s">
        <v>1543</v>
      </c>
      <c r="CY109" s="25" t="b">
        <v>1</v>
      </c>
      <c r="DD109" s="85" t="b">
        <f>_xlfn.IFNA(IF(LOOKUP('Hoja básica'!AR94,Sheet3!CX107:CY142),TRUE,FALSE),FALSE)</f>
        <v>0</v>
      </c>
      <c r="DE109" s="25">
        <f>_xlfn.IFNA(IF($DD109,LOOKUP('Hoja básica'!$AX94,Sheet3!$DA$86:$DB$106),0),0)</f>
        <v>0</v>
      </c>
    </row>
    <row r="110" spans="2:109" x14ac:dyDescent="0.2">
      <c r="B110" s="25" t="s">
        <v>572</v>
      </c>
      <c r="C110" s="25">
        <v>0</v>
      </c>
      <c r="D110" s="25">
        <v>0</v>
      </c>
      <c r="E110" s="25">
        <v>0</v>
      </c>
      <c r="F110" s="25">
        <v>5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10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Y110" s="25" t="s">
        <v>0</v>
      </c>
      <c r="Z110" s="25" t="s">
        <v>152</v>
      </c>
      <c r="AB110" s="25" t="s">
        <v>0</v>
      </c>
      <c r="AC110" s="25" t="s">
        <v>152</v>
      </c>
      <c r="AE110" s="25" t="s">
        <v>6035</v>
      </c>
      <c r="AO110" s="26">
        <v>145</v>
      </c>
      <c r="AP110" s="25">
        <v>12</v>
      </c>
      <c r="AR110" s="25">
        <v>91</v>
      </c>
      <c r="AS110" s="28" t="s">
        <v>447</v>
      </c>
      <c r="AX110" s="25" t="s">
        <v>523</v>
      </c>
      <c r="AY110" s="25">
        <v>40</v>
      </c>
      <c r="AZ110" s="25">
        <v>5</v>
      </c>
      <c r="BA110" s="27" t="s">
        <v>614</v>
      </c>
      <c r="BB110" s="25" t="s">
        <v>424</v>
      </c>
      <c r="BC110" s="45" t="s">
        <v>5703</v>
      </c>
      <c r="BD110" s="25" t="s">
        <v>425</v>
      </c>
      <c r="BE110" s="25" t="s">
        <v>6444</v>
      </c>
      <c r="BF110" s="25">
        <v>13</v>
      </c>
      <c r="BG110" s="25">
        <v>2</v>
      </c>
      <c r="BH110" s="25">
        <v>25</v>
      </c>
      <c r="BI110" s="45" t="s">
        <v>5703</v>
      </c>
      <c r="BV110" s="235" t="s">
        <v>6674</v>
      </c>
      <c r="BW110" s="235">
        <v>2</v>
      </c>
      <c r="BX110" s="235">
        <f>IF('Arcana Sepirah'!BR30&lt;&gt;0,1,0)+IF('Arcana Sepirah'!BR40&lt;&gt;0,1,0)</f>
        <v>0</v>
      </c>
      <c r="BY110" s="235" t="b">
        <f t="shared" si="7"/>
        <v>0</v>
      </c>
      <c r="BZ110" s="235" t="str">
        <f t="shared" si="8"/>
        <v/>
      </c>
      <c r="CB110" s="235" t="s">
        <v>6674</v>
      </c>
      <c r="CC110" s="25">
        <f>5*(MAX(4-'Hoja básica'!$C$3,1))</f>
        <v>15</v>
      </c>
      <c r="CX110" s="25" t="s">
        <v>101</v>
      </c>
      <c r="CY110" s="25" t="b">
        <v>1</v>
      </c>
      <c r="DD110" s="85" t="b">
        <f>_xlfn.IFNA(IF(LOOKUP('Hoja básica'!AR95,Sheet3!CX108:CY143),TRUE,FALSE),FALSE)</f>
        <v>0</v>
      </c>
      <c r="DE110" s="25">
        <f>_xlfn.IFNA(IF($DD110,LOOKUP('Hoja básica'!$AX95,Sheet3!$DA$86:$DB$106),0),0)</f>
        <v>0</v>
      </c>
    </row>
    <row r="111" spans="2:109" x14ac:dyDescent="0.2">
      <c r="B111" s="25" t="s">
        <v>574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10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Y111" s="25">
        <v>0</v>
      </c>
      <c r="Z111" s="25">
        <v>0</v>
      </c>
      <c r="AB111" s="96">
        <v>0</v>
      </c>
      <c r="AC111" s="25">
        <v>0</v>
      </c>
      <c r="AE111" s="25" t="s">
        <v>6033</v>
      </c>
      <c r="AO111" s="26">
        <v>150</v>
      </c>
      <c r="AP111" s="25">
        <v>12</v>
      </c>
      <c r="AR111" s="25">
        <v>92</v>
      </c>
      <c r="AS111" s="25" t="s">
        <v>431</v>
      </c>
      <c r="AX111" s="25" t="s">
        <v>526</v>
      </c>
      <c r="AY111" s="25">
        <v>80</v>
      </c>
      <c r="AZ111" s="25">
        <v>-30</v>
      </c>
      <c r="BA111" s="27" t="s">
        <v>456</v>
      </c>
      <c r="BB111" s="25" t="s">
        <v>424</v>
      </c>
      <c r="BC111" s="45" t="s">
        <v>5703</v>
      </c>
      <c r="BD111" s="25" t="s">
        <v>425</v>
      </c>
      <c r="BE111" s="25" t="s">
        <v>601</v>
      </c>
      <c r="BF111" s="25">
        <v>12</v>
      </c>
      <c r="BG111" s="25">
        <v>7</v>
      </c>
      <c r="BH111" s="25">
        <v>25</v>
      </c>
      <c r="BI111" s="25" t="s">
        <v>617</v>
      </c>
      <c r="BV111" s="235" t="s">
        <v>6671</v>
      </c>
      <c r="BW111" s="235">
        <v>1</v>
      </c>
      <c r="BX111" s="235">
        <f>IF('Arcana Sepirah'!BH25&lt;&gt;0,1,0)</f>
        <v>0</v>
      </c>
      <c r="BY111" s="235" t="b">
        <f t="shared" si="7"/>
        <v>0</v>
      </c>
      <c r="BZ111" s="235" t="str">
        <f t="shared" si="8"/>
        <v/>
      </c>
      <c r="CB111" s="235" t="s">
        <v>6671</v>
      </c>
      <c r="CC111" s="25">
        <f>5*(MAX(3-'Hoja básica'!$C$3,1))</f>
        <v>10</v>
      </c>
      <c r="CX111" s="25" t="s">
        <v>132</v>
      </c>
      <c r="CY111" s="25" t="b">
        <v>1</v>
      </c>
      <c r="DD111" s="85" t="b">
        <f>_xlfn.IFNA(IF(LOOKUP('Hoja básica'!AR96,Sheet3!CX109:CY144),TRUE,FALSE),FALSE)</f>
        <v>0</v>
      </c>
      <c r="DE111" s="25">
        <f>_xlfn.IFNA(IF($DD111,LOOKUP('Hoja básica'!$AX96,Sheet3!$DA$86:$DB$106),0),0)</f>
        <v>0</v>
      </c>
    </row>
    <row r="112" spans="2:109" x14ac:dyDescent="0.2">
      <c r="B112" s="25" t="s">
        <v>163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Y112" s="25" t="s">
        <v>672</v>
      </c>
      <c r="Z112" s="25">
        <v>75</v>
      </c>
      <c r="AB112" s="25" t="s">
        <v>671</v>
      </c>
      <c r="AC112" s="25">
        <v>20</v>
      </c>
      <c r="AE112" s="25" t="s">
        <v>6034</v>
      </c>
      <c r="AR112" s="25">
        <v>92</v>
      </c>
      <c r="AS112" s="28" t="s">
        <v>444</v>
      </c>
      <c r="AX112" s="25" t="s">
        <v>527</v>
      </c>
      <c r="AY112" s="25">
        <v>35</v>
      </c>
      <c r="AZ112" s="25">
        <v>-20</v>
      </c>
      <c r="BA112" s="27" t="s">
        <v>414</v>
      </c>
      <c r="BB112" s="25" t="s">
        <v>415</v>
      </c>
      <c r="BC112" s="25" t="s">
        <v>66</v>
      </c>
      <c r="BD112" s="25" t="s">
        <v>489</v>
      </c>
      <c r="BE112" s="25" t="s">
        <v>490</v>
      </c>
      <c r="BF112" s="25">
        <v>9</v>
      </c>
      <c r="BG112" s="25">
        <v>-3</v>
      </c>
      <c r="BH112" s="25">
        <v>20</v>
      </c>
      <c r="BI112" s="45" t="s">
        <v>5703</v>
      </c>
      <c r="BV112" s="235" t="s">
        <v>6673</v>
      </c>
      <c r="BW112" s="235">
        <v>2</v>
      </c>
      <c r="BX112" s="235">
        <f>IF('Arcana Sepirah'!BR45&lt;&gt;0,1,0)+IF('Arcana Sepirah'!BM30&lt;&gt;0,1,0)</f>
        <v>0</v>
      </c>
      <c r="BY112" s="235" t="b">
        <f t="shared" si="7"/>
        <v>0</v>
      </c>
      <c r="BZ112" s="235" t="str">
        <f t="shared" si="8"/>
        <v/>
      </c>
      <c r="CB112" s="235" t="s">
        <v>6673</v>
      </c>
      <c r="CC112" s="25">
        <f>5*(MAX(4-'Hoja básica'!$C$3,1))</f>
        <v>15</v>
      </c>
      <c r="CX112" s="25" t="s">
        <v>39</v>
      </c>
      <c r="CY112" s="25" t="b">
        <v>1</v>
      </c>
      <c r="DD112" s="85" t="b">
        <f>_xlfn.IFNA(IF(LOOKUP('Hoja básica'!AR97,Sheet3!CX110:CY145),TRUE,FALSE),FALSE)</f>
        <v>0</v>
      </c>
      <c r="DE112" s="25">
        <f>_xlfn.IFNA(IF($DD112,LOOKUP('Hoja básica'!$AX97,Sheet3!$DA$86:$DB$106),0),0)</f>
        <v>0</v>
      </c>
    </row>
    <row r="113" spans="2:109" x14ac:dyDescent="0.2">
      <c r="B113" s="25" t="s">
        <v>578</v>
      </c>
      <c r="C113" s="25">
        <v>10</v>
      </c>
      <c r="D113" s="25">
        <v>0</v>
      </c>
      <c r="E113" s="25">
        <v>10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5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10</v>
      </c>
      <c r="T113" s="25">
        <v>0</v>
      </c>
      <c r="U113" s="25">
        <v>0</v>
      </c>
      <c r="V113" s="25">
        <v>0</v>
      </c>
      <c r="Y113" s="25" t="s">
        <v>674</v>
      </c>
      <c r="Z113" s="25">
        <v>150</v>
      </c>
      <c r="AB113" s="25" t="s">
        <v>673</v>
      </c>
      <c r="AC113" s="25">
        <v>15</v>
      </c>
      <c r="AR113" s="25">
        <v>93</v>
      </c>
      <c r="AS113" s="25" t="s">
        <v>589</v>
      </c>
      <c r="AX113" s="25" t="s">
        <v>531</v>
      </c>
      <c r="AY113" s="25">
        <v>5</v>
      </c>
      <c r="AZ113" s="25">
        <v>10</v>
      </c>
      <c r="BA113" s="27" t="s">
        <v>414</v>
      </c>
      <c r="BB113" s="25" t="s">
        <v>66</v>
      </c>
      <c r="BC113" s="45" t="s">
        <v>5703</v>
      </c>
      <c r="BD113" s="25" t="s">
        <v>489</v>
      </c>
      <c r="BE113" s="25" t="s">
        <v>6445</v>
      </c>
      <c r="BF113" s="25">
        <v>9</v>
      </c>
      <c r="BG113" s="25">
        <v>-4</v>
      </c>
      <c r="BH113" s="25">
        <v>20</v>
      </c>
      <c r="BI113" s="25" t="s">
        <v>621</v>
      </c>
      <c r="BV113" s="235" t="s">
        <v>6684</v>
      </c>
      <c r="BW113" s="235">
        <v>1</v>
      </c>
      <c r="BX113" s="235">
        <f>IF('Arcana Sepirah'!BM50&lt;&gt;0,1,0)</f>
        <v>0</v>
      </c>
      <c r="BY113" s="235" t="b">
        <f t="shared" si="7"/>
        <v>0</v>
      </c>
      <c r="BZ113" s="235" t="str">
        <f t="shared" si="8"/>
        <v/>
      </c>
      <c r="CB113" s="235" t="s">
        <v>6684</v>
      </c>
      <c r="CC113" s="25">
        <f>5*(MAX(6-'Hoja básica'!$C$3,1))</f>
        <v>25</v>
      </c>
      <c r="CX113" s="25" t="s">
        <v>1554</v>
      </c>
      <c r="CY113" s="25" t="b">
        <v>1</v>
      </c>
      <c r="DD113" s="85" t="b">
        <f>_xlfn.IFNA(IF(LOOKUP('Hoja básica'!AR98,Sheet3!CX111:CY146),TRUE,FALSE),FALSE)</f>
        <v>0</v>
      </c>
      <c r="DE113" s="25">
        <f>_xlfn.IFNA(IF($DD113,LOOKUP('Hoja básica'!$AX98,Sheet3!$DA$86:$DB$106),0),0)</f>
        <v>0</v>
      </c>
    </row>
    <row r="114" spans="2:109" ht="13.5" thickBot="1" x14ac:dyDescent="0.25">
      <c r="B114" s="25" t="s">
        <v>582</v>
      </c>
      <c r="C114" s="25">
        <v>10</v>
      </c>
      <c r="D114" s="25">
        <v>0</v>
      </c>
      <c r="E114" s="25">
        <v>10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5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10</v>
      </c>
      <c r="T114" s="25">
        <v>0</v>
      </c>
      <c r="U114" s="25">
        <v>0</v>
      </c>
      <c r="V114" s="25">
        <v>0</v>
      </c>
      <c r="Y114" s="25" t="s">
        <v>676</v>
      </c>
      <c r="Z114" s="25">
        <v>75</v>
      </c>
      <c r="AB114" s="25" t="s">
        <v>675</v>
      </c>
      <c r="AC114" s="25">
        <v>10</v>
      </c>
      <c r="AQ114" s="25" t="s">
        <v>573</v>
      </c>
      <c r="AR114" s="25">
        <v>94</v>
      </c>
      <c r="AS114" s="28" t="s">
        <v>643</v>
      </c>
      <c r="AX114" s="25" t="s">
        <v>5479</v>
      </c>
      <c r="AY114" s="25">
        <v>120</v>
      </c>
      <c r="AZ114" s="25">
        <v>-40</v>
      </c>
      <c r="BA114" s="25">
        <v>7</v>
      </c>
      <c r="BB114" s="25" t="s">
        <v>66</v>
      </c>
      <c r="BC114" s="45" t="s">
        <v>5703</v>
      </c>
      <c r="BD114" s="25" t="s">
        <v>5473</v>
      </c>
      <c r="BE114" s="25" t="s">
        <v>5470</v>
      </c>
      <c r="BF114" s="25">
        <v>15</v>
      </c>
      <c r="BG114" s="25">
        <v>5</v>
      </c>
      <c r="BH114" s="25">
        <v>25</v>
      </c>
      <c r="BI114" s="25" t="s">
        <v>5464</v>
      </c>
      <c r="BV114" s="235" t="s">
        <v>6678</v>
      </c>
      <c r="BW114" s="235">
        <v>1</v>
      </c>
      <c r="BX114" s="235">
        <f>IF('Arcana Sepirah'!BC35&lt;&gt;0,1,0)</f>
        <v>0</v>
      </c>
      <c r="BY114" s="235" t="b">
        <f t="shared" si="7"/>
        <v>0</v>
      </c>
      <c r="BZ114" s="235" t="str">
        <f t="shared" si="8"/>
        <v/>
      </c>
      <c r="CB114" s="235" t="s">
        <v>6678</v>
      </c>
      <c r="CC114" s="25">
        <f>5*(MAX(9-'Hoja básica'!$C$3,1))</f>
        <v>40</v>
      </c>
      <c r="CX114" s="25" t="s">
        <v>1563</v>
      </c>
      <c r="CY114" s="25" t="b">
        <v>1</v>
      </c>
      <c r="DD114" s="86" t="b">
        <f>_xlfn.IFNA(IF(LOOKUP('Hoja básica'!AR99,Sheet3!CX112:CY147),TRUE,FALSE),FALSE)</f>
        <v>0</v>
      </c>
      <c r="DE114" s="25">
        <f>_xlfn.IFNA(IF($DD114,LOOKUP('Hoja básica'!$AX99,Sheet3!$DA$86:$DB$106),0),0)</f>
        <v>0</v>
      </c>
    </row>
    <row r="115" spans="2:109" x14ac:dyDescent="0.2">
      <c r="B115" s="25" t="s">
        <v>584</v>
      </c>
      <c r="C115" s="25">
        <v>0</v>
      </c>
      <c r="D115" s="25">
        <v>0</v>
      </c>
      <c r="E115" s="25">
        <v>10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Y115" s="25" t="s">
        <v>678</v>
      </c>
      <c r="Z115" s="25">
        <v>100</v>
      </c>
      <c r="AB115" s="25" t="s">
        <v>677</v>
      </c>
      <c r="AC115" s="25">
        <v>50</v>
      </c>
      <c r="AR115" s="25">
        <v>94.5</v>
      </c>
      <c r="AS115" s="25" t="s">
        <v>680</v>
      </c>
      <c r="AX115" s="25" t="s">
        <v>5474</v>
      </c>
      <c r="AY115" s="25">
        <v>70</v>
      </c>
      <c r="AZ115" s="25">
        <v>-30</v>
      </c>
      <c r="BA115" s="25">
        <v>8</v>
      </c>
      <c r="BB115" s="25" t="s">
        <v>415</v>
      </c>
      <c r="BC115" s="25" t="s">
        <v>66</v>
      </c>
      <c r="BD115" s="25" t="s">
        <v>5473</v>
      </c>
      <c r="BE115" s="25" t="s">
        <v>5470</v>
      </c>
      <c r="BF115" s="25">
        <v>13</v>
      </c>
      <c r="BG115" s="25">
        <v>8</v>
      </c>
      <c r="BH115" s="25">
        <v>35</v>
      </c>
      <c r="BI115" s="25" t="s">
        <v>5464</v>
      </c>
      <c r="BV115" s="235" t="s">
        <v>6676</v>
      </c>
      <c r="BW115" s="235">
        <v>2</v>
      </c>
      <c r="BX115" s="235">
        <f>IF('Arcana Sepirah'!BM40&lt;&gt;0,1,0)+IF('Arcana Sepirah'!BH45&lt;&gt;0,1,0)</f>
        <v>0</v>
      </c>
      <c r="BY115" s="235" t="b">
        <f t="shared" si="7"/>
        <v>0</v>
      </c>
      <c r="BZ115" s="235" t="str">
        <f t="shared" si="8"/>
        <v/>
      </c>
      <c r="CB115" s="235" t="s">
        <v>6676</v>
      </c>
      <c r="CC115" s="25">
        <f>5*(MAX(5-'Hoja básica'!$C$3,1))</f>
        <v>20</v>
      </c>
      <c r="CD115" s="25">
        <f>5*(MAX(3-'Hoja básica'!$C$3,1))</f>
        <v>10</v>
      </c>
      <c r="CX115" s="25" t="s">
        <v>1579</v>
      </c>
      <c r="CY115" s="25" t="b">
        <v>1</v>
      </c>
      <c r="DD115" s="25" t="s">
        <v>6751</v>
      </c>
      <c r="DE115" s="25">
        <f>SUM(DE87:DE114)</f>
        <v>0</v>
      </c>
    </row>
    <row r="116" spans="2:109" x14ac:dyDescent="0.2">
      <c r="B116" s="25" t="s">
        <v>178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AB116" s="25" t="s">
        <v>679</v>
      </c>
      <c r="AC116" s="25">
        <v>20</v>
      </c>
      <c r="AR116" s="25">
        <v>95</v>
      </c>
      <c r="AS116" s="25" t="s">
        <v>448</v>
      </c>
      <c r="AX116" s="25" t="s">
        <v>5476</v>
      </c>
      <c r="AY116" s="25">
        <v>40</v>
      </c>
      <c r="AZ116" s="25">
        <v>5</v>
      </c>
      <c r="BA116" s="25">
        <v>5</v>
      </c>
      <c r="BB116" s="25" t="s">
        <v>424</v>
      </c>
      <c r="BC116" s="45" t="s">
        <v>5703</v>
      </c>
      <c r="BD116" s="25" t="s">
        <v>5473</v>
      </c>
      <c r="BE116" s="25" t="s">
        <v>5470</v>
      </c>
      <c r="BF116" s="25">
        <v>12</v>
      </c>
      <c r="BG116" s="25">
        <v>2</v>
      </c>
      <c r="BH116" s="25">
        <v>35</v>
      </c>
      <c r="BI116" s="25" t="s">
        <v>5464</v>
      </c>
      <c r="BV116" s="235" t="s">
        <v>6672</v>
      </c>
      <c r="BW116" s="235">
        <v>2</v>
      </c>
      <c r="BX116" s="235">
        <f>IF('Arcana Sepirah'!BR35&lt;&gt;0,1,0)+IF('Arcana Sepirah'!BR25&lt;&gt;0,1,0)</f>
        <v>0</v>
      </c>
      <c r="BY116" s="235" t="b">
        <f t="shared" si="7"/>
        <v>0</v>
      </c>
      <c r="BZ116" s="235" t="str">
        <f t="shared" si="8"/>
        <v/>
      </c>
      <c r="CB116" s="235" t="s">
        <v>6672</v>
      </c>
      <c r="CC116" s="25">
        <f>5*(MAX(4-'Hoja básica'!$C$3,1))</f>
        <v>15</v>
      </c>
      <c r="CX116" s="25" t="s">
        <v>1728</v>
      </c>
      <c r="CY116" s="25" t="b">
        <v>1</v>
      </c>
    </row>
    <row r="117" spans="2:109" x14ac:dyDescent="0.2">
      <c r="B117" s="25" t="s">
        <v>588</v>
      </c>
      <c r="C117" s="25">
        <v>0</v>
      </c>
      <c r="D117" s="25">
        <v>0</v>
      </c>
      <c r="E117" s="25">
        <v>5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AB117" s="25" t="s">
        <v>474</v>
      </c>
      <c r="AC117" s="25">
        <v>50</v>
      </c>
      <c r="AR117" s="25">
        <v>96</v>
      </c>
      <c r="AS117" s="28" t="s">
        <v>669</v>
      </c>
      <c r="AX117" s="25" t="s">
        <v>5478</v>
      </c>
      <c r="AY117" s="25">
        <v>60</v>
      </c>
      <c r="AZ117" s="25">
        <v>-15</v>
      </c>
      <c r="BA117" s="25">
        <v>7</v>
      </c>
      <c r="BB117" s="25" t="s">
        <v>66</v>
      </c>
      <c r="BC117" s="45" t="s">
        <v>5703</v>
      </c>
      <c r="BD117" s="25" t="s">
        <v>5473</v>
      </c>
      <c r="BE117" s="25" t="s">
        <v>5470</v>
      </c>
      <c r="BF117" s="25">
        <v>15</v>
      </c>
      <c r="BG117" s="25">
        <v>5</v>
      </c>
      <c r="BH117" s="25">
        <v>25</v>
      </c>
      <c r="BI117" s="25" t="s">
        <v>5464</v>
      </c>
      <c r="BV117" s="235" t="s">
        <v>6681</v>
      </c>
      <c r="BW117" s="235">
        <v>1</v>
      </c>
      <c r="BX117" s="235">
        <f>IF('Arcana Sepirah'!BC40&lt;&gt;0,1,0)</f>
        <v>0</v>
      </c>
      <c r="BY117" s="235" t="b">
        <f t="shared" si="7"/>
        <v>0</v>
      </c>
      <c r="BZ117" s="235" t="str">
        <f t="shared" si="8"/>
        <v/>
      </c>
      <c r="CB117" s="235" t="s">
        <v>6681</v>
      </c>
      <c r="CC117" s="25">
        <f>25*(MAX(9-'Hoja básica'!$C$3,1))</f>
        <v>200</v>
      </c>
      <c r="CX117" s="25" t="s">
        <v>1596</v>
      </c>
      <c r="CY117" s="25" t="b">
        <v>1</v>
      </c>
    </row>
    <row r="118" spans="2:109" x14ac:dyDescent="0.2">
      <c r="B118" s="25" t="s">
        <v>591</v>
      </c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Z118" s="25" t="s">
        <v>0</v>
      </c>
      <c r="AA118" s="25" t="s">
        <v>152</v>
      </c>
      <c r="AB118" s="25" t="s">
        <v>681</v>
      </c>
      <c r="AC118" s="25">
        <v>50</v>
      </c>
      <c r="AR118" s="25">
        <v>97</v>
      </c>
      <c r="AS118" s="25" t="s">
        <v>451</v>
      </c>
      <c r="AX118" s="25" t="s">
        <v>5475</v>
      </c>
      <c r="AY118" s="25">
        <v>50</v>
      </c>
      <c r="AZ118" s="25">
        <v>0</v>
      </c>
      <c r="BA118" s="25">
        <v>8</v>
      </c>
      <c r="BB118" s="25" t="s">
        <v>424</v>
      </c>
      <c r="BC118" s="45" t="s">
        <v>5703</v>
      </c>
      <c r="BD118" s="25" t="s">
        <v>5473</v>
      </c>
      <c r="BE118" s="25" t="s">
        <v>5470</v>
      </c>
      <c r="BF118" s="25">
        <v>13</v>
      </c>
      <c r="BG118" s="25">
        <v>8</v>
      </c>
      <c r="BH118" s="25">
        <v>35</v>
      </c>
      <c r="BI118" s="25" t="s">
        <v>5464</v>
      </c>
      <c r="BV118" s="235" t="s">
        <v>6677</v>
      </c>
      <c r="BW118" s="235">
        <v>1</v>
      </c>
      <c r="BX118" s="235">
        <f>IF('Arcana Sepirah'!BH35&lt;&gt;0,1,0)</f>
        <v>0</v>
      </c>
      <c r="BY118" s="235" t="b">
        <f t="shared" si="7"/>
        <v>0</v>
      </c>
      <c r="BZ118" s="235" t="str">
        <f t="shared" si="8"/>
        <v/>
      </c>
      <c r="CB118" s="235" t="s">
        <v>6677</v>
      </c>
      <c r="CC118" s="25">
        <f>10*(MAX(6-'Hoja básica'!$C$3,1))</f>
        <v>50</v>
      </c>
      <c r="CX118" s="25" t="s">
        <v>35</v>
      </c>
      <c r="CY118" s="25" t="b">
        <v>1</v>
      </c>
    </row>
    <row r="119" spans="2:109" x14ac:dyDescent="0.2">
      <c r="B119" s="25" t="s">
        <v>594</v>
      </c>
      <c r="C119" s="25">
        <v>0</v>
      </c>
      <c r="D119" s="25">
        <v>0</v>
      </c>
      <c r="E119" s="25">
        <v>5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Z119" s="25">
        <v>0</v>
      </c>
      <c r="AA119" s="25">
        <v>0</v>
      </c>
      <c r="AB119" s="25" t="s">
        <v>683</v>
      </c>
      <c r="AC119" s="25">
        <v>50</v>
      </c>
      <c r="AR119" s="25">
        <v>98</v>
      </c>
      <c r="AS119" s="28" t="s">
        <v>670</v>
      </c>
      <c r="AX119" s="25" t="s">
        <v>5477</v>
      </c>
      <c r="AY119" s="25">
        <v>50</v>
      </c>
      <c r="AZ119" s="25">
        <v>0</v>
      </c>
      <c r="BA119" s="25">
        <v>5</v>
      </c>
      <c r="BB119" s="25" t="s">
        <v>424</v>
      </c>
      <c r="BC119" s="45" t="s">
        <v>5703</v>
      </c>
      <c r="BD119" s="25" t="s">
        <v>5473</v>
      </c>
      <c r="BE119" s="25" t="s">
        <v>5470</v>
      </c>
      <c r="BF119" s="25">
        <v>12</v>
      </c>
      <c r="BG119" s="25">
        <v>2</v>
      </c>
      <c r="BH119" s="25">
        <v>35</v>
      </c>
      <c r="BI119" s="25" t="s">
        <v>5464</v>
      </c>
      <c r="BV119" s="235" t="s">
        <v>6680</v>
      </c>
      <c r="BW119" s="235">
        <v>1</v>
      </c>
      <c r="BX119" s="235">
        <f>IF('Arcana Sepirah'!BC30&lt;&gt;0,1,0)</f>
        <v>0</v>
      </c>
      <c r="BY119" s="235" t="b">
        <f t="shared" si="7"/>
        <v>0</v>
      </c>
      <c r="BZ119" s="235" t="str">
        <f t="shared" si="8"/>
        <v/>
      </c>
      <c r="CB119" s="235" t="s">
        <v>6680</v>
      </c>
      <c r="CC119" s="25">
        <f>20*(MAX(8-'Hoja básica'!$C$3,1))</f>
        <v>140</v>
      </c>
      <c r="CX119" s="25" t="s">
        <v>264</v>
      </c>
      <c r="CY119" s="25" t="b">
        <v>1</v>
      </c>
    </row>
    <row r="120" spans="2:109" x14ac:dyDescent="0.2">
      <c r="B120" s="25" t="s">
        <v>595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Z120" s="25" t="s">
        <v>682</v>
      </c>
      <c r="AA120" s="25">
        <v>50</v>
      </c>
      <c r="AB120" s="27"/>
      <c r="AR120" s="25">
        <v>99</v>
      </c>
      <c r="AS120" s="25" t="s">
        <v>492</v>
      </c>
      <c r="AX120" s="25" t="s">
        <v>5443</v>
      </c>
      <c r="AY120" s="25">
        <v>60</v>
      </c>
      <c r="AZ120" s="25">
        <v>0</v>
      </c>
      <c r="BA120" s="25">
        <v>5</v>
      </c>
      <c r="BB120" s="45" t="s">
        <v>5703</v>
      </c>
      <c r="BC120" s="45" t="s">
        <v>5703</v>
      </c>
      <c r="BD120" s="25" t="s">
        <v>5473</v>
      </c>
      <c r="BE120" s="25" t="s">
        <v>5470</v>
      </c>
      <c r="BF120" s="25">
        <v>15</v>
      </c>
      <c r="BG120" s="25">
        <v>2</v>
      </c>
      <c r="BH120" s="25">
        <f>'Hoja básica'!H71</f>
        <v>30</v>
      </c>
      <c r="BI120" s="25" t="s">
        <v>5465</v>
      </c>
      <c r="BV120" s="235" t="s">
        <v>6682</v>
      </c>
      <c r="BW120" s="235">
        <v>1</v>
      </c>
      <c r="BX120" s="235">
        <f>IF('Arcana Sepirah'!AX35&lt;&gt;0,1,0)</f>
        <v>0</v>
      </c>
      <c r="BY120" s="235" t="b">
        <f t="shared" si="7"/>
        <v>0</v>
      </c>
      <c r="BZ120" s="235" t="str">
        <f t="shared" si="8"/>
        <v/>
      </c>
      <c r="CB120" s="235" t="s">
        <v>6682</v>
      </c>
      <c r="CC120" s="25">
        <f>20*(MAX(10-'Hoja básica'!$C$3,1))</f>
        <v>180</v>
      </c>
      <c r="CX120" s="25" t="s">
        <v>1611</v>
      </c>
      <c r="CY120" s="25" t="b">
        <v>1</v>
      </c>
    </row>
    <row r="121" spans="2:109" x14ac:dyDescent="0.2">
      <c r="B121" s="25" t="s">
        <v>597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Z121" s="25" t="s">
        <v>310</v>
      </c>
      <c r="AA121" s="25">
        <v>50</v>
      </c>
      <c r="AB121" s="27"/>
      <c r="AR121" s="25">
        <v>100</v>
      </c>
      <c r="AS121" s="28" t="s">
        <v>446</v>
      </c>
      <c r="AX121" s="25" t="s">
        <v>5257</v>
      </c>
      <c r="AY121" s="25">
        <v>30</v>
      </c>
      <c r="AZ121" s="25">
        <v>15</v>
      </c>
      <c r="BA121" s="25">
        <v>5</v>
      </c>
      <c r="BB121" s="25" t="s">
        <v>66</v>
      </c>
      <c r="BC121" s="45" t="s">
        <v>5703</v>
      </c>
      <c r="BD121" s="25" t="s">
        <v>489</v>
      </c>
      <c r="BE121" s="25" t="s">
        <v>6446</v>
      </c>
      <c r="BF121" s="25">
        <v>8</v>
      </c>
      <c r="BG121" s="25">
        <v>1</v>
      </c>
      <c r="BH121" s="25">
        <v>15</v>
      </c>
      <c r="BI121" s="45" t="s">
        <v>5703</v>
      </c>
      <c r="BV121" s="235" t="s">
        <v>6683</v>
      </c>
      <c r="BW121" s="235">
        <v>1</v>
      </c>
      <c r="BX121" s="235">
        <f>IF('Arcana Sepirah'!AS30&lt;&gt;0,1,0)</f>
        <v>0</v>
      </c>
      <c r="BY121" s="235" t="b">
        <f t="shared" si="7"/>
        <v>0</v>
      </c>
      <c r="BZ121" s="235" t="str">
        <f t="shared" si="8"/>
        <v/>
      </c>
      <c r="CB121" s="235" t="s">
        <v>6683</v>
      </c>
      <c r="CC121" s="25">
        <f>20*(MAX(11-'Hoja básica'!$C$3,1))</f>
        <v>200</v>
      </c>
    </row>
    <row r="122" spans="2:109" x14ac:dyDescent="0.2">
      <c r="B122" s="25" t="s">
        <v>600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Z122" s="25" t="s">
        <v>684</v>
      </c>
      <c r="AA122" s="25">
        <v>50</v>
      </c>
      <c r="AB122" s="27"/>
      <c r="AX122" s="25" t="s">
        <v>5258</v>
      </c>
      <c r="AY122" s="25">
        <v>25</v>
      </c>
      <c r="AZ122" s="25">
        <v>20</v>
      </c>
      <c r="BA122" s="25">
        <v>5</v>
      </c>
      <c r="BB122" s="25" t="s">
        <v>415</v>
      </c>
      <c r="BC122" s="45" t="s">
        <v>5703</v>
      </c>
      <c r="BD122" s="25" t="s">
        <v>416</v>
      </c>
      <c r="BE122" s="25" t="s">
        <v>6442</v>
      </c>
      <c r="BF122" s="25">
        <v>12</v>
      </c>
      <c r="BG122" s="25">
        <v>5</v>
      </c>
      <c r="BH122" s="25">
        <v>15</v>
      </c>
      <c r="BI122" s="45" t="s">
        <v>5703</v>
      </c>
    </row>
    <row r="123" spans="2:109" x14ac:dyDescent="0.2">
      <c r="B123" s="25" t="s">
        <v>604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Z123" s="25" t="s">
        <v>685</v>
      </c>
      <c r="AA123" s="25">
        <v>50</v>
      </c>
      <c r="AB123" s="25" t="s">
        <v>0</v>
      </c>
      <c r="AC123" s="25" t="s">
        <v>152</v>
      </c>
      <c r="AX123" s="25" t="s">
        <v>549</v>
      </c>
      <c r="AY123" s="25">
        <v>90</v>
      </c>
      <c r="AZ123" s="25">
        <v>-60</v>
      </c>
      <c r="BA123" s="27" t="s">
        <v>624</v>
      </c>
      <c r="BB123" s="25" t="s">
        <v>415</v>
      </c>
      <c r="BC123" s="25" t="s">
        <v>66</v>
      </c>
      <c r="BD123" s="25" t="s">
        <v>549</v>
      </c>
      <c r="BE123" s="25" t="s">
        <v>6441</v>
      </c>
      <c r="BF123" s="25">
        <v>18</v>
      </c>
      <c r="BG123" s="25">
        <v>6</v>
      </c>
      <c r="BH123" s="25">
        <v>30</v>
      </c>
      <c r="BI123" s="45" t="s">
        <v>5703</v>
      </c>
    </row>
    <row r="124" spans="2:109" x14ac:dyDescent="0.2">
      <c r="B124" s="25" t="s">
        <v>607</v>
      </c>
      <c r="C124" s="25">
        <v>0</v>
      </c>
      <c r="D124" s="25">
        <v>10</v>
      </c>
      <c r="E124" s="25">
        <v>0</v>
      </c>
      <c r="F124" s="25">
        <v>0</v>
      </c>
      <c r="G124" s="25">
        <v>0</v>
      </c>
      <c r="H124" s="25">
        <v>5</v>
      </c>
      <c r="I124" s="25">
        <v>0</v>
      </c>
      <c r="J124" s="25">
        <v>5</v>
      </c>
      <c r="K124" s="25">
        <v>5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Z124" s="25" t="s">
        <v>686</v>
      </c>
      <c r="AA124" s="25">
        <v>50</v>
      </c>
      <c r="AB124" s="96">
        <v>0</v>
      </c>
      <c r="AC124" s="25">
        <v>0</v>
      </c>
      <c r="AX124" s="25" t="s">
        <v>550</v>
      </c>
      <c r="AY124" s="25">
        <v>80</v>
      </c>
      <c r="AZ124" s="25">
        <v>-50</v>
      </c>
      <c r="BA124" s="27" t="s">
        <v>624</v>
      </c>
      <c r="BB124" s="25" t="s">
        <v>66</v>
      </c>
      <c r="BC124" s="45" t="s">
        <v>5703</v>
      </c>
      <c r="BD124" s="25" t="s">
        <v>627</v>
      </c>
      <c r="BE124" s="25" t="s">
        <v>628</v>
      </c>
      <c r="BF124" s="25">
        <v>14</v>
      </c>
      <c r="BG124" s="25">
        <v>6</v>
      </c>
      <c r="BH124" s="25">
        <v>20</v>
      </c>
      <c r="BI124" s="45" t="s">
        <v>5703</v>
      </c>
    </row>
    <row r="125" spans="2:109" x14ac:dyDescent="0.2">
      <c r="B125" s="25" t="s">
        <v>613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Z125" s="25" t="s">
        <v>687</v>
      </c>
      <c r="AA125" s="25">
        <v>50</v>
      </c>
      <c r="AB125" s="25" t="s">
        <v>285</v>
      </c>
      <c r="AC125" s="25">
        <v>50</v>
      </c>
      <c r="AX125" s="25" t="s">
        <v>630</v>
      </c>
      <c r="AY125" s="25">
        <v>30</v>
      </c>
      <c r="AZ125" s="25">
        <v>-20</v>
      </c>
      <c r="BA125" s="27" t="s">
        <v>414</v>
      </c>
      <c r="BB125" s="25" t="s">
        <v>66</v>
      </c>
      <c r="BC125" s="45" t="s">
        <v>5703</v>
      </c>
      <c r="BD125" s="25" t="s">
        <v>429</v>
      </c>
      <c r="BE125" s="45" t="s">
        <v>5703</v>
      </c>
      <c r="BF125" s="26">
        <v>12</v>
      </c>
      <c r="BG125" s="26">
        <v>2</v>
      </c>
      <c r="BH125" s="26">
        <v>10</v>
      </c>
      <c r="BI125" s="45" t="s">
        <v>5703</v>
      </c>
    </row>
    <row r="126" spans="2:109" x14ac:dyDescent="0.2">
      <c r="B126" s="25" t="s">
        <v>616</v>
      </c>
      <c r="C126" s="25">
        <v>0</v>
      </c>
      <c r="D126" s="25">
        <v>5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10</v>
      </c>
      <c r="K126" s="25">
        <v>10</v>
      </c>
      <c r="L126" s="25">
        <v>5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5</v>
      </c>
      <c r="Z126" s="25" t="s">
        <v>688</v>
      </c>
      <c r="AA126" s="25">
        <v>50</v>
      </c>
      <c r="AB126" s="25" t="s">
        <v>689</v>
      </c>
      <c r="AC126" s="25">
        <v>50</v>
      </c>
      <c r="AX126" s="25" t="s">
        <v>552</v>
      </c>
      <c r="AY126" s="25">
        <v>50</v>
      </c>
      <c r="AZ126" s="25">
        <v>-5</v>
      </c>
      <c r="BA126" s="27" t="s">
        <v>432</v>
      </c>
      <c r="BB126" s="25" t="s">
        <v>66</v>
      </c>
      <c r="BC126" s="45" t="s">
        <v>5703</v>
      </c>
      <c r="BD126" s="25" t="s">
        <v>429</v>
      </c>
      <c r="BE126" s="45" t="s">
        <v>5703</v>
      </c>
      <c r="BF126" s="25">
        <v>15</v>
      </c>
      <c r="BG126" s="25">
        <v>4</v>
      </c>
      <c r="BH126" s="25">
        <v>15</v>
      </c>
      <c r="BI126" s="45" t="s">
        <v>5703</v>
      </c>
    </row>
    <row r="127" spans="2:109" x14ac:dyDescent="0.2">
      <c r="B127" s="25" t="s">
        <v>206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Z127" s="25" t="s">
        <v>690</v>
      </c>
      <c r="AA127" s="25">
        <v>50</v>
      </c>
      <c r="AB127" s="25" t="s">
        <v>691</v>
      </c>
      <c r="AC127" s="25">
        <v>40</v>
      </c>
      <c r="AX127" s="25" t="s">
        <v>554</v>
      </c>
      <c r="AY127" s="25">
        <v>40</v>
      </c>
      <c r="AZ127" s="25">
        <v>0</v>
      </c>
      <c r="BA127" s="27" t="s">
        <v>432</v>
      </c>
      <c r="BB127" s="25" t="s">
        <v>66</v>
      </c>
      <c r="BC127" s="45" t="s">
        <v>5703</v>
      </c>
      <c r="BD127" s="25" t="s">
        <v>634</v>
      </c>
      <c r="BE127" s="25" t="s">
        <v>628</v>
      </c>
      <c r="BF127" s="25">
        <v>13</v>
      </c>
      <c r="BG127" s="25">
        <v>4</v>
      </c>
      <c r="BH127" s="25">
        <v>15</v>
      </c>
      <c r="BI127" s="45" t="s">
        <v>5703</v>
      </c>
    </row>
    <row r="128" spans="2:109" x14ac:dyDescent="0.2">
      <c r="B128" s="25" t="s">
        <v>619</v>
      </c>
      <c r="C128" s="25">
        <v>0</v>
      </c>
      <c r="D128" s="25">
        <v>0</v>
      </c>
      <c r="E128" s="25">
        <v>0</v>
      </c>
      <c r="F128" s="25">
        <v>0</v>
      </c>
      <c r="G128" s="25">
        <v>10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5</v>
      </c>
      <c r="R128" s="25">
        <v>5</v>
      </c>
      <c r="S128" s="25">
        <v>0</v>
      </c>
      <c r="T128" s="25">
        <v>5</v>
      </c>
      <c r="U128" s="25">
        <v>0</v>
      </c>
      <c r="V128" s="25">
        <v>0</v>
      </c>
      <c r="Z128" s="25" t="s">
        <v>693</v>
      </c>
      <c r="AA128" s="25">
        <v>50</v>
      </c>
      <c r="AB128" s="25" t="s">
        <v>692</v>
      </c>
      <c r="AC128" s="25">
        <v>30</v>
      </c>
      <c r="AX128" s="25" t="s">
        <v>429</v>
      </c>
      <c r="AY128" s="25">
        <v>40</v>
      </c>
      <c r="AZ128" s="25">
        <v>0</v>
      </c>
      <c r="BA128" s="27" t="s">
        <v>432</v>
      </c>
      <c r="BB128" s="25" t="s">
        <v>66</v>
      </c>
      <c r="BC128" s="45" t="s">
        <v>5703</v>
      </c>
      <c r="BD128" s="25" t="s">
        <v>429</v>
      </c>
      <c r="BE128" s="45" t="s">
        <v>5703</v>
      </c>
      <c r="BF128" s="25">
        <v>14</v>
      </c>
      <c r="BG128" s="25">
        <v>4</v>
      </c>
      <c r="BH128" s="25">
        <v>15</v>
      </c>
      <c r="BI128" s="45" t="s">
        <v>5703</v>
      </c>
    </row>
    <row r="129" spans="2:61" x14ac:dyDescent="0.2">
      <c r="B129" s="25" t="s">
        <v>623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10</v>
      </c>
      <c r="S129" s="25">
        <v>0</v>
      </c>
      <c r="T129" s="25">
        <v>0</v>
      </c>
      <c r="U129" s="25">
        <v>0</v>
      </c>
      <c r="V129" s="25">
        <v>0</v>
      </c>
      <c r="Z129" s="25" t="s">
        <v>694</v>
      </c>
      <c r="AA129" s="25">
        <v>50</v>
      </c>
      <c r="AB129" s="25" t="s">
        <v>695</v>
      </c>
      <c r="AC129" s="25">
        <v>50</v>
      </c>
      <c r="AX129" s="25" t="s">
        <v>5259</v>
      </c>
      <c r="AY129" s="25">
        <v>50</v>
      </c>
      <c r="AZ129" s="25">
        <v>0</v>
      </c>
      <c r="BA129" s="45" t="s">
        <v>664</v>
      </c>
      <c r="BB129" s="25" t="s">
        <v>66</v>
      </c>
      <c r="BC129" s="45" t="s">
        <v>5703</v>
      </c>
      <c r="BD129" s="25" t="s">
        <v>429</v>
      </c>
      <c r="BE129" s="25" t="s">
        <v>6441</v>
      </c>
      <c r="BF129" s="25">
        <v>14</v>
      </c>
      <c r="BG129" s="25">
        <v>4</v>
      </c>
      <c r="BH129" s="25">
        <v>20</v>
      </c>
      <c r="BI129" s="45" t="s">
        <v>5703</v>
      </c>
    </row>
    <row r="130" spans="2:61" x14ac:dyDescent="0.2">
      <c r="B130" s="25" t="s">
        <v>626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10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Z130" s="25" t="s">
        <v>696</v>
      </c>
      <c r="AA130" s="25">
        <v>50</v>
      </c>
      <c r="AB130" s="27"/>
      <c r="AX130" s="25" t="s">
        <v>560</v>
      </c>
      <c r="AY130" s="25">
        <v>60</v>
      </c>
      <c r="AZ130" s="25">
        <v>-15</v>
      </c>
      <c r="BA130" s="27" t="s">
        <v>637</v>
      </c>
      <c r="BB130" s="25" t="s">
        <v>66</v>
      </c>
      <c r="BC130" s="45" t="s">
        <v>5703</v>
      </c>
      <c r="BD130" s="25" t="s">
        <v>627</v>
      </c>
      <c r="BE130" s="25" t="s">
        <v>6441</v>
      </c>
      <c r="BF130" s="25">
        <v>16</v>
      </c>
      <c r="BG130" s="25">
        <v>5</v>
      </c>
      <c r="BH130" s="25">
        <v>15</v>
      </c>
      <c r="BI130" s="45" t="s">
        <v>5703</v>
      </c>
    </row>
    <row r="131" spans="2:61" x14ac:dyDescent="0.2">
      <c r="B131" s="25" t="s">
        <v>629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5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5</v>
      </c>
      <c r="S131" s="25">
        <v>0</v>
      </c>
      <c r="T131" s="25">
        <v>0</v>
      </c>
      <c r="U131" s="25">
        <v>0</v>
      </c>
      <c r="V131" s="25">
        <v>0</v>
      </c>
      <c r="Z131" s="25" t="s">
        <v>697</v>
      </c>
      <c r="AA131" s="25">
        <v>50</v>
      </c>
      <c r="AB131" s="27"/>
      <c r="AX131" s="25" t="s">
        <v>5260</v>
      </c>
      <c r="AY131" s="25">
        <v>80</v>
      </c>
      <c r="AZ131" s="25">
        <v>-50</v>
      </c>
      <c r="BA131" s="45" t="s">
        <v>5261</v>
      </c>
      <c r="BB131" s="25" t="s">
        <v>424</v>
      </c>
      <c r="BC131" s="25" t="s">
        <v>415</v>
      </c>
      <c r="BD131" s="25" t="s">
        <v>549</v>
      </c>
      <c r="BE131" s="25" t="s">
        <v>6423</v>
      </c>
      <c r="BF131" s="25">
        <v>18</v>
      </c>
      <c r="BG131" s="25">
        <v>5</v>
      </c>
      <c r="BH131" s="25">
        <v>25</v>
      </c>
      <c r="BI131" s="45" t="s">
        <v>5703</v>
      </c>
    </row>
    <row r="132" spans="2:61" x14ac:dyDescent="0.2">
      <c r="B132" s="25" t="s">
        <v>211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AB132" s="27"/>
      <c r="AX132" s="25" t="s">
        <v>5284</v>
      </c>
      <c r="AY132" s="25">
        <v>40</v>
      </c>
      <c r="AZ132" s="25">
        <v>10</v>
      </c>
      <c r="BA132" s="25">
        <v>6</v>
      </c>
      <c r="BB132" s="25" t="s">
        <v>415</v>
      </c>
      <c r="BC132" s="45" t="s">
        <v>5703</v>
      </c>
      <c r="BD132" s="25" t="s">
        <v>425</v>
      </c>
      <c r="BE132" s="25" t="s">
        <v>6423</v>
      </c>
      <c r="BF132" s="25">
        <v>12</v>
      </c>
      <c r="BG132" s="25">
        <v>2</v>
      </c>
      <c r="BH132" s="25">
        <v>20</v>
      </c>
      <c r="BI132" s="45" t="s">
        <v>5703</v>
      </c>
    </row>
    <row r="133" spans="2:61" x14ac:dyDescent="0.2">
      <c r="B133" s="25" t="s">
        <v>633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AB133" s="27"/>
      <c r="AX133" s="25" t="s">
        <v>5285</v>
      </c>
      <c r="AY133" s="25">
        <v>55</v>
      </c>
      <c r="AZ133" s="25">
        <v>-10</v>
      </c>
      <c r="BA133" s="45" t="s">
        <v>5286</v>
      </c>
      <c r="BB133" s="25" t="s">
        <v>415</v>
      </c>
      <c r="BC133" s="25" t="s">
        <v>424</v>
      </c>
      <c r="BD133" s="25" t="s">
        <v>425</v>
      </c>
      <c r="BE133" s="25" t="s">
        <v>6441</v>
      </c>
      <c r="BF133" s="25">
        <v>13</v>
      </c>
      <c r="BG133" s="25">
        <v>3</v>
      </c>
      <c r="BH133" s="25">
        <v>25</v>
      </c>
      <c r="BI133" s="45" t="s">
        <v>5703</v>
      </c>
    </row>
    <row r="134" spans="2:61" x14ac:dyDescent="0.2">
      <c r="B134" s="25" t="s">
        <v>635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5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AB134" s="27"/>
      <c r="AX134" s="25" t="s">
        <v>5287</v>
      </c>
      <c r="AY134" s="25">
        <v>45</v>
      </c>
      <c r="AZ134" s="25">
        <v>10</v>
      </c>
      <c r="BA134" s="25">
        <v>4</v>
      </c>
      <c r="BB134" s="25" t="s">
        <v>415</v>
      </c>
      <c r="BC134" s="25" t="s">
        <v>424</v>
      </c>
      <c r="BD134" s="25" t="s">
        <v>499</v>
      </c>
      <c r="BE134" s="45" t="s">
        <v>5703</v>
      </c>
      <c r="BF134" s="25">
        <v>12</v>
      </c>
      <c r="BG134" s="25">
        <v>1</v>
      </c>
      <c r="BH134" s="25">
        <v>25</v>
      </c>
      <c r="BI134" s="45" t="s">
        <v>5703</v>
      </c>
    </row>
    <row r="135" spans="2:61" x14ac:dyDescent="0.2">
      <c r="B135" s="25" t="s">
        <v>636</v>
      </c>
      <c r="C135" s="25">
        <v>10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10</v>
      </c>
      <c r="M135" s="25">
        <v>5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10</v>
      </c>
      <c r="T135" s="25">
        <v>0</v>
      </c>
      <c r="U135" s="25">
        <v>0</v>
      </c>
      <c r="V135" s="25">
        <v>0</v>
      </c>
      <c r="AA135" s="25">
        <v>0</v>
      </c>
      <c r="AB135" s="135" t="s">
        <v>5703</v>
      </c>
      <c r="AX135" s="25" t="s">
        <v>603</v>
      </c>
      <c r="AY135" s="25">
        <v>80</v>
      </c>
      <c r="AZ135" s="25">
        <v>-35</v>
      </c>
      <c r="BA135" s="27" t="s">
        <v>624</v>
      </c>
      <c r="BB135" s="25" t="s">
        <v>415</v>
      </c>
      <c r="BC135" s="45" t="s">
        <v>5703</v>
      </c>
      <c r="BD135" s="25" t="s">
        <v>549</v>
      </c>
      <c r="BE135" s="25" t="s">
        <v>6441</v>
      </c>
      <c r="BF135" s="25">
        <v>14</v>
      </c>
      <c r="BG135" s="25">
        <v>4</v>
      </c>
      <c r="BH135" s="25">
        <v>40</v>
      </c>
      <c r="BI135" s="45" t="s">
        <v>5703</v>
      </c>
    </row>
    <row r="136" spans="2:61" x14ac:dyDescent="0.2">
      <c r="B136" s="25" t="s">
        <v>638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5</v>
      </c>
      <c r="M136" s="25">
        <v>10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AA136" s="25" t="s">
        <v>682</v>
      </c>
      <c r="AB136" s="27" t="s">
        <v>5691</v>
      </c>
      <c r="AX136" s="25" t="s">
        <v>587</v>
      </c>
      <c r="AY136" s="25">
        <v>30</v>
      </c>
      <c r="AZ136" s="25">
        <v>15</v>
      </c>
      <c r="BA136" s="27" t="s">
        <v>440</v>
      </c>
      <c r="BB136" s="25" t="s">
        <v>66</v>
      </c>
      <c r="BC136" s="45" t="s">
        <v>5703</v>
      </c>
      <c r="BD136" s="25" t="s">
        <v>489</v>
      </c>
      <c r="BE136" s="45" t="s">
        <v>5703</v>
      </c>
      <c r="BF136" s="25">
        <v>11</v>
      </c>
      <c r="BG136" s="25">
        <v>0</v>
      </c>
      <c r="BH136" s="25">
        <v>15</v>
      </c>
      <c r="BI136" s="45" t="s">
        <v>5703</v>
      </c>
    </row>
    <row r="137" spans="2:61" x14ac:dyDescent="0.2">
      <c r="B137" s="25" t="s">
        <v>639</v>
      </c>
      <c r="C137" s="25">
        <v>10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10</v>
      </c>
      <c r="M137" s="25">
        <v>5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10</v>
      </c>
      <c r="T137" s="25">
        <v>0</v>
      </c>
      <c r="U137" s="25">
        <v>0</v>
      </c>
      <c r="V137" s="25">
        <v>0</v>
      </c>
      <c r="AA137" s="25" t="s">
        <v>310</v>
      </c>
      <c r="AB137" s="27" t="s">
        <v>5692</v>
      </c>
      <c r="AX137" s="25" t="s">
        <v>5459</v>
      </c>
      <c r="AY137" s="25">
        <v>80</v>
      </c>
      <c r="AZ137" s="25">
        <v>10</v>
      </c>
      <c r="BA137" s="45" t="s">
        <v>5703</v>
      </c>
      <c r="BB137" s="25" t="s">
        <v>415</v>
      </c>
      <c r="BC137" s="25" t="s">
        <v>424</v>
      </c>
      <c r="BD137" s="25" t="s">
        <v>5473</v>
      </c>
      <c r="BE137" s="25" t="s">
        <v>5470</v>
      </c>
      <c r="BF137" s="25">
        <v>30</v>
      </c>
      <c r="BG137" s="25">
        <v>15</v>
      </c>
      <c r="BH137" s="45" t="s">
        <v>5703</v>
      </c>
      <c r="BI137" s="25" t="s">
        <v>5469</v>
      </c>
    </row>
    <row r="138" spans="2:61" x14ac:dyDescent="0.2">
      <c r="B138" s="25" t="s">
        <v>640</v>
      </c>
      <c r="C138" s="25">
        <v>10</v>
      </c>
      <c r="D138" s="25">
        <v>0</v>
      </c>
      <c r="E138" s="25">
        <v>5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5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AA138" s="25" t="s">
        <v>684</v>
      </c>
      <c r="AB138" s="27" t="s">
        <v>5693</v>
      </c>
      <c r="AX138" s="25" t="s">
        <v>632</v>
      </c>
      <c r="AY138" s="25">
        <v>20</v>
      </c>
      <c r="AZ138" s="25">
        <v>0</v>
      </c>
      <c r="BA138" s="27" t="s">
        <v>414</v>
      </c>
      <c r="BB138" s="25" t="s">
        <v>66</v>
      </c>
      <c r="BC138" s="45" t="s">
        <v>5703</v>
      </c>
      <c r="BD138" s="25" t="s">
        <v>429</v>
      </c>
      <c r="BE138" s="45" t="s">
        <v>5703</v>
      </c>
      <c r="BF138" s="26">
        <v>8</v>
      </c>
      <c r="BG138" s="26">
        <v>-1</v>
      </c>
      <c r="BH138" s="26">
        <v>10</v>
      </c>
      <c r="BI138" s="45" t="s">
        <v>5703</v>
      </c>
    </row>
    <row r="139" spans="2:61" x14ac:dyDescent="0.2">
      <c r="B139" s="25" t="s">
        <v>240</v>
      </c>
      <c r="C139" s="25">
        <v>10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AA139" s="25" t="s">
        <v>685</v>
      </c>
      <c r="AB139" s="27" t="s">
        <v>5694</v>
      </c>
      <c r="AX139" s="25" t="s">
        <v>5262</v>
      </c>
      <c r="AY139" s="25">
        <v>40</v>
      </c>
      <c r="AZ139" s="25">
        <v>15</v>
      </c>
      <c r="BA139" s="25">
        <v>6</v>
      </c>
      <c r="BB139" s="25" t="s">
        <v>415</v>
      </c>
      <c r="BC139" s="25" t="s">
        <v>424</v>
      </c>
      <c r="BD139" s="25" t="s">
        <v>416</v>
      </c>
      <c r="BE139" s="25" t="s">
        <v>504</v>
      </c>
      <c r="BF139" s="25">
        <v>13</v>
      </c>
      <c r="BG139" s="25">
        <v>2</v>
      </c>
      <c r="BH139" s="25">
        <v>20</v>
      </c>
      <c r="BI139" s="45" t="s">
        <v>5703</v>
      </c>
    </row>
    <row r="140" spans="2:61" x14ac:dyDescent="0.2">
      <c r="B140" s="25" t="s">
        <v>226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AA140" s="25" t="s">
        <v>686</v>
      </c>
      <c r="AB140" s="27" t="s">
        <v>5695</v>
      </c>
      <c r="AX140" s="25" t="s">
        <v>5263</v>
      </c>
      <c r="AY140" s="25">
        <v>60</v>
      </c>
      <c r="AZ140" s="25">
        <v>-30</v>
      </c>
      <c r="BA140" s="25">
        <v>6</v>
      </c>
      <c r="BB140" s="25" t="s">
        <v>424</v>
      </c>
      <c r="BC140" s="45" t="s">
        <v>5703</v>
      </c>
      <c r="BD140" s="25" t="s">
        <v>425</v>
      </c>
      <c r="BE140" s="25" t="s">
        <v>6427</v>
      </c>
      <c r="BF140" s="25">
        <v>12</v>
      </c>
      <c r="BG140" s="25">
        <v>4</v>
      </c>
      <c r="BH140" s="25">
        <v>15</v>
      </c>
      <c r="BI140" s="25" t="s">
        <v>5264</v>
      </c>
    </row>
    <row r="141" spans="2:61" x14ac:dyDescent="0.2">
      <c r="B141" s="25" t="s">
        <v>642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AA141" s="25" t="s">
        <v>687</v>
      </c>
      <c r="AB141" s="27" t="s">
        <v>5696</v>
      </c>
      <c r="AX141" s="25" t="s">
        <v>641</v>
      </c>
      <c r="AY141" s="25">
        <v>40</v>
      </c>
      <c r="AZ141" s="25">
        <v>-20</v>
      </c>
      <c r="BA141" s="27" t="s">
        <v>440</v>
      </c>
      <c r="BB141" s="25" t="s">
        <v>424</v>
      </c>
      <c r="BC141" s="45" t="s">
        <v>5703</v>
      </c>
      <c r="BD141" s="25" t="s">
        <v>416</v>
      </c>
      <c r="BE141" s="45" t="s">
        <v>5703</v>
      </c>
      <c r="BF141" s="26">
        <v>10</v>
      </c>
      <c r="BG141" s="26">
        <v>3</v>
      </c>
      <c r="BH141" s="26">
        <v>15</v>
      </c>
      <c r="BI141" s="45" t="s">
        <v>5703</v>
      </c>
    </row>
    <row r="142" spans="2:61" x14ac:dyDescent="0.2">
      <c r="B142" s="25" t="s">
        <v>644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AA142" s="25" t="s">
        <v>688</v>
      </c>
      <c r="AB142" s="27" t="s">
        <v>5697</v>
      </c>
      <c r="AX142" s="25" t="s">
        <v>5295</v>
      </c>
      <c r="AY142" s="25">
        <v>20</v>
      </c>
      <c r="AZ142" s="25">
        <v>0</v>
      </c>
      <c r="BA142" s="45" t="s">
        <v>5703</v>
      </c>
      <c r="BB142" s="25" t="s">
        <v>66</v>
      </c>
      <c r="BC142" s="45" t="s">
        <v>5703</v>
      </c>
      <c r="BD142" s="25" t="s">
        <v>445</v>
      </c>
      <c r="BE142" s="45" t="s">
        <v>5703</v>
      </c>
      <c r="BF142" s="25">
        <v>5</v>
      </c>
      <c r="BG142" s="25">
        <v>0</v>
      </c>
      <c r="BH142" s="25">
        <v>5</v>
      </c>
      <c r="BI142" s="45" t="s">
        <v>5703</v>
      </c>
    </row>
    <row r="143" spans="2:61" x14ac:dyDescent="0.2">
      <c r="B143" s="25" t="s">
        <v>648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AA143" s="25" t="s">
        <v>690</v>
      </c>
      <c r="AB143" s="27" t="s">
        <v>5698</v>
      </c>
      <c r="AX143" s="25" t="s">
        <v>643</v>
      </c>
      <c r="AY143" s="25">
        <v>15</v>
      </c>
      <c r="AZ143" s="25">
        <v>0</v>
      </c>
      <c r="BA143" s="45" t="s">
        <v>5703</v>
      </c>
      <c r="BB143" s="25" t="s">
        <v>66</v>
      </c>
      <c r="BC143" s="45" t="s">
        <v>5703</v>
      </c>
      <c r="BD143" s="25" t="s">
        <v>445</v>
      </c>
      <c r="BE143" s="45" t="s">
        <v>5703</v>
      </c>
      <c r="BF143" s="26">
        <v>7</v>
      </c>
      <c r="BG143" s="26">
        <v>2</v>
      </c>
      <c r="BH143" s="26">
        <v>10</v>
      </c>
      <c r="BI143" s="45" t="s">
        <v>5703</v>
      </c>
    </row>
    <row r="144" spans="2:61" x14ac:dyDescent="0.2">
      <c r="B144" s="25" t="s">
        <v>650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AA144" s="25" t="s">
        <v>693</v>
      </c>
      <c r="AB144" s="27" t="s">
        <v>5699</v>
      </c>
      <c r="AX144" s="25" t="s">
        <v>5457</v>
      </c>
      <c r="AY144" s="25">
        <v>30</v>
      </c>
      <c r="AZ144" s="25">
        <v>20</v>
      </c>
      <c r="BA144" s="45" t="s">
        <v>5703</v>
      </c>
      <c r="BB144" s="25" t="s">
        <v>66</v>
      </c>
      <c r="BC144" s="45" t="s">
        <v>5703</v>
      </c>
      <c r="BD144" s="25" t="s">
        <v>5473</v>
      </c>
      <c r="BE144" s="25" t="s">
        <v>5470</v>
      </c>
      <c r="BF144" s="25">
        <v>8</v>
      </c>
      <c r="BG144" s="25">
        <v>-2</v>
      </c>
      <c r="BH144" s="25">
        <v>20</v>
      </c>
      <c r="BI144" s="25" t="s">
        <v>5469</v>
      </c>
    </row>
    <row r="145" spans="2:61" x14ac:dyDescent="0.2">
      <c r="B145" s="25" t="s">
        <v>653</v>
      </c>
      <c r="C145" s="25">
        <v>0</v>
      </c>
      <c r="D145" s="25">
        <v>0</v>
      </c>
      <c r="E145" s="25">
        <v>0</v>
      </c>
      <c r="F145" s="25">
        <v>0</v>
      </c>
      <c r="G145" s="25">
        <v>10</v>
      </c>
      <c r="H145" s="25">
        <v>0</v>
      </c>
      <c r="I145" s="25">
        <v>0</v>
      </c>
      <c r="J145" s="25">
        <v>0</v>
      </c>
      <c r="K145" s="25">
        <v>0</v>
      </c>
      <c r="L145" s="25">
        <v>10</v>
      </c>
      <c r="M145" s="25">
        <v>5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AA145" s="25" t="s">
        <v>694</v>
      </c>
      <c r="AB145" s="27" t="s">
        <v>5700</v>
      </c>
      <c r="AX145" s="25" t="s">
        <v>645</v>
      </c>
      <c r="AY145" s="25">
        <v>0</v>
      </c>
      <c r="AZ145" s="25">
        <v>0</v>
      </c>
      <c r="BA145" s="27" t="s">
        <v>414</v>
      </c>
      <c r="BB145" s="45" t="s">
        <v>5703</v>
      </c>
      <c r="BC145" s="45" t="s">
        <v>5703</v>
      </c>
      <c r="BD145" s="25" t="s">
        <v>433</v>
      </c>
      <c r="BE145" s="25" t="s">
        <v>6447</v>
      </c>
      <c r="BF145" s="26">
        <v>8</v>
      </c>
      <c r="BG145" s="26">
        <v>-3</v>
      </c>
      <c r="BH145" s="26">
        <v>20</v>
      </c>
      <c r="BI145" s="45" t="s">
        <v>5703</v>
      </c>
    </row>
    <row r="146" spans="2:61" x14ac:dyDescent="0.2">
      <c r="B146" s="25" t="s">
        <v>116</v>
      </c>
      <c r="C146" s="25">
        <v>5</v>
      </c>
      <c r="D146" s="25">
        <v>0</v>
      </c>
      <c r="E146" s="25">
        <v>5</v>
      </c>
      <c r="F146" s="25">
        <v>5</v>
      </c>
      <c r="G146" s="25">
        <v>5</v>
      </c>
      <c r="H146" s="25">
        <v>5</v>
      </c>
      <c r="I146" s="25">
        <v>5</v>
      </c>
      <c r="J146" s="25">
        <v>0</v>
      </c>
      <c r="K146" s="25">
        <v>0</v>
      </c>
      <c r="L146" s="25">
        <v>0</v>
      </c>
      <c r="M146" s="25">
        <v>0</v>
      </c>
      <c r="N146" s="25">
        <v>5</v>
      </c>
      <c r="O146" s="25">
        <v>0</v>
      </c>
      <c r="P146" s="25">
        <v>0</v>
      </c>
      <c r="Q146" s="25">
        <v>0</v>
      </c>
      <c r="R146" s="25">
        <v>5</v>
      </c>
      <c r="S146" s="25">
        <v>5</v>
      </c>
      <c r="T146" s="25">
        <v>0</v>
      </c>
      <c r="U146" s="25">
        <v>5</v>
      </c>
      <c r="V146" s="25">
        <v>5</v>
      </c>
      <c r="AA146" s="25" t="s">
        <v>696</v>
      </c>
      <c r="AB146" s="27" t="s">
        <v>5701</v>
      </c>
      <c r="AX146" s="25" t="s">
        <v>5265</v>
      </c>
      <c r="AY146" s="25">
        <v>40</v>
      </c>
      <c r="AZ146" s="25">
        <v>-5</v>
      </c>
      <c r="BA146" s="45" t="s">
        <v>664</v>
      </c>
      <c r="BB146" s="25" t="s">
        <v>415</v>
      </c>
      <c r="BC146" s="25" t="s">
        <v>66</v>
      </c>
      <c r="BD146" s="25" t="s">
        <v>425</v>
      </c>
      <c r="BE146" s="25" t="s">
        <v>6441</v>
      </c>
      <c r="BF146" s="25">
        <v>12</v>
      </c>
      <c r="BG146" s="25">
        <v>2</v>
      </c>
      <c r="BH146" s="25">
        <v>20</v>
      </c>
      <c r="BI146" s="45" t="s">
        <v>5703</v>
      </c>
    </row>
    <row r="147" spans="2:61" x14ac:dyDescent="0.2">
      <c r="B147" s="25" t="s">
        <v>117</v>
      </c>
      <c r="C147" s="25">
        <v>0</v>
      </c>
      <c r="D147" s="25">
        <v>0</v>
      </c>
      <c r="E147" s="25">
        <v>0</v>
      </c>
      <c r="F147" s="25">
        <v>5</v>
      </c>
      <c r="G147" s="25">
        <v>0</v>
      </c>
      <c r="H147" s="25">
        <v>5</v>
      </c>
      <c r="I147" s="25">
        <v>5</v>
      </c>
      <c r="J147" s="25">
        <v>0</v>
      </c>
      <c r="K147" s="25">
        <v>0</v>
      </c>
      <c r="L147" s="25">
        <v>0</v>
      </c>
      <c r="M147" s="25">
        <v>0</v>
      </c>
      <c r="N147" s="25">
        <v>5</v>
      </c>
      <c r="O147" s="25">
        <v>0</v>
      </c>
      <c r="P147" s="25">
        <v>0</v>
      </c>
      <c r="Q147" s="25">
        <v>5</v>
      </c>
      <c r="R147" s="25">
        <v>0</v>
      </c>
      <c r="S147" s="25">
        <v>0</v>
      </c>
      <c r="T147" s="25">
        <v>0</v>
      </c>
      <c r="U147" s="25">
        <v>0</v>
      </c>
      <c r="V147" s="25">
        <v>5</v>
      </c>
      <c r="AA147" s="25" t="s">
        <v>697</v>
      </c>
      <c r="AB147" s="27" t="s">
        <v>5702</v>
      </c>
      <c r="AX147" s="25" t="s">
        <v>590</v>
      </c>
      <c r="AY147" s="25">
        <v>50</v>
      </c>
      <c r="AZ147" s="25">
        <v>-20</v>
      </c>
      <c r="BA147" s="27" t="s">
        <v>624</v>
      </c>
      <c r="BB147" s="25" t="s">
        <v>66</v>
      </c>
      <c r="BC147" s="25" t="s">
        <v>415</v>
      </c>
      <c r="BD147" s="25" t="s">
        <v>549</v>
      </c>
      <c r="BE147" s="25" t="s">
        <v>6441</v>
      </c>
      <c r="BF147" s="25">
        <v>16</v>
      </c>
      <c r="BG147" s="25">
        <v>8</v>
      </c>
      <c r="BH147" s="25">
        <v>25</v>
      </c>
      <c r="BI147" s="45" t="s">
        <v>5703</v>
      </c>
    </row>
    <row r="148" spans="2:61" x14ac:dyDescent="0.2">
      <c r="B148" s="25" t="s">
        <v>180</v>
      </c>
      <c r="C148" s="25">
        <v>0</v>
      </c>
      <c r="D148" s="25">
        <v>0</v>
      </c>
      <c r="E148" s="25">
        <v>0</v>
      </c>
      <c r="F148" s="25">
        <v>0</v>
      </c>
      <c r="G148" s="25">
        <v>5</v>
      </c>
      <c r="H148" s="25">
        <v>5</v>
      </c>
      <c r="I148" s="25">
        <v>5</v>
      </c>
      <c r="J148" s="25">
        <v>0</v>
      </c>
      <c r="K148" s="25">
        <v>0</v>
      </c>
      <c r="L148" s="25">
        <v>0</v>
      </c>
      <c r="M148" s="25">
        <v>5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5</v>
      </c>
      <c r="T148" s="25">
        <v>0</v>
      </c>
      <c r="U148" s="25">
        <v>0</v>
      </c>
      <c r="V148" s="25">
        <v>5</v>
      </c>
      <c r="AB148" s="27"/>
      <c r="AX148" s="25" t="s">
        <v>5288</v>
      </c>
      <c r="AY148" s="25">
        <v>60</v>
      </c>
      <c r="AZ148" s="25">
        <v>-20</v>
      </c>
      <c r="BA148" s="45" t="s">
        <v>528</v>
      </c>
      <c r="BB148" s="25" t="s">
        <v>415</v>
      </c>
      <c r="BC148" s="45" t="s">
        <v>5703</v>
      </c>
      <c r="BD148" s="25" t="s">
        <v>529</v>
      </c>
      <c r="BE148" s="25" t="s">
        <v>6441</v>
      </c>
      <c r="BF148" s="25">
        <v>16</v>
      </c>
      <c r="BG148" s="25">
        <v>7</v>
      </c>
      <c r="BH148" s="25">
        <v>30</v>
      </c>
      <c r="BI148" s="45" t="s">
        <v>5703</v>
      </c>
    </row>
    <row r="149" spans="2:61" x14ac:dyDescent="0.2">
      <c r="B149" s="25" t="s">
        <v>663</v>
      </c>
      <c r="C149" s="25">
        <v>0</v>
      </c>
      <c r="D149" s="25">
        <v>0</v>
      </c>
      <c r="E149" s="25">
        <v>0</v>
      </c>
      <c r="F149" s="25">
        <v>5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10</v>
      </c>
      <c r="O149" s="25">
        <v>0</v>
      </c>
      <c r="P149" s="25">
        <v>0</v>
      </c>
      <c r="Q149" s="25">
        <v>10</v>
      </c>
      <c r="R149" s="25">
        <v>5</v>
      </c>
      <c r="S149" s="25">
        <v>0</v>
      </c>
      <c r="T149" s="25">
        <v>0</v>
      </c>
      <c r="U149" s="25">
        <v>0</v>
      </c>
      <c r="V149" s="25">
        <v>0</v>
      </c>
      <c r="AB149" s="27"/>
      <c r="AX149" s="25" t="s">
        <v>564</v>
      </c>
      <c r="AY149" s="25">
        <v>5</v>
      </c>
      <c r="AZ149" s="25">
        <v>0</v>
      </c>
      <c r="BA149" s="27" t="s">
        <v>414</v>
      </c>
      <c r="BB149" s="25" t="s">
        <v>66</v>
      </c>
      <c r="BC149" s="25" t="s">
        <v>415</v>
      </c>
      <c r="BD149" s="25" t="s">
        <v>489</v>
      </c>
      <c r="BE149" s="25" t="s">
        <v>6449</v>
      </c>
      <c r="BF149" s="25">
        <v>13</v>
      </c>
      <c r="BG149" s="25">
        <v>4</v>
      </c>
      <c r="BH149" s="25">
        <v>15</v>
      </c>
      <c r="BI149" s="25" t="s">
        <v>652</v>
      </c>
    </row>
    <row r="150" spans="2:61" x14ac:dyDescent="0.2">
      <c r="B150" s="25" t="s">
        <v>262</v>
      </c>
      <c r="C150" s="25">
        <v>0</v>
      </c>
      <c r="D150" s="25">
        <v>10</v>
      </c>
      <c r="E150" s="25">
        <v>0</v>
      </c>
      <c r="F150" s="25">
        <v>0</v>
      </c>
      <c r="G150" s="25">
        <v>0</v>
      </c>
      <c r="H150" s="25">
        <v>5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AB150" s="27"/>
      <c r="AX150" s="25" t="s">
        <v>649</v>
      </c>
      <c r="AY150" s="25">
        <v>15</v>
      </c>
      <c r="AZ150" s="25">
        <v>-15</v>
      </c>
      <c r="BA150" s="27" t="s">
        <v>440</v>
      </c>
      <c r="BB150" s="25" t="s">
        <v>66</v>
      </c>
      <c r="BC150" s="45" t="s">
        <v>5703</v>
      </c>
      <c r="BD150" s="25" t="s">
        <v>520</v>
      </c>
      <c r="BE150" s="45" t="s">
        <v>6450</v>
      </c>
      <c r="BF150" s="26">
        <v>14</v>
      </c>
      <c r="BG150" s="26">
        <v>0</v>
      </c>
      <c r="BH150" s="26">
        <v>20</v>
      </c>
      <c r="BI150" s="45" t="s">
        <v>5703</v>
      </c>
    </row>
    <row r="151" spans="2:61" x14ac:dyDescent="0.2">
      <c r="B151" s="25" t="s">
        <v>263</v>
      </c>
      <c r="C151" s="25">
        <v>0</v>
      </c>
      <c r="D151" s="25">
        <v>10</v>
      </c>
      <c r="E151" s="25">
        <v>0</v>
      </c>
      <c r="F151" s="25">
        <v>0</v>
      </c>
      <c r="G151" s="25">
        <v>0</v>
      </c>
      <c r="H151" s="25">
        <v>5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10</v>
      </c>
      <c r="S151" s="25">
        <v>0</v>
      </c>
      <c r="T151" s="25">
        <v>0</v>
      </c>
      <c r="U151" s="25">
        <v>0</v>
      </c>
      <c r="V151" s="25">
        <v>0</v>
      </c>
      <c r="AX151" s="25" t="s">
        <v>567</v>
      </c>
      <c r="AY151" s="25">
        <v>45</v>
      </c>
      <c r="AZ151" s="25">
        <v>10</v>
      </c>
      <c r="BA151" s="27" t="s">
        <v>432</v>
      </c>
      <c r="BB151" s="25" t="s">
        <v>415</v>
      </c>
      <c r="BC151" s="25" t="s">
        <v>424</v>
      </c>
      <c r="BD151" s="25" t="s">
        <v>499</v>
      </c>
      <c r="BE151" s="45" t="s">
        <v>5703</v>
      </c>
      <c r="BF151" s="25">
        <v>12</v>
      </c>
      <c r="BG151" s="25">
        <v>3</v>
      </c>
      <c r="BH151" s="25">
        <v>20</v>
      </c>
      <c r="BI151" s="45" t="s">
        <v>5703</v>
      </c>
    </row>
    <row r="152" spans="2:61" x14ac:dyDescent="0.2">
      <c r="B152" s="25" t="s">
        <v>265</v>
      </c>
      <c r="C152" s="25">
        <v>0</v>
      </c>
      <c r="D152" s="25">
        <v>10</v>
      </c>
      <c r="E152" s="25">
        <v>0</v>
      </c>
      <c r="F152" s="25">
        <v>0</v>
      </c>
      <c r="G152" s="25">
        <v>0</v>
      </c>
      <c r="H152" s="25">
        <v>5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AX152" s="25" t="s">
        <v>657</v>
      </c>
      <c r="AY152" s="25">
        <v>40</v>
      </c>
      <c r="AZ152" s="25">
        <v>0</v>
      </c>
      <c r="BA152" s="45" t="s">
        <v>5703</v>
      </c>
      <c r="BB152" s="25" t="s">
        <v>424</v>
      </c>
      <c r="BC152" s="45" t="s">
        <v>5703</v>
      </c>
      <c r="BD152" s="25" t="s">
        <v>445</v>
      </c>
      <c r="BE152" s="45" t="s">
        <v>5703</v>
      </c>
      <c r="BF152" s="26">
        <v>3</v>
      </c>
      <c r="BG152" s="26">
        <v>0</v>
      </c>
      <c r="BH152" s="26" t="s">
        <v>477</v>
      </c>
      <c r="BI152" s="45" t="s">
        <v>5703</v>
      </c>
    </row>
    <row r="153" spans="2:61" x14ac:dyDescent="0.2">
      <c r="B153" s="25" t="s">
        <v>266</v>
      </c>
      <c r="C153" s="25">
        <v>0</v>
      </c>
      <c r="D153" s="25">
        <v>10</v>
      </c>
      <c r="E153" s="25">
        <v>0</v>
      </c>
      <c r="F153" s="25">
        <v>0</v>
      </c>
      <c r="G153" s="25">
        <v>0</v>
      </c>
      <c r="H153" s="25">
        <v>5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10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AX153" s="25" t="s">
        <v>658</v>
      </c>
      <c r="AY153" s="25">
        <v>30</v>
      </c>
      <c r="AZ153" s="25">
        <v>0</v>
      </c>
      <c r="BA153" s="45" t="s">
        <v>5703</v>
      </c>
      <c r="BB153" s="25" t="s">
        <v>424</v>
      </c>
      <c r="BC153" s="45" t="s">
        <v>5703</v>
      </c>
      <c r="BD153" s="25" t="s">
        <v>445</v>
      </c>
      <c r="BE153" s="45" t="s">
        <v>5703</v>
      </c>
      <c r="BF153" s="26">
        <v>2</v>
      </c>
      <c r="BG153" s="26">
        <v>-1</v>
      </c>
      <c r="BH153" s="26">
        <v>20</v>
      </c>
      <c r="BI153" s="45" t="s">
        <v>5703</v>
      </c>
    </row>
    <row r="154" spans="2:61" x14ac:dyDescent="0.2">
      <c r="B154" s="25" t="s">
        <v>699</v>
      </c>
      <c r="C154" s="25">
        <v>0</v>
      </c>
      <c r="D154" s="25">
        <v>50</v>
      </c>
      <c r="E154" s="25">
        <v>0</v>
      </c>
      <c r="F154" s="25">
        <v>0</v>
      </c>
      <c r="G154" s="25">
        <v>0</v>
      </c>
      <c r="H154" s="25">
        <v>20</v>
      </c>
      <c r="I154" s="25">
        <v>0</v>
      </c>
      <c r="J154" s="25">
        <v>100</v>
      </c>
      <c r="K154" s="25">
        <v>100</v>
      </c>
      <c r="L154" s="25">
        <v>75</v>
      </c>
      <c r="M154" s="25">
        <v>0</v>
      </c>
      <c r="N154" s="25">
        <v>0</v>
      </c>
      <c r="O154" s="25">
        <v>0</v>
      </c>
      <c r="P154" s="25">
        <v>10</v>
      </c>
      <c r="Q154" s="25">
        <v>20</v>
      </c>
      <c r="R154" s="25">
        <v>20</v>
      </c>
      <c r="S154" s="25">
        <v>0</v>
      </c>
      <c r="T154" s="25">
        <v>0</v>
      </c>
      <c r="U154" s="25">
        <v>0</v>
      </c>
      <c r="V154" s="25">
        <v>20</v>
      </c>
      <c r="AC154" s="25" t="s">
        <v>5047</v>
      </c>
      <c r="AX154" s="25" t="s">
        <v>659</v>
      </c>
      <c r="AY154" s="25">
        <v>40</v>
      </c>
      <c r="AZ154" s="25">
        <v>0</v>
      </c>
      <c r="BA154" s="45" t="s">
        <v>5703</v>
      </c>
      <c r="BB154" s="25" t="s">
        <v>424</v>
      </c>
      <c r="BC154" s="45" t="s">
        <v>5703</v>
      </c>
      <c r="BD154" s="25" t="s">
        <v>445</v>
      </c>
      <c r="BE154" s="45" t="s">
        <v>5703</v>
      </c>
      <c r="BF154" s="26">
        <v>3</v>
      </c>
      <c r="BG154" s="26">
        <v>0</v>
      </c>
      <c r="BH154" s="26">
        <v>15</v>
      </c>
      <c r="BI154" s="45" t="s">
        <v>5703</v>
      </c>
    </row>
    <row r="155" spans="2:61" x14ac:dyDescent="0.2">
      <c r="B155" s="25" t="s">
        <v>3</v>
      </c>
      <c r="C155" s="25">
        <v>5</v>
      </c>
      <c r="D155" s="25">
        <v>5</v>
      </c>
      <c r="E155" s="25">
        <v>10</v>
      </c>
      <c r="F155" s="25">
        <v>15</v>
      </c>
      <c r="G155" s="25">
        <v>10</v>
      </c>
      <c r="H155" s="25">
        <v>10</v>
      </c>
      <c r="I155" s="25">
        <v>10</v>
      </c>
      <c r="J155" s="25">
        <v>5</v>
      </c>
      <c r="K155" s="25">
        <v>5</v>
      </c>
      <c r="L155" s="25">
        <v>5</v>
      </c>
      <c r="M155" s="25">
        <v>5</v>
      </c>
      <c r="N155" s="25">
        <v>20</v>
      </c>
      <c r="O155" s="25">
        <v>5</v>
      </c>
      <c r="P155" s="25">
        <v>5</v>
      </c>
      <c r="Q155" s="25">
        <v>15</v>
      </c>
      <c r="R155" s="25">
        <v>15</v>
      </c>
      <c r="S155" s="25">
        <v>5</v>
      </c>
      <c r="T155" s="25">
        <v>10</v>
      </c>
      <c r="U155" s="25">
        <v>5</v>
      </c>
      <c r="V155" s="25">
        <v>10</v>
      </c>
      <c r="AC155" s="25" t="s">
        <v>5048</v>
      </c>
      <c r="AX155" s="25" t="s">
        <v>660</v>
      </c>
      <c r="AY155" s="25">
        <v>60</v>
      </c>
      <c r="AZ155" s="25">
        <v>0</v>
      </c>
      <c r="BA155" s="45" t="s">
        <v>5703</v>
      </c>
      <c r="BB155" s="25" t="s">
        <v>424</v>
      </c>
      <c r="BC155" s="45" t="s">
        <v>5703</v>
      </c>
      <c r="BD155" s="25" t="s">
        <v>445</v>
      </c>
      <c r="BE155" s="45" t="s">
        <v>5703</v>
      </c>
      <c r="BF155" s="26">
        <v>4</v>
      </c>
      <c r="BG155" s="26">
        <v>1</v>
      </c>
      <c r="BH155" s="26">
        <v>15</v>
      </c>
      <c r="BI155" s="45" t="s">
        <v>5703</v>
      </c>
    </row>
    <row r="156" spans="2:61" x14ac:dyDescent="0.2">
      <c r="B156" s="25" t="s">
        <v>1</v>
      </c>
      <c r="C156" s="25">
        <v>10</v>
      </c>
      <c r="D156" s="25">
        <v>5</v>
      </c>
      <c r="E156" s="25">
        <v>5</v>
      </c>
      <c r="F156" s="25">
        <v>5</v>
      </c>
      <c r="G156" s="25">
        <v>10</v>
      </c>
      <c r="H156" s="25">
        <v>5</v>
      </c>
      <c r="I156" s="25">
        <v>5</v>
      </c>
      <c r="J156" s="25">
        <v>5</v>
      </c>
      <c r="K156" s="25">
        <v>5</v>
      </c>
      <c r="L156" s="25">
        <v>5</v>
      </c>
      <c r="M156" s="25">
        <v>10</v>
      </c>
      <c r="N156" s="25">
        <v>5</v>
      </c>
      <c r="O156" s="25">
        <v>5</v>
      </c>
      <c r="P156" s="25">
        <v>5</v>
      </c>
      <c r="Q156" s="25">
        <v>5</v>
      </c>
      <c r="R156" s="25">
        <v>5</v>
      </c>
      <c r="S156" s="25">
        <v>10</v>
      </c>
      <c r="T156" s="25">
        <v>5</v>
      </c>
      <c r="U156" s="25">
        <v>5</v>
      </c>
      <c r="V156" s="25">
        <v>5</v>
      </c>
      <c r="AC156" s="25" t="s">
        <v>5061</v>
      </c>
      <c r="AX156" s="25" t="s">
        <v>5450</v>
      </c>
      <c r="AY156" s="25">
        <v>50</v>
      </c>
      <c r="AZ156" s="25">
        <v>10</v>
      </c>
      <c r="BA156" s="25">
        <v>4</v>
      </c>
      <c r="BB156" s="25" t="s">
        <v>424</v>
      </c>
      <c r="BC156" s="25" t="s">
        <v>66</v>
      </c>
      <c r="BD156" s="25" t="s">
        <v>5473</v>
      </c>
      <c r="BE156" s="25" t="s">
        <v>5470</v>
      </c>
      <c r="BF156" s="45" t="s">
        <v>5703</v>
      </c>
      <c r="BG156" s="25">
        <v>0</v>
      </c>
      <c r="BH156" s="45" t="s">
        <v>5703</v>
      </c>
      <c r="BI156" s="25" t="s">
        <v>5468</v>
      </c>
    </row>
    <row r="157" spans="2:61" x14ac:dyDescent="0.2">
      <c r="B157" s="25" t="s">
        <v>5</v>
      </c>
      <c r="C157" s="25">
        <v>20</v>
      </c>
      <c r="D157" s="25">
        <v>10</v>
      </c>
      <c r="E157" s="25">
        <v>20</v>
      </c>
      <c r="F157" s="25">
        <v>25</v>
      </c>
      <c r="G157" s="25">
        <v>25</v>
      </c>
      <c r="H157" s="25">
        <v>20</v>
      </c>
      <c r="I157" s="25">
        <v>20</v>
      </c>
      <c r="J157" s="25">
        <v>10</v>
      </c>
      <c r="K157" s="25">
        <v>10</v>
      </c>
      <c r="L157" s="25">
        <v>20</v>
      </c>
      <c r="M157" s="25">
        <v>20</v>
      </c>
      <c r="N157" s="25">
        <v>10</v>
      </c>
      <c r="O157" s="25">
        <v>10</v>
      </c>
      <c r="P157" s="25">
        <v>20</v>
      </c>
      <c r="Q157" s="25">
        <v>20</v>
      </c>
      <c r="R157" s="25">
        <v>20</v>
      </c>
      <c r="S157" s="25">
        <v>25</v>
      </c>
      <c r="T157" s="25">
        <v>30</v>
      </c>
      <c r="U157" s="25">
        <v>50</v>
      </c>
      <c r="V157" s="25">
        <v>20</v>
      </c>
      <c r="AC157" s="25" t="s">
        <v>5049</v>
      </c>
      <c r="AD157" s="137" t="s">
        <v>6029</v>
      </c>
      <c r="AX157" s="25" t="s">
        <v>5449</v>
      </c>
      <c r="AY157" s="25">
        <v>50</v>
      </c>
      <c r="AZ157" s="25">
        <v>10</v>
      </c>
      <c r="BA157" s="25">
        <v>4</v>
      </c>
      <c r="BB157" s="25" t="s">
        <v>424</v>
      </c>
      <c r="BC157" s="25" t="s">
        <v>66</v>
      </c>
      <c r="BD157" s="25" t="s">
        <v>5473</v>
      </c>
      <c r="BE157" s="25" t="s">
        <v>5470</v>
      </c>
      <c r="BF157" s="45" t="s">
        <v>5703</v>
      </c>
      <c r="BG157" s="25">
        <v>0</v>
      </c>
      <c r="BH157" s="45" t="s">
        <v>5703</v>
      </c>
      <c r="BI157" s="25" t="s">
        <v>5467</v>
      </c>
    </row>
    <row r="158" spans="2:61" x14ac:dyDescent="0.2">
      <c r="B158" s="25" t="s">
        <v>700</v>
      </c>
      <c r="C158" s="25">
        <v>70</v>
      </c>
      <c r="D158" s="25">
        <v>60</v>
      </c>
      <c r="E158" s="25">
        <v>70</v>
      </c>
      <c r="F158" s="25">
        <v>70</v>
      </c>
      <c r="G158" s="25">
        <v>70</v>
      </c>
      <c r="H158" s="25">
        <v>60</v>
      </c>
      <c r="I158" s="25">
        <v>70</v>
      </c>
      <c r="J158" s="25">
        <v>50</v>
      </c>
      <c r="K158" s="25">
        <v>50</v>
      </c>
      <c r="L158" s="25">
        <v>60</v>
      </c>
      <c r="M158" s="25">
        <v>70</v>
      </c>
      <c r="N158" s="25">
        <v>70</v>
      </c>
      <c r="O158" s="25">
        <v>70</v>
      </c>
      <c r="P158" s="25">
        <v>60</v>
      </c>
      <c r="Q158" s="25">
        <v>60</v>
      </c>
      <c r="R158" s="25">
        <v>60</v>
      </c>
      <c r="S158" s="25">
        <v>70</v>
      </c>
      <c r="T158" s="25">
        <v>70</v>
      </c>
      <c r="U158" s="25">
        <v>70</v>
      </c>
      <c r="V158" s="25">
        <v>50</v>
      </c>
      <c r="AC158" s="25" t="s">
        <v>5050</v>
      </c>
      <c r="AD158" s="137" t="s">
        <v>6030</v>
      </c>
      <c r="AX158" s="25" t="s">
        <v>618</v>
      </c>
      <c r="AY158" s="25">
        <v>35</v>
      </c>
      <c r="AZ158" s="25">
        <v>15</v>
      </c>
      <c r="BA158" s="27" t="s">
        <v>414</v>
      </c>
      <c r="BB158" s="25" t="s">
        <v>424</v>
      </c>
      <c r="BC158" s="25" t="s">
        <v>415</v>
      </c>
      <c r="BD158" s="25" t="s">
        <v>416</v>
      </c>
      <c r="BE158" s="25" t="s">
        <v>6451</v>
      </c>
      <c r="BF158" s="25">
        <v>12</v>
      </c>
      <c r="BG158" s="25">
        <v>0</v>
      </c>
      <c r="BH158" s="25">
        <v>25</v>
      </c>
      <c r="BI158" s="45" t="s">
        <v>5703</v>
      </c>
    </row>
    <row r="159" spans="2:61" x14ac:dyDescent="0.2">
      <c r="B159" s="29" t="s">
        <v>50</v>
      </c>
      <c r="C159" s="25" t="s">
        <v>701</v>
      </c>
      <c r="D159" s="25" t="s">
        <v>702</v>
      </c>
      <c r="E159" s="25" t="s">
        <v>701</v>
      </c>
      <c r="F159" s="25" t="s">
        <v>701</v>
      </c>
      <c r="G159" s="25" t="s">
        <v>701</v>
      </c>
      <c r="H159" s="25" t="s">
        <v>702</v>
      </c>
      <c r="I159" s="25" t="s">
        <v>701</v>
      </c>
      <c r="J159" s="25" t="s">
        <v>702</v>
      </c>
      <c r="K159" s="25" t="s">
        <v>702</v>
      </c>
      <c r="L159" s="25" t="s">
        <v>702</v>
      </c>
      <c r="M159" s="25" t="s">
        <v>701</v>
      </c>
      <c r="N159" s="25" t="s">
        <v>701</v>
      </c>
      <c r="O159" s="25" t="s">
        <v>701</v>
      </c>
      <c r="P159" s="25" t="s">
        <v>703</v>
      </c>
      <c r="Q159" s="25" t="s">
        <v>703</v>
      </c>
      <c r="R159" s="25" t="s">
        <v>703</v>
      </c>
      <c r="S159" s="25" t="s">
        <v>701</v>
      </c>
      <c r="T159" s="25" t="s">
        <v>701</v>
      </c>
      <c r="U159" s="25" t="s">
        <v>701</v>
      </c>
      <c r="V159" s="25" t="s">
        <v>702</v>
      </c>
      <c r="AC159" s="25" t="s">
        <v>5051</v>
      </c>
      <c r="AD159" s="38" t="s">
        <v>6031</v>
      </c>
      <c r="AX159" s="25" t="s">
        <v>5292</v>
      </c>
      <c r="AY159" s="25">
        <v>50</v>
      </c>
      <c r="AZ159" s="25">
        <v>-10</v>
      </c>
      <c r="BA159" s="25">
        <v>6</v>
      </c>
      <c r="BB159" s="25" t="s">
        <v>415</v>
      </c>
      <c r="BC159" s="25" t="s">
        <v>424</v>
      </c>
      <c r="BD159" s="25" t="s">
        <v>425</v>
      </c>
      <c r="BE159" s="25" t="s">
        <v>601</v>
      </c>
      <c r="BF159" s="25">
        <v>10</v>
      </c>
      <c r="BG159" s="25">
        <v>2</v>
      </c>
      <c r="BH159" s="25">
        <v>25</v>
      </c>
      <c r="BI159" s="45" t="s">
        <v>5703</v>
      </c>
    </row>
    <row r="160" spans="2:61" x14ac:dyDescent="0.2">
      <c r="B160" s="29" t="s">
        <v>704</v>
      </c>
      <c r="C160" s="25">
        <v>3</v>
      </c>
      <c r="D160" s="25">
        <v>3</v>
      </c>
      <c r="E160" s="25">
        <v>3</v>
      </c>
      <c r="F160" s="25">
        <v>3</v>
      </c>
      <c r="G160" s="25">
        <v>3</v>
      </c>
      <c r="H160" s="25">
        <v>3</v>
      </c>
      <c r="I160" s="25">
        <v>3</v>
      </c>
      <c r="J160" s="25">
        <v>2</v>
      </c>
      <c r="K160" s="25">
        <v>2</v>
      </c>
      <c r="L160" s="25">
        <v>2</v>
      </c>
      <c r="M160" s="25">
        <v>3</v>
      </c>
      <c r="N160" s="25">
        <v>3</v>
      </c>
      <c r="O160" s="25">
        <v>3</v>
      </c>
      <c r="P160" s="25">
        <v>2</v>
      </c>
      <c r="Q160" s="25">
        <v>3</v>
      </c>
      <c r="R160" s="25">
        <v>3</v>
      </c>
      <c r="S160" s="25">
        <v>3</v>
      </c>
      <c r="T160" s="25">
        <v>3</v>
      </c>
      <c r="U160" s="25">
        <v>3</v>
      </c>
      <c r="V160" s="25">
        <v>2</v>
      </c>
      <c r="AC160" s="25" t="s">
        <v>5052</v>
      </c>
      <c r="AD160" s="38"/>
      <c r="AX160" s="25" t="s">
        <v>5480</v>
      </c>
      <c r="AY160" s="25">
        <v>50</v>
      </c>
      <c r="AZ160" s="25">
        <v>0</v>
      </c>
      <c r="BA160" s="25">
        <v>5</v>
      </c>
      <c r="BB160" s="25" t="s">
        <v>415</v>
      </c>
      <c r="BC160" s="25" t="s">
        <v>424</v>
      </c>
      <c r="BD160" s="25" t="s">
        <v>5473</v>
      </c>
      <c r="BE160" s="25" t="s">
        <v>5470</v>
      </c>
      <c r="BF160" s="25">
        <v>13</v>
      </c>
      <c r="BG160" s="25">
        <v>2</v>
      </c>
      <c r="BH160" s="45" t="s">
        <v>5703</v>
      </c>
      <c r="BI160" s="25" t="s">
        <v>5466</v>
      </c>
    </row>
    <row r="161" spans="2:61" x14ac:dyDescent="0.2">
      <c r="B161" s="30" t="s">
        <v>262</v>
      </c>
      <c r="C161" s="25">
        <v>3</v>
      </c>
      <c r="D161" s="25">
        <v>1</v>
      </c>
      <c r="E161" s="25">
        <v>3</v>
      </c>
      <c r="F161" s="25">
        <v>3</v>
      </c>
      <c r="G161" s="25">
        <v>3</v>
      </c>
      <c r="H161" s="25">
        <v>1</v>
      </c>
      <c r="I161" s="25">
        <v>3</v>
      </c>
      <c r="J161" s="25">
        <v>2</v>
      </c>
      <c r="K161" s="25">
        <v>2</v>
      </c>
      <c r="L161" s="25">
        <v>2</v>
      </c>
      <c r="M161" s="25">
        <v>3</v>
      </c>
      <c r="N161" s="25">
        <v>3</v>
      </c>
      <c r="O161" s="25">
        <v>3</v>
      </c>
      <c r="P161" s="25">
        <v>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2</v>
      </c>
      <c r="AC161" s="25" t="s">
        <v>5053</v>
      </c>
      <c r="AD161" s="137" t="s">
        <v>6032</v>
      </c>
      <c r="AX161" s="25" t="s">
        <v>5481</v>
      </c>
      <c r="AY161" s="25">
        <v>40</v>
      </c>
      <c r="AZ161" s="25">
        <v>-10</v>
      </c>
      <c r="BA161" s="25">
        <v>5</v>
      </c>
      <c r="BB161" s="25" t="s">
        <v>415</v>
      </c>
      <c r="BC161" s="25" t="s">
        <v>424</v>
      </c>
      <c r="BD161" s="25" t="s">
        <v>5473</v>
      </c>
      <c r="BE161" s="25" t="s">
        <v>5470</v>
      </c>
      <c r="BF161" s="25">
        <v>13</v>
      </c>
      <c r="BG161" s="25">
        <v>2</v>
      </c>
      <c r="BH161" s="45" t="s">
        <v>5703</v>
      </c>
      <c r="BI161" s="25" t="s">
        <v>5466</v>
      </c>
    </row>
    <row r="162" spans="2:61" x14ac:dyDescent="0.2">
      <c r="B162" s="30" t="s">
        <v>263</v>
      </c>
      <c r="C162" s="25">
        <v>3</v>
      </c>
      <c r="D162" s="25">
        <v>1</v>
      </c>
      <c r="E162" s="25">
        <v>3</v>
      </c>
      <c r="F162" s="25">
        <v>3</v>
      </c>
      <c r="G162" s="25">
        <v>3</v>
      </c>
      <c r="H162" s="25">
        <v>1</v>
      </c>
      <c r="I162" s="25">
        <v>3</v>
      </c>
      <c r="J162" s="25">
        <v>2</v>
      </c>
      <c r="K162" s="25">
        <v>2</v>
      </c>
      <c r="L162" s="25">
        <v>2</v>
      </c>
      <c r="M162" s="25">
        <v>3</v>
      </c>
      <c r="N162" s="25">
        <v>3</v>
      </c>
      <c r="O162" s="25">
        <v>3</v>
      </c>
      <c r="P162" s="25">
        <v>2</v>
      </c>
      <c r="Q162" s="25">
        <v>3</v>
      </c>
      <c r="R162" s="25">
        <v>1</v>
      </c>
      <c r="S162" s="25">
        <v>3</v>
      </c>
      <c r="T162" s="25">
        <v>3</v>
      </c>
      <c r="U162" s="25">
        <v>3</v>
      </c>
      <c r="V162" s="25">
        <v>2</v>
      </c>
      <c r="AC162" s="25" t="s">
        <v>5054</v>
      </c>
      <c r="AD162" s="38" t="s">
        <v>6055</v>
      </c>
      <c r="AX162" s="25" t="s">
        <v>5266</v>
      </c>
      <c r="AY162" s="25">
        <v>40</v>
      </c>
      <c r="AZ162" s="25">
        <v>5</v>
      </c>
      <c r="BA162" s="25">
        <v>5</v>
      </c>
      <c r="BB162" s="25" t="s">
        <v>415</v>
      </c>
      <c r="BC162" s="45" t="s">
        <v>5703</v>
      </c>
      <c r="BD162" s="25" t="s">
        <v>499</v>
      </c>
      <c r="BE162" s="25" t="s">
        <v>6452</v>
      </c>
      <c r="BF162" s="25">
        <v>12</v>
      </c>
      <c r="BG162" s="25">
        <v>1</v>
      </c>
      <c r="BH162" s="25">
        <v>20</v>
      </c>
      <c r="BI162" s="45" t="s">
        <v>5703</v>
      </c>
    </row>
    <row r="163" spans="2:61" x14ac:dyDescent="0.2">
      <c r="B163" s="30" t="s">
        <v>265</v>
      </c>
      <c r="C163" s="25">
        <v>3</v>
      </c>
      <c r="D163" s="25">
        <v>1</v>
      </c>
      <c r="E163" s="25">
        <v>3</v>
      </c>
      <c r="F163" s="25">
        <v>3</v>
      </c>
      <c r="G163" s="25">
        <v>3</v>
      </c>
      <c r="H163" s="25">
        <v>1</v>
      </c>
      <c r="I163" s="25">
        <v>3</v>
      </c>
      <c r="J163" s="25">
        <v>2</v>
      </c>
      <c r="K163" s="25">
        <v>2</v>
      </c>
      <c r="L163" s="25">
        <v>2</v>
      </c>
      <c r="M163" s="25">
        <v>3</v>
      </c>
      <c r="N163" s="25">
        <v>3</v>
      </c>
      <c r="O163" s="25">
        <v>3</v>
      </c>
      <c r="P163" s="25">
        <v>2</v>
      </c>
      <c r="Q163" s="25">
        <v>3</v>
      </c>
      <c r="R163" s="25">
        <v>3</v>
      </c>
      <c r="S163" s="25">
        <v>3</v>
      </c>
      <c r="T163" s="25">
        <v>3</v>
      </c>
      <c r="U163" s="25">
        <v>3</v>
      </c>
      <c r="V163" s="25">
        <v>2</v>
      </c>
      <c r="AC163" s="25" t="s">
        <v>5064</v>
      </c>
      <c r="AD163" s="137" t="s">
        <v>6040</v>
      </c>
      <c r="AX163" s="25" t="s">
        <v>622</v>
      </c>
      <c r="AY163" s="25">
        <v>20</v>
      </c>
      <c r="AZ163" s="25">
        <v>10</v>
      </c>
      <c r="BA163" s="27" t="s">
        <v>414</v>
      </c>
      <c r="BB163" s="25" t="s">
        <v>424</v>
      </c>
      <c r="BC163" s="45" t="s">
        <v>5703</v>
      </c>
      <c r="BD163" s="25" t="s">
        <v>416</v>
      </c>
      <c r="BE163" s="25" t="s">
        <v>601</v>
      </c>
      <c r="BF163" s="26">
        <v>9</v>
      </c>
      <c r="BG163" s="26">
        <v>-2</v>
      </c>
      <c r="BH163" s="26">
        <v>25</v>
      </c>
      <c r="BI163" s="25" t="s">
        <v>662</v>
      </c>
    </row>
    <row r="164" spans="2:61" x14ac:dyDescent="0.2">
      <c r="B164" s="30" t="s">
        <v>266</v>
      </c>
      <c r="C164" s="25">
        <v>3</v>
      </c>
      <c r="D164" s="25">
        <v>1</v>
      </c>
      <c r="E164" s="25">
        <v>3</v>
      </c>
      <c r="F164" s="25">
        <v>3</v>
      </c>
      <c r="G164" s="25">
        <v>3</v>
      </c>
      <c r="H164" s="25">
        <v>1</v>
      </c>
      <c r="I164" s="25">
        <v>3</v>
      </c>
      <c r="J164" s="25">
        <v>2</v>
      </c>
      <c r="K164" s="25">
        <v>2</v>
      </c>
      <c r="L164" s="25">
        <v>2</v>
      </c>
      <c r="M164" s="25">
        <v>3</v>
      </c>
      <c r="N164" s="25">
        <v>3</v>
      </c>
      <c r="O164" s="25">
        <v>3</v>
      </c>
      <c r="P164" s="25">
        <v>2</v>
      </c>
      <c r="Q164" s="25">
        <v>1</v>
      </c>
      <c r="R164" s="25">
        <v>3</v>
      </c>
      <c r="S164" s="25">
        <v>3</v>
      </c>
      <c r="T164" s="25">
        <v>3</v>
      </c>
      <c r="U164" s="25">
        <v>3</v>
      </c>
      <c r="V164" s="25">
        <v>2</v>
      </c>
      <c r="AC164" s="25" t="s">
        <v>5065</v>
      </c>
      <c r="AD164" s="137" t="s">
        <v>6043</v>
      </c>
      <c r="AX164" s="25" t="s">
        <v>593</v>
      </c>
      <c r="AY164" s="25">
        <v>25</v>
      </c>
      <c r="AZ164" s="25">
        <v>20</v>
      </c>
      <c r="BA164" s="27" t="s">
        <v>414</v>
      </c>
      <c r="BB164" s="25" t="s">
        <v>415</v>
      </c>
      <c r="BC164" s="25" t="s">
        <v>424</v>
      </c>
      <c r="BD164" s="25" t="s">
        <v>416</v>
      </c>
      <c r="BE164" s="25" t="s">
        <v>583</v>
      </c>
      <c r="BF164" s="25">
        <v>10</v>
      </c>
      <c r="BG164" s="25">
        <v>1</v>
      </c>
      <c r="BH164" s="25">
        <v>20</v>
      </c>
      <c r="BI164" s="45" t="s">
        <v>5703</v>
      </c>
    </row>
    <row r="165" spans="2:61" s="27" customFormat="1" x14ac:dyDescent="0.2">
      <c r="B165" s="31" t="s">
        <v>705</v>
      </c>
      <c r="C165" s="27" t="s">
        <v>706</v>
      </c>
      <c r="D165" s="27" t="s">
        <v>706</v>
      </c>
      <c r="E165" s="27" t="s">
        <v>706</v>
      </c>
      <c r="F165" s="27" t="s">
        <v>706</v>
      </c>
      <c r="G165" s="27" t="s">
        <v>706</v>
      </c>
      <c r="H165" s="27" t="s">
        <v>706</v>
      </c>
      <c r="I165" s="27" t="s">
        <v>707</v>
      </c>
      <c r="J165" s="27" t="s">
        <v>706</v>
      </c>
      <c r="K165" s="27" t="s">
        <v>707</v>
      </c>
      <c r="L165" s="27" t="s">
        <v>706</v>
      </c>
      <c r="M165" s="27" t="s">
        <v>706</v>
      </c>
      <c r="N165" s="27" t="s">
        <v>706</v>
      </c>
      <c r="O165" s="27" t="s">
        <v>707</v>
      </c>
      <c r="P165" s="27" t="s">
        <v>708</v>
      </c>
      <c r="Q165" s="27" t="s">
        <v>706</v>
      </c>
      <c r="R165" s="27" t="s">
        <v>706</v>
      </c>
      <c r="S165" s="27" t="s">
        <v>706</v>
      </c>
      <c r="T165" s="27" t="s">
        <v>706</v>
      </c>
      <c r="U165" s="27" t="s">
        <v>706</v>
      </c>
      <c r="V165" s="27" t="s">
        <v>706</v>
      </c>
      <c r="AC165" s="25" t="s">
        <v>6007</v>
      </c>
      <c r="AD165" s="158" t="s">
        <v>6046</v>
      </c>
      <c r="AX165" s="25" t="s">
        <v>631</v>
      </c>
      <c r="AY165" s="25">
        <v>25</v>
      </c>
      <c r="AZ165" s="25">
        <v>-20</v>
      </c>
      <c r="BA165" s="27" t="s">
        <v>440</v>
      </c>
      <c r="BB165" s="25" t="s">
        <v>66</v>
      </c>
      <c r="BC165" s="45" t="s">
        <v>5703</v>
      </c>
      <c r="BD165" s="25" t="s">
        <v>549</v>
      </c>
      <c r="BE165" s="25" t="s">
        <v>6423</v>
      </c>
      <c r="BF165" s="26">
        <v>9</v>
      </c>
      <c r="BG165" s="26">
        <v>0</v>
      </c>
      <c r="BH165" s="26">
        <v>20</v>
      </c>
      <c r="BI165" s="45" t="s">
        <v>5703</v>
      </c>
    </row>
    <row r="166" spans="2:61" x14ac:dyDescent="0.2">
      <c r="B166" s="29" t="s">
        <v>81</v>
      </c>
      <c r="C166" s="25">
        <v>20</v>
      </c>
      <c r="D166" s="25">
        <v>20</v>
      </c>
      <c r="E166" s="25">
        <v>20</v>
      </c>
      <c r="F166" s="25">
        <v>20</v>
      </c>
      <c r="G166" s="25">
        <v>20</v>
      </c>
      <c r="H166" s="25">
        <v>20</v>
      </c>
      <c r="I166" s="25">
        <v>15</v>
      </c>
      <c r="J166" s="25">
        <v>20</v>
      </c>
      <c r="K166" s="25">
        <v>10</v>
      </c>
      <c r="L166" s="25">
        <v>20</v>
      </c>
      <c r="M166" s="25">
        <v>20</v>
      </c>
      <c r="N166" s="25">
        <v>20</v>
      </c>
      <c r="O166" s="25">
        <v>10</v>
      </c>
      <c r="P166" s="25">
        <v>20</v>
      </c>
      <c r="Q166" s="25">
        <v>20</v>
      </c>
      <c r="R166" s="25">
        <v>20</v>
      </c>
      <c r="S166" s="25">
        <v>20</v>
      </c>
      <c r="T166" s="25">
        <v>20</v>
      </c>
      <c r="U166" s="25">
        <v>20</v>
      </c>
      <c r="V166" s="25">
        <v>20</v>
      </c>
      <c r="AC166" s="25" t="s">
        <v>6005</v>
      </c>
      <c r="AD166" s="38"/>
      <c r="AX166" s="25" t="s">
        <v>5289</v>
      </c>
      <c r="AY166" s="25">
        <v>20</v>
      </c>
      <c r="AZ166" s="25">
        <v>0</v>
      </c>
      <c r="BA166" s="25">
        <v>5</v>
      </c>
      <c r="BB166" s="25" t="s">
        <v>66</v>
      </c>
      <c r="BC166" s="45" t="s">
        <v>5703</v>
      </c>
      <c r="BD166" s="25" t="s">
        <v>425</v>
      </c>
      <c r="BE166" s="25" t="s">
        <v>6448</v>
      </c>
      <c r="BF166" s="25">
        <v>13</v>
      </c>
      <c r="BG166" s="25">
        <v>2</v>
      </c>
      <c r="BH166" s="25">
        <v>20</v>
      </c>
      <c r="BI166" s="45" t="s">
        <v>5703</v>
      </c>
    </row>
    <row r="167" spans="2:61" x14ac:dyDescent="0.2">
      <c r="B167" s="29" t="s">
        <v>709</v>
      </c>
      <c r="C167" s="25">
        <v>3</v>
      </c>
      <c r="D167" s="25">
        <v>3</v>
      </c>
      <c r="E167" s="25">
        <v>3</v>
      </c>
      <c r="F167" s="25">
        <v>3</v>
      </c>
      <c r="G167" s="25">
        <v>3</v>
      </c>
      <c r="H167" s="25">
        <v>3</v>
      </c>
      <c r="I167" s="25">
        <v>2</v>
      </c>
      <c r="J167" s="25">
        <v>3</v>
      </c>
      <c r="K167" s="25">
        <v>2</v>
      </c>
      <c r="L167" s="25">
        <v>1</v>
      </c>
      <c r="M167" s="25">
        <v>3</v>
      </c>
      <c r="N167" s="25">
        <v>3</v>
      </c>
      <c r="O167" s="25">
        <v>2</v>
      </c>
      <c r="P167" s="25">
        <v>2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3</v>
      </c>
      <c r="AC167" s="25" t="s">
        <v>5055</v>
      </c>
      <c r="AD167" s="38" t="s">
        <v>6036</v>
      </c>
      <c r="AX167" s="25" t="s">
        <v>5267</v>
      </c>
      <c r="AY167" s="25">
        <v>45</v>
      </c>
      <c r="AZ167" s="25">
        <v>5</v>
      </c>
      <c r="BA167" s="25">
        <v>6</v>
      </c>
      <c r="BB167" s="25" t="s">
        <v>424</v>
      </c>
      <c r="BC167" s="25" t="s">
        <v>415</v>
      </c>
      <c r="BD167" s="25" t="s">
        <v>499</v>
      </c>
      <c r="BE167" s="45" t="s">
        <v>5703</v>
      </c>
      <c r="BF167" s="25">
        <v>14</v>
      </c>
      <c r="BG167" s="25">
        <v>3</v>
      </c>
      <c r="BH167" s="25">
        <v>20</v>
      </c>
      <c r="BI167" s="45" t="s">
        <v>5703</v>
      </c>
    </row>
    <row r="168" spans="2:61" x14ac:dyDescent="0.2">
      <c r="B168" s="29" t="s">
        <v>710</v>
      </c>
      <c r="C168" s="25">
        <v>25</v>
      </c>
      <c r="D168" s="25">
        <v>30</v>
      </c>
      <c r="E168" s="25">
        <v>25</v>
      </c>
      <c r="F168" s="25">
        <v>20</v>
      </c>
      <c r="G168" s="25">
        <v>20</v>
      </c>
      <c r="H168" s="25">
        <v>20</v>
      </c>
      <c r="I168" s="25">
        <v>25</v>
      </c>
      <c r="J168" s="25">
        <v>30</v>
      </c>
      <c r="K168" s="25">
        <v>30</v>
      </c>
      <c r="L168" s="25">
        <v>25</v>
      </c>
      <c r="M168" s="25">
        <v>25</v>
      </c>
      <c r="N168" s="25">
        <v>30</v>
      </c>
      <c r="O168" s="25">
        <v>30</v>
      </c>
      <c r="P168" s="25">
        <v>20</v>
      </c>
      <c r="Q168" s="25">
        <v>20</v>
      </c>
      <c r="R168" s="25">
        <v>20</v>
      </c>
      <c r="S168" s="25">
        <v>20</v>
      </c>
      <c r="T168" s="25">
        <v>15</v>
      </c>
      <c r="U168" s="25">
        <v>10</v>
      </c>
      <c r="V168" s="25">
        <v>25</v>
      </c>
      <c r="AC168" s="25" t="s">
        <v>5056</v>
      </c>
      <c r="AD168" s="137" t="s">
        <v>6038</v>
      </c>
      <c r="AX168" s="25" t="s">
        <v>606</v>
      </c>
      <c r="AY168" s="25">
        <v>40</v>
      </c>
      <c r="AZ168" s="25">
        <v>20</v>
      </c>
      <c r="BA168" s="27" t="s">
        <v>460</v>
      </c>
      <c r="BB168" s="25" t="s">
        <v>415</v>
      </c>
      <c r="BC168" s="45" t="s">
        <v>5703</v>
      </c>
      <c r="BD168" s="25" t="s">
        <v>416</v>
      </c>
      <c r="BE168" s="25" t="s">
        <v>504</v>
      </c>
      <c r="BF168" s="25">
        <v>9</v>
      </c>
      <c r="BG168" s="25">
        <v>1</v>
      </c>
      <c r="BH168" s="25">
        <v>40</v>
      </c>
      <c r="BI168" s="45" t="s">
        <v>5703</v>
      </c>
    </row>
    <row r="169" spans="2:61" x14ac:dyDescent="0.2">
      <c r="B169" s="25" t="s">
        <v>711</v>
      </c>
      <c r="C169" s="25">
        <v>2</v>
      </c>
      <c r="D169" s="25">
        <v>3</v>
      </c>
      <c r="E169" s="25">
        <v>2</v>
      </c>
      <c r="F169" s="25">
        <v>2</v>
      </c>
      <c r="G169" s="25">
        <v>2</v>
      </c>
      <c r="H169" s="25">
        <v>2</v>
      </c>
      <c r="I169" s="25">
        <v>2</v>
      </c>
      <c r="J169" s="25">
        <v>3</v>
      </c>
      <c r="K169" s="25">
        <v>3</v>
      </c>
      <c r="L169" s="25">
        <v>2</v>
      </c>
      <c r="M169" s="25">
        <v>2</v>
      </c>
      <c r="N169" s="25">
        <v>3</v>
      </c>
      <c r="O169" s="25">
        <v>3</v>
      </c>
      <c r="P169" s="25">
        <v>2</v>
      </c>
      <c r="Q169" s="25">
        <v>2</v>
      </c>
      <c r="R169" s="25">
        <v>2</v>
      </c>
      <c r="S169" s="25">
        <v>2</v>
      </c>
      <c r="T169" s="25">
        <v>2</v>
      </c>
      <c r="U169" s="25">
        <v>1</v>
      </c>
      <c r="V169" s="25">
        <v>2</v>
      </c>
      <c r="AC169" s="25" t="s">
        <v>5057</v>
      </c>
      <c r="AD169" s="38" t="s">
        <v>6037</v>
      </c>
      <c r="AX169" s="25" t="s">
        <v>5430</v>
      </c>
      <c r="AY169" s="25">
        <v>120</v>
      </c>
      <c r="AZ169" s="25">
        <v>-80</v>
      </c>
      <c r="BA169" s="45" t="s">
        <v>5472</v>
      </c>
      <c r="BB169" s="25" t="s">
        <v>415</v>
      </c>
      <c r="BC169" s="25" t="s">
        <v>66</v>
      </c>
      <c r="BD169" s="25" t="s">
        <v>5473</v>
      </c>
      <c r="BE169" s="25" t="s">
        <v>5470</v>
      </c>
      <c r="BF169" s="25">
        <v>16</v>
      </c>
      <c r="BG169" s="25">
        <v>8</v>
      </c>
      <c r="BH169" s="25">
        <v>25</v>
      </c>
      <c r="BI169" s="25" t="s">
        <v>5462</v>
      </c>
    </row>
    <row r="170" spans="2:61" x14ac:dyDescent="0.2">
      <c r="B170" s="25" t="s">
        <v>712</v>
      </c>
      <c r="C170" s="25">
        <v>20</v>
      </c>
      <c r="D170" s="25">
        <v>20</v>
      </c>
      <c r="E170" s="25">
        <v>20</v>
      </c>
      <c r="F170" s="25">
        <v>15</v>
      </c>
      <c r="G170" s="25">
        <v>20</v>
      </c>
      <c r="H170" s="25">
        <v>20</v>
      </c>
      <c r="I170" s="25">
        <v>20</v>
      </c>
      <c r="J170" s="25">
        <v>20</v>
      </c>
      <c r="K170" s="25">
        <v>20</v>
      </c>
      <c r="L170" s="25">
        <v>20</v>
      </c>
      <c r="M170" s="25">
        <v>20</v>
      </c>
      <c r="N170" s="25">
        <v>10</v>
      </c>
      <c r="O170" s="25">
        <v>20</v>
      </c>
      <c r="P170" s="25">
        <v>20</v>
      </c>
      <c r="Q170" s="25">
        <v>15</v>
      </c>
      <c r="R170" s="25">
        <v>15</v>
      </c>
      <c r="S170" s="25">
        <v>20</v>
      </c>
      <c r="T170" s="25">
        <v>20</v>
      </c>
      <c r="U170" s="25">
        <v>20</v>
      </c>
      <c r="V170" s="25">
        <v>20</v>
      </c>
      <c r="AC170" s="25" t="s">
        <v>5058</v>
      </c>
      <c r="AX170" s="25" t="s">
        <v>5290</v>
      </c>
      <c r="AY170" s="25">
        <v>80</v>
      </c>
      <c r="AZ170" s="25">
        <v>-50</v>
      </c>
      <c r="BA170" s="45" t="s">
        <v>624</v>
      </c>
      <c r="BB170" s="25" t="s">
        <v>66</v>
      </c>
      <c r="BC170" s="45" t="s">
        <v>5703</v>
      </c>
      <c r="BD170" s="25" t="s">
        <v>429</v>
      </c>
      <c r="BE170" s="25" t="s">
        <v>6441</v>
      </c>
      <c r="BF170" s="25">
        <v>13</v>
      </c>
      <c r="BG170" s="25">
        <v>4</v>
      </c>
      <c r="BH170" s="25">
        <v>30</v>
      </c>
      <c r="BI170" s="45" t="s">
        <v>5703</v>
      </c>
    </row>
    <row r="171" spans="2:61" x14ac:dyDescent="0.2">
      <c r="B171" s="25" t="s">
        <v>713</v>
      </c>
      <c r="C171" s="25">
        <v>1</v>
      </c>
      <c r="D171" s="25">
        <v>1</v>
      </c>
      <c r="E171" s="25">
        <v>1</v>
      </c>
      <c r="F171" s="25">
        <v>1</v>
      </c>
      <c r="G171" s="25">
        <v>1</v>
      </c>
      <c r="H171" s="25">
        <v>1</v>
      </c>
      <c r="I171" s="25">
        <v>1</v>
      </c>
      <c r="J171" s="25">
        <v>1</v>
      </c>
      <c r="K171" s="25">
        <v>1</v>
      </c>
      <c r="L171" s="25">
        <v>1</v>
      </c>
      <c r="M171" s="25">
        <v>1</v>
      </c>
      <c r="N171" s="25">
        <v>0.5</v>
      </c>
      <c r="O171" s="25">
        <v>1</v>
      </c>
      <c r="P171" s="25">
        <v>1</v>
      </c>
      <c r="Q171" s="25">
        <v>1</v>
      </c>
      <c r="R171" s="25">
        <v>1</v>
      </c>
      <c r="S171" s="25">
        <v>1</v>
      </c>
      <c r="T171" s="25">
        <v>1</v>
      </c>
      <c r="U171" s="25">
        <v>1</v>
      </c>
      <c r="V171" s="25">
        <v>1</v>
      </c>
      <c r="AC171" s="25" t="s">
        <v>5059</v>
      </c>
      <c r="AD171" s="137" t="s">
        <v>6039</v>
      </c>
      <c r="AX171" s="25" t="s">
        <v>612</v>
      </c>
      <c r="AY171" s="25">
        <v>30</v>
      </c>
      <c r="AZ171" s="25">
        <v>20</v>
      </c>
      <c r="BA171" s="27" t="s">
        <v>414</v>
      </c>
      <c r="BB171" s="25" t="s">
        <v>66</v>
      </c>
      <c r="BC171" s="45" t="s">
        <v>5703</v>
      </c>
      <c r="BD171" s="25" t="s">
        <v>416</v>
      </c>
      <c r="BE171" s="25" t="s">
        <v>504</v>
      </c>
      <c r="BF171" s="25">
        <v>13</v>
      </c>
      <c r="BG171" s="25">
        <v>0</v>
      </c>
      <c r="BH171" s="25">
        <v>25</v>
      </c>
      <c r="BI171" s="45" t="s">
        <v>5703</v>
      </c>
    </row>
    <row r="172" spans="2:61" x14ac:dyDescent="0.2">
      <c r="B172" s="29" t="s">
        <v>14</v>
      </c>
      <c r="C172" s="25" t="s">
        <v>184</v>
      </c>
      <c r="D172" s="25" t="s">
        <v>714</v>
      </c>
      <c r="E172" s="25" t="s">
        <v>715</v>
      </c>
      <c r="AC172" s="25" t="s">
        <v>5060</v>
      </c>
      <c r="AD172" s="137" t="s">
        <v>6057</v>
      </c>
      <c r="AX172" s="25" t="s">
        <v>568</v>
      </c>
      <c r="AY172" s="25">
        <v>40</v>
      </c>
      <c r="AZ172" s="25">
        <v>-10</v>
      </c>
      <c r="BA172" s="27" t="s">
        <v>664</v>
      </c>
      <c r="BB172" s="25" t="s">
        <v>424</v>
      </c>
      <c r="BC172" s="45" t="s">
        <v>5703</v>
      </c>
      <c r="BD172" s="25" t="s">
        <v>425</v>
      </c>
      <c r="BE172" s="25" t="s">
        <v>6423</v>
      </c>
      <c r="BF172" s="25">
        <v>11</v>
      </c>
      <c r="BG172" s="25">
        <v>0</v>
      </c>
      <c r="BH172" s="25">
        <v>30</v>
      </c>
      <c r="BI172" s="45" t="s">
        <v>5703</v>
      </c>
    </row>
    <row r="173" spans="2:61" x14ac:dyDescent="0.2">
      <c r="B173" s="29">
        <v>1</v>
      </c>
      <c r="C173" s="25" t="str">
        <f>ROUNDDOWN(F173/Sheet3!$O$350,0)&amp;" "&amp;G173</f>
        <v>10 al día</v>
      </c>
      <c r="D173" s="25" t="str">
        <f>IF(H173&lt;&gt;"NA",ROUNDDOWN(H173/Sheet3!$O$350,0)&amp;" "&amp;G173,H173)</f>
        <v>5 al día</v>
      </c>
      <c r="E173" s="25">
        <v>-5</v>
      </c>
      <c r="F173" s="25">
        <v>10</v>
      </c>
      <c r="G173" s="25" t="s">
        <v>6763</v>
      </c>
      <c r="H173" s="25">
        <v>5</v>
      </c>
      <c r="AC173" s="25" t="s">
        <v>5062</v>
      </c>
      <c r="AD173" s="38"/>
      <c r="AX173" s="25" t="s">
        <v>666</v>
      </c>
      <c r="AY173" s="25">
        <v>40</v>
      </c>
      <c r="AZ173" s="25">
        <v>0</v>
      </c>
      <c r="BA173" s="27" t="s">
        <v>432</v>
      </c>
      <c r="BB173" s="25" t="s">
        <v>415</v>
      </c>
      <c r="BC173" s="45" t="s">
        <v>5703</v>
      </c>
      <c r="BD173" s="25" t="s">
        <v>474</v>
      </c>
      <c r="BE173" s="25" t="s">
        <v>601</v>
      </c>
      <c r="BF173" s="26" t="s">
        <v>667</v>
      </c>
      <c r="BG173" s="26" t="s">
        <v>476</v>
      </c>
      <c r="BH173" s="26">
        <v>15</v>
      </c>
      <c r="BI173" s="25" t="s">
        <v>487</v>
      </c>
    </row>
    <row r="174" spans="2:61" x14ac:dyDescent="0.2">
      <c r="B174" s="29">
        <v>2</v>
      </c>
      <c r="C174" s="25" t="str">
        <f>ROUNDDOWN(F174/Sheet3!$O$350,0)&amp;" "&amp;G174</f>
        <v>20 al día</v>
      </c>
      <c r="D174" s="25" t="str">
        <f>IF(H174&lt;&gt;"NA",ROUNDDOWN(H174/Sheet3!$O$350,0)&amp;" "&amp;G174,H174)</f>
        <v>10 al día</v>
      </c>
      <c r="E174" s="25">
        <v>-5</v>
      </c>
      <c r="F174" s="25">
        <v>20</v>
      </c>
      <c r="G174" s="25" t="s">
        <v>6763</v>
      </c>
      <c r="H174" s="25">
        <v>10</v>
      </c>
      <c r="J174" s="25" t="s">
        <v>6766</v>
      </c>
      <c r="K174" s="25" t="s">
        <v>288</v>
      </c>
      <c r="M174" s="25" t="b">
        <f>_xlfn.IFNA(VLOOKUP("Los ojos de la muerte",'Hoja básica'!O98:R100,1,FALSE),FALSE)</f>
        <v>0</v>
      </c>
      <c r="N174" s="25">
        <f>IF(M174&lt;&gt;FALSE,5,0)</f>
        <v>0</v>
      </c>
      <c r="AC174" s="25" t="s">
        <v>5063</v>
      </c>
      <c r="AD174" s="137" t="s">
        <v>6041</v>
      </c>
      <c r="AX174" s="25" t="s">
        <v>5291</v>
      </c>
      <c r="AY174" s="25">
        <v>25</v>
      </c>
      <c r="AZ174" s="25">
        <v>10</v>
      </c>
      <c r="BA174" s="25">
        <v>4</v>
      </c>
      <c r="BB174" s="25" t="s">
        <v>424</v>
      </c>
      <c r="BC174" s="45" t="s">
        <v>5703</v>
      </c>
      <c r="BD174" s="25" t="s">
        <v>425</v>
      </c>
      <c r="BE174" s="25" t="s">
        <v>583</v>
      </c>
      <c r="BF174" s="25">
        <v>10</v>
      </c>
      <c r="BG174" s="25">
        <v>-3</v>
      </c>
      <c r="BH174" s="25">
        <v>20</v>
      </c>
      <c r="BI174" s="45" t="s">
        <v>5703</v>
      </c>
    </row>
    <row r="175" spans="2:61" x14ac:dyDescent="0.2">
      <c r="B175" s="29">
        <v>3</v>
      </c>
      <c r="C175" s="25" t="str">
        <f>ROUNDDOWN(F175/Sheet3!$O$350,0)&amp;" "&amp;G175</f>
        <v>30 al día</v>
      </c>
      <c r="D175" s="25" t="str">
        <f>IF(H175&lt;&gt;"NA",ROUNDDOWN(H175/Sheet3!$O$350,0)&amp;" "&amp;G175,H175)</f>
        <v>15 al día</v>
      </c>
      <c r="E175" s="25">
        <v>-5</v>
      </c>
      <c r="F175" s="25">
        <v>30</v>
      </c>
      <c r="G175" s="25" t="s">
        <v>6763</v>
      </c>
      <c r="H175" s="25">
        <v>15</v>
      </c>
      <c r="J175" s="25">
        <v>7</v>
      </c>
      <c r="K175" s="25">
        <v>0</v>
      </c>
      <c r="AC175" s="25" t="s">
        <v>5066</v>
      </c>
      <c r="AD175" s="137" t="s">
        <v>6042</v>
      </c>
      <c r="AX175" s="25" t="s">
        <v>5268</v>
      </c>
      <c r="AY175" s="25">
        <v>25</v>
      </c>
      <c r="AZ175" s="25">
        <v>15</v>
      </c>
      <c r="BA175" s="25">
        <v>4</v>
      </c>
      <c r="BB175" s="25" t="s">
        <v>415</v>
      </c>
      <c r="BC175" s="45" t="s">
        <v>5703</v>
      </c>
      <c r="BD175" s="25" t="s">
        <v>489</v>
      </c>
      <c r="BE175" s="25" t="s">
        <v>5269</v>
      </c>
      <c r="BF175" s="25">
        <v>7</v>
      </c>
      <c r="BG175" s="25">
        <v>-3</v>
      </c>
      <c r="BH175" s="25">
        <v>15</v>
      </c>
      <c r="BI175" s="45" t="s">
        <v>5703</v>
      </c>
    </row>
    <row r="176" spans="2:61" x14ac:dyDescent="0.2">
      <c r="B176" s="29">
        <v>4</v>
      </c>
      <c r="C176" s="25" t="str">
        <f>ROUNDDOWN(F176/Sheet3!$O$350,0)&amp;" "&amp;G176</f>
        <v>40 al día</v>
      </c>
      <c r="D176" s="25" t="str">
        <f>IF(H176&lt;&gt;"NA",ROUNDDOWN(H176/Sheet3!$O$350,0)&amp;" "&amp;G176,H176)</f>
        <v>20 al día</v>
      </c>
      <c r="E176" s="25">
        <v>-10</v>
      </c>
      <c r="F176" s="25">
        <v>40</v>
      </c>
      <c r="G176" s="25" t="s">
        <v>6763</v>
      </c>
      <c r="H176" s="25">
        <v>20</v>
      </c>
      <c r="J176" s="25">
        <v>8</v>
      </c>
      <c r="K176" s="25">
        <v>1</v>
      </c>
      <c r="L176" s="25">
        <f>_xlfn.IFNA(LOOKUP('Hoja básica'!E13,Sheet3!J175:K183),0)</f>
        <v>0</v>
      </c>
      <c r="AC176" s="25" t="s">
        <v>5067</v>
      </c>
      <c r="AD176" s="38" t="s">
        <v>6044</v>
      </c>
      <c r="AX176" s="25" t="s">
        <v>5270</v>
      </c>
      <c r="AY176" s="25">
        <v>40</v>
      </c>
      <c r="AZ176" s="25">
        <v>0</v>
      </c>
      <c r="BA176" s="45" t="s">
        <v>464</v>
      </c>
      <c r="BB176" s="25" t="s">
        <v>415</v>
      </c>
      <c r="BC176" s="25" t="s">
        <v>66</v>
      </c>
      <c r="BD176" s="25" t="s">
        <v>5271</v>
      </c>
      <c r="BE176" s="25" t="s">
        <v>6441</v>
      </c>
      <c r="BF176" s="25">
        <v>11</v>
      </c>
      <c r="BG176" s="25">
        <v>2</v>
      </c>
      <c r="BH176" s="25">
        <v>20</v>
      </c>
      <c r="BI176" s="45" t="s">
        <v>5703</v>
      </c>
    </row>
    <row r="177" spans="2:61" x14ac:dyDescent="0.2">
      <c r="B177" s="29">
        <v>5</v>
      </c>
      <c r="C177" s="25" t="str">
        <f>ROUNDDOWN(F177/Sheet3!$O$350,0)&amp;" "&amp;G177</f>
        <v>50 al día</v>
      </c>
      <c r="D177" s="25" t="str">
        <f>IF(H177&lt;&gt;"NA",ROUNDDOWN(H177/Sheet3!$O$350,0)&amp;" "&amp;G177,H177)</f>
        <v>25 al día</v>
      </c>
      <c r="E177" s="25">
        <v>-10</v>
      </c>
      <c r="F177" s="25">
        <v>50</v>
      </c>
      <c r="G177" s="25" t="s">
        <v>6763</v>
      </c>
      <c r="H177" s="25">
        <v>25</v>
      </c>
      <c r="J177" s="25">
        <v>9</v>
      </c>
      <c r="K177" s="25">
        <v>1</v>
      </c>
      <c r="AC177" s="25" t="s">
        <v>6006</v>
      </c>
      <c r="AD177" s="137" t="s">
        <v>6045</v>
      </c>
      <c r="AX177" s="25" t="s">
        <v>571</v>
      </c>
      <c r="AY177" s="25">
        <v>30</v>
      </c>
      <c r="AZ177" s="25">
        <v>10</v>
      </c>
      <c r="BA177" s="25">
        <v>4</v>
      </c>
      <c r="BB177" s="25" t="s">
        <v>66</v>
      </c>
      <c r="BC177" s="45" t="s">
        <v>5703</v>
      </c>
      <c r="BD177" s="25" t="s">
        <v>425</v>
      </c>
      <c r="BE177" s="25" t="s">
        <v>6423</v>
      </c>
      <c r="BF177" s="25">
        <v>11</v>
      </c>
      <c r="BG177" s="25">
        <v>0</v>
      </c>
      <c r="BH177" s="25">
        <v>30</v>
      </c>
      <c r="BI177" s="25" t="s">
        <v>668</v>
      </c>
    </row>
    <row r="178" spans="2:61" x14ac:dyDescent="0.2">
      <c r="B178" s="32">
        <v>6</v>
      </c>
      <c r="C178" s="25" t="str">
        <f>ROUNDDOWN(F178/Sheet3!$O$350,0)&amp;" "&amp;G178</f>
        <v>75 al día</v>
      </c>
      <c r="D178" s="25" t="str">
        <f>IF(H178&lt;&gt;"NA",ROUNDDOWN(H178/Sheet3!$O$350,0)&amp;" "&amp;G178,H178)</f>
        <v>30 al día</v>
      </c>
      <c r="E178" s="25">
        <v>-15</v>
      </c>
      <c r="F178" s="25">
        <v>75</v>
      </c>
      <c r="G178" s="25" t="s">
        <v>6763</v>
      </c>
      <c r="H178" s="25">
        <v>30</v>
      </c>
      <c r="J178" s="25">
        <v>10</v>
      </c>
      <c r="K178" s="25">
        <v>2</v>
      </c>
      <c r="AX178" s="25" t="s">
        <v>5441</v>
      </c>
      <c r="AY178" s="25">
        <v>60</v>
      </c>
      <c r="AZ178" s="25">
        <v>-10</v>
      </c>
      <c r="BA178" s="45" t="s">
        <v>5703</v>
      </c>
      <c r="BB178" s="25" t="s">
        <v>66</v>
      </c>
      <c r="BC178" s="45" t="s">
        <v>5703</v>
      </c>
      <c r="BD178" s="25" t="s">
        <v>5473</v>
      </c>
      <c r="BE178" s="25" t="s">
        <v>5470</v>
      </c>
      <c r="BF178" s="25">
        <v>2</v>
      </c>
      <c r="BG178" s="45" t="s">
        <v>5703</v>
      </c>
      <c r="BH178" s="25">
        <f>'Hoja básica'!H71</f>
        <v>30</v>
      </c>
      <c r="BI178" s="25" t="s">
        <v>5464</v>
      </c>
    </row>
    <row r="179" spans="2:61" x14ac:dyDescent="0.2">
      <c r="B179" s="32">
        <v>7</v>
      </c>
      <c r="C179" s="25" t="str">
        <f>ROUNDDOWN(F179/Sheet3!$O$350,0)&amp;" "&amp;G179</f>
        <v>100 al día</v>
      </c>
      <c r="D179" s="25" t="str">
        <f>IF(H179&lt;&gt;"NA",ROUNDDOWN(H179/Sheet3!$O$350,0)&amp;" "&amp;G179,H179)</f>
        <v>50 al día</v>
      </c>
      <c r="E179" s="25">
        <v>-20</v>
      </c>
      <c r="F179" s="25">
        <v>100</v>
      </c>
      <c r="G179" s="25" t="s">
        <v>6763</v>
      </c>
      <c r="H179" s="25">
        <v>50</v>
      </c>
      <c r="J179" s="25">
        <v>11</v>
      </c>
      <c r="K179" s="25">
        <v>3</v>
      </c>
      <c r="O179" s="25" t="s">
        <v>6774</v>
      </c>
      <c r="AX179" s="25" t="s">
        <v>669</v>
      </c>
      <c r="AY179" s="25">
        <v>120</v>
      </c>
      <c r="AZ179" s="25">
        <v>0</v>
      </c>
      <c r="BA179" s="45" t="s">
        <v>5703</v>
      </c>
      <c r="BB179" s="25" t="s">
        <v>424</v>
      </c>
      <c r="BC179" s="45" t="s">
        <v>5703</v>
      </c>
      <c r="BD179" s="25" t="s">
        <v>445</v>
      </c>
      <c r="BE179" s="45" t="s">
        <v>5703</v>
      </c>
      <c r="BF179" s="26">
        <v>16</v>
      </c>
      <c r="BG179" s="26">
        <v>8</v>
      </c>
      <c r="BH179" s="26">
        <v>15</v>
      </c>
      <c r="BI179" s="45" t="s">
        <v>5703</v>
      </c>
    </row>
    <row r="180" spans="2:61" x14ac:dyDescent="0.2">
      <c r="B180" s="29">
        <v>8</v>
      </c>
      <c r="C180" s="25" t="str">
        <f>ROUNDDOWN(F180/Sheet3!$O$350,0)&amp;" "&amp;G180</f>
        <v>250 al día</v>
      </c>
      <c r="D180" s="25" t="str">
        <f>IF(H180&lt;&gt;"NA",ROUNDDOWN(H180/Sheet3!$O$350,0)&amp;" "&amp;G180,H180)</f>
        <v>100 al día</v>
      </c>
      <c r="E180" s="25">
        <v>-25</v>
      </c>
      <c r="F180" s="25">
        <v>250</v>
      </c>
      <c r="G180" s="25" t="s">
        <v>6763</v>
      </c>
      <c r="H180" s="25">
        <v>100</v>
      </c>
      <c r="J180" s="25">
        <v>12</v>
      </c>
      <c r="K180" s="25">
        <v>3</v>
      </c>
      <c r="O180" s="25" t="s">
        <v>6775</v>
      </c>
      <c r="P180" s="25">
        <v>9</v>
      </c>
      <c r="Q180" s="25">
        <v>-40</v>
      </c>
      <c r="R180" s="25">
        <v>-1000</v>
      </c>
      <c r="AX180" s="25" t="s">
        <v>670</v>
      </c>
      <c r="AY180" s="25">
        <v>120</v>
      </c>
      <c r="AZ180" s="25">
        <v>0</v>
      </c>
      <c r="BA180" s="45" t="s">
        <v>5703</v>
      </c>
      <c r="BB180" s="25" t="s">
        <v>424</v>
      </c>
      <c r="BC180" s="45" t="s">
        <v>5703</v>
      </c>
      <c r="BD180" s="25" t="s">
        <v>445</v>
      </c>
      <c r="BE180" s="45" t="s">
        <v>5703</v>
      </c>
      <c r="BF180" s="26">
        <v>18</v>
      </c>
      <c r="BG180" s="26">
        <v>12</v>
      </c>
      <c r="BH180" s="26">
        <v>15</v>
      </c>
      <c r="BI180" s="45" t="s">
        <v>5703</v>
      </c>
    </row>
    <row r="181" spans="2:61" x14ac:dyDescent="0.2">
      <c r="B181" s="29">
        <v>9</v>
      </c>
      <c r="C181" s="25" t="str">
        <f>ROUNDDOWN(F181/Sheet3!$O$350,0)&amp;" "&amp;G181</f>
        <v>500 al día</v>
      </c>
      <c r="D181" s="25" t="str">
        <f>IF(H181&lt;&gt;"NA",ROUNDDOWN(H181/Sheet3!$O$350,0)&amp;" "&amp;G181,H181)</f>
        <v>200 al día</v>
      </c>
      <c r="E181" s="25">
        <v>-30</v>
      </c>
      <c r="F181" s="25">
        <v>500</v>
      </c>
      <c r="G181" s="25" t="s">
        <v>6763</v>
      </c>
      <c r="H181" s="25">
        <v>200</v>
      </c>
      <c r="J181" s="25">
        <v>13</v>
      </c>
      <c r="K181" s="25">
        <v>4</v>
      </c>
      <c r="O181" s="25" t="s">
        <v>6768</v>
      </c>
      <c r="P181" s="25">
        <v>23</v>
      </c>
      <c r="Q181" s="25">
        <v>0</v>
      </c>
      <c r="R181" s="25">
        <v>-40</v>
      </c>
      <c r="AX181" s="25" t="s">
        <v>5293</v>
      </c>
      <c r="AY181" s="25">
        <v>45</v>
      </c>
      <c r="AZ181" s="25">
        <v>0</v>
      </c>
      <c r="BA181" s="25">
        <v>4</v>
      </c>
      <c r="BB181" s="25" t="s">
        <v>415</v>
      </c>
      <c r="BC181" s="45" t="s">
        <v>5703</v>
      </c>
      <c r="BD181" s="25" t="s">
        <v>499</v>
      </c>
      <c r="BE181" s="45" t="s">
        <v>5703</v>
      </c>
      <c r="BF181" s="25">
        <v>11</v>
      </c>
      <c r="BG181" s="25">
        <v>3</v>
      </c>
      <c r="BH181" s="25">
        <v>40</v>
      </c>
      <c r="BI181" s="45" t="s">
        <v>5703</v>
      </c>
    </row>
    <row r="182" spans="2:61" x14ac:dyDescent="0.2">
      <c r="B182" s="32">
        <v>10</v>
      </c>
      <c r="C182" s="25" t="str">
        <f>ROUNDDOWN(F182/Sheet3!$O$350,0)&amp;" "&amp;G182</f>
        <v>1 por minuto</v>
      </c>
      <c r="D182" s="25" t="str">
        <f>IF(H182&lt;&gt;"NA",ROUNDDOWN(H182/Sheet3!$O$350,0)&amp;" "&amp;G182,H182)</f>
        <v>NA</v>
      </c>
      <c r="E182" s="25">
        <v>-40</v>
      </c>
      <c r="F182" s="25">
        <v>1</v>
      </c>
      <c r="G182" s="25" t="s">
        <v>6764</v>
      </c>
      <c r="H182" s="45" t="s">
        <v>430</v>
      </c>
      <c r="J182" s="25">
        <v>14</v>
      </c>
      <c r="K182" s="25">
        <v>4</v>
      </c>
      <c r="O182" s="25" t="s">
        <v>6769</v>
      </c>
      <c r="P182" s="25">
        <v>25</v>
      </c>
      <c r="Q182" s="25">
        <v>0</v>
      </c>
      <c r="R182" s="25">
        <v>0</v>
      </c>
    </row>
    <row r="183" spans="2:61" x14ac:dyDescent="0.2">
      <c r="B183" s="32">
        <v>11</v>
      </c>
      <c r="C183" s="25" t="str">
        <f>ROUNDDOWN(F183/Sheet3!$O$350,0)&amp;" "&amp;G183</f>
        <v>2 por minuto</v>
      </c>
      <c r="D183" s="25" t="str">
        <f>IF(H183&lt;&gt;"NA",ROUNDDOWN(H183/Sheet3!$O$350,0)&amp;" "&amp;G183,H183)</f>
        <v>NA</v>
      </c>
      <c r="E183" s="25">
        <v>-50</v>
      </c>
      <c r="F183" s="25">
        <v>2</v>
      </c>
      <c r="G183" s="25" t="s">
        <v>6764</v>
      </c>
      <c r="H183" s="45" t="s">
        <v>430</v>
      </c>
      <c r="J183" s="25">
        <v>15</v>
      </c>
      <c r="K183" s="25">
        <v>5</v>
      </c>
      <c r="Q183" s="25">
        <f>IF('Hoja básica'!$I$5&gt;25,Sheet3!Q182,IF('Hoja básica'!$I$5&gt;23,Sheet3!Q181,IF('Hoja básica'!$I$5&gt;9,Sheet3!Q180,"No aplica")))</f>
        <v>-40</v>
      </c>
      <c r="R183" s="25" t="str">
        <f>IF('Hoja básica'!$I$5&gt;25,Sheet3!R182,IF('Hoja básica'!$I$5&gt;23,Sheet3!R181,"No aplica"))</f>
        <v>No aplica</v>
      </c>
    </row>
    <row r="184" spans="2:61" x14ac:dyDescent="0.2">
      <c r="B184" s="29">
        <v>12</v>
      </c>
      <c r="C184" s="25" t="str">
        <f>ROUNDDOWN(F184/Sheet3!$O$350,0)&amp;" "&amp;G184</f>
        <v>5 por minuto</v>
      </c>
      <c r="D184" s="25" t="str">
        <f>IF(H184&lt;&gt;"NA",ROUNDDOWN(H184/Sheet3!$O$350,0)&amp;" "&amp;G184,H184)</f>
        <v>NA</v>
      </c>
      <c r="E184" s="25" t="s">
        <v>716</v>
      </c>
      <c r="F184" s="25">
        <v>5</v>
      </c>
      <c r="G184" s="25" t="s">
        <v>6764</v>
      </c>
      <c r="H184" s="45" t="s">
        <v>430</v>
      </c>
    </row>
    <row r="185" spans="2:61" x14ac:dyDescent="0.2">
      <c r="B185" s="29">
        <v>13</v>
      </c>
      <c r="C185" s="25" t="str">
        <f>ROUNDDOWN(F185/Sheet3!$O$350,0)&amp;" "&amp;G185</f>
        <v>10 por minuto</v>
      </c>
      <c r="D185" s="25" t="str">
        <f>IF(H185&lt;&gt;"NA",ROUNDDOWN(H185/Sheet3!$O$350,0)&amp;" "&amp;G185,H185)</f>
        <v>NA</v>
      </c>
      <c r="E185" s="25" t="s">
        <v>717</v>
      </c>
      <c r="F185" s="25">
        <v>10</v>
      </c>
      <c r="G185" s="25" t="s">
        <v>6764</v>
      </c>
      <c r="H185" s="45" t="s">
        <v>430</v>
      </c>
      <c r="J185" s="25" t="s">
        <v>6767</v>
      </c>
      <c r="L185" s="25" t="s">
        <v>6770</v>
      </c>
      <c r="M185" s="25" t="s">
        <v>6771</v>
      </c>
      <c r="N185" s="25" t="s">
        <v>6772</v>
      </c>
      <c r="O185" s="25" t="s">
        <v>6773</v>
      </c>
      <c r="P185" s="25" t="s">
        <v>6776</v>
      </c>
    </row>
    <row r="186" spans="2:61" x14ac:dyDescent="0.2">
      <c r="B186" s="32">
        <v>14</v>
      </c>
      <c r="C186" s="25" t="str">
        <f>ROUNDDOWN(F186/Sheet3!$O$350,0)&amp;" "&amp;G186</f>
        <v>1 por asalto</v>
      </c>
      <c r="D186" s="25" t="str">
        <f>IF(H186&lt;&gt;"NA",ROUNDDOWN(H186/Sheet3!$O$350,0)&amp;" "&amp;G186,H186)</f>
        <v>NA</v>
      </c>
      <c r="E186" s="25" t="s">
        <v>718</v>
      </c>
      <c r="F186" s="25">
        <v>1</v>
      </c>
      <c r="G186" s="25" t="s">
        <v>6765</v>
      </c>
      <c r="H186" s="45" t="s">
        <v>430</v>
      </c>
      <c r="J186" s="25" t="s">
        <v>309</v>
      </c>
      <c r="K186" s="248">
        <v>0</v>
      </c>
      <c r="L186" s="248">
        <v>0</v>
      </c>
      <c r="M186" s="248">
        <v>0</v>
      </c>
      <c r="N186" s="248">
        <v>1</v>
      </c>
      <c r="O186" s="248">
        <v>0</v>
      </c>
      <c r="P186" s="294" t="s">
        <v>5703</v>
      </c>
    </row>
    <row r="187" spans="2:61" x14ac:dyDescent="0.2">
      <c r="B187" s="32">
        <v>15</v>
      </c>
      <c r="C187" s="25" t="str">
        <f>ROUNDDOWN(F187/Sheet3!$O$350,0)&amp;" "&amp;G187</f>
        <v>5 por asalto</v>
      </c>
      <c r="D187" s="25" t="str">
        <f>IF(H187&lt;&gt;"NA",ROUNDDOWN(H187/Sheet3!$O$350,0)&amp;" "&amp;G187,H187)</f>
        <v>NA</v>
      </c>
      <c r="E187" s="25" t="s">
        <v>719</v>
      </c>
      <c r="F187" s="25">
        <v>5</v>
      </c>
      <c r="G187" s="25" t="s">
        <v>6765</v>
      </c>
      <c r="H187" s="45" t="s">
        <v>430</v>
      </c>
      <c r="J187" s="25" t="s">
        <v>6779</v>
      </c>
      <c r="K187" s="248" t="s">
        <v>6780</v>
      </c>
      <c r="L187" s="248">
        <v>8</v>
      </c>
      <c r="M187" s="248">
        <v>16</v>
      </c>
      <c r="N187" s="248">
        <v>2</v>
      </c>
      <c r="O187" s="248" t="str">
        <f>R183</f>
        <v>No aplica</v>
      </c>
      <c r="P187" s="294" t="s">
        <v>6777</v>
      </c>
    </row>
    <row r="188" spans="2:61" x14ac:dyDescent="0.2">
      <c r="B188" s="29">
        <v>16</v>
      </c>
      <c r="C188" s="25" t="str">
        <f>ROUNDDOWN(F188/Sheet3!$O$350,0)&amp;" "&amp;G188</f>
        <v>10 por asalto</v>
      </c>
      <c r="D188" s="25" t="str">
        <f>IF(H188&lt;&gt;"NA",ROUNDDOWN(H188/Sheet3!$O$350,0)&amp;" "&amp;G188,H188)</f>
        <v>NA</v>
      </c>
      <c r="E188" s="25" t="s">
        <v>720</v>
      </c>
      <c r="F188" s="25">
        <v>10</v>
      </c>
      <c r="G188" s="25" t="s">
        <v>6765</v>
      </c>
      <c r="H188" s="45" t="s">
        <v>430</v>
      </c>
      <c r="J188" s="25" t="s">
        <v>6780</v>
      </c>
      <c r="K188" s="248" t="s">
        <v>6779</v>
      </c>
      <c r="L188" s="248">
        <v>3</v>
      </c>
      <c r="M188" s="248">
        <v>6</v>
      </c>
      <c r="N188" s="248">
        <v>1.5</v>
      </c>
      <c r="O188" s="248">
        <f>Q183</f>
        <v>-40</v>
      </c>
      <c r="P188" s="294" t="s">
        <v>6778</v>
      </c>
    </row>
    <row r="189" spans="2:61" x14ac:dyDescent="0.2">
      <c r="B189" s="29">
        <v>17</v>
      </c>
      <c r="C189" s="25" t="str">
        <f>ROUNDDOWN(F189/Sheet3!$O$350,0)&amp;" "&amp;G189</f>
        <v>25 por asalto</v>
      </c>
      <c r="D189" s="25" t="str">
        <f>IF(H189&lt;&gt;"NA",ROUNDDOWN(H189/Sheet3!$O$350,0)&amp;" "&amp;G189,H189)</f>
        <v>NA</v>
      </c>
      <c r="E189" s="25" t="s">
        <v>721</v>
      </c>
      <c r="F189" s="25">
        <v>25</v>
      </c>
      <c r="G189" s="25" t="s">
        <v>6765</v>
      </c>
      <c r="H189" s="45" t="s">
        <v>430</v>
      </c>
      <c r="K189" s="248" t="s">
        <v>309</v>
      </c>
      <c r="L189" s="248">
        <v>0</v>
      </c>
      <c r="M189" s="248">
        <v>0</v>
      </c>
      <c r="N189" s="248">
        <v>1</v>
      </c>
      <c r="O189" s="248">
        <f>0</f>
        <v>0</v>
      </c>
      <c r="P189" s="294" t="s">
        <v>5703</v>
      </c>
      <c r="AC189" s="25" t="s">
        <v>6053</v>
      </c>
      <c r="AD189" t="s">
        <v>46</v>
      </c>
      <c r="AE189" t="s">
        <v>66</v>
      </c>
      <c r="AF189" t="s">
        <v>57</v>
      </c>
      <c r="AG189" t="s">
        <v>36</v>
      </c>
      <c r="AH189" t="s">
        <v>113</v>
      </c>
      <c r="AI189" t="s">
        <v>121</v>
      </c>
      <c r="AJ189" t="s">
        <v>58</v>
      </c>
      <c r="AK189" t="s">
        <v>59</v>
      </c>
      <c r="AL189" s="25" t="s">
        <v>5706</v>
      </c>
      <c r="AM189" s="25" t="s">
        <v>5716</v>
      </c>
      <c r="AN189" s="25" t="s">
        <v>5717</v>
      </c>
      <c r="AO189" s="25" t="s">
        <v>5707</v>
      </c>
      <c r="AP189" s="25" t="s">
        <v>5708</v>
      </c>
      <c r="AQ189" s="25" t="s">
        <v>55</v>
      </c>
      <c r="AR189" s="25" t="s">
        <v>96</v>
      </c>
      <c r="AS189" s="25" t="s">
        <v>100</v>
      </c>
      <c r="AT189" s="25" t="s">
        <v>282</v>
      </c>
      <c r="AU189" s="25" t="s">
        <v>262</v>
      </c>
      <c r="AV189" s="25" t="s">
        <v>6047</v>
      </c>
      <c r="AW189" s="25" t="s">
        <v>265</v>
      </c>
      <c r="AX189" s="25" t="s">
        <v>266</v>
      </c>
      <c r="AY189" s="25" t="s">
        <v>6048</v>
      </c>
      <c r="AZ189" s="25" t="s">
        <v>6049</v>
      </c>
      <c r="BA189" s="25" t="s">
        <v>6050</v>
      </c>
      <c r="BB189" s="25" t="s">
        <v>6051</v>
      </c>
      <c r="BC189" s="25" t="s">
        <v>6052</v>
      </c>
      <c r="BD189" s="25" t="s">
        <v>6054</v>
      </c>
    </row>
    <row r="190" spans="2:61" x14ac:dyDescent="0.2">
      <c r="B190" s="29">
        <v>18</v>
      </c>
      <c r="C190" s="25" t="str">
        <f>ROUNDDOWN(F190/Sheet3!$O$350,0)&amp;" "&amp;G190</f>
        <v>50 por asalto</v>
      </c>
      <c r="D190" s="25" t="str">
        <f>IF(H190&lt;&gt;"NA",ROUNDDOWN(H190/Sheet3!$O$350,0)&amp;" "&amp;G190,H190)</f>
        <v>NA</v>
      </c>
      <c r="E190" s="25" t="s">
        <v>722</v>
      </c>
      <c r="F190" s="25">
        <v>50</v>
      </c>
      <c r="G190" s="25" t="s">
        <v>6765</v>
      </c>
      <c r="H190" s="45" t="s">
        <v>430</v>
      </c>
      <c r="AC190" s="25">
        <v>0</v>
      </c>
      <c r="AT190" s="25">
        <v>10</v>
      </c>
      <c r="BD190" s="25" t="s">
        <v>5137</v>
      </c>
    </row>
    <row r="191" spans="2:61" x14ac:dyDescent="0.2">
      <c r="B191" s="32">
        <v>19</v>
      </c>
      <c r="C191" s="25" t="str">
        <f>ROUNDDOWN(F191/Sheet3!$O$350,0)&amp;" "&amp;G191</f>
        <v>100 por asalto</v>
      </c>
      <c r="D191" s="25" t="str">
        <f>IF(H191&lt;&gt;"NA",ROUNDDOWN(H191/Sheet3!$O$350,0)&amp;" "&amp;G191,H191)</f>
        <v>NA</v>
      </c>
      <c r="E191" s="25" t="s">
        <v>723</v>
      </c>
      <c r="F191" s="25">
        <v>100</v>
      </c>
      <c r="G191" s="25" t="s">
        <v>6765</v>
      </c>
      <c r="H191" s="45" t="s">
        <v>430</v>
      </c>
      <c r="AC191" s="25" t="s">
        <v>5059</v>
      </c>
      <c r="AD191" s="25">
        <v>1</v>
      </c>
      <c r="AE191" s="25">
        <v>-1</v>
      </c>
      <c r="AF191" s="25">
        <v>1</v>
      </c>
      <c r="AK191" s="25">
        <v>-1</v>
      </c>
      <c r="AQ191" s="25">
        <v>-1</v>
      </c>
      <c r="AT191" s="25">
        <v>30</v>
      </c>
      <c r="BD191" s="25" t="s">
        <v>5137</v>
      </c>
    </row>
    <row r="192" spans="2:61" x14ac:dyDescent="0.2">
      <c r="B192" s="32">
        <v>20</v>
      </c>
      <c r="C192" s="25" t="str">
        <f>ROUNDDOWN(F192/Sheet3!$O$350,0)&amp;" "&amp;G192</f>
        <v>250 por asalto</v>
      </c>
      <c r="D192" s="25" t="str">
        <f>IF(H192&lt;&gt;"NA",ROUNDDOWN(H192/Sheet3!$O$350,0)&amp;" "&amp;G192,H192)</f>
        <v>NA</v>
      </c>
      <c r="E192" s="25" t="s">
        <v>723</v>
      </c>
      <c r="F192" s="25">
        <v>250</v>
      </c>
      <c r="G192" s="25" t="s">
        <v>6765</v>
      </c>
      <c r="H192" s="45" t="s">
        <v>430</v>
      </c>
      <c r="AC192" s="25" t="s">
        <v>5057</v>
      </c>
      <c r="AT192" s="25">
        <v>10</v>
      </c>
      <c r="AY192" s="25">
        <v>30</v>
      </c>
      <c r="BD192" s="25" t="s">
        <v>5137</v>
      </c>
    </row>
    <row r="193" spans="1:56" x14ac:dyDescent="0.2">
      <c r="B193" s="25" t="s">
        <v>0</v>
      </c>
      <c r="C193" s="25" t="s">
        <v>724</v>
      </c>
      <c r="D193" s="25" t="s">
        <v>725</v>
      </c>
      <c r="E193" s="25" t="s">
        <v>726</v>
      </c>
      <c r="F193" s="25" t="s">
        <v>289</v>
      </c>
      <c r="G193" s="25" t="s">
        <v>17</v>
      </c>
      <c r="H193" s="25" t="s">
        <v>727</v>
      </c>
      <c r="I193" s="25" t="s">
        <v>277</v>
      </c>
      <c r="J193" s="3" t="s">
        <v>156</v>
      </c>
      <c r="K193" s="3" t="s">
        <v>157</v>
      </c>
      <c r="L193" s="3" t="s">
        <v>158</v>
      </c>
      <c r="M193" s="3" t="s">
        <v>159</v>
      </c>
      <c r="N193" s="3" t="s">
        <v>160</v>
      </c>
      <c r="O193" s="3" t="s">
        <v>161</v>
      </c>
      <c r="P193" s="3" t="s">
        <v>162</v>
      </c>
      <c r="AC193" s="25" t="s">
        <v>5063</v>
      </c>
      <c r="AE193" s="25">
        <v>2</v>
      </c>
      <c r="AG193" s="25">
        <v>1</v>
      </c>
      <c r="AH193" s="25">
        <v>1</v>
      </c>
      <c r="AJ193" s="25">
        <v>1</v>
      </c>
      <c r="AK193" s="25">
        <v>1</v>
      </c>
      <c r="AL193" s="25">
        <v>-10</v>
      </c>
      <c r="AM193" s="25">
        <v>-10</v>
      </c>
      <c r="AO193" s="25">
        <v>15</v>
      </c>
      <c r="AP193" s="25">
        <v>15</v>
      </c>
      <c r="AQ193" s="25">
        <v>2</v>
      </c>
      <c r="AT193" s="25">
        <v>10</v>
      </c>
      <c r="AU193" s="25">
        <v>10</v>
      </c>
      <c r="AV193" s="25">
        <v>10</v>
      </c>
      <c r="AW193" s="25">
        <v>10</v>
      </c>
      <c r="AX193" s="25">
        <v>10</v>
      </c>
      <c r="BD193" s="25" t="s">
        <v>5137</v>
      </c>
    </row>
    <row r="194" spans="1:56" x14ac:dyDescent="0.2">
      <c r="A194" s="25">
        <v>1</v>
      </c>
      <c r="B194" s="25" t="s">
        <v>728</v>
      </c>
      <c r="C194" s="33">
        <v>0</v>
      </c>
      <c r="D194" s="25">
        <v>-5</v>
      </c>
      <c r="E194" s="25">
        <v>0</v>
      </c>
      <c r="F194" s="25">
        <v>10</v>
      </c>
      <c r="G194" s="25">
        <v>25</v>
      </c>
      <c r="H194" s="25" t="s">
        <v>729</v>
      </c>
      <c r="I194" s="25" t="s">
        <v>730</v>
      </c>
      <c r="J194" s="25">
        <v>1</v>
      </c>
      <c r="K194" s="25">
        <v>1</v>
      </c>
      <c r="L194" s="25">
        <v>1</v>
      </c>
      <c r="M194" s="25">
        <v>1</v>
      </c>
      <c r="N194" s="25">
        <v>2</v>
      </c>
      <c r="O194" s="25">
        <v>2</v>
      </c>
      <c r="P194" s="25">
        <v>0</v>
      </c>
      <c r="Q194" s="25">
        <v>1</v>
      </c>
      <c r="R194" s="25">
        <v>1</v>
      </c>
      <c r="AC194" s="25" t="s">
        <v>5060</v>
      </c>
      <c r="AD194" s="25">
        <v>1</v>
      </c>
      <c r="AE194" s="25">
        <v>1</v>
      </c>
      <c r="AF194" s="25">
        <v>1</v>
      </c>
      <c r="AG194" s="25">
        <v>1</v>
      </c>
      <c r="AH194" s="25">
        <v>1</v>
      </c>
      <c r="AI194" s="25">
        <v>1</v>
      </c>
      <c r="AJ194" s="25">
        <v>1</v>
      </c>
      <c r="AK194" s="25">
        <v>1</v>
      </c>
      <c r="AL194" s="25">
        <f>IF('Hoja básica'!$C$4="Hombre",20,0)+IF('Hoja básica'!$C$4&lt;&gt;"Hombre",15,0)</f>
        <v>15</v>
      </c>
      <c r="AM194" s="25">
        <f>IF('Hoja básica'!$C$4="Hombre",15,0)+IF('Hoja básica'!$C$4&lt;&gt;"Hombre",15,0)</f>
        <v>15</v>
      </c>
      <c r="AN194" s="25">
        <f>IF('Hoja básica'!$C$4="Hombre",15,0)+IF('Hoja básica'!$C$4&lt;&gt;"Hombre",15,0)</f>
        <v>15</v>
      </c>
      <c r="AO194" s="25">
        <f>IF('Hoja básica'!$C$4="Mujer",20,0)+IF('Hoja básica'!$C$4&lt;&gt;"Mujer",15,0)</f>
        <v>15</v>
      </c>
      <c r="AP194" s="25">
        <f>IF('Hoja básica'!$C$4="Hombre",15,0)+IF('Hoja básica'!$C$4&lt;&gt;"Hombre",15,0)</f>
        <v>15</v>
      </c>
      <c r="AS194" s="25">
        <v>5</v>
      </c>
      <c r="AT194" s="25">
        <v>10</v>
      </c>
      <c r="BD194" s="25" t="s">
        <v>5139</v>
      </c>
    </row>
    <row r="195" spans="1:56" x14ac:dyDescent="0.2">
      <c r="A195" s="25">
        <v>2</v>
      </c>
      <c r="B195" s="25" t="s">
        <v>731</v>
      </c>
      <c r="C195" s="33">
        <v>60</v>
      </c>
      <c r="D195" s="25">
        <v>-20</v>
      </c>
      <c r="E195" s="25">
        <v>2</v>
      </c>
      <c r="F195" s="25">
        <v>15</v>
      </c>
      <c r="G195" s="25">
        <v>30</v>
      </c>
      <c r="H195" s="25" t="s">
        <v>729</v>
      </c>
      <c r="I195" s="25" t="s">
        <v>730</v>
      </c>
      <c r="J195" s="25">
        <v>4</v>
      </c>
      <c r="K195" s="25">
        <v>3</v>
      </c>
      <c r="L195" s="25">
        <v>1</v>
      </c>
      <c r="M195" s="25">
        <v>2</v>
      </c>
      <c r="N195" s="25">
        <v>0</v>
      </c>
      <c r="O195" s="25">
        <v>1</v>
      </c>
      <c r="P195" s="25">
        <v>0</v>
      </c>
      <c r="Q195" s="25">
        <v>11</v>
      </c>
      <c r="R195" s="25">
        <v>1</v>
      </c>
      <c r="AC195" s="25" t="s">
        <v>5058</v>
      </c>
      <c r="AT195" s="25">
        <v>10</v>
      </c>
      <c r="BD195" s="25" t="s">
        <v>5137</v>
      </c>
    </row>
    <row r="196" spans="1:56" x14ac:dyDescent="0.2">
      <c r="A196" s="25">
        <v>3</v>
      </c>
      <c r="B196" s="25" t="s">
        <v>732</v>
      </c>
      <c r="C196" s="34">
        <v>100</v>
      </c>
      <c r="D196" s="25">
        <v>-50</v>
      </c>
      <c r="E196" s="25">
        <v>4</v>
      </c>
      <c r="F196" s="25">
        <v>18</v>
      </c>
      <c r="G196" s="25">
        <v>45</v>
      </c>
      <c r="H196" s="25" t="s">
        <v>732</v>
      </c>
      <c r="I196" s="25" t="s">
        <v>733</v>
      </c>
      <c r="J196" s="25">
        <v>5</v>
      </c>
      <c r="K196" s="25">
        <v>5</v>
      </c>
      <c r="L196" s="25">
        <v>5</v>
      </c>
      <c r="M196" s="25">
        <v>4</v>
      </c>
      <c r="N196" s="25">
        <v>0</v>
      </c>
      <c r="O196" s="25">
        <v>4</v>
      </c>
      <c r="P196" s="25">
        <v>2</v>
      </c>
      <c r="Q196" s="25">
        <v>15</v>
      </c>
      <c r="R196" s="25">
        <v>1</v>
      </c>
      <c r="AC196" s="25" t="s">
        <v>5048</v>
      </c>
      <c r="AT196" s="25">
        <v>10</v>
      </c>
      <c r="BD196" s="25" t="s">
        <v>5137</v>
      </c>
    </row>
    <row r="197" spans="1:56" x14ac:dyDescent="0.2">
      <c r="A197" s="25">
        <v>4</v>
      </c>
      <c r="B197" s="25" t="s">
        <v>734</v>
      </c>
      <c r="C197" s="33">
        <v>10</v>
      </c>
      <c r="D197" s="25">
        <v>0</v>
      </c>
      <c r="E197" s="25">
        <v>1</v>
      </c>
      <c r="F197" s="25">
        <v>12</v>
      </c>
      <c r="G197" s="25">
        <v>25</v>
      </c>
      <c r="H197" s="25" t="s">
        <v>732</v>
      </c>
      <c r="I197" s="25" t="s">
        <v>730</v>
      </c>
      <c r="J197" s="25">
        <v>1</v>
      </c>
      <c r="K197" s="25">
        <v>0</v>
      </c>
      <c r="L197" s="25">
        <v>2</v>
      </c>
      <c r="M197" s="25">
        <v>1</v>
      </c>
      <c r="N197" s="25">
        <v>2</v>
      </c>
      <c r="O197" s="25">
        <v>1</v>
      </c>
      <c r="P197" s="25">
        <v>0</v>
      </c>
      <c r="Q197" s="25">
        <v>5</v>
      </c>
      <c r="R197" s="25">
        <v>1</v>
      </c>
      <c r="AC197" s="25" t="s">
        <v>5056</v>
      </c>
      <c r="AE197" s="25">
        <v>1</v>
      </c>
      <c r="AG197" s="25">
        <v>2</v>
      </c>
      <c r="AJ197" s="25">
        <v>-1</v>
      </c>
      <c r="AL197" s="25">
        <v>20</v>
      </c>
      <c r="AO197" s="25">
        <v>-20</v>
      </c>
      <c r="AQ197" s="25">
        <v>2</v>
      </c>
      <c r="AR197" s="25">
        <v>3</v>
      </c>
      <c r="AT197" s="25">
        <f>IF('Hoja básica'!I5&lt;=22,40,60)</f>
        <v>40</v>
      </c>
      <c r="BD197" s="25" t="s">
        <v>5137</v>
      </c>
    </row>
    <row r="198" spans="1:56" x14ac:dyDescent="0.2">
      <c r="A198" s="25">
        <v>5</v>
      </c>
      <c r="B198" s="25" t="s">
        <v>735</v>
      </c>
      <c r="C198" s="34">
        <v>120</v>
      </c>
      <c r="D198" s="25">
        <v>-60</v>
      </c>
      <c r="E198" s="25">
        <v>5</v>
      </c>
      <c r="F198" s="25">
        <v>19</v>
      </c>
      <c r="G198" s="25">
        <v>45</v>
      </c>
      <c r="H198" s="25" t="s">
        <v>732</v>
      </c>
      <c r="I198" s="25" t="s">
        <v>733</v>
      </c>
      <c r="J198" s="25">
        <v>6</v>
      </c>
      <c r="K198" s="25">
        <v>6</v>
      </c>
      <c r="L198" s="25">
        <v>6</v>
      </c>
      <c r="M198" s="25">
        <v>4</v>
      </c>
      <c r="N198" s="25">
        <v>0</v>
      </c>
      <c r="O198" s="25">
        <v>4</v>
      </c>
      <c r="P198" s="25">
        <v>2</v>
      </c>
      <c r="Q198" s="25">
        <v>16</v>
      </c>
      <c r="R198" s="25">
        <v>1</v>
      </c>
      <c r="AC198" s="25" t="s">
        <v>5061</v>
      </c>
      <c r="AT198" s="25">
        <v>10</v>
      </c>
      <c r="BD198" s="25" t="s">
        <v>5137</v>
      </c>
    </row>
    <row r="199" spans="1:56" x14ac:dyDescent="0.2">
      <c r="A199" s="25">
        <v>6</v>
      </c>
      <c r="B199" s="25" t="s">
        <v>736</v>
      </c>
      <c r="C199" s="33">
        <v>0</v>
      </c>
      <c r="D199" s="25">
        <v>0</v>
      </c>
      <c r="E199" s="25">
        <v>0</v>
      </c>
      <c r="F199" s="25">
        <v>12</v>
      </c>
      <c r="G199" s="25">
        <v>25</v>
      </c>
      <c r="H199" s="25" t="s">
        <v>729</v>
      </c>
      <c r="I199" s="25" t="s">
        <v>730</v>
      </c>
      <c r="J199" s="25">
        <v>1</v>
      </c>
      <c r="K199" s="25">
        <v>0</v>
      </c>
      <c r="L199" s="25">
        <v>2</v>
      </c>
      <c r="M199" s="25">
        <v>1</v>
      </c>
      <c r="N199" s="25">
        <v>2</v>
      </c>
      <c r="O199" s="25">
        <v>1</v>
      </c>
      <c r="P199" s="25">
        <v>0</v>
      </c>
      <c r="Q199" s="25">
        <v>2</v>
      </c>
      <c r="R199" s="25">
        <v>1</v>
      </c>
      <c r="AC199" s="25" t="s">
        <v>5053</v>
      </c>
      <c r="AQ199" s="25">
        <v>-1</v>
      </c>
      <c r="AT199" s="25">
        <v>10</v>
      </c>
      <c r="BD199" s="25" t="s">
        <v>5137</v>
      </c>
    </row>
    <row r="200" spans="1:56" x14ac:dyDescent="0.2">
      <c r="A200" s="25">
        <v>7</v>
      </c>
      <c r="B200" s="25" t="s">
        <v>737</v>
      </c>
      <c r="C200" s="33">
        <v>20</v>
      </c>
      <c r="D200" s="25">
        <v>-10</v>
      </c>
      <c r="E200" s="25">
        <v>0</v>
      </c>
      <c r="F200" s="25">
        <v>13</v>
      </c>
      <c r="G200" s="25">
        <v>25</v>
      </c>
      <c r="H200" s="25" t="s">
        <v>738</v>
      </c>
      <c r="I200" s="25" t="s">
        <v>733</v>
      </c>
      <c r="J200" s="25">
        <v>2</v>
      </c>
      <c r="K200" s="25">
        <v>2</v>
      </c>
      <c r="L200" s="25">
        <v>2</v>
      </c>
      <c r="M200" s="25">
        <v>2</v>
      </c>
      <c r="N200" s="25">
        <v>2</v>
      </c>
      <c r="O200" s="25">
        <v>2</v>
      </c>
      <c r="P200" s="25">
        <v>0</v>
      </c>
      <c r="Q200" s="25">
        <v>6</v>
      </c>
      <c r="R200" s="25">
        <v>1</v>
      </c>
      <c r="AC200" s="25" t="s">
        <v>5051</v>
      </c>
      <c r="AT200" s="25">
        <v>10</v>
      </c>
      <c r="AY200" s="25">
        <v>50</v>
      </c>
      <c r="BD200" s="25" t="s">
        <v>5137</v>
      </c>
    </row>
    <row r="201" spans="1:56" x14ac:dyDescent="0.2">
      <c r="A201" s="25">
        <v>8</v>
      </c>
      <c r="B201" s="25" t="s">
        <v>739</v>
      </c>
      <c r="C201" s="33">
        <v>25</v>
      </c>
      <c r="D201" s="25">
        <v>-10</v>
      </c>
      <c r="E201" s="25">
        <v>1</v>
      </c>
      <c r="F201" s="25">
        <v>14</v>
      </c>
      <c r="G201" s="25">
        <v>25</v>
      </c>
      <c r="H201" s="25" t="s">
        <v>738</v>
      </c>
      <c r="I201" s="25" t="s">
        <v>733</v>
      </c>
      <c r="J201" s="25">
        <v>3</v>
      </c>
      <c r="K201" s="25">
        <v>1</v>
      </c>
      <c r="L201" s="25">
        <v>2</v>
      </c>
      <c r="M201" s="25">
        <v>2</v>
      </c>
      <c r="N201" s="25">
        <v>1</v>
      </c>
      <c r="O201" s="25">
        <v>2</v>
      </c>
      <c r="P201" s="25">
        <v>0</v>
      </c>
      <c r="Q201" s="25">
        <v>7</v>
      </c>
      <c r="R201" s="25">
        <v>1</v>
      </c>
      <c r="AC201" s="25" t="s">
        <v>5064</v>
      </c>
      <c r="AO201" s="25">
        <v>10</v>
      </c>
      <c r="AP201" s="25">
        <v>10</v>
      </c>
      <c r="AT201" s="25">
        <v>10</v>
      </c>
      <c r="AU201" s="25">
        <v>10</v>
      </c>
      <c r="AX201" s="25">
        <v>10</v>
      </c>
      <c r="BD201" s="25" t="s">
        <v>5137</v>
      </c>
    </row>
    <row r="202" spans="1:56" x14ac:dyDescent="0.2">
      <c r="A202" s="25">
        <v>9</v>
      </c>
      <c r="B202" s="25" t="s">
        <v>740</v>
      </c>
      <c r="C202" s="34">
        <v>150</v>
      </c>
      <c r="D202" s="25">
        <v>-70</v>
      </c>
      <c r="E202" s="25">
        <v>6</v>
      </c>
      <c r="F202" s="25">
        <v>20</v>
      </c>
      <c r="G202" s="25">
        <v>50</v>
      </c>
      <c r="H202" s="25" t="s">
        <v>732</v>
      </c>
      <c r="I202" s="25" t="s">
        <v>733</v>
      </c>
      <c r="J202" s="25">
        <v>7</v>
      </c>
      <c r="K202" s="25">
        <v>7</v>
      </c>
      <c r="L202" s="25">
        <v>7</v>
      </c>
      <c r="M202" s="25">
        <v>4</v>
      </c>
      <c r="N202" s="25">
        <v>0</v>
      </c>
      <c r="O202" s="25">
        <v>4</v>
      </c>
      <c r="P202" s="25">
        <v>2</v>
      </c>
      <c r="Q202" s="25">
        <v>17</v>
      </c>
      <c r="R202" s="25">
        <v>1</v>
      </c>
      <c r="AC202" s="25" t="s">
        <v>5054</v>
      </c>
      <c r="AL202" s="25">
        <f>IF('Hoja básica'!$C$4="Hombre",20,0)+IF('Hoja básica'!$C$4&lt;&gt;"Hombre",15,0)</f>
        <v>15</v>
      </c>
      <c r="AM202" s="25">
        <f>IF('Hoja básica'!$C$4="Hombre",15,0)+IF('Hoja básica'!$C$4&lt;&gt;"Hombre",15,0)</f>
        <v>15</v>
      </c>
      <c r="AN202" s="25">
        <f>IF('Hoja básica'!$C$4="Hombre",15,0)+IF('Hoja básica'!$C$4&lt;&gt;"Hombre",15,0)</f>
        <v>15</v>
      </c>
      <c r="AO202" s="25">
        <f>IF('Hoja básica'!$C$4="Mujer",20,0)+IF('Hoja básica'!$C$4&lt;&gt;"Mujer",15,0)</f>
        <v>15</v>
      </c>
      <c r="AP202" s="25">
        <f>IF('Hoja básica'!$C$4="Hombre",15,0)+IF('Hoja básica'!$C$4&lt;&gt;"Hombre",15,0)</f>
        <v>15</v>
      </c>
      <c r="AS202" s="25">
        <v>1</v>
      </c>
      <c r="AT202" s="25">
        <v>10</v>
      </c>
      <c r="BD202" s="25" t="s">
        <v>5139</v>
      </c>
    </row>
    <row r="203" spans="1:56" x14ac:dyDescent="0.2">
      <c r="A203" s="25">
        <v>10</v>
      </c>
      <c r="B203" s="25" t="s">
        <v>741</v>
      </c>
      <c r="C203" s="34">
        <v>80</v>
      </c>
      <c r="D203" s="25">
        <v>-15</v>
      </c>
      <c r="E203" s="25">
        <v>3</v>
      </c>
      <c r="F203" s="25">
        <v>17</v>
      </c>
      <c r="G203" s="25">
        <v>35</v>
      </c>
      <c r="H203" s="25" t="s">
        <v>732</v>
      </c>
      <c r="I203" s="25" t="s">
        <v>733</v>
      </c>
      <c r="J203" s="25">
        <v>4</v>
      </c>
      <c r="K203" s="25">
        <v>4</v>
      </c>
      <c r="L203" s="25">
        <v>4</v>
      </c>
      <c r="M203" s="25">
        <v>3</v>
      </c>
      <c r="N203" s="25">
        <v>0</v>
      </c>
      <c r="O203" s="25">
        <v>3</v>
      </c>
      <c r="P203" s="25">
        <v>1</v>
      </c>
      <c r="Q203" s="25">
        <v>13</v>
      </c>
      <c r="R203" s="25">
        <v>1</v>
      </c>
      <c r="AC203" s="25" t="s">
        <v>5052</v>
      </c>
      <c r="AT203" s="25">
        <v>10</v>
      </c>
      <c r="BD203" s="25" t="s">
        <v>5137</v>
      </c>
    </row>
    <row r="204" spans="1:56" x14ac:dyDescent="0.2">
      <c r="A204" s="25">
        <v>11</v>
      </c>
      <c r="B204" s="25" t="s">
        <v>742</v>
      </c>
      <c r="C204" s="33">
        <v>0</v>
      </c>
      <c r="D204" s="25">
        <v>-5</v>
      </c>
      <c r="E204" s="25">
        <v>0</v>
      </c>
      <c r="F204" s="25">
        <v>10</v>
      </c>
      <c r="G204" s="25">
        <v>25</v>
      </c>
      <c r="H204" s="25" t="s">
        <v>732</v>
      </c>
      <c r="I204" s="25" t="s">
        <v>730</v>
      </c>
      <c r="J204" s="25">
        <v>1</v>
      </c>
      <c r="K204" s="25">
        <v>0</v>
      </c>
      <c r="L204" s="25">
        <v>2</v>
      </c>
      <c r="M204" s="25">
        <v>1</v>
      </c>
      <c r="N204" s="25">
        <v>2</v>
      </c>
      <c r="O204" s="25">
        <v>2</v>
      </c>
      <c r="P204" s="25">
        <v>0</v>
      </c>
      <c r="Q204" s="25">
        <v>3</v>
      </c>
      <c r="R204" s="25">
        <v>1</v>
      </c>
      <c r="AC204" s="25" t="s">
        <v>5050</v>
      </c>
      <c r="AG204" s="25">
        <v>1</v>
      </c>
      <c r="AL204" s="25">
        <v>15</v>
      </c>
      <c r="AO204" s="25">
        <v>-10</v>
      </c>
      <c r="AQ204" s="25">
        <v>2</v>
      </c>
      <c r="AR204" s="25">
        <v>1</v>
      </c>
      <c r="AT204" s="25">
        <v>10</v>
      </c>
      <c r="BD204" s="25" t="s">
        <v>5137</v>
      </c>
    </row>
    <row r="205" spans="1:56" x14ac:dyDescent="0.2">
      <c r="A205" s="25">
        <v>12</v>
      </c>
      <c r="B205" s="25" t="s">
        <v>743</v>
      </c>
      <c r="C205" s="33">
        <v>30</v>
      </c>
      <c r="D205" s="25">
        <v>-15</v>
      </c>
      <c r="E205" s="25">
        <v>1</v>
      </c>
      <c r="F205" s="25">
        <v>15</v>
      </c>
      <c r="G205" s="25">
        <v>30</v>
      </c>
      <c r="H205" s="25" t="s">
        <v>732</v>
      </c>
      <c r="I205" s="25" t="s">
        <v>730</v>
      </c>
      <c r="J205" s="25">
        <v>4</v>
      </c>
      <c r="K205" s="25">
        <v>2</v>
      </c>
      <c r="L205" s="25">
        <v>1</v>
      </c>
      <c r="M205" s="25">
        <v>2</v>
      </c>
      <c r="N205" s="25">
        <v>0</v>
      </c>
      <c r="O205" s="25">
        <v>1</v>
      </c>
      <c r="P205" s="25">
        <v>0</v>
      </c>
      <c r="Q205" s="25">
        <v>8</v>
      </c>
      <c r="R205" s="25">
        <v>1</v>
      </c>
      <c r="AC205" s="25" t="s">
        <v>5049</v>
      </c>
      <c r="AL205" s="25">
        <v>5</v>
      </c>
      <c r="AM205" s="25">
        <v>20</v>
      </c>
      <c r="AN205" s="25">
        <v>5</v>
      </c>
      <c r="AO205" s="25">
        <v>10</v>
      </c>
      <c r="AP205" s="25">
        <v>10</v>
      </c>
      <c r="AS205" s="25">
        <v>1</v>
      </c>
      <c r="AT205" s="25">
        <v>10</v>
      </c>
      <c r="BD205" s="25" t="s">
        <v>5139</v>
      </c>
    </row>
    <row r="206" spans="1:56" x14ac:dyDescent="0.2">
      <c r="A206" s="25">
        <v>13</v>
      </c>
      <c r="B206" s="45" t="s">
        <v>5703</v>
      </c>
      <c r="C206" s="34">
        <v>0</v>
      </c>
      <c r="D206" s="25">
        <v>0</v>
      </c>
      <c r="E206" s="25">
        <v>0</v>
      </c>
      <c r="F206" s="25">
        <v>0</v>
      </c>
      <c r="G206" s="25">
        <v>0</v>
      </c>
      <c r="H206" s="45" t="s">
        <v>5703</v>
      </c>
      <c r="I206" s="45" t="s">
        <v>5703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18</v>
      </c>
      <c r="R206" s="25">
        <v>0</v>
      </c>
      <c r="AC206" s="25" t="s">
        <v>6007</v>
      </c>
      <c r="AT206" s="25">
        <v>30</v>
      </c>
      <c r="AZ206" s="25">
        <v>1</v>
      </c>
      <c r="BA206" s="25">
        <v>1</v>
      </c>
      <c r="BB206" s="25">
        <v>1</v>
      </c>
      <c r="BC206" s="25">
        <v>1</v>
      </c>
      <c r="BD206" s="25" t="s">
        <v>5137</v>
      </c>
    </row>
    <row r="207" spans="1:56" x14ac:dyDescent="0.2">
      <c r="A207" s="25">
        <v>14</v>
      </c>
      <c r="B207" s="25" t="s">
        <v>738</v>
      </c>
      <c r="C207" s="33">
        <v>40</v>
      </c>
      <c r="D207" s="25">
        <v>-15</v>
      </c>
      <c r="E207" s="25">
        <v>1</v>
      </c>
      <c r="F207" s="25">
        <v>16</v>
      </c>
      <c r="G207" s="25">
        <v>30</v>
      </c>
      <c r="H207" s="25" t="s">
        <v>738</v>
      </c>
      <c r="I207" s="25" t="s">
        <v>733</v>
      </c>
      <c r="J207" s="25">
        <v>4</v>
      </c>
      <c r="K207" s="25">
        <v>5</v>
      </c>
      <c r="L207" s="25">
        <v>4</v>
      </c>
      <c r="M207" s="25">
        <v>1</v>
      </c>
      <c r="N207" s="25">
        <v>0</v>
      </c>
      <c r="O207" s="25">
        <v>1</v>
      </c>
      <c r="P207" s="25">
        <v>0</v>
      </c>
      <c r="Q207" s="25">
        <v>9</v>
      </c>
      <c r="R207" s="25">
        <v>1</v>
      </c>
      <c r="AC207" s="25" t="s">
        <v>5065</v>
      </c>
      <c r="AM207" s="25">
        <v>-20</v>
      </c>
      <c r="AS207" s="25">
        <v>1</v>
      </c>
      <c r="AT207" s="25">
        <v>10</v>
      </c>
      <c r="BD207" s="25" t="s">
        <v>5137</v>
      </c>
    </row>
    <row r="208" spans="1:56" x14ac:dyDescent="0.2">
      <c r="A208" s="25">
        <v>15</v>
      </c>
      <c r="B208" s="25" t="s">
        <v>745</v>
      </c>
      <c r="C208" s="33">
        <v>10</v>
      </c>
      <c r="D208" s="25">
        <v>-10</v>
      </c>
      <c r="E208" s="25">
        <v>0</v>
      </c>
      <c r="F208" s="25">
        <v>10</v>
      </c>
      <c r="G208" s="25">
        <v>25</v>
      </c>
      <c r="H208" s="25" t="s">
        <v>729</v>
      </c>
      <c r="I208" s="25" t="s">
        <v>730</v>
      </c>
      <c r="J208" s="25">
        <v>2</v>
      </c>
      <c r="K208" s="25">
        <v>1</v>
      </c>
      <c r="L208" s="25">
        <v>2</v>
      </c>
      <c r="M208" s="25">
        <v>1</v>
      </c>
      <c r="N208" s="25">
        <v>2</v>
      </c>
      <c r="O208" s="25">
        <v>2</v>
      </c>
      <c r="P208" s="25">
        <v>0</v>
      </c>
      <c r="Q208" s="25">
        <v>4</v>
      </c>
      <c r="R208" s="25">
        <v>1</v>
      </c>
      <c r="AC208" s="25" t="s">
        <v>6005</v>
      </c>
      <c r="AT208" s="25">
        <v>10</v>
      </c>
      <c r="BD208" s="25" t="s">
        <v>5137</v>
      </c>
    </row>
    <row r="209" spans="1:66" x14ac:dyDescent="0.2">
      <c r="A209" s="25">
        <v>16</v>
      </c>
      <c r="B209" s="25" t="s">
        <v>746</v>
      </c>
      <c r="C209" s="33">
        <v>50</v>
      </c>
      <c r="D209" s="25">
        <v>-20</v>
      </c>
      <c r="E209" s="25">
        <v>2</v>
      </c>
      <c r="F209" s="25">
        <v>15</v>
      </c>
      <c r="G209" s="25">
        <v>30</v>
      </c>
      <c r="H209" s="25" t="s">
        <v>732</v>
      </c>
      <c r="I209" s="25" t="s">
        <v>733</v>
      </c>
      <c r="J209" s="25">
        <v>4</v>
      </c>
      <c r="K209" s="25">
        <v>3</v>
      </c>
      <c r="L209" s="25">
        <v>2</v>
      </c>
      <c r="M209" s="25">
        <v>3</v>
      </c>
      <c r="N209" s="25">
        <v>2</v>
      </c>
      <c r="O209" s="25">
        <v>2</v>
      </c>
      <c r="P209" s="25">
        <v>0</v>
      </c>
      <c r="Q209" s="25">
        <v>10</v>
      </c>
      <c r="R209" s="25">
        <v>1</v>
      </c>
      <c r="AC209" s="25" t="s">
        <v>5062</v>
      </c>
      <c r="AT209" s="25">
        <v>10</v>
      </c>
      <c r="BD209" s="25" t="s">
        <v>5137</v>
      </c>
    </row>
    <row r="210" spans="1:66" x14ac:dyDescent="0.2">
      <c r="A210" s="25">
        <v>17</v>
      </c>
      <c r="B210" s="25" t="s">
        <v>747</v>
      </c>
      <c r="C210" s="34">
        <v>90</v>
      </c>
      <c r="D210" s="25">
        <v>-35</v>
      </c>
      <c r="E210" s="25">
        <v>4</v>
      </c>
      <c r="F210" s="25">
        <v>17</v>
      </c>
      <c r="G210" s="25">
        <v>40</v>
      </c>
      <c r="H210" s="25" t="s">
        <v>732</v>
      </c>
      <c r="I210" s="25" t="s">
        <v>733</v>
      </c>
      <c r="J210" s="25">
        <v>5</v>
      </c>
      <c r="K210" s="25">
        <v>4</v>
      </c>
      <c r="L210" s="25">
        <v>5</v>
      </c>
      <c r="M210" s="25">
        <v>3</v>
      </c>
      <c r="N210" s="25">
        <v>0</v>
      </c>
      <c r="O210" s="25">
        <v>3</v>
      </c>
      <c r="P210" s="25">
        <v>1</v>
      </c>
      <c r="Q210" s="25">
        <v>14</v>
      </c>
      <c r="R210" s="25">
        <v>1</v>
      </c>
      <c r="AC210" s="25" t="s">
        <v>5055</v>
      </c>
      <c r="AD210" s="25">
        <v>1</v>
      </c>
      <c r="AE210" s="25">
        <v>-1</v>
      </c>
      <c r="AF210" s="25">
        <v>1</v>
      </c>
      <c r="AJ210" s="25">
        <v>1</v>
      </c>
      <c r="AM210" s="25">
        <v>20</v>
      </c>
      <c r="AN210" s="25">
        <v>10</v>
      </c>
      <c r="AO210" s="25">
        <v>30</v>
      </c>
      <c r="AP210" s="25">
        <v>30</v>
      </c>
      <c r="AS210" s="25">
        <v>3</v>
      </c>
      <c r="AT210" s="25">
        <v>10</v>
      </c>
      <c r="BD210" s="25" t="s">
        <v>5139</v>
      </c>
    </row>
    <row r="211" spans="1:66" x14ac:dyDescent="0.2">
      <c r="A211" s="25">
        <v>18</v>
      </c>
      <c r="B211" s="25" t="s">
        <v>748</v>
      </c>
      <c r="C211" s="33">
        <v>70</v>
      </c>
      <c r="D211" s="25">
        <v>-20</v>
      </c>
      <c r="E211" s="25">
        <v>3</v>
      </c>
      <c r="F211" s="25">
        <v>16</v>
      </c>
      <c r="G211" s="25">
        <v>35</v>
      </c>
      <c r="H211" s="25" t="s">
        <v>732</v>
      </c>
      <c r="I211" s="25" t="s">
        <v>733</v>
      </c>
      <c r="J211" s="25">
        <v>4</v>
      </c>
      <c r="K211" s="25">
        <v>4</v>
      </c>
      <c r="L211" s="25">
        <v>4</v>
      </c>
      <c r="M211" s="25">
        <v>2</v>
      </c>
      <c r="N211" s="25">
        <v>0</v>
      </c>
      <c r="O211" s="25">
        <v>1</v>
      </c>
      <c r="P211" s="25">
        <v>1</v>
      </c>
      <c r="Q211" s="25">
        <v>12</v>
      </c>
      <c r="R211" s="25">
        <v>1</v>
      </c>
      <c r="AC211" s="25" t="s">
        <v>5067</v>
      </c>
      <c r="AI211" s="25">
        <v>1</v>
      </c>
      <c r="AT211" s="25">
        <v>40</v>
      </c>
      <c r="BD211" s="25" t="s">
        <v>5137</v>
      </c>
    </row>
    <row r="212" spans="1:66" x14ac:dyDescent="0.2">
      <c r="A212" s="25">
        <v>19</v>
      </c>
      <c r="B212" s="25" t="s">
        <v>0</v>
      </c>
      <c r="C212" s="25" t="s">
        <v>724</v>
      </c>
      <c r="D212" s="25" t="s">
        <v>725</v>
      </c>
      <c r="E212" s="25" t="s">
        <v>749</v>
      </c>
      <c r="F212" s="25" t="s">
        <v>289</v>
      </c>
      <c r="G212" s="25" t="s">
        <v>17</v>
      </c>
      <c r="H212" s="25" t="s">
        <v>727</v>
      </c>
      <c r="I212" s="25" t="s">
        <v>277</v>
      </c>
      <c r="J212" s="3" t="s">
        <v>156</v>
      </c>
      <c r="K212" s="3" t="s">
        <v>157</v>
      </c>
      <c r="L212" s="3" t="s">
        <v>158</v>
      </c>
      <c r="M212" s="3" t="s">
        <v>159</v>
      </c>
      <c r="N212" s="3" t="s">
        <v>160</v>
      </c>
      <c r="O212" s="3" t="s">
        <v>161</v>
      </c>
      <c r="P212" s="3" t="s">
        <v>162</v>
      </c>
      <c r="Q212" s="25">
        <v>19</v>
      </c>
      <c r="R212" s="25">
        <v>0</v>
      </c>
      <c r="AC212" s="25" t="s">
        <v>6006</v>
      </c>
      <c r="AE212" s="25">
        <v>1</v>
      </c>
      <c r="AG212" s="25">
        <v>1</v>
      </c>
      <c r="AH212" s="25">
        <v>-1</v>
      </c>
      <c r="AS212" s="25">
        <v>1</v>
      </c>
      <c r="AT212" s="25">
        <v>40</v>
      </c>
      <c r="AZ212" s="25">
        <v>2</v>
      </c>
      <c r="BA212" s="25">
        <v>2</v>
      </c>
      <c r="BB212" s="25">
        <v>2</v>
      </c>
      <c r="BC212" s="25">
        <v>2</v>
      </c>
      <c r="BD212" s="25" t="s">
        <v>5137</v>
      </c>
    </row>
    <row r="213" spans="1:66" x14ac:dyDescent="0.2">
      <c r="A213" s="25">
        <v>20</v>
      </c>
      <c r="B213" s="25" t="s">
        <v>750</v>
      </c>
      <c r="C213" s="25">
        <v>0</v>
      </c>
      <c r="E213" s="25">
        <v>0</v>
      </c>
      <c r="F213" s="25">
        <v>8</v>
      </c>
      <c r="G213" s="25">
        <v>15</v>
      </c>
      <c r="H213" s="25" t="s">
        <v>751</v>
      </c>
      <c r="I213" s="25" t="s">
        <v>733</v>
      </c>
      <c r="J213" s="25">
        <v>2</v>
      </c>
      <c r="K213" s="25">
        <v>2</v>
      </c>
      <c r="L213" s="25">
        <v>1</v>
      </c>
      <c r="M213" s="25">
        <v>1</v>
      </c>
      <c r="N213" s="25">
        <v>1</v>
      </c>
      <c r="O213" s="25">
        <v>1</v>
      </c>
      <c r="P213" s="25">
        <v>0</v>
      </c>
      <c r="Q213" s="25">
        <v>20</v>
      </c>
      <c r="R213" s="25">
        <v>0</v>
      </c>
      <c r="AC213" s="25" t="s">
        <v>5066</v>
      </c>
      <c r="AS213" s="25">
        <v>4</v>
      </c>
      <c r="AT213" s="25">
        <v>10</v>
      </c>
      <c r="BD213" s="25" t="s">
        <v>5137</v>
      </c>
    </row>
    <row r="214" spans="1:66" x14ac:dyDescent="0.2">
      <c r="A214" s="25">
        <v>21</v>
      </c>
      <c r="B214" s="25" t="s">
        <v>752</v>
      </c>
      <c r="C214" s="25">
        <v>0</v>
      </c>
      <c r="E214" s="25">
        <v>0</v>
      </c>
      <c r="F214" s="25">
        <v>10</v>
      </c>
      <c r="G214" s="25">
        <v>15</v>
      </c>
      <c r="H214" s="25" t="s">
        <v>751</v>
      </c>
      <c r="I214" s="25" t="s">
        <v>730</v>
      </c>
      <c r="J214" s="25">
        <v>4</v>
      </c>
      <c r="K214" s="25">
        <v>4</v>
      </c>
      <c r="L214" s="25">
        <v>3</v>
      </c>
      <c r="M214" s="25">
        <v>2</v>
      </c>
      <c r="N214" s="25">
        <v>0</v>
      </c>
      <c r="O214" s="25">
        <v>3</v>
      </c>
      <c r="P214" s="25">
        <v>0</v>
      </c>
      <c r="Q214" s="25">
        <v>23</v>
      </c>
      <c r="R214" s="25">
        <v>0</v>
      </c>
    </row>
    <row r="215" spans="1:66" x14ac:dyDescent="0.2">
      <c r="A215" s="25">
        <v>22</v>
      </c>
      <c r="B215" s="25" t="s">
        <v>753</v>
      </c>
      <c r="C215" s="25">
        <v>0</v>
      </c>
      <c r="E215" s="25">
        <v>-10</v>
      </c>
      <c r="F215" s="25">
        <v>13</v>
      </c>
      <c r="G215" s="25">
        <v>20</v>
      </c>
      <c r="H215" s="25" t="s">
        <v>751</v>
      </c>
      <c r="I215" s="25" t="s">
        <v>730</v>
      </c>
      <c r="J215" s="25">
        <v>4</v>
      </c>
      <c r="K215" s="25">
        <v>2</v>
      </c>
      <c r="L215" s="25">
        <v>1</v>
      </c>
      <c r="M215" s="25">
        <v>2</v>
      </c>
      <c r="N215" s="25">
        <v>0</v>
      </c>
      <c r="O215" s="25">
        <v>1</v>
      </c>
      <c r="P215" s="25">
        <v>0</v>
      </c>
      <c r="Q215" s="25">
        <v>24</v>
      </c>
      <c r="R215" s="25">
        <v>0</v>
      </c>
    </row>
    <row r="216" spans="1:66" x14ac:dyDescent="0.2">
      <c r="A216" s="25">
        <v>23</v>
      </c>
      <c r="B216" s="25" t="s">
        <v>754</v>
      </c>
      <c r="C216" s="25">
        <v>5</v>
      </c>
      <c r="E216" s="25">
        <v>-20</v>
      </c>
      <c r="F216" s="25">
        <v>16</v>
      </c>
      <c r="G216" s="25">
        <v>25</v>
      </c>
      <c r="H216" s="25" t="s">
        <v>751</v>
      </c>
      <c r="I216" s="25" t="s">
        <v>733</v>
      </c>
      <c r="J216" s="25">
        <v>5</v>
      </c>
      <c r="K216" s="25">
        <v>4</v>
      </c>
      <c r="L216" s="25">
        <v>5</v>
      </c>
      <c r="M216" s="25">
        <v>3</v>
      </c>
      <c r="N216" s="25">
        <v>0</v>
      </c>
      <c r="O216" s="25">
        <v>3</v>
      </c>
      <c r="P216" s="25">
        <v>1</v>
      </c>
      <c r="Q216" s="25">
        <v>25</v>
      </c>
      <c r="R216" s="25">
        <v>0</v>
      </c>
    </row>
    <row r="217" spans="1:66" x14ac:dyDescent="0.2">
      <c r="A217" s="25">
        <v>24</v>
      </c>
      <c r="B217" s="25" t="s">
        <v>755</v>
      </c>
      <c r="C217" s="25">
        <v>10</v>
      </c>
      <c r="E217" s="25">
        <v>-30</v>
      </c>
      <c r="F217" s="25">
        <v>16</v>
      </c>
      <c r="G217" s="25">
        <v>25</v>
      </c>
      <c r="H217" s="25" t="s">
        <v>751</v>
      </c>
      <c r="I217" s="25" t="s">
        <v>733</v>
      </c>
      <c r="J217" s="25">
        <v>5</v>
      </c>
      <c r="K217" s="25">
        <v>5</v>
      </c>
      <c r="L217" s="25">
        <v>5</v>
      </c>
      <c r="M217" s="25">
        <v>4</v>
      </c>
      <c r="N217" s="25">
        <v>0</v>
      </c>
      <c r="O217" s="25">
        <v>4</v>
      </c>
      <c r="P217" s="25">
        <v>2</v>
      </c>
      <c r="Q217" s="25">
        <v>26</v>
      </c>
      <c r="R217" s="25">
        <v>0</v>
      </c>
      <c r="BE217" s="25" t="str">
        <f ca="1">_xlfn.FORMULATEXT(prueba)</f>
        <v>=SI(b.1=e.1;ee.1;SI(b.1=e.2;ee.2;SI(b.1=e.3;ee.3;SI(b.1=e.4;ee.4;SI(b.1=e.5;ee.5;SI(b.1=e.6;ee.6;SI(b.1=e.7;ee.7;SI(b.1=e.8:ee.8;SI(b.1=e.9;ee.9;SI(b.1=e.10;ee.10;SI(b.1=e.11;ee.11;SI(b.1=e.12;ee.12;SI(b.1=e.13;ee.13;SI(b.1=e.14;ee.14;""))))))))))))))</v>
      </c>
      <c r="BF217" s="45" t="e">
        <f>IF(b.1=e.1,ee.1,IF(b.1=e.2,ee.2,IF(b.1=e.3,ee.3,IF(b.1=e.4,ee.4,IF(b.1=e.5,ee.5,IF(b.1=e.6,ee.6,IF(b.1=e.7,ee.7,IF(b.1=e.8:ee.8,IF(b.1=e.9,ee.9,IF(b.1=e.10,ee.10,IF(b.1=e.11,ee.11,IF(b.1=e.12,ee.12,IF(b.1=e.13,ee.13,IF(b.1=e.14,ee.14,""))))))))))))))</f>
        <v>#VALUE!</v>
      </c>
    </row>
    <row r="218" spans="1:66" x14ac:dyDescent="0.2">
      <c r="A218" s="25">
        <v>25</v>
      </c>
      <c r="B218" s="25" t="s">
        <v>756</v>
      </c>
      <c r="C218" s="25">
        <v>0</v>
      </c>
      <c r="E218" s="25">
        <v>0</v>
      </c>
      <c r="F218" s="25">
        <v>12</v>
      </c>
      <c r="G218" s="25">
        <v>15</v>
      </c>
      <c r="H218" s="25" t="s">
        <v>751</v>
      </c>
      <c r="I218" s="25" t="s">
        <v>733</v>
      </c>
      <c r="J218" s="25">
        <v>1</v>
      </c>
      <c r="K218" s="25">
        <v>0</v>
      </c>
      <c r="L218" s="25">
        <v>2</v>
      </c>
      <c r="M218" s="25">
        <v>1</v>
      </c>
      <c r="N218" s="25">
        <v>3</v>
      </c>
      <c r="O218" s="25">
        <v>1</v>
      </c>
      <c r="P218" s="25">
        <v>0</v>
      </c>
      <c r="Q218" s="25">
        <v>22</v>
      </c>
      <c r="R218" s="25">
        <v>0</v>
      </c>
      <c r="BE218" s="25" t="str">
        <f>REPLACE("a",1,1,"hola")</f>
        <v>hola</v>
      </c>
    </row>
    <row r="219" spans="1:66" x14ac:dyDescent="0.2">
      <c r="A219" s="25">
        <v>26</v>
      </c>
      <c r="B219" s="25" t="s">
        <v>757</v>
      </c>
      <c r="C219" s="25">
        <v>0</v>
      </c>
      <c r="E219" s="25">
        <v>0</v>
      </c>
      <c r="F219" s="25">
        <v>12</v>
      </c>
      <c r="G219" s="25">
        <v>15</v>
      </c>
      <c r="H219" s="25" t="s">
        <v>751</v>
      </c>
      <c r="I219" s="25" t="s">
        <v>733</v>
      </c>
      <c r="J219" s="25">
        <v>3</v>
      </c>
      <c r="K219" s="25">
        <v>3</v>
      </c>
      <c r="L219" s="25">
        <v>3</v>
      </c>
      <c r="M219" s="25">
        <v>1</v>
      </c>
      <c r="N219" s="25">
        <v>1</v>
      </c>
      <c r="O219" s="25">
        <v>2</v>
      </c>
      <c r="P219" s="25">
        <v>0</v>
      </c>
      <c r="Q219" s="25">
        <v>21</v>
      </c>
      <c r="R219" s="25">
        <v>0</v>
      </c>
    </row>
    <row r="220" spans="1:66" x14ac:dyDescent="0.2">
      <c r="A220" s="25">
        <v>27</v>
      </c>
      <c r="B220" s="45" t="s">
        <v>5703</v>
      </c>
      <c r="C220" s="25">
        <v>0</v>
      </c>
      <c r="E220" s="25">
        <v>0</v>
      </c>
      <c r="F220" s="25">
        <v>0</v>
      </c>
      <c r="G220" s="25">
        <v>0</v>
      </c>
      <c r="H220" s="45" t="s">
        <v>5703</v>
      </c>
      <c r="I220" s="45" t="s">
        <v>5703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27</v>
      </c>
      <c r="R220" s="25">
        <v>0</v>
      </c>
    </row>
    <row r="221" spans="1:66" x14ac:dyDescent="0.2">
      <c r="BA221" s="25" t="s">
        <v>6328</v>
      </c>
      <c r="BB221" s="25" t="s">
        <v>6329</v>
      </c>
      <c r="BC221" s="25" t="s">
        <v>6330</v>
      </c>
      <c r="BD221" s="25" t="s">
        <v>6331</v>
      </c>
    </row>
    <row r="223" spans="1:66" ht="15.75" customHeight="1" x14ac:dyDescent="0.2">
      <c r="AO223" s="186" t="s">
        <v>5704</v>
      </c>
      <c r="AS223" s="25" t="s">
        <v>0</v>
      </c>
      <c r="AT223" s="25" t="s">
        <v>140</v>
      </c>
      <c r="AU223" s="25" t="s">
        <v>27</v>
      </c>
      <c r="AV223" s="25" t="s">
        <v>6075</v>
      </c>
      <c r="AW223" s="25" t="s">
        <v>5148</v>
      </c>
      <c r="BA223" s="25" t="s">
        <v>6346</v>
      </c>
      <c r="BB223" s="25" t="s">
        <v>6347</v>
      </c>
      <c r="BC223" s="25" t="s">
        <v>6348</v>
      </c>
      <c r="BD223" s="25" t="s">
        <v>6349</v>
      </c>
      <c r="BE223" s="25" t="s">
        <v>6350</v>
      </c>
      <c r="BF223" s="25" t="s">
        <v>6351</v>
      </c>
      <c r="BG223" s="25" t="s">
        <v>6352</v>
      </c>
      <c r="BH223" s="25" t="s">
        <v>6353</v>
      </c>
      <c r="BI223" s="25" t="s">
        <v>6354</v>
      </c>
      <c r="BJ223" s="25" t="s">
        <v>6355</v>
      </c>
      <c r="BK223" s="25" t="s">
        <v>6356</v>
      </c>
      <c r="BL223" s="25" t="s">
        <v>6357</v>
      </c>
      <c r="BM223" s="25" t="s">
        <v>6358</v>
      </c>
      <c r="BN223" s="25" t="s">
        <v>6359</v>
      </c>
    </row>
    <row r="224" spans="1:66" x14ac:dyDescent="0.2">
      <c r="A224" s="25">
        <v>2</v>
      </c>
      <c r="B224" s="25" t="s">
        <v>758</v>
      </c>
      <c r="C224" s="27" t="s">
        <v>759</v>
      </c>
      <c r="G224" s="25" t="s">
        <v>310</v>
      </c>
      <c r="H224" s="25" t="s">
        <v>532</v>
      </c>
      <c r="I224" s="25" t="s">
        <v>533</v>
      </c>
      <c r="J224" s="25" t="s">
        <v>534</v>
      </c>
      <c r="K224" s="25" t="s">
        <v>535</v>
      </c>
      <c r="L224" s="25" t="s">
        <v>536</v>
      </c>
      <c r="M224" s="25" t="s">
        <v>537</v>
      </c>
      <c r="N224" s="25" t="s">
        <v>538</v>
      </c>
      <c r="O224" s="25" t="s">
        <v>539</v>
      </c>
      <c r="P224" s="25" t="s">
        <v>540</v>
      </c>
      <c r="Q224" s="25" t="s">
        <v>356</v>
      </c>
      <c r="R224" s="25" t="s">
        <v>541</v>
      </c>
      <c r="S224" s="25" t="s">
        <v>542</v>
      </c>
      <c r="T224" s="25" t="s">
        <v>23</v>
      </c>
      <c r="U224" s="25" t="s">
        <v>543</v>
      </c>
      <c r="V224" s="25" t="s">
        <v>544</v>
      </c>
      <c r="W224" s="25" t="s">
        <v>545</v>
      </c>
      <c r="X224" s="25" t="s">
        <v>546</v>
      </c>
      <c r="Y224" s="25" t="s">
        <v>547</v>
      </c>
      <c r="Z224" s="25" t="s">
        <v>548</v>
      </c>
      <c r="AO224" s="186" t="s">
        <v>6076</v>
      </c>
      <c r="AS224" s="25">
        <v>0</v>
      </c>
      <c r="AT224" s="25">
        <v>0</v>
      </c>
      <c r="AU224" s="25">
        <v>0</v>
      </c>
      <c r="AV224" s="45" t="s">
        <v>5703</v>
      </c>
      <c r="AW224" s="137" t="s">
        <v>5703</v>
      </c>
      <c r="BA224" s="25" t="s">
        <v>6076</v>
      </c>
      <c r="BB224" s="25" t="s">
        <v>6077</v>
      </c>
      <c r="BC224" s="25" t="s">
        <v>6078</v>
      </c>
      <c r="BD224" s="25" t="s">
        <v>6079</v>
      </c>
      <c r="BE224" s="25" t="s">
        <v>6080</v>
      </c>
      <c r="BF224" s="25" t="s">
        <v>6083</v>
      </c>
      <c r="BG224" s="25" t="s">
        <v>6081</v>
      </c>
      <c r="BH224" s="25" t="s">
        <v>6082</v>
      </c>
      <c r="BI224" s="25" t="s">
        <v>6084</v>
      </c>
      <c r="BJ224" s="25" t="s">
        <v>6085</v>
      </c>
      <c r="BK224" s="25" t="s">
        <v>6086</v>
      </c>
      <c r="BL224" s="25" t="s">
        <v>6087</v>
      </c>
      <c r="BM224" s="25" t="s">
        <v>6088</v>
      </c>
      <c r="BN224" s="25" t="s">
        <v>6089</v>
      </c>
    </row>
    <row r="225" spans="1:66" ht="15.75" customHeight="1" x14ac:dyDescent="0.2">
      <c r="A225" s="25">
        <v>3</v>
      </c>
      <c r="B225" s="25" t="s">
        <v>760</v>
      </c>
      <c r="C225" s="27" t="s">
        <v>761</v>
      </c>
      <c r="F225" s="25" t="s">
        <v>116</v>
      </c>
      <c r="G225" s="25">
        <v>2</v>
      </c>
      <c r="H225" s="25">
        <v>3</v>
      </c>
      <c r="I225" s="25">
        <v>2</v>
      </c>
      <c r="J225" s="25">
        <v>2</v>
      </c>
      <c r="K225" s="25">
        <v>2</v>
      </c>
      <c r="L225" s="25">
        <v>2</v>
      </c>
      <c r="M225" s="25">
        <v>2</v>
      </c>
      <c r="N225" s="25">
        <v>3</v>
      </c>
      <c r="O225" s="25">
        <v>3</v>
      </c>
      <c r="P225" s="25">
        <v>3</v>
      </c>
      <c r="Q225" s="25">
        <v>2</v>
      </c>
      <c r="R225" s="25">
        <v>2</v>
      </c>
      <c r="S225" s="25">
        <v>3</v>
      </c>
      <c r="T225" s="25">
        <v>2</v>
      </c>
      <c r="U225" s="25">
        <v>2</v>
      </c>
      <c r="V225" s="25">
        <v>2</v>
      </c>
      <c r="W225" s="25">
        <v>2</v>
      </c>
      <c r="X225" s="25">
        <v>2</v>
      </c>
      <c r="Y225" s="25">
        <v>2</v>
      </c>
      <c r="Z225" s="25">
        <v>2</v>
      </c>
      <c r="AO225" s="186" t="s">
        <v>6077</v>
      </c>
      <c r="AS225" s="25" t="s">
        <v>6079</v>
      </c>
      <c r="AT225" s="25" t="s">
        <v>6150</v>
      </c>
      <c r="AU225" s="25">
        <v>5</v>
      </c>
      <c r="AV225" s="25">
        <v>40</v>
      </c>
      <c r="AW225" s="38" t="s">
        <v>6162</v>
      </c>
      <c r="BA225" s="25" t="s">
        <v>6332</v>
      </c>
      <c r="BB225" s="25" t="s">
        <v>6333</v>
      </c>
      <c r="BC225" s="25" t="s">
        <v>6334</v>
      </c>
      <c r="BD225" s="25" t="s">
        <v>6335</v>
      </c>
      <c r="BE225" s="25" t="s">
        <v>6336</v>
      </c>
      <c r="BF225" s="25" t="s">
        <v>6337</v>
      </c>
      <c r="BG225" s="25" t="s">
        <v>6338</v>
      </c>
      <c r="BH225" s="25" t="s">
        <v>6339</v>
      </c>
      <c r="BI225" s="25" t="s">
        <v>6340</v>
      </c>
      <c r="BJ225" s="25" t="s">
        <v>6341</v>
      </c>
      <c r="BK225" s="25" t="s">
        <v>6342</v>
      </c>
      <c r="BL225" s="25" t="s">
        <v>6343</v>
      </c>
      <c r="BM225" s="25" t="s">
        <v>6344</v>
      </c>
      <c r="BN225" s="25" t="s">
        <v>6345</v>
      </c>
    </row>
    <row r="226" spans="1:66" x14ac:dyDescent="0.2">
      <c r="A226" s="25">
        <v>4</v>
      </c>
      <c r="B226" s="25" t="s">
        <v>762</v>
      </c>
      <c r="C226" s="25" t="s">
        <v>761</v>
      </c>
      <c r="F226" s="25" t="s">
        <v>117</v>
      </c>
      <c r="G226" s="25">
        <v>3</v>
      </c>
      <c r="H226" s="25">
        <v>3</v>
      </c>
      <c r="I226" s="25">
        <v>2</v>
      </c>
      <c r="J226" s="25">
        <v>2</v>
      </c>
      <c r="K226" s="25">
        <v>3</v>
      </c>
      <c r="L226" s="25">
        <v>2</v>
      </c>
      <c r="M226" s="25">
        <v>2</v>
      </c>
      <c r="N226" s="25">
        <v>3</v>
      </c>
      <c r="O226" s="25">
        <v>3</v>
      </c>
      <c r="P226" s="25">
        <v>3</v>
      </c>
      <c r="Q226" s="25">
        <v>3</v>
      </c>
      <c r="R226" s="25">
        <v>2</v>
      </c>
      <c r="S226" s="25">
        <v>3</v>
      </c>
      <c r="T226" s="25">
        <v>2</v>
      </c>
      <c r="U226" s="25">
        <v>2</v>
      </c>
      <c r="V226" s="25">
        <v>2</v>
      </c>
      <c r="W226" s="25">
        <v>3</v>
      </c>
      <c r="X226" s="25">
        <v>2</v>
      </c>
      <c r="Y226" s="25">
        <v>2</v>
      </c>
      <c r="Z226" s="25">
        <v>2</v>
      </c>
      <c r="AO226" s="186" t="s">
        <v>6078</v>
      </c>
      <c r="AS226" s="25" t="s">
        <v>6078</v>
      </c>
      <c r="AT226" s="25" t="s">
        <v>6132</v>
      </c>
      <c r="AU226" s="25">
        <v>5</v>
      </c>
      <c r="AV226" s="25">
        <v>30</v>
      </c>
      <c r="AW226" s="38" t="s">
        <v>6363</v>
      </c>
      <c r="BA226" t="s">
        <v>6090</v>
      </c>
      <c r="BB226" t="s">
        <v>6107</v>
      </c>
      <c r="BC226" t="s">
        <v>6129</v>
      </c>
      <c r="BD226" t="s">
        <v>6148</v>
      </c>
      <c r="BE226" t="s">
        <v>6165</v>
      </c>
      <c r="BF226" t="s">
        <v>6178</v>
      </c>
      <c r="BG226" t="s">
        <v>6194</v>
      </c>
      <c r="BH226" t="s">
        <v>6211</v>
      </c>
      <c r="BI226" t="s">
        <v>6227</v>
      </c>
      <c r="BJ226" t="s">
        <v>6244</v>
      </c>
      <c r="BK226" t="s">
        <v>6259</v>
      </c>
      <c r="BL226" t="s">
        <v>6276</v>
      </c>
      <c r="BM226" t="s">
        <v>6292</v>
      </c>
      <c r="BN226" t="s">
        <v>6307</v>
      </c>
    </row>
    <row r="227" spans="1:66" ht="15.75" customHeight="1" x14ac:dyDescent="0.2">
      <c r="A227" s="25">
        <v>5</v>
      </c>
      <c r="B227" s="25" t="s">
        <v>763</v>
      </c>
      <c r="C227" s="25" t="s">
        <v>764</v>
      </c>
      <c r="F227" s="25" t="s">
        <v>180</v>
      </c>
      <c r="G227" s="25">
        <v>2</v>
      </c>
      <c r="H227" s="25">
        <v>2</v>
      </c>
      <c r="I227" s="25">
        <v>2</v>
      </c>
      <c r="J227" s="25">
        <v>2</v>
      </c>
      <c r="K227" s="25">
        <v>2</v>
      </c>
      <c r="L227" s="25">
        <v>2</v>
      </c>
      <c r="M227" s="25">
        <v>2</v>
      </c>
      <c r="N227" s="25">
        <v>2</v>
      </c>
      <c r="O227" s="25">
        <v>2</v>
      </c>
      <c r="P227" s="25">
        <v>2</v>
      </c>
      <c r="Q227" s="25">
        <v>2</v>
      </c>
      <c r="R227" s="25">
        <v>2</v>
      </c>
      <c r="S227" s="25">
        <v>2</v>
      </c>
      <c r="T227" s="25">
        <v>2</v>
      </c>
      <c r="U227" s="25">
        <v>2</v>
      </c>
      <c r="V227" s="25">
        <v>2</v>
      </c>
      <c r="W227" s="25">
        <v>2</v>
      </c>
      <c r="X227" s="25">
        <v>2</v>
      </c>
      <c r="Y227" s="25">
        <v>2</v>
      </c>
      <c r="Z227" s="25">
        <v>2</v>
      </c>
      <c r="AO227" s="186" t="s">
        <v>6079</v>
      </c>
      <c r="AS227" s="25" t="s">
        <v>6087</v>
      </c>
      <c r="AT227" s="25" t="s">
        <v>6284</v>
      </c>
      <c r="AU227" s="25">
        <v>15</v>
      </c>
      <c r="AV227" s="25" t="s">
        <v>6285</v>
      </c>
      <c r="AW227" s="38" t="s">
        <v>6286</v>
      </c>
      <c r="BA227" t="s">
        <v>6091</v>
      </c>
      <c r="BB227" t="s">
        <v>6108</v>
      </c>
      <c r="BC227" t="s">
        <v>6130</v>
      </c>
      <c r="BD227" t="s">
        <v>6149</v>
      </c>
      <c r="BE227" t="s">
        <v>6166</v>
      </c>
      <c r="BF227" t="s">
        <v>6180</v>
      </c>
      <c r="BG227" t="s">
        <v>6195</v>
      </c>
      <c r="BH227" t="s">
        <v>6212</v>
      </c>
      <c r="BI227" t="s">
        <v>6228</v>
      </c>
      <c r="BJ227" t="s">
        <v>6245</v>
      </c>
      <c r="BK227" t="s">
        <v>6260</v>
      </c>
      <c r="BL227" t="s">
        <v>6278</v>
      </c>
      <c r="BM227" t="s">
        <v>6293</v>
      </c>
      <c r="BN227" t="s">
        <v>6308</v>
      </c>
    </row>
    <row r="228" spans="1:66" x14ac:dyDescent="0.2">
      <c r="A228" s="25">
        <v>6</v>
      </c>
      <c r="B228" s="25" t="s">
        <v>765</v>
      </c>
      <c r="C228" s="25" t="s">
        <v>766</v>
      </c>
      <c r="AO228" s="25" t="s">
        <v>6080</v>
      </c>
      <c r="AS228" s="25" t="s">
        <v>6087</v>
      </c>
      <c r="AT228" s="25" t="s">
        <v>6278</v>
      </c>
      <c r="AU228" s="25">
        <v>5</v>
      </c>
      <c r="AV228" s="25">
        <v>20</v>
      </c>
      <c r="AW228" s="38" t="str">
        <f>"Voluntariamente reduces en "&amp;ROUNDDOWN(BC246/20,0)*2&amp;" la difcultad de tirada abierta y aumentas en "&amp;ROUNDDOWN(BC246/20,0)*1&amp;" la de pifia"</f>
        <v>Voluntariamente reduces en 0 la difcultad de tirada abierta y aumentas en 0 la de pifia</v>
      </c>
      <c r="BA228" t="s">
        <v>6092</v>
      </c>
      <c r="BB228" t="s">
        <v>5551</v>
      </c>
      <c r="BC228" t="s">
        <v>6131</v>
      </c>
      <c r="BD228" t="s">
        <v>545</v>
      </c>
      <c r="BE228" t="s">
        <v>6167</v>
      </c>
      <c r="BF228" t="s">
        <v>6181</v>
      </c>
      <c r="BG228" t="s">
        <v>2667</v>
      </c>
      <c r="BH228" t="s">
        <v>6213</v>
      </c>
      <c r="BI228" t="s">
        <v>6229</v>
      </c>
      <c r="BJ228" t="s">
        <v>6246</v>
      </c>
      <c r="BK228" t="s">
        <v>6261</v>
      </c>
      <c r="BL228" t="s">
        <v>6279</v>
      </c>
      <c r="BM228" t="s">
        <v>6294</v>
      </c>
      <c r="BN228" t="s">
        <v>6309</v>
      </c>
    </row>
    <row r="229" spans="1:66" ht="15.75" customHeight="1" x14ac:dyDescent="0.2">
      <c r="A229" s="25">
        <v>7</v>
      </c>
      <c r="B229" s="25" t="s">
        <v>767</v>
      </c>
      <c r="C229" s="25" t="s">
        <v>768</v>
      </c>
      <c r="F229" s="25" t="s">
        <v>769</v>
      </c>
      <c r="G229" s="25">
        <v>3</v>
      </c>
      <c r="H229" s="25">
        <v>1</v>
      </c>
      <c r="I229" s="25">
        <v>3</v>
      </c>
      <c r="J229" s="25">
        <v>3</v>
      </c>
      <c r="K229" s="25">
        <v>3</v>
      </c>
      <c r="L229" s="25">
        <v>1</v>
      </c>
      <c r="M229" s="25">
        <v>3</v>
      </c>
      <c r="N229" s="25">
        <v>1</v>
      </c>
      <c r="O229" s="25">
        <v>1</v>
      </c>
      <c r="P229" s="25">
        <v>1</v>
      </c>
      <c r="Q229" s="25">
        <v>3</v>
      </c>
      <c r="R229" s="25">
        <v>3</v>
      </c>
      <c r="S229" s="25">
        <v>3</v>
      </c>
      <c r="T229" s="25">
        <v>2</v>
      </c>
      <c r="U229" s="25">
        <v>2</v>
      </c>
      <c r="V229" s="25">
        <v>2</v>
      </c>
      <c r="W229" s="25">
        <v>3</v>
      </c>
      <c r="X229" s="25">
        <v>3</v>
      </c>
      <c r="Y229" s="25">
        <v>3</v>
      </c>
      <c r="Z229" s="25">
        <v>1</v>
      </c>
      <c r="AO229" s="25" t="s">
        <v>6083</v>
      </c>
      <c r="AS229" s="25" t="s">
        <v>6088</v>
      </c>
      <c r="AT229" s="25" t="s">
        <v>6293</v>
      </c>
      <c r="AU229" s="25">
        <v>5</v>
      </c>
      <c r="AV229" s="25">
        <v>20</v>
      </c>
      <c r="AW229" s="38" t="s">
        <v>6364</v>
      </c>
      <c r="BA229" t="s">
        <v>6094</v>
      </c>
      <c r="BB229" t="s">
        <v>6110</v>
      </c>
      <c r="BC229" t="s">
        <v>6132</v>
      </c>
      <c r="BD229" t="s">
        <v>6150</v>
      </c>
      <c r="BE229" t="s">
        <v>6169</v>
      </c>
      <c r="BF229" t="s">
        <v>2829</v>
      </c>
      <c r="BG229" t="s">
        <v>6196</v>
      </c>
      <c r="BH229" t="s">
        <v>6215</v>
      </c>
      <c r="BI229" t="s">
        <v>6230</v>
      </c>
      <c r="BJ229" t="s">
        <v>6247</v>
      </c>
      <c r="BK229" t="s">
        <v>6262</v>
      </c>
      <c r="BL229" t="s">
        <v>6280</v>
      </c>
      <c r="BM229" t="s">
        <v>6295</v>
      </c>
      <c r="BN229" t="s">
        <v>6310</v>
      </c>
    </row>
    <row r="230" spans="1:66" x14ac:dyDescent="0.2">
      <c r="A230" s="25">
        <v>8</v>
      </c>
      <c r="B230" s="25" t="s">
        <v>770</v>
      </c>
      <c r="C230" s="25" t="s">
        <v>771</v>
      </c>
      <c r="F230" s="25" t="s">
        <v>81</v>
      </c>
      <c r="G230" s="25">
        <v>3</v>
      </c>
      <c r="H230" s="25">
        <v>3</v>
      </c>
      <c r="I230" s="25">
        <v>3</v>
      </c>
      <c r="J230" s="25">
        <v>3</v>
      </c>
      <c r="K230" s="25">
        <v>3</v>
      </c>
      <c r="L230" s="25">
        <v>3</v>
      </c>
      <c r="M230" s="25">
        <v>1</v>
      </c>
      <c r="N230" s="25">
        <v>3</v>
      </c>
      <c r="O230" s="25">
        <v>1</v>
      </c>
      <c r="P230" s="25">
        <v>3</v>
      </c>
      <c r="Q230" s="25">
        <v>3</v>
      </c>
      <c r="R230" s="25">
        <v>3</v>
      </c>
      <c r="S230" s="25">
        <v>1</v>
      </c>
      <c r="T230" s="25">
        <v>2</v>
      </c>
      <c r="U230" s="25">
        <v>3</v>
      </c>
      <c r="V230" s="25">
        <v>3</v>
      </c>
      <c r="W230" s="25">
        <v>3</v>
      </c>
      <c r="X230" s="25">
        <v>3</v>
      </c>
      <c r="Y230" s="25">
        <v>3</v>
      </c>
      <c r="Z230" s="25">
        <v>3</v>
      </c>
      <c r="AO230" s="25" t="s">
        <v>6081</v>
      </c>
      <c r="AS230" s="25" t="s">
        <v>6077</v>
      </c>
      <c r="AT230" s="25" t="s">
        <v>6108</v>
      </c>
      <c r="AU230" s="25">
        <v>5</v>
      </c>
      <c r="AV230" s="25">
        <v>20</v>
      </c>
      <c r="AW230" s="38" t="s">
        <v>6109</v>
      </c>
      <c r="BA230" t="s">
        <v>6095</v>
      </c>
      <c r="BB230" t="s">
        <v>6113</v>
      </c>
      <c r="BC230" t="s">
        <v>6133</v>
      </c>
      <c r="BD230" t="s">
        <v>6151</v>
      </c>
      <c r="BE230" t="s">
        <v>6298</v>
      </c>
      <c r="BF230" t="s">
        <v>6182</v>
      </c>
      <c r="BG230" t="s">
        <v>6197</v>
      </c>
      <c r="BH230" t="s">
        <v>6216</v>
      </c>
      <c r="BI230" t="s">
        <v>6232</v>
      </c>
      <c r="BJ230" t="s">
        <v>6248</v>
      </c>
      <c r="BK230" t="s">
        <v>6263</v>
      </c>
      <c r="BL230" t="s">
        <v>6281</v>
      </c>
      <c r="BM230" t="s">
        <v>6297</v>
      </c>
      <c r="BN230" t="s">
        <v>6312</v>
      </c>
    </row>
    <row r="231" spans="1:66" ht="15.75" customHeight="1" x14ac:dyDescent="0.2">
      <c r="A231" s="25">
        <v>9</v>
      </c>
      <c r="B231" s="25" t="s">
        <v>772</v>
      </c>
      <c r="C231" s="25" t="s">
        <v>773</v>
      </c>
      <c r="AO231" s="25" t="s">
        <v>6082</v>
      </c>
      <c r="AS231" s="25" t="s">
        <v>6088</v>
      </c>
      <c r="AT231" s="25" t="s">
        <v>6302</v>
      </c>
      <c r="AU231" s="25">
        <v>15</v>
      </c>
      <c r="AV231" s="25" t="s">
        <v>6303</v>
      </c>
      <c r="AW231" s="38" t="str">
        <f>"Permite anular una acción activa del rival, un máximo de "&amp;ROUNDDOWN(BC244/10,0)&amp;" veces a la semana"</f>
        <v>Permite anular una acción activa del rival, un máximo de 0 veces a la semana</v>
      </c>
      <c r="BA231" t="s">
        <v>6096</v>
      </c>
      <c r="BB231" t="s">
        <v>6114</v>
      </c>
      <c r="BC231" t="s">
        <v>6134</v>
      </c>
      <c r="BD231" t="s">
        <v>6161</v>
      </c>
      <c r="BE231" t="s">
        <v>6170</v>
      </c>
      <c r="BF231" t="s">
        <v>6183</v>
      </c>
      <c r="BG231" t="s">
        <v>6198</v>
      </c>
      <c r="BH231" t="s">
        <v>6217</v>
      </c>
      <c r="BI231" t="s">
        <v>6233</v>
      </c>
      <c r="BJ231" t="s">
        <v>6249</v>
      </c>
      <c r="BK231" t="s">
        <v>6265</v>
      </c>
      <c r="BL231" t="s">
        <v>6282</v>
      </c>
      <c r="BM231" t="s">
        <v>6299</v>
      </c>
      <c r="BN231" t="s">
        <v>6313</v>
      </c>
    </row>
    <row r="232" spans="1:66" x14ac:dyDescent="0.2">
      <c r="A232" s="25">
        <v>10</v>
      </c>
      <c r="B232" s="25" t="s">
        <v>774</v>
      </c>
      <c r="C232" s="25" t="s">
        <v>775</v>
      </c>
      <c r="AO232" s="25" t="s">
        <v>6084</v>
      </c>
      <c r="AS232" s="25" t="s">
        <v>6080</v>
      </c>
      <c r="AT232" s="25" t="s">
        <v>6165</v>
      </c>
      <c r="AU232" s="25">
        <v>5</v>
      </c>
      <c r="AV232" s="25">
        <v>10</v>
      </c>
      <c r="AW232" s="38" t="str">
        <f>"Bono a Arte y Música igual a "&amp;BC247</f>
        <v>Bono a Arte y Música igual a 0</v>
      </c>
      <c r="BA232" t="s">
        <v>6098</v>
      </c>
      <c r="BB232" t="s">
        <v>6119</v>
      </c>
      <c r="BC232" t="s">
        <v>6135</v>
      </c>
      <c r="BD232" t="s">
        <v>6152</v>
      </c>
      <c r="BE232" t="s">
        <v>6172</v>
      </c>
      <c r="BF232" t="s">
        <v>6184</v>
      </c>
      <c r="BG232" t="s">
        <v>6199</v>
      </c>
      <c r="BH232" t="s">
        <v>6219</v>
      </c>
      <c r="BI232" t="s">
        <v>3303</v>
      </c>
      <c r="BJ232" t="s">
        <v>6251</v>
      </c>
      <c r="BK232" t="s">
        <v>6267</v>
      </c>
      <c r="BL232" t="s">
        <v>6283</v>
      </c>
      <c r="BM232" t="s">
        <v>6301</v>
      </c>
      <c r="BN232" t="s">
        <v>6314</v>
      </c>
    </row>
    <row r="233" spans="1:66" ht="15.75" customHeight="1" x14ac:dyDescent="0.2">
      <c r="A233" s="25">
        <v>11</v>
      </c>
      <c r="B233" s="25" t="s">
        <v>776</v>
      </c>
      <c r="C233" s="25" t="s">
        <v>777</v>
      </c>
      <c r="AO233" s="25" t="s">
        <v>6085</v>
      </c>
      <c r="AS233" s="25" t="s">
        <v>6088</v>
      </c>
      <c r="AT233" s="25" t="s">
        <v>6299</v>
      </c>
      <c r="AU233" s="25">
        <v>10</v>
      </c>
      <c r="AV233" s="25">
        <v>60</v>
      </c>
      <c r="AW233" s="38" t="s">
        <v>6300</v>
      </c>
      <c r="BA233" t="s">
        <v>6100</v>
      </c>
      <c r="BB233" t="s">
        <v>6120</v>
      </c>
      <c r="BC233" t="s">
        <v>6136</v>
      </c>
      <c r="BD233" t="s">
        <v>6153</v>
      </c>
      <c r="BE233" t="s">
        <v>531</v>
      </c>
      <c r="BF233" t="s">
        <v>6186</v>
      </c>
      <c r="BG233" t="s">
        <v>6201</v>
      </c>
      <c r="BH233" t="s">
        <v>6220</v>
      </c>
      <c r="BI233" t="s">
        <v>6235</v>
      </c>
      <c r="BJ233" t="s">
        <v>6253</v>
      </c>
      <c r="BK233" t="s">
        <v>6269</v>
      </c>
      <c r="BL233" t="s">
        <v>6284</v>
      </c>
      <c r="BM233" t="s">
        <v>6302</v>
      </c>
      <c r="BN233" t="s">
        <v>6316</v>
      </c>
    </row>
    <row r="234" spans="1:66" x14ac:dyDescent="0.2">
      <c r="A234" s="25">
        <v>12</v>
      </c>
      <c r="B234" s="25" t="s">
        <v>778</v>
      </c>
      <c r="C234" s="25" t="s">
        <v>779</v>
      </c>
      <c r="E234" s="25">
        <v>0</v>
      </c>
      <c r="F234" s="25">
        <v>1</v>
      </c>
      <c r="G234" s="25">
        <v>2</v>
      </c>
      <c r="H234" s="25">
        <v>3</v>
      </c>
      <c r="I234" s="25">
        <v>4</v>
      </c>
      <c r="J234" s="25">
        <v>5</v>
      </c>
      <c r="K234" s="25">
        <v>6</v>
      </c>
      <c r="L234" s="25">
        <v>7</v>
      </c>
      <c r="M234" s="25">
        <v>8</v>
      </c>
      <c r="N234" s="25">
        <v>9</v>
      </c>
      <c r="O234" s="25">
        <v>10</v>
      </c>
      <c r="P234" s="25">
        <v>11</v>
      </c>
      <c r="Q234" s="25">
        <v>12</v>
      </c>
      <c r="R234" s="25">
        <v>13</v>
      </c>
      <c r="S234" s="25">
        <v>14</v>
      </c>
      <c r="T234" s="25">
        <v>15</v>
      </c>
      <c r="AO234" s="25" t="s">
        <v>6086</v>
      </c>
      <c r="AS234" s="25" t="s">
        <v>6077</v>
      </c>
      <c r="AT234" s="25" t="s">
        <v>6124</v>
      </c>
      <c r="AU234" s="25">
        <v>15</v>
      </c>
      <c r="AV234" s="25">
        <v>80</v>
      </c>
      <c r="AW234" s="38" t="s">
        <v>6365</v>
      </c>
      <c r="BA234" t="s">
        <v>6101</v>
      </c>
      <c r="BB234" t="s">
        <v>6122</v>
      </c>
      <c r="BC234" t="s">
        <v>6138</v>
      </c>
      <c r="BD234" t="s">
        <v>6155</v>
      </c>
      <c r="BE234" t="s">
        <v>6173</v>
      </c>
      <c r="BF234" t="s">
        <v>6188</v>
      </c>
      <c r="BG234" t="s">
        <v>6202</v>
      </c>
      <c r="BH234" t="s">
        <v>6221</v>
      </c>
      <c r="BI234" t="s">
        <v>6237</v>
      </c>
      <c r="BJ234" t="s">
        <v>6255</v>
      </c>
      <c r="BK234" t="s">
        <v>6270</v>
      </c>
      <c r="BL234" t="s">
        <v>6287</v>
      </c>
      <c r="BM234" t="s">
        <v>6304</v>
      </c>
      <c r="BN234" t="s">
        <v>6317</v>
      </c>
    </row>
    <row r="235" spans="1:66" ht="15.75" customHeight="1" x14ac:dyDescent="0.2">
      <c r="A235" s="25">
        <v>13</v>
      </c>
      <c r="B235" s="25" t="s">
        <v>778</v>
      </c>
      <c r="C235" s="25" t="s">
        <v>780</v>
      </c>
      <c r="E235" s="25">
        <v>400</v>
      </c>
      <c r="F235" s="25">
        <v>600</v>
      </c>
      <c r="G235" s="25">
        <v>700</v>
      </c>
      <c r="H235" s="25">
        <v>800</v>
      </c>
      <c r="I235" s="25">
        <v>900</v>
      </c>
      <c r="J235" s="25">
        <v>1000</v>
      </c>
      <c r="K235" s="25">
        <v>1100</v>
      </c>
      <c r="L235" s="25">
        <v>1200</v>
      </c>
      <c r="M235" s="25">
        <v>1300</v>
      </c>
      <c r="N235" s="25">
        <v>1400</v>
      </c>
      <c r="O235" s="25">
        <v>1500</v>
      </c>
      <c r="P235" s="25">
        <v>1600</v>
      </c>
      <c r="Q235" s="25">
        <v>1700</v>
      </c>
      <c r="R235" s="25">
        <v>1800</v>
      </c>
      <c r="S235" s="25">
        <v>1900</v>
      </c>
      <c r="T235" s="25">
        <v>2000</v>
      </c>
      <c r="AO235" s="25" t="s">
        <v>6087</v>
      </c>
      <c r="AS235" s="25" t="s">
        <v>6077</v>
      </c>
      <c r="AT235" s="25" t="s">
        <v>6107</v>
      </c>
      <c r="AU235" s="25">
        <v>5</v>
      </c>
      <c r="AV235" s="25">
        <v>10</v>
      </c>
      <c r="AW235" s="38" t="s">
        <v>6366</v>
      </c>
      <c r="BA235" t="s">
        <v>6102</v>
      </c>
      <c r="BB235" t="s">
        <v>6124</v>
      </c>
      <c r="BC235" t="s">
        <v>6139</v>
      </c>
      <c r="BD235" t="s">
        <v>6160</v>
      </c>
      <c r="BE235" t="s">
        <v>6174</v>
      </c>
      <c r="BF235" t="s">
        <v>6189</v>
      </c>
      <c r="BG235" t="s">
        <v>6203</v>
      </c>
      <c r="BH235" t="s">
        <v>6222</v>
      </c>
      <c r="BI235" t="s">
        <v>6238</v>
      </c>
      <c r="BJ235" t="s">
        <v>6256</v>
      </c>
      <c r="BK235" t="s">
        <v>6271</v>
      </c>
      <c r="BL235" t="s">
        <v>6288</v>
      </c>
      <c r="BM235" t="s">
        <v>6305</v>
      </c>
      <c r="BN235" t="s">
        <v>6319</v>
      </c>
    </row>
    <row r="236" spans="1:66" x14ac:dyDescent="0.2">
      <c r="A236" s="25">
        <v>14</v>
      </c>
      <c r="B236" s="25" t="s">
        <v>781</v>
      </c>
      <c r="C236" s="25" t="s">
        <v>782</v>
      </c>
      <c r="E236" s="25">
        <v>0</v>
      </c>
      <c r="F236" s="25">
        <f t="shared" ref="F236:T236" si="14">100+E236+25*(F234-1)</f>
        <v>100</v>
      </c>
      <c r="G236" s="25">
        <f t="shared" si="14"/>
        <v>225</v>
      </c>
      <c r="H236" s="25">
        <f t="shared" si="14"/>
        <v>375</v>
      </c>
      <c r="I236" s="25">
        <f t="shared" si="14"/>
        <v>550</v>
      </c>
      <c r="J236" s="25">
        <f t="shared" si="14"/>
        <v>750</v>
      </c>
      <c r="K236" s="25">
        <f t="shared" si="14"/>
        <v>975</v>
      </c>
      <c r="L236" s="25">
        <f t="shared" si="14"/>
        <v>1225</v>
      </c>
      <c r="M236" s="25">
        <f t="shared" si="14"/>
        <v>1500</v>
      </c>
      <c r="N236" s="25">
        <f t="shared" si="14"/>
        <v>1800</v>
      </c>
      <c r="O236" s="25">
        <f t="shared" si="14"/>
        <v>2125</v>
      </c>
      <c r="P236" s="25">
        <f t="shared" si="14"/>
        <v>2475</v>
      </c>
      <c r="Q236" s="25">
        <f t="shared" si="14"/>
        <v>2850</v>
      </c>
      <c r="R236" s="25">
        <f t="shared" si="14"/>
        <v>3250</v>
      </c>
      <c r="S236" s="25">
        <f t="shared" si="14"/>
        <v>3675</v>
      </c>
      <c r="T236" s="25">
        <f t="shared" si="14"/>
        <v>4125</v>
      </c>
      <c r="AO236" s="25" t="s">
        <v>6088</v>
      </c>
      <c r="AS236" s="25" t="s">
        <v>6086</v>
      </c>
      <c r="AT236" s="25" t="s">
        <v>6260</v>
      </c>
      <c r="AU236" s="25">
        <v>10</v>
      </c>
      <c r="AV236" s="25">
        <v>20</v>
      </c>
      <c r="AW236" s="38" t="s">
        <v>6367</v>
      </c>
      <c r="BA236" t="s">
        <v>6104</v>
      </c>
      <c r="BB236" t="s">
        <v>6125</v>
      </c>
      <c r="BC236" t="s">
        <v>6140</v>
      </c>
      <c r="BD236" t="s">
        <v>6140</v>
      </c>
      <c r="BE236" t="s">
        <v>6175</v>
      </c>
      <c r="BF236" t="s">
        <v>6191</v>
      </c>
      <c r="BG236" t="s">
        <v>6204</v>
      </c>
      <c r="BH236" t="s">
        <v>6225</v>
      </c>
      <c r="BI236" t="s">
        <v>6240</v>
      </c>
      <c r="BJ236" t="s">
        <v>6257</v>
      </c>
      <c r="BK236" t="s">
        <v>6272</v>
      </c>
      <c r="BL236" t="s">
        <v>6289</v>
      </c>
      <c r="BM236" t="s">
        <v>6306</v>
      </c>
      <c r="BN236" t="s">
        <v>6320</v>
      </c>
    </row>
    <row r="237" spans="1:66" ht="15.75" customHeight="1" x14ac:dyDescent="0.2">
      <c r="A237" s="25">
        <v>15</v>
      </c>
      <c r="B237" s="25" t="s">
        <v>783</v>
      </c>
      <c r="C237" s="25" t="s">
        <v>784</v>
      </c>
      <c r="G237" s="25" t="s">
        <v>310</v>
      </c>
      <c r="H237" s="25" t="s">
        <v>532</v>
      </c>
      <c r="I237" s="25" t="s">
        <v>533</v>
      </c>
      <c r="J237" s="25" t="s">
        <v>534</v>
      </c>
      <c r="K237" s="25" t="s">
        <v>535</v>
      </c>
      <c r="L237" s="25" t="s">
        <v>536</v>
      </c>
      <c r="M237" s="25" t="s">
        <v>537</v>
      </c>
      <c r="N237" s="25" t="s">
        <v>538</v>
      </c>
      <c r="O237" s="25" t="s">
        <v>539</v>
      </c>
      <c r="P237" s="25" t="s">
        <v>540</v>
      </c>
      <c r="Q237" s="25" t="s">
        <v>356</v>
      </c>
      <c r="R237" s="25" t="s">
        <v>541</v>
      </c>
      <c r="S237" s="25" t="s">
        <v>542</v>
      </c>
      <c r="T237" s="25" t="s">
        <v>23</v>
      </c>
      <c r="U237" s="25" t="s">
        <v>543</v>
      </c>
      <c r="V237" s="25" t="s">
        <v>544</v>
      </c>
      <c r="W237" s="25" t="s">
        <v>545</v>
      </c>
      <c r="X237" s="25" t="s">
        <v>546</v>
      </c>
      <c r="Y237" s="25" t="s">
        <v>547</v>
      </c>
      <c r="Z237" s="25" t="s">
        <v>548</v>
      </c>
      <c r="AO237" s="25" t="s">
        <v>6089</v>
      </c>
      <c r="AS237" s="25" t="s">
        <v>6076</v>
      </c>
      <c r="AT237" s="25" t="s">
        <v>6096</v>
      </c>
      <c r="AU237" s="25">
        <v>10</v>
      </c>
      <c r="AV237" s="25" t="s">
        <v>6097</v>
      </c>
      <c r="AW237" s="38" t="str">
        <f>"Permite expandir la Resistencia Celestial a otras personas en un radio "&amp;BC250/2&amp;" metros"</f>
        <v>Permite expandir la Resistencia Celestial a otras personas en un radio 0 metros</v>
      </c>
      <c r="BA237" t="s">
        <v>6106</v>
      </c>
      <c r="BB237" t="s">
        <v>6127</v>
      </c>
      <c r="BC237" t="s">
        <v>6141</v>
      </c>
      <c r="BD237" t="s">
        <v>6159</v>
      </c>
      <c r="BE237" t="s">
        <v>6176</v>
      </c>
      <c r="BF237" t="s">
        <v>6192</v>
      </c>
      <c r="BG237" t="s">
        <v>6207</v>
      </c>
      <c r="BH237"/>
      <c r="BI237" t="s">
        <v>6242</v>
      </c>
      <c r="BJ237"/>
      <c r="BK237" t="s">
        <v>2012</v>
      </c>
      <c r="BL237"/>
      <c r="BM237"/>
      <c r="BN237" t="s">
        <v>6323</v>
      </c>
    </row>
    <row r="238" spans="1:66" x14ac:dyDescent="0.2">
      <c r="A238" s="25">
        <v>16</v>
      </c>
      <c r="B238" s="25" t="s">
        <v>785</v>
      </c>
      <c r="C238" s="25" t="s">
        <v>786</v>
      </c>
      <c r="E238" s="518" t="s">
        <v>273</v>
      </c>
      <c r="F238" s="518"/>
      <c r="G238" s="25">
        <v>0.5</v>
      </c>
      <c r="H238" s="25">
        <v>0.5</v>
      </c>
      <c r="I238" s="25">
        <v>0.60000000000000009</v>
      </c>
      <c r="J238" s="25">
        <v>0.60000000000000009</v>
      </c>
      <c r="K238" s="25">
        <v>0.60000000000000009</v>
      </c>
      <c r="L238" s="25">
        <v>0.5</v>
      </c>
      <c r="M238" s="25">
        <v>0.5</v>
      </c>
      <c r="N238" s="25">
        <v>0.5</v>
      </c>
      <c r="O238" s="25">
        <v>0.5</v>
      </c>
      <c r="P238" s="25">
        <v>0.5</v>
      </c>
      <c r="Q238" s="25">
        <v>0.5</v>
      </c>
      <c r="R238" s="25">
        <v>0.60000000000000009</v>
      </c>
      <c r="S238" s="25">
        <v>0.5</v>
      </c>
      <c r="T238" s="25">
        <v>0.60000000000000009</v>
      </c>
      <c r="U238" s="25">
        <v>0.60000000000000009</v>
      </c>
      <c r="V238" s="25">
        <v>0.60000000000000009</v>
      </c>
      <c r="W238" s="25">
        <v>0.60000000000000009</v>
      </c>
      <c r="X238" s="25">
        <v>0.60000000000000009</v>
      </c>
      <c r="Y238" s="25">
        <v>0.60000000000000009</v>
      </c>
      <c r="Z238" s="25">
        <v>0.5</v>
      </c>
      <c r="AS238" s="25" t="s">
        <v>6087</v>
      </c>
      <c r="AT238" s="25" t="s">
        <v>6283</v>
      </c>
      <c r="AU238" s="25">
        <v>10</v>
      </c>
      <c r="AV238" s="25">
        <v>60</v>
      </c>
      <c r="AW238" s="38" t="s">
        <v>6368</v>
      </c>
      <c r="BA238"/>
      <c r="BB238"/>
      <c r="BC238" t="s">
        <v>6142</v>
      </c>
      <c r="BD238" t="s">
        <v>6158</v>
      </c>
      <c r="BE238"/>
      <c r="BF238"/>
      <c r="BG238" t="s">
        <v>6210</v>
      </c>
      <c r="BH238"/>
      <c r="BI238"/>
      <c r="BJ238"/>
      <c r="BK238" t="s">
        <v>6275</v>
      </c>
      <c r="BL238"/>
      <c r="BM238"/>
      <c r="BN238" t="s">
        <v>6325</v>
      </c>
    </row>
    <row r="239" spans="1:66" ht="15.75" customHeight="1" x14ac:dyDescent="0.2">
      <c r="A239" s="25">
        <v>17</v>
      </c>
      <c r="B239" s="25" t="s">
        <v>785</v>
      </c>
      <c r="C239" s="25" t="s">
        <v>787</v>
      </c>
      <c r="E239" s="518" t="s">
        <v>8</v>
      </c>
      <c r="F239" s="518"/>
      <c r="G239" s="35">
        <v>0.5</v>
      </c>
      <c r="H239" s="25">
        <v>0.60000000000000009</v>
      </c>
      <c r="I239" s="25">
        <v>0.5</v>
      </c>
      <c r="J239" s="25">
        <v>0.5</v>
      </c>
      <c r="K239" s="25">
        <v>0.5</v>
      </c>
      <c r="L239" s="25">
        <v>0.5</v>
      </c>
      <c r="M239" s="25">
        <v>0.5</v>
      </c>
      <c r="N239" s="25">
        <v>0.60000000000000009</v>
      </c>
      <c r="O239" s="25">
        <v>0.5</v>
      </c>
      <c r="P239" s="25">
        <v>0.60000000000000009</v>
      </c>
      <c r="Q239" s="25">
        <v>0.5</v>
      </c>
      <c r="R239" s="25">
        <v>0.5</v>
      </c>
      <c r="S239" s="25">
        <v>0.5</v>
      </c>
      <c r="T239" s="25">
        <v>0.60000000000000009</v>
      </c>
      <c r="U239" s="25">
        <v>0.5</v>
      </c>
      <c r="V239" s="25">
        <v>0.5</v>
      </c>
      <c r="W239" s="25">
        <v>0.5</v>
      </c>
      <c r="X239" s="25">
        <v>0.5</v>
      </c>
      <c r="Y239" s="25">
        <v>0.5</v>
      </c>
      <c r="Z239" s="25">
        <v>0.5</v>
      </c>
      <c r="AO239" s="25" t="s">
        <v>6115</v>
      </c>
      <c r="AP239" s="38">
        <f>'Hoja básica'!CF2</f>
        <v>0</v>
      </c>
      <c r="AQ239" s="25">
        <f>'Hoja básica'!CJ2</f>
        <v>0</v>
      </c>
      <c r="AS239" s="25" t="s">
        <v>6083</v>
      </c>
      <c r="AT239" s="25" t="s">
        <v>6188</v>
      </c>
      <c r="AU239" s="25">
        <v>10</v>
      </c>
      <c r="AV239" s="25">
        <v>70</v>
      </c>
      <c r="AW239" s="38" t="str">
        <f>"Otorga un bono de +10 en habilidades de combate a los aliados a "&amp;BC251&amp;" metros de él"</f>
        <v>Otorga un bono de +10 en habilidades de combate a los aliados a 0 metros de él</v>
      </c>
    </row>
    <row r="240" spans="1:66" x14ac:dyDescent="0.2">
      <c r="A240" s="25">
        <v>18</v>
      </c>
      <c r="B240" s="25" t="s">
        <v>788</v>
      </c>
      <c r="C240" s="25" t="s">
        <v>789</v>
      </c>
      <c r="E240" s="518" t="s">
        <v>274</v>
      </c>
      <c r="F240" s="518"/>
      <c r="G240" s="25">
        <v>0.5</v>
      </c>
      <c r="H240" s="25">
        <v>0.5</v>
      </c>
      <c r="I240" s="25">
        <v>0.5</v>
      </c>
      <c r="J240" s="25">
        <v>0.5</v>
      </c>
      <c r="K240" s="25">
        <v>0.5</v>
      </c>
      <c r="L240" s="25">
        <v>0.5</v>
      </c>
      <c r="M240" s="25">
        <v>0.5</v>
      </c>
      <c r="N240" s="25">
        <v>0.5</v>
      </c>
      <c r="O240" s="25">
        <v>0.5</v>
      </c>
      <c r="P240" s="25">
        <v>0.5</v>
      </c>
      <c r="Q240" s="25">
        <v>0.5</v>
      </c>
      <c r="R240" s="25">
        <v>0.5</v>
      </c>
      <c r="S240" s="25">
        <v>0.60000000000000009</v>
      </c>
      <c r="T240" s="25">
        <v>0.60000000000000009</v>
      </c>
      <c r="U240" s="25">
        <v>0.5</v>
      </c>
      <c r="V240" s="25">
        <v>0.5</v>
      </c>
      <c r="W240" s="25">
        <v>0.5</v>
      </c>
      <c r="X240" s="25">
        <v>0.5</v>
      </c>
      <c r="Y240" s="25">
        <v>0.5</v>
      </c>
      <c r="Z240" s="25">
        <v>0.5</v>
      </c>
      <c r="AO240" s="25" t="s">
        <v>6116</v>
      </c>
      <c r="AP240" s="38">
        <f>'Hoja básica'!CL2</f>
        <v>0</v>
      </c>
      <c r="AQ240" s="25">
        <f>'Hoja básica'!CP2</f>
        <v>0</v>
      </c>
      <c r="AS240" s="25" t="s">
        <v>6086</v>
      </c>
      <c r="AT240" s="25" t="s">
        <v>6269</v>
      </c>
      <c r="AU240" s="25">
        <v>10</v>
      </c>
      <c r="AV240" s="25">
        <v>60</v>
      </c>
      <c r="AW240" s="38" t="s">
        <v>6369</v>
      </c>
      <c r="BB240" s="25" t="s">
        <v>6360</v>
      </c>
      <c r="BC240" s="25" t="s">
        <v>6361</v>
      </c>
    </row>
    <row r="241" spans="1:55" x14ac:dyDescent="0.2">
      <c r="A241" s="25">
        <v>19</v>
      </c>
      <c r="B241" s="25" t="s">
        <v>790</v>
      </c>
      <c r="C241" s="25" t="s">
        <v>791</v>
      </c>
      <c r="E241" s="518" t="s">
        <v>273</v>
      </c>
      <c r="F241" s="518"/>
      <c r="G241" s="25">
        <v>50</v>
      </c>
      <c r="H241" s="25">
        <v>50</v>
      </c>
      <c r="I241" s="25">
        <v>60</v>
      </c>
      <c r="J241" s="25">
        <v>60</v>
      </c>
      <c r="K241" s="25">
        <v>60</v>
      </c>
      <c r="L241" s="25">
        <v>50</v>
      </c>
      <c r="M241" s="25">
        <v>50</v>
      </c>
      <c r="N241" s="25">
        <v>50</v>
      </c>
      <c r="O241" s="25">
        <v>50</v>
      </c>
      <c r="P241" s="25">
        <v>50</v>
      </c>
      <c r="Q241" s="25">
        <v>50</v>
      </c>
      <c r="R241" s="25">
        <v>60</v>
      </c>
      <c r="S241" s="25">
        <v>50</v>
      </c>
      <c r="T241" s="25">
        <v>60</v>
      </c>
      <c r="U241" s="25">
        <v>60</v>
      </c>
      <c r="V241" s="25">
        <v>60</v>
      </c>
      <c r="W241" s="25">
        <v>60</v>
      </c>
      <c r="X241" s="25">
        <v>60</v>
      </c>
      <c r="Y241" s="25">
        <v>60</v>
      </c>
      <c r="Z241" s="25">
        <v>50</v>
      </c>
      <c r="AO241" s="25" t="s">
        <v>6117</v>
      </c>
      <c r="AP241" s="38">
        <f>'Hoja básica'!CF57</f>
        <v>0</v>
      </c>
      <c r="AQ241" s="25">
        <f>'Hoja básica'!CJ57</f>
        <v>0</v>
      </c>
      <c r="AS241" s="25" t="s">
        <v>6084</v>
      </c>
      <c r="AT241" s="25" t="s">
        <v>6233</v>
      </c>
      <c r="AU241" s="25">
        <v>10</v>
      </c>
      <c r="AV241" s="25" t="s">
        <v>6234</v>
      </c>
      <c r="AW241" s="38" t="str">
        <f>"Aura de "&amp;BC242/2&amp;" metros, los seres negativos RM o RF contra "&amp;BC242*2&amp;" o daño igual a la mitad del fallo"</f>
        <v>Aura de 0 metros, los seres negativos RM o RF contra 0 o daño igual a la mitad del fallo</v>
      </c>
      <c r="BA241" s="187" t="s">
        <v>6085</v>
      </c>
      <c r="BB241" s="25">
        <v>10</v>
      </c>
      <c r="BC241" s="25">
        <f>_xlfn.IFNA(VLOOKUP(BA241,$AP$239:$AQ$242,2,FALSE),0)</f>
        <v>0</v>
      </c>
    </row>
    <row r="242" spans="1:55" x14ac:dyDescent="0.2">
      <c r="A242" s="25">
        <v>20</v>
      </c>
      <c r="B242" s="25" t="s">
        <v>792</v>
      </c>
      <c r="C242" s="25" t="s">
        <v>793</v>
      </c>
      <c r="E242" s="518" t="s">
        <v>8</v>
      </c>
      <c r="F242" s="518"/>
      <c r="G242" s="25">
        <v>50</v>
      </c>
      <c r="H242" s="25">
        <v>60</v>
      </c>
      <c r="I242" s="25">
        <v>50</v>
      </c>
      <c r="J242" s="25">
        <v>50</v>
      </c>
      <c r="K242" s="25">
        <v>50</v>
      </c>
      <c r="L242" s="25">
        <v>50</v>
      </c>
      <c r="M242" s="25">
        <v>50</v>
      </c>
      <c r="N242" s="25">
        <v>60</v>
      </c>
      <c r="O242" s="25">
        <v>50</v>
      </c>
      <c r="P242" s="25">
        <v>60</v>
      </c>
      <c r="Q242" s="25">
        <v>50</v>
      </c>
      <c r="R242" s="25">
        <v>50</v>
      </c>
      <c r="S242" s="25">
        <v>50</v>
      </c>
      <c r="T242" s="25">
        <v>60</v>
      </c>
      <c r="U242" s="25">
        <v>50</v>
      </c>
      <c r="V242" s="25">
        <v>50</v>
      </c>
      <c r="W242" s="25">
        <v>50</v>
      </c>
      <c r="X242" s="25">
        <v>50</v>
      </c>
      <c r="Y242" s="25">
        <v>50</v>
      </c>
      <c r="Z242" s="25">
        <v>50</v>
      </c>
      <c r="AO242" s="25" t="s">
        <v>6118</v>
      </c>
      <c r="AP242" s="38">
        <f>'Hoja básica'!CL57</f>
        <v>0</v>
      </c>
      <c r="AQ242" s="25">
        <f>'Hoja básica'!CP57</f>
        <v>0</v>
      </c>
      <c r="AS242" s="25" t="s">
        <v>6080</v>
      </c>
      <c r="AT242" s="25" t="s">
        <v>6173</v>
      </c>
      <c r="AU242" s="25">
        <v>10</v>
      </c>
      <c r="AV242" s="25">
        <v>70</v>
      </c>
      <c r="AW242" s="38" t="s">
        <v>6370</v>
      </c>
      <c r="BA242" s="187" t="s">
        <v>6084</v>
      </c>
      <c r="BB242" s="25">
        <v>9</v>
      </c>
      <c r="BC242" s="25">
        <f t="shared" ref="BC242:BC254" si="15">_xlfn.IFNA(VLOOKUP(BA242,$AP$239:$AQ$242,2,FALSE),0)</f>
        <v>0</v>
      </c>
    </row>
    <row r="243" spans="1:55" x14ac:dyDescent="0.2">
      <c r="A243" s="25">
        <v>21</v>
      </c>
      <c r="B243" s="25" t="s">
        <v>794</v>
      </c>
      <c r="C243" s="25" t="s">
        <v>795</v>
      </c>
      <c r="E243" s="518" t="s">
        <v>274</v>
      </c>
      <c r="F243" s="518"/>
      <c r="G243" s="25">
        <v>50</v>
      </c>
      <c r="H243" s="25">
        <v>50</v>
      </c>
      <c r="I243" s="25">
        <v>50</v>
      </c>
      <c r="J243" s="25">
        <v>50</v>
      </c>
      <c r="K243" s="25">
        <v>50</v>
      </c>
      <c r="L243" s="25">
        <v>50</v>
      </c>
      <c r="M243" s="25">
        <v>50</v>
      </c>
      <c r="N243" s="25">
        <v>50</v>
      </c>
      <c r="O243" s="25">
        <v>50</v>
      </c>
      <c r="P243" s="25">
        <v>50</v>
      </c>
      <c r="Q243" s="25">
        <v>50</v>
      </c>
      <c r="R243" s="25">
        <v>50</v>
      </c>
      <c r="S243" s="25">
        <v>60</v>
      </c>
      <c r="T243" s="25">
        <v>60</v>
      </c>
      <c r="U243" s="25">
        <v>50</v>
      </c>
      <c r="V243" s="25">
        <v>50</v>
      </c>
      <c r="W243" s="25">
        <v>50</v>
      </c>
      <c r="X243" s="25">
        <v>50</v>
      </c>
      <c r="Y243" s="25">
        <v>50</v>
      </c>
      <c r="Z243" s="25">
        <v>50</v>
      </c>
      <c r="AS243" s="25" t="s">
        <v>6083</v>
      </c>
      <c r="AT243" s="25" t="s">
        <v>6189</v>
      </c>
      <c r="AU243" s="25">
        <v>20</v>
      </c>
      <c r="AV243" s="25" t="s">
        <v>6190</v>
      </c>
      <c r="AW243" s="38" t="str">
        <f>"Transformación en un avatar durante "&amp;BC251&amp;" turnos, da armas naturales, +30 a todo, +3 a características y zen"</f>
        <v>Transformación en un avatar durante 0 turnos, da armas naturales, +30 a todo, +3 a características y zen</v>
      </c>
      <c r="BA243" s="187" t="s">
        <v>6086</v>
      </c>
      <c r="BB243" s="25">
        <v>11</v>
      </c>
      <c r="BC243" s="25">
        <f t="shared" si="15"/>
        <v>0</v>
      </c>
    </row>
    <row r="244" spans="1:55" x14ac:dyDescent="0.2">
      <c r="A244" s="25">
        <v>22</v>
      </c>
      <c r="B244" s="25" t="s">
        <v>796</v>
      </c>
      <c r="C244" s="25" t="s">
        <v>797</v>
      </c>
      <c r="AS244" s="25" t="s">
        <v>6076</v>
      </c>
      <c r="AT244" s="25" t="s">
        <v>6102</v>
      </c>
      <c r="AU244" s="25">
        <v>15</v>
      </c>
      <c r="AV244" s="25">
        <v>80</v>
      </c>
      <c r="AW244" s="38" t="s">
        <v>6103</v>
      </c>
      <c r="BA244" s="187" t="s">
        <v>6088</v>
      </c>
      <c r="BB244" s="25">
        <v>13</v>
      </c>
      <c r="BC244" s="25">
        <f t="shared" si="15"/>
        <v>0</v>
      </c>
    </row>
    <row r="245" spans="1:55" x14ac:dyDescent="0.2">
      <c r="A245" s="25">
        <v>23</v>
      </c>
      <c r="B245" s="25" t="s">
        <v>796</v>
      </c>
      <c r="C245" s="25" t="s">
        <v>797</v>
      </c>
      <c r="AO245" s="25" t="s">
        <v>6076</v>
      </c>
      <c r="AS245" s="25" t="s">
        <v>6086</v>
      </c>
      <c r="AT245" s="25" t="s">
        <v>6267</v>
      </c>
      <c r="AU245" s="25">
        <v>5</v>
      </c>
      <c r="AV245" s="25">
        <v>50</v>
      </c>
      <c r="AW245" s="38" t="s">
        <v>6268</v>
      </c>
      <c r="BA245" s="187" t="s">
        <v>6082</v>
      </c>
      <c r="BB245" s="25">
        <v>8</v>
      </c>
      <c r="BC245" s="25">
        <f t="shared" si="15"/>
        <v>0</v>
      </c>
    </row>
    <row r="246" spans="1:55" x14ac:dyDescent="0.2">
      <c r="A246" s="25">
        <v>34</v>
      </c>
      <c r="B246" s="25" t="s">
        <v>796</v>
      </c>
      <c r="C246" s="25" t="s">
        <v>797</v>
      </c>
      <c r="AO246" s="25" t="s">
        <v>6077</v>
      </c>
      <c r="AS246" s="25" t="s">
        <v>6084</v>
      </c>
      <c r="AT246" s="25" t="s">
        <v>6237</v>
      </c>
      <c r="AU246" s="25">
        <v>20</v>
      </c>
      <c r="AV246" s="25">
        <v>70</v>
      </c>
      <c r="AW246" s="38" t="s">
        <v>6371</v>
      </c>
      <c r="BA246" s="187" t="s">
        <v>6087</v>
      </c>
      <c r="BB246" s="25">
        <v>12</v>
      </c>
      <c r="BC246" s="25">
        <f t="shared" si="15"/>
        <v>0</v>
      </c>
    </row>
    <row r="247" spans="1:55" x14ac:dyDescent="0.2">
      <c r="A247" s="25">
        <v>25</v>
      </c>
      <c r="B247" s="25" t="s">
        <v>796</v>
      </c>
      <c r="C247" s="25" t="s">
        <v>797</v>
      </c>
      <c r="AO247" s="25" t="s">
        <v>6078</v>
      </c>
      <c r="AS247" s="25" t="s">
        <v>6079</v>
      </c>
      <c r="AT247" s="25" t="s">
        <v>6152</v>
      </c>
      <c r="AU247" s="25">
        <v>10</v>
      </c>
      <c r="AV247" s="25">
        <v>60</v>
      </c>
      <c r="AW247" s="38" t="s">
        <v>6372</v>
      </c>
      <c r="BA247" s="187" t="s">
        <v>6080</v>
      </c>
      <c r="BB247" s="25">
        <v>5</v>
      </c>
      <c r="BC247" s="25">
        <f t="shared" si="15"/>
        <v>0</v>
      </c>
    </row>
    <row r="248" spans="1:55" x14ac:dyDescent="0.2">
      <c r="AO248" s="25" t="s">
        <v>6079</v>
      </c>
      <c r="AS248" s="25" t="s">
        <v>6082</v>
      </c>
      <c r="AT248" s="25" t="s">
        <v>6219</v>
      </c>
      <c r="AU248" s="25">
        <v>10</v>
      </c>
      <c r="AV248" s="25">
        <v>60</v>
      </c>
      <c r="AW248" s="38" t="s">
        <v>6373</v>
      </c>
      <c r="BA248" s="187" t="s">
        <v>6079</v>
      </c>
      <c r="BB248" s="25">
        <v>4</v>
      </c>
      <c r="BC248" s="25">
        <f t="shared" si="15"/>
        <v>0</v>
      </c>
    </row>
    <row r="249" spans="1:55" x14ac:dyDescent="0.2">
      <c r="AO249" s="25" t="s">
        <v>6080</v>
      </c>
      <c r="AS249" s="25" t="s">
        <v>6089</v>
      </c>
      <c r="AT249" s="25" t="s">
        <v>6308</v>
      </c>
      <c r="AU249" s="25">
        <v>5</v>
      </c>
      <c r="AV249" s="25">
        <v>20</v>
      </c>
      <c r="AW249" s="38" t="s">
        <v>6374</v>
      </c>
      <c r="BA249" s="187" t="s">
        <v>6089</v>
      </c>
      <c r="BB249" s="25">
        <v>14</v>
      </c>
      <c r="BC249" s="25">
        <f t="shared" si="15"/>
        <v>0</v>
      </c>
    </row>
    <row r="250" spans="1:55" x14ac:dyDescent="0.2">
      <c r="G250" s="25" t="s">
        <v>798</v>
      </c>
      <c r="J250" s="25" t="s">
        <v>5200</v>
      </c>
      <c r="K250" s="25" t="s">
        <v>5201</v>
      </c>
      <c r="L250" s="36" t="s">
        <v>5202</v>
      </c>
      <c r="AO250" s="25" t="s">
        <v>6083</v>
      </c>
      <c r="AS250" s="25" t="s">
        <v>6080</v>
      </c>
      <c r="AT250" s="25" t="s">
        <v>6174</v>
      </c>
      <c r="AU250" s="25">
        <v>15</v>
      </c>
      <c r="AV250" s="25">
        <v>80</v>
      </c>
      <c r="AW250" s="38" t="str">
        <f>"Al cantar durante 30 segundos quitas la intención de luchar, rango "&amp;100*BC247&amp;" metros, RM "&amp;2*BC247</f>
        <v>Al cantar durante 30 segundos quitas la intención de luchar, rango 0 metros, RM 0</v>
      </c>
      <c r="BA250" s="187" t="s">
        <v>6076</v>
      </c>
      <c r="BB250" s="25">
        <v>1</v>
      </c>
      <c r="BC250" s="25">
        <f t="shared" si="15"/>
        <v>0</v>
      </c>
    </row>
    <row r="251" spans="1:55" x14ac:dyDescent="0.2">
      <c r="D251" s="25" t="s">
        <v>8</v>
      </c>
      <c r="E251" s="25" t="s">
        <v>703</v>
      </c>
      <c r="F251" s="25" t="s">
        <v>799</v>
      </c>
      <c r="G251" s="4">
        <f>LOOKUP('Hoja básica'!$E$13,Sheet3!$G$21:$H$40)</f>
        <v>1</v>
      </c>
      <c r="J251" s="25" t="e">
        <f>('Hoja básica'!#REF!/2)/'Hoja básica'!C37</f>
        <v>#REF!</v>
      </c>
      <c r="K251" s="25" t="e">
        <f>('Hoja básica'!#REF!/2)/'Hoja básica'!E37</f>
        <v>#REF!</v>
      </c>
      <c r="L251" s="25" t="e">
        <f>('Hoja básica'!#REF!/2)/'Hoja básica'!G37</f>
        <v>#REF!</v>
      </c>
      <c r="AO251" s="25" t="s">
        <v>6081</v>
      </c>
      <c r="AS251" s="25" t="s">
        <v>6089</v>
      </c>
      <c r="AT251" s="25" t="s">
        <v>6325</v>
      </c>
      <c r="AU251" s="25">
        <v>10</v>
      </c>
      <c r="AV251" s="25" t="s">
        <v>6326</v>
      </c>
      <c r="AW251" s="38" t="s">
        <v>6327</v>
      </c>
      <c r="BA251" s="187" t="s">
        <v>6083</v>
      </c>
      <c r="BB251" s="25">
        <v>6</v>
      </c>
      <c r="BC251" s="25">
        <f t="shared" si="15"/>
        <v>0</v>
      </c>
    </row>
    <row r="252" spans="1:55" x14ac:dyDescent="0.2">
      <c r="A252" s="25" t="s">
        <v>800</v>
      </c>
      <c r="B252" s="25">
        <v>0</v>
      </c>
      <c r="D252" s="25">
        <f>LOOKUP('Hoja básica'!$C$2,Sheet3!$G$224:$Z$224,Sheet3!$G$229:$Z$229)</f>
        <v>2</v>
      </c>
      <c r="E252" s="36">
        <v>5</v>
      </c>
      <c r="F252" s="36" t="s">
        <v>801</v>
      </c>
      <c r="G252" s="4">
        <f>LOOKUP('Hoja básica'!$E$10,Sheet3!$G$21:$H$40)</f>
        <v>1</v>
      </c>
      <c r="H252" s="36"/>
      <c r="I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O252" s="25" t="s">
        <v>6082</v>
      </c>
      <c r="AS252" s="25" t="s">
        <v>6078</v>
      </c>
      <c r="AT252" s="25" t="s">
        <v>6139</v>
      </c>
      <c r="AU252" s="25">
        <v>10</v>
      </c>
      <c r="AV252" s="25">
        <v>70</v>
      </c>
      <c r="AW252" s="137" t="s">
        <v>6145</v>
      </c>
      <c r="BA252" s="187" t="s">
        <v>6081</v>
      </c>
      <c r="BB252" s="25">
        <v>7</v>
      </c>
      <c r="BC252" s="25">
        <f t="shared" si="15"/>
        <v>0</v>
      </c>
    </row>
    <row r="253" spans="1:55" x14ac:dyDescent="0.2">
      <c r="A253" s="25">
        <v>0</v>
      </c>
      <c r="B253" s="25">
        <v>1</v>
      </c>
      <c r="E253" s="36"/>
      <c r="F253" s="36" t="s">
        <v>802</v>
      </c>
      <c r="G253" s="4">
        <f>LOOKUP('Hoja básica'!$E$12,Sheet3!$G$21:$H$40)</f>
        <v>1</v>
      </c>
      <c r="H253" s="36"/>
      <c r="I253" s="36"/>
      <c r="J253" s="49"/>
      <c r="K253" s="49"/>
      <c r="L253" s="49"/>
      <c r="M253" s="49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O253" s="25" t="s">
        <v>6084</v>
      </c>
      <c r="AS253" s="25" t="s">
        <v>6081</v>
      </c>
      <c r="AT253" s="25" t="s">
        <v>6210</v>
      </c>
      <c r="AU253" s="25">
        <v>10</v>
      </c>
      <c r="AV253" s="25">
        <v>100</v>
      </c>
      <c r="AW253" s="38" t="s">
        <v>6375</v>
      </c>
      <c r="BA253" s="187" t="s">
        <v>6078</v>
      </c>
      <c r="BB253" s="25">
        <v>3</v>
      </c>
      <c r="BC253" s="25">
        <f t="shared" si="15"/>
        <v>0</v>
      </c>
    </row>
    <row r="254" spans="1:55" x14ac:dyDescent="0.2">
      <c r="A254" s="25">
        <v>1</v>
      </c>
      <c r="B254" s="25">
        <v>1</v>
      </c>
      <c r="E254" s="36"/>
      <c r="F254" s="36" t="s">
        <v>803</v>
      </c>
      <c r="G254" s="4">
        <f>LOOKUP('Hoja básica'!$E$11,Sheet3!$G$21:$H$40)</f>
        <v>1</v>
      </c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O254" s="25" t="s">
        <v>6085</v>
      </c>
      <c r="AS254" s="25" t="s">
        <v>6087</v>
      </c>
      <c r="AT254" s="25" t="s">
        <v>6281</v>
      </c>
      <c r="AU254" s="25">
        <v>10</v>
      </c>
      <c r="AV254" s="25">
        <v>50</v>
      </c>
      <c r="AW254" s="38" t="str">
        <f>"Permite repetir una tirada hasta "&amp;ROUNDDOWN(BC246/10,0)&amp;" veces por partida"</f>
        <v>Permite repetir una tirada hasta 0 veces por partida</v>
      </c>
      <c r="BA254" s="187" t="s">
        <v>6077</v>
      </c>
      <c r="BB254" s="25">
        <v>2</v>
      </c>
      <c r="BC254" s="25">
        <f t="shared" si="15"/>
        <v>0</v>
      </c>
    </row>
    <row r="255" spans="1:55" x14ac:dyDescent="0.2">
      <c r="A255" s="25">
        <v>99</v>
      </c>
      <c r="B255" s="25">
        <v>1</v>
      </c>
      <c r="E255" s="36"/>
      <c r="F255" s="36" t="s">
        <v>804</v>
      </c>
      <c r="G255" s="4">
        <f>LOOKUP('Hoja básica'!$E$17,Sheet3!$G$21:$H$40)</f>
        <v>1</v>
      </c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O255" s="25" t="s">
        <v>6086</v>
      </c>
      <c r="AS255" s="25" t="s">
        <v>6081</v>
      </c>
      <c r="AT255" s="25" t="s">
        <v>6195</v>
      </c>
      <c r="AU255" s="25">
        <v>5</v>
      </c>
      <c r="AV255" s="25">
        <v>20</v>
      </c>
      <c r="AW255" s="38" t="str">
        <f>"Aumenta Animales en "&amp;BC252</f>
        <v>Aumenta Animales en 0</v>
      </c>
    </row>
    <row r="256" spans="1:55" x14ac:dyDescent="0.2">
      <c r="A256" s="25">
        <v>100</v>
      </c>
      <c r="B256" s="25">
        <v>2</v>
      </c>
      <c r="E256" s="36"/>
      <c r="F256" s="36" t="s">
        <v>805</v>
      </c>
      <c r="G256" s="4">
        <f>LOOKUP('Hoja básica'!$E$16,Sheet3!$G$21:$H$40)</f>
        <v>1</v>
      </c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O256" s="25" t="s">
        <v>6087</v>
      </c>
      <c r="AS256" s="25" t="s">
        <v>6081</v>
      </c>
      <c r="AT256" s="25" t="s">
        <v>6194</v>
      </c>
      <c r="AU256" s="25">
        <v>5</v>
      </c>
      <c r="AV256" s="25">
        <v>10</v>
      </c>
      <c r="AW256" s="38" t="str">
        <f>"Aumenta Herbolaria en "&amp;BC252</f>
        <v>Aumenta Herbolaria en 0</v>
      </c>
    </row>
    <row r="257" spans="1:49" x14ac:dyDescent="0.2">
      <c r="A257" s="25">
        <v>101</v>
      </c>
      <c r="B257" s="25">
        <v>2</v>
      </c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O257" s="25" t="s">
        <v>6088</v>
      </c>
      <c r="AS257" s="25" t="s">
        <v>6082</v>
      </c>
      <c r="AT257" s="25" t="s">
        <v>6211</v>
      </c>
      <c r="AU257" s="25">
        <v>5</v>
      </c>
      <c r="AV257" s="25">
        <v>10</v>
      </c>
      <c r="AW257" s="38" t="str">
        <f>"Aumenta Ocultismo en "&amp;BC245</f>
        <v>Aumenta Ocultismo en 0</v>
      </c>
    </row>
    <row r="258" spans="1:49" x14ac:dyDescent="0.2">
      <c r="A258" s="25">
        <v>224</v>
      </c>
      <c r="B258" s="25">
        <v>2</v>
      </c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O258" s="25" t="s">
        <v>6089</v>
      </c>
      <c r="AS258" s="25" t="s">
        <v>6084</v>
      </c>
      <c r="AT258" s="25" t="s">
        <v>6240</v>
      </c>
      <c r="AU258" s="25">
        <v>15</v>
      </c>
      <c r="AV258" s="25" t="s">
        <v>6241</v>
      </c>
      <c r="AW258" s="38" t="str">
        <f>"Bendices cosas durante "&amp;ROUNDDOWN(BC242/10,0)&amp;" horas, RM 140 para entrar en un lugar bendito o 50% daño adicional a criaturas oscuras"</f>
        <v>Bendices cosas durante 0 horas, RM 140 para entrar en un lugar bendito o 50% daño adicional a criaturas oscuras</v>
      </c>
    </row>
    <row r="259" spans="1:49" x14ac:dyDescent="0.2">
      <c r="A259" s="25">
        <v>225</v>
      </c>
      <c r="B259" s="25">
        <v>3</v>
      </c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S259" s="25" t="s">
        <v>6085</v>
      </c>
      <c r="AT259" s="25" t="s">
        <v>6248</v>
      </c>
      <c r="AU259" s="25">
        <v>15</v>
      </c>
      <c r="AV259" s="25">
        <v>50</v>
      </c>
      <c r="AW259" s="38" t="str">
        <f>"RM "&amp;BC241+40&amp;" o conviertes en criatura maliga, si fallan por más de 40 el cambio es permanente"</f>
        <v>RM 40 o conviertes en criatura maliga, si fallan por más de 40 el cambio es permanente</v>
      </c>
    </row>
    <row r="260" spans="1:49" x14ac:dyDescent="0.2">
      <c r="A260" s="25">
        <v>226</v>
      </c>
      <c r="B260" s="25">
        <v>3</v>
      </c>
      <c r="D260" s="25" t="s">
        <v>5074</v>
      </c>
      <c r="G260" s="36"/>
      <c r="H260" s="36"/>
      <c r="I260" s="36"/>
      <c r="J260" s="36" t="s">
        <v>5100</v>
      </c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S260" s="25" t="s">
        <v>6086</v>
      </c>
      <c r="AT260" s="25" t="s">
        <v>6265</v>
      </c>
      <c r="AU260" s="25">
        <v>15</v>
      </c>
      <c r="AV260" s="25" t="s">
        <v>6266</v>
      </c>
      <c r="AW260" s="38" t="s">
        <v>6376</v>
      </c>
    </row>
    <row r="261" spans="1:49" x14ac:dyDescent="0.2">
      <c r="A261" s="25">
        <v>374</v>
      </c>
      <c r="B261" s="25">
        <v>3</v>
      </c>
      <c r="D261" s="25" t="s">
        <v>5075</v>
      </c>
      <c r="E261" s="25" t="s">
        <v>5089</v>
      </c>
      <c r="F261" s="25" t="s">
        <v>5076</v>
      </c>
      <c r="G261" s="25" t="s">
        <v>5077</v>
      </c>
      <c r="H261" s="36" t="s">
        <v>5088</v>
      </c>
      <c r="I261" s="36" t="s">
        <v>5085</v>
      </c>
      <c r="J261" s="36" t="s">
        <v>5101</v>
      </c>
      <c r="K261" s="36" t="s">
        <v>5102</v>
      </c>
      <c r="L261" s="36" t="s">
        <v>5103</v>
      </c>
      <c r="M261" s="36" t="s">
        <v>5077</v>
      </c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S261" s="25" t="s">
        <v>6081</v>
      </c>
      <c r="AT261" s="25" t="s">
        <v>2667</v>
      </c>
      <c r="AU261" s="25">
        <v>10</v>
      </c>
      <c r="AV261" s="25">
        <v>20</v>
      </c>
      <c r="AW261" s="38" t="str">
        <f>"Permite curar a 5PV por asalto un máximo de "&amp;BC252&amp;" PVs al día"</f>
        <v>Permite curar a 5PV por asalto un máximo de 0 PVs al día</v>
      </c>
    </row>
    <row r="262" spans="1:49" x14ac:dyDescent="0.2">
      <c r="A262" s="25">
        <v>375</v>
      </c>
      <c r="B262" s="25">
        <v>4</v>
      </c>
      <c r="D262" s="25">
        <v>1</v>
      </c>
      <c r="E262" s="25">
        <v>1</v>
      </c>
      <c r="F262" s="25" t="s">
        <v>1109</v>
      </c>
      <c r="G262" s="45" t="s">
        <v>5703</v>
      </c>
      <c r="H262" s="36">
        <f>E262/5</f>
        <v>0.2</v>
      </c>
      <c r="I262" s="36" t="s">
        <v>5087</v>
      </c>
      <c r="J262" s="25">
        <v>1</v>
      </c>
      <c r="K262" s="44" t="s">
        <v>5104</v>
      </c>
      <c r="L262" s="44" t="s">
        <v>5104</v>
      </c>
      <c r="M262" s="45" t="s">
        <v>5703</v>
      </c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S262" s="25" t="s">
        <v>6081</v>
      </c>
      <c r="AT262" s="25" t="s">
        <v>6199</v>
      </c>
      <c r="AU262" s="25">
        <v>15</v>
      </c>
      <c r="AV262" s="25" t="s">
        <v>6200</v>
      </c>
      <c r="AW262" s="38" t="str">
        <f>"Permite curar a 5PV por asalto un máximo de "&amp;BC252*10&amp;" PVs al día"</f>
        <v>Permite curar a 5PV por asalto un máximo de 0 PVs al día</v>
      </c>
    </row>
    <row r="263" spans="1:49" x14ac:dyDescent="0.2">
      <c r="A263" s="25">
        <v>376</v>
      </c>
      <c r="B263" s="25">
        <v>4</v>
      </c>
      <c r="D263" s="25">
        <v>2</v>
      </c>
      <c r="E263" s="25">
        <v>4</v>
      </c>
      <c r="F263" s="25" t="s">
        <v>4734</v>
      </c>
      <c r="G263" s="45" t="s">
        <v>5703</v>
      </c>
      <c r="H263" s="43">
        <f t="shared" ref="H263:H280" si="16">E263/5</f>
        <v>0.8</v>
      </c>
      <c r="I263" s="36" t="s">
        <v>5090</v>
      </c>
      <c r="J263" s="25">
        <v>2</v>
      </c>
      <c r="K263" s="44" t="s">
        <v>5105</v>
      </c>
      <c r="L263" s="44" t="s">
        <v>5106</v>
      </c>
      <c r="M263" s="45" t="s">
        <v>5703</v>
      </c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S263" s="25" t="s">
        <v>6081</v>
      </c>
      <c r="AT263" s="25" t="s">
        <v>6207</v>
      </c>
      <c r="AU263" s="25">
        <v>20</v>
      </c>
      <c r="AV263" s="25" t="s">
        <v>6208</v>
      </c>
      <c r="AW263" s="38" t="s">
        <v>6209</v>
      </c>
    </row>
    <row r="264" spans="1:49" x14ac:dyDescent="0.2">
      <c r="A264" s="25">
        <v>549</v>
      </c>
      <c r="B264" s="25">
        <v>4</v>
      </c>
      <c r="D264" s="25">
        <v>3</v>
      </c>
      <c r="E264" s="25">
        <v>8</v>
      </c>
      <c r="F264" s="25" t="s">
        <v>5078</v>
      </c>
      <c r="G264" s="45" t="s">
        <v>5703</v>
      </c>
      <c r="H264" s="43">
        <f t="shared" si="16"/>
        <v>1.6</v>
      </c>
      <c r="I264" s="36" t="s">
        <v>5091</v>
      </c>
      <c r="J264" s="25">
        <v>3</v>
      </c>
      <c r="K264" s="44" t="s">
        <v>5106</v>
      </c>
      <c r="L264" s="44" t="s">
        <v>5123</v>
      </c>
      <c r="M264" s="45" t="s">
        <v>5703</v>
      </c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S264" s="25" t="s">
        <v>6077</v>
      </c>
      <c r="AT264" s="25" t="s">
        <v>6110</v>
      </c>
      <c r="AU264" s="25">
        <v>10</v>
      </c>
      <c r="AV264" s="25" t="s">
        <v>6111</v>
      </c>
      <c r="AW264" s="38" t="s">
        <v>6112</v>
      </c>
    </row>
    <row r="265" spans="1:49" x14ac:dyDescent="0.2">
      <c r="A265" s="25">
        <v>550</v>
      </c>
      <c r="B265" s="25">
        <v>5</v>
      </c>
      <c r="D265" s="25">
        <v>4</v>
      </c>
      <c r="E265" s="25">
        <v>15</v>
      </c>
      <c r="F265" s="25" t="s">
        <v>3072</v>
      </c>
      <c r="G265" s="45" t="s">
        <v>5703</v>
      </c>
      <c r="H265" s="43">
        <f t="shared" si="16"/>
        <v>3</v>
      </c>
      <c r="I265" s="36" t="s">
        <v>3234</v>
      </c>
      <c r="J265" s="25">
        <v>4</v>
      </c>
      <c r="K265" s="44" t="s">
        <v>5107</v>
      </c>
      <c r="L265" s="44" t="s">
        <v>5109</v>
      </c>
      <c r="M265" s="45" t="s">
        <v>5703</v>
      </c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S265" s="25" t="s">
        <v>6077</v>
      </c>
      <c r="AT265" s="25" t="s">
        <v>5551</v>
      </c>
      <c r="AU265" s="25">
        <v>10</v>
      </c>
      <c r="AV265" s="25">
        <v>30</v>
      </c>
      <c r="AW265" s="38" t="str">
        <f>"Aumenta el daño base en "&amp;BC254/2</f>
        <v>Aumenta el daño base en 0</v>
      </c>
    </row>
    <row r="266" spans="1:49" x14ac:dyDescent="0.2">
      <c r="A266" s="25">
        <v>551</v>
      </c>
      <c r="B266" s="25">
        <v>5</v>
      </c>
      <c r="D266" s="25">
        <v>5</v>
      </c>
      <c r="E266" s="25">
        <v>20</v>
      </c>
      <c r="F266" s="25" t="s">
        <v>1149</v>
      </c>
      <c r="G266" s="45" t="s">
        <v>5703</v>
      </c>
      <c r="H266" s="43">
        <f t="shared" si="16"/>
        <v>4</v>
      </c>
      <c r="I266" s="36" t="s">
        <v>4734</v>
      </c>
      <c r="J266" s="25">
        <v>5</v>
      </c>
      <c r="K266" s="44" t="s">
        <v>5108</v>
      </c>
      <c r="L266" s="44" t="s">
        <v>5110</v>
      </c>
      <c r="M266" s="45" t="s">
        <v>5703</v>
      </c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S266" s="25" t="s">
        <v>6082</v>
      </c>
      <c r="AT266" s="25" t="s">
        <v>6225</v>
      </c>
      <c r="AU266" s="25">
        <v>10</v>
      </c>
      <c r="AV266" s="25">
        <v>100</v>
      </c>
      <c r="AW266" s="38" t="s">
        <v>6226</v>
      </c>
    </row>
    <row r="267" spans="1:49" x14ac:dyDescent="0.2">
      <c r="A267" s="25">
        <v>749</v>
      </c>
      <c r="B267" s="25">
        <v>5</v>
      </c>
      <c r="D267" s="25">
        <v>6</v>
      </c>
      <c r="E267" s="25">
        <v>22</v>
      </c>
      <c r="F267" s="25" t="s">
        <v>5079</v>
      </c>
      <c r="G267" s="45" t="s">
        <v>5703</v>
      </c>
      <c r="H267" s="43">
        <f t="shared" si="16"/>
        <v>4.4000000000000004</v>
      </c>
      <c r="I267" s="36" t="s">
        <v>5092</v>
      </c>
      <c r="J267" s="25">
        <v>6</v>
      </c>
      <c r="K267" s="44" t="s">
        <v>5109</v>
      </c>
      <c r="L267" s="44" t="s">
        <v>5124</v>
      </c>
      <c r="M267" s="45" t="s">
        <v>5703</v>
      </c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S267" s="25" t="s">
        <v>6088</v>
      </c>
      <c r="AT267" s="25" t="s">
        <v>6292</v>
      </c>
      <c r="AU267" s="25">
        <v>5</v>
      </c>
      <c r="AV267" s="25">
        <v>10</v>
      </c>
      <c r="AW267" s="38" t="s">
        <v>6377</v>
      </c>
    </row>
    <row r="268" spans="1:49" x14ac:dyDescent="0.2">
      <c r="A268" s="25">
        <v>750</v>
      </c>
      <c r="B268" s="25">
        <v>6</v>
      </c>
      <c r="D268" s="25">
        <v>7</v>
      </c>
      <c r="E268" s="25">
        <v>25</v>
      </c>
      <c r="F268" s="25" t="s">
        <v>2121</v>
      </c>
      <c r="G268" s="45" t="s">
        <v>5703</v>
      </c>
      <c r="H268" s="43">
        <f t="shared" si="16"/>
        <v>5</v>
      </c>
      <c r="I268" s="36" t="s">
        <v>1127</v>
      </c>
      <c r="J268" s="25">
        <v>7</v>
      </c>
      <c r="K268" s="44" t="s">
        <v>5110</v>
      </c>
      <c r="L268" s="44" t="s">
        <v>5125</v>
      </c>
      <c r="M268" s="45" t="s">
        <v>5703</v>
      </c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S268" s="25" t="s">
        <v>6076</v>
      </c>
      <c r="AT268" s="25" t="s">
        <v>6100</v>
      </c>
      <c r="AU268" s="25">
        <v>10</v>
      </c>
      <c r="AV268" s="25">
        <v>70</v>
      </c>
      <c r="AW268" s="38" t="s">
        <v>6378</v>
      </c>
    </row>
    <row r="269" spans="1:49" x14ac:dyDescent="0.2">
      <c r="A269" s="25">
        <v>751</v>
      </c>
      <c r="B269" s="25">
        <v>6</v>
      </c>
      <c r="D269" s="25">
        <v>8</v>
      </c>
      <c r="E269" s="25">
        <v>28</v>
      </c>
      <c r="F269" s="25" t="s">
        <v>5080</v>
      </c>
      <c r="G269" s="45" t="s">
        <v>5703</v>
      </c>
      <c r="H269" s="43">
        <f t="shared" si="16"/>
        <v>5.6</v>
      </c>
      <c r="I269" s="36" t="s">
        <v>5093</v>
      </c>
      <c r="J269" s="25">
        <v>8</v>
      </c>
      <c r="K269" s="44" t="s">
        <v>5111</v>
      </c>
      <c r="L269" s="44" t="s">
        <v>5126</v>
      </c>
      <c r="M269" s="45" t="s">
        <v>5703</v>
      </c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S269" s="25" t="s">
        <v>6077</v>
      </c>
      <c r="AT269" s="25" t="s">
        <v>6113</v>
      </c>
      <c r="AU269" s="25">
        <v>15</v>
      </c>
      <c r="AV269" s="25">
        <v>50</v>
      </c>
      <c r="AW269" s="38" t="str">
        <f>"Permite destruir cosas cuya presencia sea inferior a "&amp;(BC254/2)+10</f>
        <v>Permite destruir cosas cuya presencia sea inferior a 10</v>
      </c>
    </row>
    <row r="270" spans="1:49" x14ac:dyDescent="0.2">
      <c r="A270" s="25">
        <v>974</v>
      </c>
      <c r="B270" s="25">
        <v>6</v>
      </c>
      <c r="D270" s="25">
        <v>9</v>
      </c>
      <c r="E270" s="25">
        <v>32</v>
      </c>
      <c r="F270" s="25" t="s">
        <v>5081</v>
      </c>
      <c r="G270" s="45" t="s">
        <v>5703</v>
      </c>
      <c r="H270" s="43">
        <f t="shared" si="16"/>
        <v>6.4</v>
      </c>
      <c r="I270" s="36" t="s">
        <v>5094</v>
      </c>
      <c r="J270" s="25">
        <v>9</v>
      </c>
      <c r="K270" s="44" t="s">
        <v>5112</v>
      </c>
      <c r="L270" s="44" t="s">
        <v>5127</v>
      </c>
      <c r="M270" s="45" t="s">
        <v>5703</v>
      </c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S270" s="25" t="s">
        <v>6085</v>
      </c>
      <c r="AT270" s="25" t="s">
        <v>6251</v>
      </c>
      <c r="AU270" s="25">
        <v>15</v>
      </c>
      <c r="AV270" s="25">
        <v>70</v>
      </c>
      <c r="AW270" s="38" t="s">
        <v>6252</v>
      </c>
    </row>
    <row r="271" spans="1:49" x14ac:dyDescent="0.2">
      <c r="A271" s="25">
        <v>975</v>
      </c>
      <c r="B271" s="25">
        <v>7</v>
      </c>
      <c r="D271" s="25">
        <v>10</v>
      </c>
      <c r="E271" s="25">
        <v>35</v>
      </c>
      <c r="F271" s="25" t="s">
        <v>5082</v>
      </c>
      <c r="G271" s="45" t="s">
        <v>5703</v>
      </c>
      <c r="H271" s="43">
        <f t="shared" si="16"/>
        <v>7</v>
      </c>
      <c r="I271" s="36" t="s">
        <v>5095</v>
      </c>
      <c r="J271" s="25">
        <v>10</v>
      </c>
      <c r="K271" s="44" t="s">
        <v>5113</v>
      </c>
      <c r="L271" s="44" t="s">
        <v>5128</v>
      </c>
      <c r="M271" s="45" t="s">
        <v>5703</v>
      </c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S271" s="25" t="s">
        <v>6084</v>
      </c>
      <c r="AT271" s="25" t="s">
        <v>6235</v>
      </c>
      <c r="AU271" s="25">
        <v>15</v>
      </c>
      <c r="AV271" s="25">
        <v>70</v>
      </c>
      <c r="AW271" s="38" t="s">
        <v>6236</v>
      </c>
    </row>
    <row r="272" spans="1:49" x14ac:dyDescent="0.2">
      <c r="A272" s="25">
        <v>976</v>
      </c>
      <c r="B272" s="25">
        <v>7</v>
      </c>
      <c r="D272" s="25">
        <v>11</v>
      </c>
      <c r="E272" s="25">
        <v>40</v>
      </c>
      <c r="F272" s="25" t="s">
        <v>5083</v>
      </c>
      <c r="G272" s="25" t="s">
        <v>3252</v>
      </c>
      <c r="H272" s="43">
        <f t="shared" si="16"/>
        <v>8</v>
      </c>
      <c r="I272" s="36" t="s">
        <v>5078</v>
      </c>
      <c r="J272" s="25">
        <v>11</v>
      </c>
      <c r="K272" s="44" t="s">
        <v>5114</v>
      </c>
      <c r="L272" s="44" t="s">
        <v>5129</v>
      </c>
      <c r="M272" s="25" t="s">
        <v>3252</v>
      </c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S272" s="25" t="s">
        <v>6085</v>
      </c>
      <c r="AT272" s="25" t="s">
        <v>6256</v>
      </c>
      <c r="AU272" s="25">
        <v>15</v>
      </c>
      <c r="AV272" s="25">
        <v>90</v>
      </c>
      <c r="AW272" s="38" t="s">
        <v>6379</v>
      </c>
    </row>
    <row r="273" spans="1:49" x14ac:dyDescent="0.2">
      <c r="A273" s="25">
        <v>1224</v>
      </c>
      <c r="B273" s="25">
        <v>7</v>
      </c>
      <c r="D273" s="25">
        <v>12</v>
      </c>
      <c r="E273" s="25">
        <v>50</v>
      </c>
      <c r="F273" s="25" t="s">
        <v>1484</v>
      </c>
      <c r="G273" s="25" t="s">
        <v>3252</v>
      </c>
      <c r="H273" s="43">
        <f t="shared" si="16"/>
        <v>10</v>
      </c>
      <c r="I273" s="36" t="s">
        <v>1483</v>
      </c>
      <c r="J273" s="25">
        <v>12</v>
      </c>
      <c r="K273" s="44" t="s">
        <v>5115</v>
      </c>
      <c r="L273" s="44" t="s">
        <v>5116</v>
      </c>
      <c r="M273" s="25" t="s">
        <v>3252</v>
      </c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S273" s="25" t="s">
        <v>6086</v>
      </c>
      <c r="AT273" s="25" t="s">
        <v>6272</v>
      </c>
      <c r="AU273" s="25">
        <v>20</v>
      </c>
      <c r="AV273" s="25" t="s">
        <v>6273</v>
      </c>
      <c r="AW273" s="38" t="s">
        <v>6380</v>
      </c>
    </row>
    <row r="274" spans="1:49" x14ac:dyDescent="0.2">
      <c r="A274" s="25">
        <v>1225</v>
      </c>
      <c r="B274" s="25">
        <v>8</v>
      </c>
      <c r="D274" s="25">
        <v>13</v>
      </c>
      <c r="E274" s="25">
        <v>80</v>
      </c>
      <c r="F274" s="25" t="s">
        <v>5084</v>
      </c>
      <c r="G274" s="25" t="s">
        <v>3252</v>
      </c>
      <c r="H274" s="43">
        <f t="shared" si="16"/>
        <v>16</v>
      </c>
      <c r="I274" s="36" t="s">
        <v>5096</v>
      </c>
      <c r="J274" s="25">
        <v>13</v>
      </c>
      <c r="K274" s="44" t="s">
        <v>5116</v>
      </c>
      <c r="L274" s="44" t="s">
        <v>5130</v>
      </c>
      <c r="M274" s="25" t="s">
        <v>3252</v>
      </c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S274" s="25" t="s">
        <v>6079</v>
      </c>
      <c r="AT274" s="25" t="s">
        <v>6149</v>
      </c>
      <c r="AU274" s="25">
        <v>10</v>
      </c>
      <c r="AV274" s="25">
        <v>20</v>
      </c>
      <c r="AW274" s="38" t="str">
        <f>"Bono a Dominación igual a "&amp;BC248/2&amp;"; no afecta a criaturas de luz"</f>
        <v>Bono a Dominación igual a 0; no afecta a criaturas de luz</v>
      </c>
    </row>
    <row r="275" spans="1:49" x14ac:dyDescent="0.2">
      <c r="A275" s="25">
        <v>1226</v>
      </c>
      <c r="B275" s="25">
        <v>8</v>
      </c>
      <c r="D275" s="25">
        <v>14</v>
      </c>
      <c r="E275" s="25">
        <v>150</v>
      </c>
      <c r="F275" s="25" t="s">
        <v>1907</v>
      </c>
      <c r="G275" s="25" t="s">
        <v>5587</v>
      </c>
      <c r="H275" s="43">
        <f t="shared" si="16"/>
        <v>30</v>
      </c>
      <c r="I275" s="36" t="s">
        <v>3522</v>
      </c>
      <c r="J275" s="25">
        <v>14</v>
      </c>
      <c r="K275" s="44" t="s">
        <v>5117</v>
      </c>
      <c r="L275" s="44" t="s">
        <v>5131</v>
      </c>
      <c r="M275" s="25" t="s">
        <v>5587</v>
      </c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S275" s="25" t="s">
        <v>6085</v>
      </c>
      <c r="AT275" s="25" t="s">
        <v>6253</v>
      </c>
      <c r="AU275" s="25">
        <v>10</v>
      </c>
      <c r="AV275" s="25" t="s">
        <v>6254</v>
      </c>
      <c r="AW275" s="38" t="s">
        <v>6381</v>
      </c>
    </row>
    <row r="276" spans="1:49" x14ac:dyDescent="0.2">
      <c r="A276" s="25">
        <v>1499</v>
      </c>
      <c r="B276" s="25">
        <v>8</v>
      </c>
      <c r="D276" s="25">
        <v>15</v>
      </c>
      <c r="E276" s="25">
        <v>250</v>
      </c>
      <c r="F276" s="25" t="s">
        <v>1477</v>
      </c>
      <c r="G276" s="25" t="s">
        <v>5587</v>
      </c>
      <c r="H276" s="43">
        <f t="shared" si="16"/>
        <v>50</v>
      </c>
      <c r="I276" s="36" t="s">
        <v>1484</v>
      </c>
      <c r="J276" s="25">
        <v>15</v>
      </c>
      <c r="K276" s="44" t="s">
        <v>5118</v>
      </c>
      <c r="L276" s="44" t="s">
        <v>5119</v>
      </c>
      <c r="M276" s="25" t="s">
        <v>5587</v>
      </c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S276" s="25" t="s">
        <v>6079</v>
      </c>
      <c r="AT276" s="25" t="s">
        <v>6148</v>
      </c>
      <c r="AU276" s="25">
        <v>5</v>
      </c>
      <c r="AV276" s="25">
        <v>10</v>
      </c>
      <c r="AW276" s="38" t="str">
        <f>"Bono en Persuasión y Liderazgo igual a "&amp;BC248</f>
        <v>Bono en Persuasión y Liderazgo igual a 0</v>
      </c>
    </row>
    <row r="277" spans="1:49" x14ac:dyDescent="0.2">
      <c r="A277" s="25">
        <v>1500</v>
      </c>
      <c r="B277" s="25">
        <v>9</v>
      </c>
      <c r="D277" s="25">
        <v>16</v>
      </c>
      <c r="E277" s="25">
        <v>500</v>
      </c>
      <c r="F277" s="25" t="s">
        <v>1478</v>
      </c>
      <c r="G277" s="25" t="s">
        <v>5587</v>
      </c>
      <c r="H277" s="43">
        <f t="shared" si="16"/>
        <v>100</v>
      </c>
      <c r="I277" s="36" t="s">
        <v>1476</v>
      </c>
      <c r="J277" s="25">
        <v>16</v>
      </c>
      <c r="K277" s="44" t="s">
        <v>5119</v>
      </c>
      <c r="L277" s="44" t="s">
        <v>5120</v>
      </c>
      <c r="M277" s="25" t="s">
        <v>5587</v>
      </c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S277" s="25" t="s">
        <v>6083</v>
      </c>
      <c r="AT277" s="25" t="s">
        <v>6184</v>
      </c>
      <c r="AU277" s="25">
        <v>10</v>
      </c>
      <c r="AV277" s="25">
        <v>60</v>
      </c>
      <c r="AW277" s="38" t="s">
        <v>6185</v>
      </c>
    </row>
    <row r="278" spans="1:49" x14ac:dyDescent="0.2">
      <c r="A278" s="25">
        <v>1501</v>
      </c>
      <c r="B278" s="25">
        <v>9</v>
      </c>
      <c r="D278" s="25">
        <v>17</v>
      </c>
      <c r="E278" s="25">
        <v>1</v>
      </c>
      <c r="F278" s="25" t="s">
        <v>1479</v>
      </c>
      <c r="G278" s="25" t="s">
        <v>5587</v>
      </c>
      <c r="H278" s="43">
        <f t="shared" si="16"/>
        <v>0.2</v>
      </c>
      <c r="I278" s="36" t="s">
        <v>3089</v>
      </c>
      <c r="J278" s="25">
        <v>17</v>
      </c>
      <c r="K278" s="44" t="s">
        <v>5120</v>
      </c>
      <c r="L278" s="44" t="s">
        <v>5133</v>
      </c>
      <c r="M278" s="25" t="s">
        <v>5587</v>
      </c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S278" s="25" t="s">
        <v>6089</v>
      </c>
      <c r="AT278" s="25" t="s">
        <v>6320</v>
      </c>
      <c r="AU278" s="25">
        <v>10</v>
      </c>
      <c r="AV278" s="25" t="s">
        <v>6321</v>
      </c>
      <c r="AW278" s="38" t="s">
        <v>6322</v>
      </c>
    </row>
    <row r="279" spans="1:49" x14ac:dyDescent="0.2">
      <c r="A279" s="25">
        <v>1799</v>
      </c>
      <c r="B279" s="25">
        <v>9</v>
      </c>
      <c r="D279" s="25">
        <v>18</v>
      </c>
      <c r="E279" s="25">
        <v>5</v>
      </c>
      <c r="F279" s="25" t="s">
        <v>3590</v>
      </c>
      <c r="G279" s="25" t="s">
        <v>5587</v>
      </c>
      <c r="H279" s="43">
        <f t="shared" si="16"/>
        <v>1</v>
      </c>
      <c r="I279" s="36" t="s">
        <v>1479</v>
      </c>
      <c r="J279" s="25">
        <v>18</v>
      </c>
      <c r="K279" s="44" t="s">
        <v>5122</v>
      </c>
      <c r="L279" s="44" t="s">
        <v>5121</v>
      </c>
      <c r="M279" s="25" t="s">
        <v>5587</v>
      </c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S279" s="25" t="s">
        <v>6082</v>
      </c>
      <c r="AT279" s="25" t="s">
        <v>6213</v>
      </c>
      <c r="AU279" s="25">
        <v>5</v>
      </c>
      <c r="AV279" s="25">
        <v>30</v>
      </c>
      <c r="AW279" s="38" t="s">
        <v>6214</v>
      </c>
    </row>
    <row r="280" spans="1:49" x14ac:dyDescent="0.2">
      <c r="A280" s="25">
        <v>1800</v>
      </c>
      <c r="B280" s="25">
        <v>10</v>
      </c>
      <c r="D280" s="25">
        <v>19</v>
      </c>
      <c r="E280" s="25">
        <v>25</v>
      </c>
      <c r="F280" s="25" t="s">
        <v>1839</v>
      </c>
      <c r="G280" s="25" t="s">
        <v>5587</v>
      </c>
      <c r="H280" s="43">
        <f t="shared" si="16"/>
        <v>5</v>
      </c>
      <c r="I280" s="36" t="s">
        <v>3590</v>
      </c>
      <c r="J280" s="25">
        <v>19</v>
      </c>
      <c r="K280" s="44" t="s">
        <v>5121</v>
      </c>
      <c r="L280" s="44" t="s">
        <v>5132</v>
      </c>
      <c r="M280" s="25" t="s">
        <v>5587</v>
      </c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S280" s="25" t="s">
        <v>6079</v>
      </c>
      <c r="AT280" s="25" t="s">
        <v>6159</v>
      </c>
      <c r="AU280" s="25">
        <v>10</v>
      </c>
      <c r="AV280" s="25" t="s">
        <v>6157</v>
      </c>
      <c r="AW280" s="38" t="str">
        <f>"Controlas a 10 metros alrededor, RM o RP "&amp;BC248+20&amp;" para resistir"</f>
        <v>Controlas a 10 metros alrededor, RM o RP 20 para resistir</v>
      </c>
    </row>
    <row r="281" spans="1:49" x14ac:dyDescent="0.2">
      <c r="A281" s="25">
        <v>1801</v>
      </c>
      <c r="B281" s="25">
        <v>10</v>
      </c>
      <c r="D281" s="25">
        <v>20</v>
      </c>
      <c r="E281" s="25" t="s">
        <v>5086</v>
      </c>
      <c r="F281" s="25" t="s">
        <v>5086</v>
      </c>
      <c r="G281" s="25" t="s">
        <v>5587</v>
      </c>
      <c r="H281" s="43" t="s">
        <v>5086</v>
      </c>
      <c r="I281" s="36" t="s">
        <v>5086</v>
      </c>
      <c r="J281" s="25">
        <v>20</v>
      </c>
      <c r="K281" s="44" t="s">
        <v>5086</v>
      </c>
      <c r="L281" s="44" t="s">
        <v>5086</v>
      </c>
      <c r="M281" s="25" t="s">
        <v>5587</v>
      </c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S281" s="25" t="s">
        <v>6079</v>
      </c>
      <c r="AT281" s="25" t="s">
        <v>6161</v>
      </c>
      <c r="AU281" s="25">
        <v>10</v>
      </c>
      <c r="AV281" s="25">
        <v>50</v>
      </c>
      <c r="AW281" s="38" t="str">
        <f>"Controlas a quien te oiga hablar, RM o RP "&amp;BC248+60&amp;" para resistir"</f>
        <v>Controlas a quien te oiga hablar, RM o RP 60 para resistir</v>
      </c>
    </row>
    <row r="282" spans="1:49" x14ac:dyDescent="0.2">
      <c r="A282" s="25">
        <v>2124</v>
      </c>
      <c r="B282" s="25">
        <v>10</v>
      </c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S282" s="25" t="s">
        <v>6079</v>
      </c>
      <c r="AT282" s="25" t="s">
        <v>6160</v>
      </c>
      <c r="AU282" s="25">
        <v>10</v>
      </c>
      <c r="AV282" s="25" t="s">
        <v>6156</v>
      </c>
      <c r="AW282" s="38" t="str">
        <f>"Controlas a quien mires, RM o RP "&amp;BC248+40&amp;" para resistir"</f>
        <v>Controlas a quien mires, RM o RP 40 para resistir</v>
      </c>
    </row>
    <row r="283" spans="1:49" x14ac:dyDescent="0.2">
      <c r="A283" s="25">
        <v>2125</v>
      </c>
      <c r="B283" s="25">
        <v>11</v>
      </c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S283" s="25" t="s">
        <v>6088</v>
      </c>
      <c r="AT283" s="25" t="s">
        <v>6306</v>
      </c>
      <c r="AU283" s="25">
        <v>10</v>
      </c>
      <c r="AV283" s="25">
        <v>100</v>
      </c>
      <c r="AW283" s="38" t="s">
        <v>6382</v>
      </c>
    </row>
    <row r="284" spans="1:49" x14ac:dyDescent="0.2">
      <c r="A284" s="25">
        <v>2126</v>
      </c>
      <c r="B284" s="25">
        <v>11</v>
      </c>
      <c r="E284" s="36" t="s">
        <v>205</v>
      </c>
      <c r="F284" s="36" t="s">
        <v>14</v>
      </c>
      <c r="G284" s="36"/>
      <c r="H284" s="36" t="s">
        <v>5719</v>
      </c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S284" s="25" t="s">
        <v>6079</v>
      </c>
      <c r="AT284" s="25" t="s">
        <v>6151</v>
      </c>
      <c r="AU284" s="25">
        <v>10</v>
      </c>
      <c r="AV284" s="25">
        <v>50</v>
      </c>
      <c r="AW284" s="38" t="str">
        <f>"Bono a todas las Intelectuales igual a "&amp;BC248/2</f>
        <v>Bono a todas las Intelectuales igual a 0</v>
      </c>
    </row>
    <row r="285" spans="1:49" x14ac:dyDescent="0.2">
      <c r="A285" s="25">
        <v>2474</v>
      </c>
      <c r="B285" s="25">
        <v>11</v>
      </c>
      <c r="F285" s="25">
        <v>1</v>
      </c>
      <c r="H285" s="25">
        <v>0</v>
      </c>
      <c r="I285" s="25">
        <v>-40</v>
      </c>
      <c r="L285" s="25" t="s">
        <v>5934</v>
      </c>
      <c r="M285" s="25" t="s">
        <v>5935</v>
      </c>
      <c r="AS285" s="25" t="s">
        <v>6084</v>
      </c>
      <c r="AT285" s="25" t="s">
        <v>6228</v>
      </c>
      <c r="AU285" s="25">
        <v>5</v>
      </c>
      <c r="AV285" s="25">
        <v>10</v>
      </c>
      <c r="AW285" s="38" t="str">
        <f>"Aumenta Frialdad en "&amp;BC242</f>
        <v>Aumenta Frialdad en 0</v>
      </c>
    </row>
    <row r="286" spans="1:49" x14ac:dyDescent="0.2">
      <c r="A286" s="25">
        <v>2475</v>
      </c>
      <c r="B286" s="25">
        <v>12</v>
      </c>
      <c r="F286" s="25" t="s">
        <v>5999</v>
      </c>
      <c r="H286" s="25">
        <v>1</v>
      </c>
      <c r="I286" s="25">
        <v>-20</v>
      </c>
      <c r="L286" s="25" t="s">
        <v>65</v>
      </c>
      <c r="M286" s="25" t="s">
        <v>5937</v>
      </c>
      <c r="AS286" s="25" t="s">
        <v>6083</v>
      </c>
      <c r="AT286" s="25" t="s">
        <v>6192</v>
      </c>
      <c r="AU286" s="25">
        <v>10</v>
      </c>
      <c r="AV286" s="25">
        <v>100</v>
      </c>
      <c r="AW286" s="38" t="s">
        <v>6193</v>
      </c>
    </row>
    <row r="287" spans="1:49" x14ac:dyDescent="0.2">
      <c r="A287" s="25">
        <v>2476</v>
      </c>
      <c r="B287" s="25">
        <v>12</v>
      </c>
      <c r="F287" s="25">
        <v>2</v>
      </c>
      <c r="H287" s="25">
        <v>2</v>
      </c>
      <c r="I287" s="25">
        <v>0</v>
      </c>
      <c r="L287" s="25" t="s">
        <v>60</v>
      </c>
      <c r="M287" s="25" t="s">
        <v>5936</v>
      </c>
      <c r="AS287" s="25" t="s">
        <v>6078</v>
      </c>
      <c r="AT287" s="25" t="s">
        <v>6142</v>
      </c>
      <c r="AU287" s="25">
        <v>10</v>
      </c>
      <c r="AV287" s="25">
        <v>100</v>
      </c>
      <c r="AW287" s="38" t="s">
        <v>6147</v>
      </c>
    </row>
    <row r="288" spans="1:49" x14ac:dyDescent="0.2">
      <c r="A288" s="25">
        <v>2849</v>
      </c>
      <c r="B288" s="25">
        <v>12</v>
      </c>
      <c r="F288" s="25" t="s">
        <v>6000</v>
      </c>
      <c r="H288" s="25">
        <v>3</v>
      </c>
      <c r="I288" s="25">
        <v>0</v>
      </c>
      <c r="L288" s="25" t="s">
        <v>70</v>
      </c>
      <c r="M288" s="25" t="s">
        <v>428</v>
      </c>
      <c r="AS288" s="25" t="s">
        <v>6081</v>
      </c>
      <c r="AT288" s="25" t="s">
        <v>6197</v>
      </c>
      <c r="AU288" s="25">
        <v>10</v>
      </c>
      <c r="AV288" s="25">
        <v>40</v>
      </c>
      <c r="AW288" s="38" t="str">
        <f>"Puedes eliminar venenos naturales de nivel igual o inferior a "&amp;BC252</f>
        <v>Puedes eliminar venenos naturales de nivel igual o inferior a 0</v>
      </c>
    </row>
    <row r="289" spans="1:49" x14ac:dyDescent="0.2">
      <c r="A289" s="25">
        <v>2850</v>
      </c>
      <c r="B289" s="25">
        <v>13</v>
      </c>
      <c r="F289" s="25">
        <v>3</v>
      </c>
      <c r="L289" s="25" t="s">
        <v>29</v>
      </c>
      <c r="M289" s="25" t="s">
        <v>5938</v>
      </c>
      <c r="AS289" s="25" t="s">
        <v>6085</v>
      </c>
      <c r="AT289" s="25" t="s">
        <v>6244</v>
      </c>
      <c r="AU289" s="25">
        <v>10</v>
      </c>
      <c r="AV289" s="25">
        <v>10</v>
      </c>
      <c r="AW289" s="38" t="s">
        <v>6383</v>
      </c>
    </row>
    <row r="290" spans="1:49" x14ac:dyDescent="0.2">
      <c r="A290" s="25">
        <v>2851</v>
      </c>
      <c r="B290" s="25">
        <v>13</v>
      </c>
      <c r="F290" s="25" t="s">
        <v>6001</v>
      </c>
      <c r="L290" s="25" t="s">
        <v>39</v>
      </c>
      <c r="M290" s="25" t="s">
        <v>5938</v>
      </c>
      <c r="AS290" s="25" t="s">
        <v>6080</v>
      </c>
      <c r="AT290" s="25" t="s">
        <v>6167</v>
      </c>
      <c r="AU290" s="25">
        <v>10</v>
      </c>
      <c r="AV290" s="25">
        <v>30</v>
      </c>
      <c r="AW290" s="38" t="s">
        <v>6168</v>
      </c>
    </row>
    <row r="291" spans="1:49" x14ac:dyDescent="0.2">
      <c r="A291" s="25">
        <v>3249</v>
      </c>
      <c r="B291" s="25">
        <v>13</v>
      </c>
      <c r="F291" s="25">
        <v>4</v>
      </c>
      <c r="L291" s="25" t="s">
        <v>35</v>
      </c>
      <c r="M291" s="25" t="s">
        <v>66</v>
      </c>
      <c r="AS291" s="25" t="s">
        <v>6083</v>
      </c>
      <c r="AT291" s="25" t="s">
        <v>6178</v>
      </c>
      <c r="AU291" s="25">
        <v>5</v>
      </c>
      <c r="AV291" s="25">
        <v>10</v>
      </c>
      <c r="AW291" s="38" t="s">
        <v>6179</v>
      </c>
    </row>
    <row r="292" spans="1:49" x14ac:dyDescent="0.2">
      <c r="A292" s="25">
        <v>3250</v>
      </c>
      <c r="B292" s="25">
        <v>14</v>
      </c>
      <c r="F292" s="25" t="s">
        <v>6002</v>
      </c>
      <c r="AS292" s="25" t="s">
        <v>6085</v>
      </c>
      <c r="AT292" s="25" t="s">
        <v>6249</v>
      </c>
      <c r="AU292" s="25">
        <v>10</v>
      </c>
      <c r="AV292" s="25" t="s">
        <v>6250</v>
      </c>
      <c r="AW292" s="38" t="str">
        <f>"Obtienes PD igual a "&amp;2*BC241&amp;" para obtener poderes como ser de Gnosis 25"</f>
        <v>Obtienes PD igual a 0 para obtener poderes como ser de Gnosis 25</v>
      </c>
    </row>
    <row r="293" spans="1:49" x14ac:dyDescent="0.2">
      <c r="A293" s="25">
        <v>3251</v>
      </c>
      <c r="B293" s="25">
        <v>14</v>
      </c>
      <c r="F293" s="25">
        <v>5</v>
      </c>
      <c r="AS293" s="25" t="s">
        <v>6078</v>
      </c>
      <c r="AT293" s="25" t="s">
        <v>6140</v>
      </c>
      <c r="AU293" s="25">
        <v>10</v>
      </c>
      <c r="AV293" s="25">
        <v>80</v>
      </c>
      <c r="AW293" s="38" t="s">
        <v>6384</v>
      </c>
    </row>
    <row r="294" spans="1:49" x14ac:dyDescent="0.2">
      <c r="A294" s="25">
        <v>3674</v>
      </c>
      <c r="B294" s="25">
        <v>14</v>
      </c>
      <c r="F294" s="25" t="s">
        <v>6003</v>
      </c>
      <c r="AS294" s="25" t="s">
        <v>6079</v>
      </c>
      <c r="AT294" s="25" t="s">
        <v>6140</v>
      </c>
      <c r="AU294" s="25">
        <v>15</v>
      </c>
      <c r="AV294" s="25">
        <v>80</v>
      </c>
      <c r="AW294" s="38" t="s">
        <v>6384</v>
      </c>
    </row>
    <row r="295" spans="1:49" x14ac:dyDescent="0.2">
      <c r="A295" s="25">
        <v>3675</v>
      </c>
      <c r="B295" s="25">
        <v>15</v>
      </c>
      <c r="AS295" s="25" t="s">
        <v>6089</v>
      </c>
      <c r="AT295" s="25" t="s">
        <v>6323</v>
      </c>
      <c r="AU295" s="25">
        <v>15</v>
      </c>
      <c r="AV295" s="25">
        <v>90</v>
      </c>
      <c r="AW295" s="38" t="s">
        <v>6324</v>
      </c>
    </row>
    <row r="296" spans="1:49" x14ac:dyDescent="0.2">
      <c r="A296" s="25">
        <v>3676</v>
      </c>
      <c r="B296" s="25">
        <v>15</v>
      </c>
      <c r="AS296" s="25" t="s">
        <v>6089</v>
      </c>
      <c r="AT296" s="25" t="s">
        <v>6313</v>
      </c>
      <c r="AU296" s="25">
        <v>10</v>
      </c>
      <c r="AV296" s="25">
        <v>40</v>
      </c>
      <c r="AW296" s="38" t="s">
        <v>6385</v>
      </c>
    </row>
    <row r="297" spans="1:49" x14ac:dyDescent="0.2">
      <c r="A297" s="25">
        <v>4124</v>
      </c>
      <c r="B297" s="25">
        <v>15</v>
      </c>
      <c r="AS297" s="25" t="s">
        <v>6083</v>
      </c>
      <c r="AT297" s="25" t="s">
        <v>6180</v>
      </c>
      <c r="AU297" s="25">
        <v>10</v>
      </c>
      <c r="AV297" s="25">
        <v>20</v>
      </c>
      <c r="AW297" s="38" t="s">
        <v>6386</v>
      </c>
    </row>
    <row r="298" spans="1:49" x14ac:dyDescent="0.2">
      <c r="A298" s="25">
        <v>4125</v>
      </c>
      <c r="B298" s="25">
        <v>16</v>
      </c>
      <c r="AS298" s="25" t="s">
        <v>6078</v>
      </c>
      <c r="AT298" s="25" t="s">
        <v>6131</v>
      </c>
      <c r="AU298" s="25">
        <v>10</v>
      </c>
      <c r="AV298" s="25">
        <v>20</v>
      </c>
      <c r="AW298" s="38" t="str">
        <f>"Obtienes un bono igual a "&amp;BC253&amp;" para resistir controles de voluntad"</f>
        <v>Obtienes un bono igual a 0 para resistir controles de voluntad</v>
      </c>
    </row>
    <row r="299" spans="1:49" x14ac:dyDescent="0.2">
      <c r="A299" s="25">
        <v>4126</v>
      </c>
      <c r="B299" s="25">
        <v>16</v>
      </c>
      <c r="AS299" s="25" t="s">
        <v>6084</v>
      </c>
      <c r="AT299" s="25" t="s">
        <v>6232</v>
      </c>
      <c r="AU299" s="25">
        <v>5</v>
      </c>
      <c r="AV299" s="25">
        <v>50</v>
      </c>
      <c r="AW299" s="38" t="s">
        <v>6387</v>
      </c>
    </row>
    <row r="300" spans="1:49" x14ac:dyDescent="0.2">
      <c r="AS300" s="25" t="s">
        <v>6086</v>
      </c>
      <c r="AT300" s="25" t="s">
        <v>6259</v>
      </c>
      <c r="AU300" s="25">
        <v>5</v>
      </c>
      <c r="AV300" s="25">
        <v>10</v>
      </c>
      <c r="AW300" s="38" t="str">
        <f>"Aumenta Estilo en "&amp;BC243</f>
        <v>Aumenta Estilo en 0</v>
      </c>
    </row>
    <row r="301" spans="1:49" x14ac:dyDescent="0.2">
      <c r="A301" s="147"/>
      <c r="B301" s="147"/>
      <c r="AS301" s="25" t="s">
        <v>6087</v>
      </c>
      <c r="AT301" s="25" t="s">
        <v>6282</v>
      </c>
      <c r="AU301" s="25">
        <v>15</v>
      </c>
      <c r="AV301" s="25">
        <v>50</v>
      </c>
      <c r="AW301" s="38" t="str">
        <f>"Otroga "&amp;2*BC246&amp;" PD para obtener poderes como si tuvieras Gnosis 25"</f>
        <v>Otroga 0 PD para obtener poderes como si tuvieras Gnosis 25</v>
      </c>
    </row>
    <row r="302" spans="1:49" x14ac:dyDescent="0.2">
      <c r="T302" s="25">
        <f>MAX(1,U302)</f>
        <v>2</v>
      </c>
      <c r="U302" s="25">
        <v>2</v>
      </c>
      <c r="AS302" s="25" t="s">
        <v>6084</v>
      </c>
      <c r="AT302" s="25" t="s">
        <v>6229</v>
      </c>
      <c r="AU302" s="25">
        <v>10</v>
      </c>
      <c r="AV302" s="25">
        <v>30</v>
      </c>
      <c r="AW302" s="38" t="s">
        <v>6388</v>
      </c>
    </row>
    <row r="303" spans="1:49" x14ac:dyDescent="0.2">
      <c r="F303" s="38" t="s">
        <v>808</v>
      </c>
      <c r="G303" s="25" t="s">
        <v>5705</v>
      </c>
      <c r="H303" s="25" t="s">
        <v>5718</v>
      </c>
      <c r="I303" s="38" t="s">
        <v>808</v>
      </c>
      <c r="J303" s="25" t="s">
        <v>5705</v>
      </c>
      <c r="K303" s="25" t="s">
        <v>5718</v>
      </c>
      <c r="M303" s="38" t="s">
        <v>813</v>
      </c>
      <c r="N303" s="25">
        <v>25</v>
      </c>
      <c r="Z303" s="38" t="s">
        <v>853</v>
      </c>
      <c r="AA303" s="38" t="s">
        <v>855</v>
      </c>
      <c r="AB303" s="38" t="s">
        <v>857</v>
      </c>
      <c r="AC303" s="38" t="s">
        <v>853</v>
      </c>
      <c r="AD303" s="38" t="s">
        <v>855</v>
      </c>
      <c r="AE303" s="38" t="s">
        <v>857</v>
      </c>
      <c r="AF303" s="25" t="s">
        <v>5823</v>
      </c>
      <c r="AH303" s="38" t="s">
        <v>863</v>
      </c>
      <c r="AI303" s="38" t="s">
        <v>865</v>
      </c>
      <c r="AJ303" s="38" t="s">
        <v>867</v>
      </c>
      <c r="AK303" s="38" t="s">
        <v>869</v>
      </c>
      <c r="AL303" s="38" t="s">
        <v>863</v>
      </c>
      <c r="AM303" s="38" t="s">
        <v>865</v>
      </c>
      <c r="AN303" s="38" t="s">
        <v>867</v>
      </c>
      <c r="AO303" s="38" t="s">
        <v>869</v>
      </c>
      <c r="AP303" s="25" t="s">
        <v>5823</v>
      </c>
      <c r="AS303" s="25" t="s">
        <v>6076</v>
      </c>
      <c r="AT303" s="25" t="s">
        <v>6095</v>
      </c>
      <c r="AU303" s="25">
        <v>15</v>
      </c>
      <c r="AV303" s="25">
        <v>50</v>
      </c>
      <c r="AW303" s="38" t="str">
        <f>"Permite expulsar seres malignos que no superen RM contra "&amp;BC250*2</f>
        <v>Permite expulsar seres malignos que no superen RM contra 0</v>
      </c>
    </row>
    <row r="304" spans="1:49" x14ac:dyDescent="0.2">
      <c r="F304" s="38" t="s">
        <v>809</v>
      </c>
      <c r="G304" s="45" t="s">
        <v>5703</v>
      </c>
      <c r="I304" s="38" t="s">
        <v>810</v>
      </c>
      <c r="J304" s="45" t="s">
        <v>5703</v>
      </c>
      <c r="M304" s="38" t="s">
        <v>815</v>
      </c>
      <c r="N304" s="25">
        <v>50</v>
      </c>
      <c r="Q304" s="25" t="s">
        <v>105</v>
      </c>
      <c r="R304" s="25" t="s">
        <v>551</v>
      </c>
      <c r="T304" s="38" t="s">
        <v>853</v>
      </c>
      <c r="V304" s="38" t="s">
        <v>867</v>
      </c>
      <c r="Y304" s="142" t="s">
        <v>5781</v>
      </c>
      <c r="Z304" s="142" t="s">
        <v>5781</v>
      </c>
      <c r="AA304" s="142"/>
      <c r="AB304" s="142"/>
      <c r="AC304" s="142">
        <f>IFERROR(IF(AND((VLOOKUP(Z304,'Hoja básica'!$S$66:$W$73,1,FALSE)=Sheet3!Z304),(VLOOKUP($Z$303,'Hoja básica'!$S$66:$W$73,1,FALSE)=Sheet3!$Z$303)),1,0),0)</f>
        <v>0</v>
      </c>
      <c r="AD304" s="142">
        <f>IFERROR(IF(AND((VLOOKUP(AA304,'Hoja básica'!$S$66:$W$73,1,FALSE)=Sheet3!AA304),(VLOOKUP($AA$303,'Hoja básica'!$S$66:$W$73,1,FALSE)=Sheet3!$AA$303)),1,0),0)</f>
        <v>0</v>
      </c>
      <c r="AE304" s="142">
        <f>IFERROR(IF(AND((VLOOKUP(AB304,'Hoja básica'!$S$66:$W$73,1,FALSE)=Sheet3!AB304),(VLOOKUP($AB$303,'Hoja básica'!$S$66:$W$73,1,FALSE)=Sheet3!$AB$303)),2,0),0)</f>
        <v>0</v>
      </c>
      <c r="AF304" s="142">
        <f>AC304</f>
        <v>0</v>
      </c>
      <c r="AG304" s="142" t="s">
        <v>5728</v>
      </c>
      <c r="AH304" s="142"/>
      <c r="AI304" s="142"/>
      <c r="AJ304" s="142" t="s">
        <v>5728</v>
      </c>
      <c r="AK304" s="142" t="s">
        <v>5827</v>
      </c>
      <c r="AL304" s="142">
        <f>IFERROR(IF(AND((VLOOKUP(AH304,'Hoja básica'!$S$66:$W$73,1,FALSE)=Sheet3!AH304),(VLOOKUP($AH$303,'Hoja básica'!$S$66:$W$73,1,FALSE)=Sheet3!$AH$303)),10,0),0)</f>
        <v>0</v>
      </c>
      <c r="AM304" s="142">
        <f>IFERROR(IF(AND((VLOOKUP(AI304,'Hoja básica'!$S$66:$W$73,1,FALSE)=Sheet3!AI304),(VLOOKUP($AI$303,'Hoja básica'!$S$66:$W$73,1,FALSE)=Sheet3!$AI$303)),20,0),0)</f>
        <v>0</v>
      </c>
      <c r="AN304" s="142">
        <f>IFERROR(IF(AND((VLOOKUP(AJ304,'Hoja básica'!$S$66:$W$73,1,FALSE)=Sheet3!AJ304),(VLOOKUP($AJ$303,'Hoja básica'!$S$66:$W$73,1,FALSE)=Sheet3!$AJ$303)),5,0),0)</f>
        <v>0</v>
      </c>
      <c r="AO304" s="142">
        <f>IFERROR(IF(AND((VLOOKUP(AK304,'Hoja básica'!$S$66:$W$73,1,FALSE)=Sheet3!AK304),(VLOOKUP($AK$303,'Hoja básica'!$S$66:$W$73,1,FALSE)=Sheet3!$AK$303)),10,0),0)</f>
        <v>0</v>
      </c>
      <c r="AP304" s="142">
        <f>AN304+AO304</f>
        <v>0</v>
      </c>
      <c r="AS304" s="25" t="s">
        <v>6076</v>
      </c>
      <c r="AT304" s="25" t="s">
        <v>6091</v>
      </c>
      <c r="AU304" s="25">
        <v>10</v>
      </c>
      <c r="AV304" s="25">
        <v>20</v>
      </c>
      <c r="AW304" s="38" t="str">
        <f>"Puedes curar enfermedades de nivel igual a "&amp;BC250</f>
        <v>Puedes curar enfermedades de nivel igual a 0</v>
      </c>
    </row>
    <row r="305" spans="6:49" x14ac:dyDescent="0.2">
      <c r="F305" s="38" t="s">
        <v>811</v>
      </c>
      <c r="G305" s="45" t="s">
        <v>5703</v>
      </c>
      <c r="I305" s="38" t="s">
        <v>812</v>
      </c>
      <c r="J305" s="25" t="s">
        <v>5716</v>
      </c>
      <c r="K305" s="25" t="s">
        <v>573</v>
      </c>
      <c r="M305" s="25">
        <v>0</v>
      </c>
      <c r="N305" s="25">
        <v>0</v>
      </c>
      <c r="Q305" s="25" t="s">
        <v>146</v>
      </c>
      <c r="R305" s="25" t="s">
        <v>553</v>
      </c>
      <c r="T305" s="25" t="s">
        <v>5728</v>
      </c>
      <c r="Y305" s="143" t="s">
        <v>5737</v>
      </c>
      <c r="Z305" s="143"/>
      <c r="AA305" s="143" t="s">
        <v>5737</v>
      </c>
      <c r="AB305" s="143" t="s">
        <v>5785</v>
      </c>
      <c r="AC305" s="143">
        <f>IFERROR(IF(AND((VLOOKUP(Z305,'Hoja básica'!$S$66:$W$73,1,FALSE)=Sheet3!Z305),(VLOOKUP($Z$303,'Hoja básica'!$S$66:$W$73,1,FALSE)=Sheet3!$Z$303)),1,0),0)</f>
        <v>0</v>
      </c>
      <c r="AD305" s="143">
        <f>IFERROR(IF(AND((VLOOKUP(AA305,'Hoja básica'!$S$66:$W$73,1,FALSE)=Sheet3!AA305),(VLOOKUP($AA$303,'Hoja básica'!$S$66:$W$73,1,FALSE)=Sheet3!$AA$303)),1,0),0)</f>
        <v>0</v>
      </c>
      <c r="AE305" s="143">
        <f>IFERROR(IF(AND((VLOOKUP(AB305,'Hoja básica'!$S$66:$W$73,1,FALSE)=Sheet3!AB305),(VLOOKUP($AB$303,'Hoja básica'!$S$66:$W$73,1,FALSE)=Sheet3!$AB$303)),2,0),0)</f>
        <v>0</v>
      </c>
      <c r="AF305" s="143">
        <f t="shared" ref="AF305:AF310" si="17">SUM(AD305,AE305,$AF$304)</f>
        <v>0</v>
      </c>
      <c r="AG305" s="143" t="s">
        <v>5785</v>
      </c>
      <c r="AH305" s="25" t="s">
        <v>5834</v>
      </c>
      <c r="AI305" s="25" t="s">
        <v>5875</v>
      </c>
      <c r="AJ305" s="143"/>
      <c r="AK305" s="143"/>
      <c r="AL305" s="143">
        <f>IFERROR(IF(AND((VLOOKUP(AH305,'Hoja básica'!$S$66:$W$73,1,FALSE)=Sheet3!AH305),(VLOOKUP($AH$303,'Hoja básica'!$S$66:$W$73,1,FALSE)=Sheet3!$AH$303)),10,0),0)</f>
        <v>0</v>
      </c>
      <c r="AM305" s="143">
        <f>IFERROR(IF(AND((VLOOKUP(AI305,'Hoja básica'!$S$66:$W$73,1,FALSE)=Sheet3!AI305),(VLOOKUP($AI$303,'Hoja básica'!$S$66:$W$73,1,FALSE)=Sheet3!$AI$303)),20,0),0)</f>
        <v>0</v>
      </c>
      <c r="AN305" s="143">
        <f>IFERROR(IF(AND((VLOOKUP(AJ305,'Hoja básica'!$S$66:$W$73,1,FALSE)=Sheet3!AJ305),(VLOOKUP($AJ$303,'Hoja básica'!$S$66:$W$73,1,FALSE)=Sheet3!$AJ$303)),5,0),0)</f>
        <v>0</v>
      </c>
      <c r="AO305" s="143">
        <f>IFERROR(IF(AND((VLOOKUP(AK305,'Hoja básica'!$S$66:$W$73,1,FALSE)=Sheet3!AK305),(VLOOKUP($AK$303,'Hoja básica'!$S$66:$W$73,1,FALSE)=Sheet3!$AK$303)),10,0),0)</f>
        <v>0</v>
      </c>
      <c r="AP305" s="143">
        <f t="shared" ref="AP305:AP310" si="18">AL305+AM305+$AP$304</f>
        <v>0</v>
      </c>
      <c r="AS305" s="25" t="s">
        <v>6087</v>
      </c>
      <c r="AT305" s="25" t="s">
        <v>6287</v>
      </c>
      <c r="AU305" s="25">
        <v>15</v>
      </c>
      <c r="AV305" s="25">
        <v>80</v>
      </c>
      <c r="AW305" s="38" t="str">
        <f>"Permite obtener una abierta un maximo de "&amp;ROUNDDOWN(BC246/20,0)&amp;" veces"</f>
        <v>Permite obtener una abierta un maximo de 0 veces</v>
      </c>
    </row>
    <row r="306" spans="6:49" x14ac:dyDescent="0.2">
      <c r="F306" s="38" t="s">
        <v>813</v>
      </c>
      <c r="G306" s="25" t="s">
        <v>5706</v>
      </c>
      <c r="H306" s="25" t="s">
        <v>573</v>
      </c>
      <c r="I306" s="38" t="s">
        <v>814</v>
      </c>
      <c r="J306" s="25" t="s">
        <v>5709</v>
      </c>
      <c r="K306" s="25" t="s">
        <v>573</v>
      </c>
      <c r="Q306" s="25" t="s">
        <v>163</v>
      </c>
      <c r="R306" s="25" t="s">
        <v>555</v>
      </c>
      <c r="T306" s="25" t="s">
        <v>5729</v>
      </c>
      <c r="Y306" s="143" t="s">
        <v>5738</v>
      </c>
      <c r="Z306" s="143"/>
      <c r="AA306" s="143" t="s">
        <v>5738</v>
      </c>
      <c r="AB306" s="143" t="s">
        <v>5786</v>
      </c>
      <c r="AC306" s="143">
        <f>IFERROR(IF(AND((VLOOKUP(Z306,'Hoja básica'!$S$66:$W$73,1,FALSE)=Sheet3!Z306),(VLOOKUP($Z$303,'Hoja básica'!$S$66:$W$73,1,FALSE)=Sheet3!$Z$303)),1,0),0)</f>
        <v>0</v>
      </c>
      <c r="AD306" s="143">
        <f>IFERROR(IF(AND((VLOOKUP(AA306,'Hoja básica'!$S$66:$W$73,1,FALSE)=Sheet3!AA306),(VLOOKUP($AA$303,'Hoja básica'!$S$66:$W$73,1,FALSE)=Sheet3!$AA$303)),1,0),0)</f>
        <v>0</v>
      </c>
      <c r="AE306" s="143">
        <f>IFERROR(IF(AND((VLOOKUP(AB306,'Hoja básica'!$S$66:$W$73,1,FALSE)=Sheet3!AB306),(VLOOKUP($AB$303,'Hoja básica'!$S$66:$W$73,1,FALSE)=Sheet3!$AB$303)),2,0),0)</f>
        <v>0</v>
      </c>
      <c r="AF306" s="143">
        <f t="shared" si="17"/>
        <v>0</v>
      </c>
      <c r="AG306" s="143" t="s">
        <v>5786</v>
      </c>
      <c r="AH306" s="25" t="s">
        <v>5835</v>
      </c>
      <c r="AI306" s="25" t="s">
        <v>5876</v>
      </c>
      <c r="AJ306" s="143"/>
      <c r="AK306" s="143"/>
      <c r="AL306" s="143">
        <f>IFERROR(IF(AND((VLOOKUP(AH306,'Hoja básica'!$S$66:$W$73,1,FALSE)=Sheet3!AH306),(VLOOKUP($AH$303,'Hoja básica'!$S$66:$W$73,1,FALSE)=Sheet3!$AH$303)),10,0),0)</f>
        <v>0</v>
      </c>
      <c r="AM306" s="143">
        <f>IFERROR(IF(AND((VLOOKUP(AI306,'Hoja básica'!$S$66:$W$73,1,FALSE)=Sheet3!AI306),(VLOOKUP($AI$303,'Hoja básica'!$S$66:$W$73,1,FALSE)=Sheet3!$AI$303)),20,0),0)</f>
        <v>0</v>
      </c>
      <c r="AN306" s="143">
        <f>IFERROR(IF(AND((VLOOKUP(AJ306,'Hoja básica'!$S$66:$W$73,1,FALSE)=Sheet3!AJ306),(VLOOKUP($AJ$303,'Hoja básica'!$S$66:$W$73,1,FALSE)=Sheet3!$AJ$303)),5,0),0)</f>
        <v>0</v>
      </c>
      <c r="AO306" s="143">
        <f>IFERROR(IF(AND((VLOOKUP(AK306,'Hoja básica'!$S$66:$W$73,1,FALSE)=Sheet3!AK306),(VLOOKUP($AK$303,'Hoja básica'!$S$66:$W$73,1,FALSE)=Sheet3!$AK$303)),10,0),0)</f>
        <v>0</v>
      </c>
      <c r="AP306" s="143">
        <f t="shared" si="18"/>
        <v>0</v>
      </c>
      <c r="AS306" s="25" t="s">
        <v>6080</v>
      </c>
      <c r="AT306" s="25" t="s">
        <v>6166</v>
      </c>
      <c r="AU306" s="25">
        <v>5</v>
      </c>
      <c r="AV306" s="25">
        <v>20</v>
      </c>
      <c r="AW306" s="38" t="s">
        <v>6389</v>
      </c>
    </row>
    <row r="307" spans="6:49" x14ac:dyDescent="0.2">
      <c r="F307" s="38" t="s">
        <v>815</v>
      </c>
      <c r="G307" s="25" t="s">
        <v>5706</v>
      </c>
      <c r="H307" s="25" t="s">
        <v>573</v>
      </c>
      <c r="I307" s="38" t="s">
        <v>816</v>
      </c>
      <c r="J307" s="45" t="s">
        <v>5703</v>
      </c>
      <c r="M307" s="38" t="s">
        <v>817</v>
      </c>
      <c r="N307" s="25">
        <v>25</v>
      </c>
      <c r="Q307" s="25" t="s">
        <v>178</v>
      </c>
      <c r="R307" s="25" t="s">
        <v>557</v>
      </c>
      <c r="T307" s="25" t="s">
        <v>5730</v>
      </c>
      <c r="Y307" s="143" t="s">
        <v>5739</v>
      </c>
      <c r="Z307" s="143"/>
      <c r="AA307" s="143" t="s">
        <v>5739</v>
      </c>
      <c r="AB307" s="143" t="s">
        <v>5787</v>
      </c>
      <c r="AC307" s="143">
        <f>IFERROR(IF(AND((VLOOKUP(Z307,'Hoja básica'!$S$66:$W$73,1,FALSE)=Sheet3!Z307),(VLOOKUP($Z$303,'Hoja básica'!$S$66:$W$73,1,FALSE)=Sheet3!$Z$303)),1,0),0)</f>
        <v>0</v>
      </c>
      <c r="AD307" s="143">
        <f>IFERROR(IF(AND((VLOOKUP(AA307,'Hoja básica'!$S$66:$W$73,1,FALSE)=Sheet3!AA307),(VLOOKUP($AA$303,'Hoja básica'!$S$66:$W$73,1,FALSE)=Sheet3!$AA$303)),1,0),0)</f>
        <v>0</v>
      </c>
      <c r="AE307" s="143">
        <f>IFERROR(IF(AND((VLOOKUP(AB307,'Hoja básica'!$S$66:$W$73,1,FALSE)=Sheet3!AB307),(VLOOKUP($AB$303,'Hoja básica'!$S$66:$W$73,1,FALSE)=Sheet3!$AB$303)),2,0),0)</f>
        <v>0</v>
      </c>
      <c r="AF307" s="143">
        <f t="shared" si="17"/>
        <v>0</v>
      </c>
      <c r="AG307" s="143" t="s">
        <v>5787</v>
      </c>
      <c r="AH307" s="25" t="s">
        <v>5836</v>
      </c>
      <c r="AI307" s="25" t="s">
        <v>5877</v>
      </c>
      <c r="AJ307" s="143"/>
      <c r="AK307" s="143"/>
      <c r="AL307" s="143">
        <f>IFERROR(IF(AND((VLOOKUP(AH307,'Hoja básica'!$S$66:$W$73,1,FALSE)=Sheet3!AH307),(VLOOKUP($AH$303,'Hoja básica'!$S$66:$W$73,1,FALSE)=Sheet3!$AH$303)),10,0),0)</f>
        <v>0</v>
      </c>
      <c r="AM307" s="143">
        <f>IFERROR(IF(AND((VLOOKUP(AI307,'Hoja básica'!$S$66:$W$73,1,FALSE)=Sheet3!AI307),(VLOOKUP($AI$303,'Hoja básica'!$S$66:$W$73,1,FALSE)=Sheet3!$AI$303)),20,0),0)</f>
        <v>0</v>
      </c>
      <c r="AN307" s="143">
        <f>IFERROR(IF(AND((VLOOKUP(AJ307,'Hoja básica'!$S$66:$W$73,1,FALSE)=Sheet3!AJ307),(VLOOKUP($AJ$303,'Hoja básica'!$S$66:$W$73,1,FALSE)=Sheet3!$AJ$303)),5,0),0)</f>
        <v>0</v>
      </c>
      <c r="AO307" s="143">
        <f>IFERROR(IF(AND((VLOOKUP(AK307,'Hoja básica'!$S$66:$W$73,1,FALSE)=Sheet3!AK307),(VLOOKUP($AK$303,'Hoja básica'!$S$66:$W$73,1,FALSE)=Sheet3!$AK$303)),10,0),0)</f>
        <v>0</v>
      </c>
      <c r="AP307" s="143">
        <f t="shared" si="18"/>
        <v>0</v>
      </c>
      <c r="AS307" s="25" t="s">
        <v>6084</v>
      </c>
      <c r="AT307" s="25" t="s">
        <v>6238</v>
      </c>
      <c r="AU307" s="25">
        <v>10</v>
      </c>
      <c r="AV307" s="25">
        <v>80</v>
      </c>
      <c r="AW307" s="137" t="s">
        <v>6239</v>
      </c>
    </row>
    <row r="308" spans="6:49" x14ac:dyDescent="0.2">
      <c r="F308" s="38" t="s">
        <v>817</v>
      </c>
      <c r="G308" s="25" t="s">
        <v>5707</v>
      </c>
      <c r="H308" s="25" t="s">
        <v>573</v>
      </c>
      <c r="I308" s="38" t="s">
        <v>818</v>
      </c>
      <c r="J308" s="25" t="s">
        <v>5717</v>
      </c>
      <c r="K308" s="25" t="s">
        <v>573</v>
      </c>
      <c r="M308" s="38" t="s">
        <v>819</v>
      </c>
      <c r="N308" s="25">
        <v>50</v>
      </c>
      <c r="Q308" s="25" t="s">
        <v>206</v>
      </c>
      <c r="R308" s="25" t="s">
        <v>561</v>
      </c>
      <c r="T308" s="25" t="s">
        <v>5731</v>
      </c>
      <c r="Y308" s="143" t="s">
        <v>5740</v>
      </c>
      <c r="Z308" s="143"/>
      <c r="AA308" s="143" t="s">
        <v>5740</v>
      </c>
      <c r="AB308" s="143" t="s">
        <v>5788</v>
      </c>
      <c r="AC308" s="143">
        <f>IFERROR(IF(AND((VLOOKUP(Z308,'Hoja básica'!$S$66:$W$73,1,FALSE)=Sheet3!Z308),(VLOOKUP($Z$303,'Hoja básica'!$S$66:$W$73,1,FALSE)=Sheet3!$Z$303)),1,0),0)</f>
        <v>0</v>
      </c>
      <c r="AD308" s="143">
        <f>IFERROR(IF(AND((VLOOKUP(AA308,'Hoja básica'!$S$66:$W$73,1,FALSE)=Sheet3!AA308),(VLOOKUP($AA$303,'Hoja básica'!$S$66:$W$73,1,FALSE)=Sheet3!$AA$303)),1,0),0)</f>
        <v>0</v>
      </c>
      <c r="AE308" s="143">
        <f>IFERROR(IF(AND((VLOOKUP(AB308,'Hoja básica'!$S$66:$W$73,1,FALSE)=Sheet3!AB308),(VLOOKUP($AB$303,'Hoja básica'!$S$66:$W$73,1,FALSE)=Sheet3!$AB$303)),2,0),0)</f>
        <v>0</v>
      </c>
      <c r="AF308" s="143">
        <f t="shared" si="17"/>
        <v>0</v>
      </c>
      <c r="AG308" s="143" t="s">
        <v>5788</v>
      </c>
      <c r="AH308" s="25" t="s">
        <v>5837</v>
      </c>
      <c r="AI308" s="25" t="s">
        <v>5878</v>
      </c>
      <c r="AJ308" s="143"/>
      <c r="AK308" s="143"/>
      <c r="AL308" s="143">
        <f>IFERROR(IF(AND((VLOOKUP(AH308,'Hoja básica'!$S$66:$W$73,1,FALSE)=Sheet3!AH308),(VLOOKUP($AH$303,'Hoja básica'!$S$66:$W$73,1,FALSE)=Sheet3!$AH$303)),10,0),0)</f>
        <v>0</v>
      </c>
      <c r="AM308" s="143">
        <f>IFERROR(IF(AND((VLOOKUP(AI308,'Hoja básica'!$S$66:$W$73,1,FALSE)=Sheet3!AI308),(VLOOKUP($AI$303,'Hoja básica'!$S$66:$W$73,1,FALSE)=Sheet3!$AI$303)),20,0),0)</f>
        <v>0</v>
      </c>
      <c r="AN308" s="143">
        <f>IFERROR(IF(AND((VLOOKUP(AJ308,'Hoja básica'!$S$66:$W$73,1,FALSE)=Sheet3!AJ308),(VLOOKUP($AJ$303,'Hoja básica'!$S$66:$W$73,1,FALSE)=Sheet3!$AJ$303)),5,0),0)</f>
        <v>0</v>
      </c>
      <c r="AO308" s="143">
        <f>IFERROR(IF(AND((VLOOKUP(AK308,'Hoja básica'!$S$66:$W$73,1,FALSE)=Sheet3!AK308),(VLOOKUP($AK$303,'Hoja básica'!$S$66:$W$73,1,FALSE)=Sheet3!$AK$303)),10,0),0)</f>
        <v>0</v>
      </c>
      <c r="AP308" s="143">
        <f t="shared" si="18"/>
        <v>0</v>
      </c>
      <c r="AS308" s="25" t="s">
        <v>6083</v>
      </c>
      <c r="AT308" s="25" t="s">
        <v>6182</v>
      </c>
      <c r="AU308" s="25">
        <v>10</v>
      </c>
      <c r="AV308" s="25">
        <v>40</v>
      </c>
      <c r="AW308" s="38" t="str">
        <f>"Permite ignorar "&amp;ROUNDDOWN(BC251/2,0)&amp;" penalizadores"</f>
        <v>Permite ignorar 0 penalizadores</v>
      </c>
    </row>
    <row r="309" spans="6:49" x14ac:dyDescent="0.2">
      <c r="F309" s="38" t="s">
        <v>819</v>
      </c>
      <c r="G309" s="25" t="s">
        <v>5707</v>
      </c>
      <c r="H309" s="25" t="s">
        <v>573</v>
      </c>
      <c r="I309" s="38" t="s">
        <v>820</v>
      </c>
      <c r="J309" s="25" t="s">
        <v>5708</v>
      </c>
      <c r="K309" s="25" t="s">
        <v>573</v>
      </c>
      <c r="M309" s="25">
        <v>0</v>
      </c>
      <c r="N309" s="25">
        <v>0</v>
      </c>
      <c r="Q309" s="25" t="s">
        <v>211</v>
      </c>
      <c r="R309" s="25" t="s">
        <v>565</v>
      </c>
      <c r="T309" s="25" t="s">
        <v>5732</v>
      </c>
      <c r="Y309" s="143" t="s">
        <v>5741</v>
      </c>
      <c r="Z309" s="143"/>
      <c r="AA309" s="143" t="s">
        <v>5741</v>
      </c>
      <c r="AB309" s="143" t="s">
        <v>5789</v>
      </c>
      <c r="AC309" s="143">
        <f>IFERROR(IF(AND((VLOOKUP(Z309,'Hoja básica'!$S$66:$W$73,1,FALSE)=Sheet3!Z309),(VLOOKUP($Z$303,'Hoja básica'!$S$66:$W$73,1,FALSE)=Sheet3!$Z$303)),1,0),0)</f>
        <v>0</v>
      </c>
      <c r="AD309" s="143">
        <f>IFERROR(IF(AND((VLOOKUP(AA309,'Hoja básica'!$S$66:$W$73,1,FALSE)=Sheet3!AA309),(VLOOKUP($AA$303,'Hoja básica'!$S$66:$W$73,1,FALSE)=Sheet3!$AA$303)),1,0),0)</f>
        <v>0</v>
      </c>
      <c r="AE309" s="143">
        <f>IFERROR(IF(AND((VLOOKUP(AB309,'Hoja básica'!$S$66:$W$73,1,FALSE)=Sheet3!AB309),(VLOOKUP($AB$303,'Hoja básica'!$S$66:$W$73,1,FALSE)=Sheet3!$AB$303)),2,0),0)</f>
        <v>0</v>
      </c>
      <c r="AF309" s="143">
        <f t="shared" si="17"/>
        <v>0</v>
      </c>
      <c r="AG309" s="143" t="s">
        <v>5789</v>
      </c>
      <c r="AH309" s="25" t="s">
        <v>5838</v>
      </c>
      <c r="AI309" s="25" t="s">
        <v>5879</v>
      </c>
      <c r="AJ309" s="143"/>
      <c r="AK309" s="143"/>
      <c r="AL309" s="143">
        <f>IFERROR(IF(AND((VLOOKUP(AH309,'Hoja básica'!$S$66:$W$73,1,FALSE)=Sheet3!AH309),(VLOOKUP($AH$303,'Hoja básica'!$S$66:$W$73,1,FALSE)=Sheet3!$AH$303)),10,0),0)</f>
        <v>0</v>
      </c>
      <c r="AM309" s="143">
        <f>IFERROR(IF(AND((VLOOKUP(AI309,'Hoja básica'!$S$66:$W$73,1,FALSE)=Sheet3!AI309),(VLOOKUP($AI$303,'Hoja básica'!$S$66:$W$73,1,FALSE)=Sheet3!$AI$303)),20,0),0)</f>
        <v>0</v>
      </c>
      <c r="AN309" s="143">
        <f>IFERROR(IF(AND((VLOOKUP(AJ309,'Hoja básica'!$S$66:$W$73,1,FALSE)=Sheet3!AJ309),(VLOOKUP($AJ$303,'Hoja básica'!$S$66:$W$73,1,FALSE)=Sheet3!$AJ$303)),5,0),0)</f>
        <v>0</v>
      </c>
      <c r="AO309" s="143">
        <f>IFERROR(IF(AND((VLOOKUP(AK309,'Hoja básica'!$S$66:$W$73,1,FALSE)=Sheet3!AK309),(VLOOKUP($AK$303,'Hoja básica'!$S$66:$W$73,1,FALSE)=Sheet3!$AK$303)),10,0),0)</f>
        <v>0</v>
      </c>
      <c r="AP309" s="143">
        <f t="shared" si="18"/>
        <v>0</v>
      </c>
      <c r="AS309" s="25" t="s">
        <v>6080</v>
      </c>
      <c r="AT309" s="25" t="s">
        <v>6172</v>
      </c>
      <c r="AU309" s="25">
        <v>15</v>
      </c>
      <c r="AV309" s="25">
        <v>50</v>
      </c>
      <c r="AW309" s="38" t="str">
        <f>"Al pasar tiempo con el personaje este puede imbuir sentimientos positivos, RM "&amp;2*BC247&amp;" para resistir"</f>
        <v>Al pasar tiempo con el personaje este puede imbuir sentimientos positivos, RM 0 para resistir</v>
      </c>
    </row>
    <row r="310" spans="6:49" x14ac:dyDescent="0.2">
      <c r="F310" s="38" t="s">
        <v>821</v>
      </c>
      <c r="G310" s="25" t="s">
        <v>5708</v>
      </c>
      <c r="H310" s="25" t="s">
        <v>573</v>
      </c>
      <c r="I310" s="38" t="s">
        <v>822</v>
      </c>
      <c r="J310" s="25" t="s">
        <v>5707</v>
      </c>
      <c r="K310" s="25" t="s">
        <v>573</v>
      </c>
      <c r="Q310" s="25" t="s">
        <v>226</v>
      </c>
      <c r="R310" s="25" t="s">
        <v>569</v>
      </c>
      <c r="T310" s="25" t="s">
        <v>5733</v>
      </c>
      <c r="Y310" s="143" t="s">
        <v>5742</v>
      </c>
      <c r="Z310" s="143"/>
      <c r="AA310" s="143" t="s">
        <v>5742</v>
      </c>
      <c r="AB310" s="143" t="s">
        <v>5790</v>
      </c>
      <c r="AC310" s="143">
        <f>IFERROR(IF(AND((VLOOKUP(Z310,'Hoja básica'!$S$66:$W$73,1,FALSE)=Sheet3!Z310),(VLOOKUP($Z$303,'Hoja básica'!$S$66:$W$73,1,FALSE)=Sheet3!$Z$303)),1,0),0)</f>
        <v>0</v>
      </c>
      <c r="AD310" s="143">
        <f>IFERROR(IF(AND((VLOOKUP(AA310,'Hoja básica'!$S$66:$W$73,1,FALSE)=Sheet3!AA310),(VLOOKUP($AA$303,'Hoja básica'!$S$66:$W$73,1,FALSE)=Sheet3!$AA$303)),1,0),0)</f>
        <v>0</v>
      </c>
      <c r="AE310" s="143">
        <f>IFERROR(IF(AND((VLOOKUP(AB310,'Hoja básica'!$S$66:$W$73,1,FALSE)=Sheet3!AB310),(VLOOKUP($AB$303,'Hoja básica'!$S$66:$W$73,1,FALSE)=Sheet3!$AB$303)),2,0),0)</f>
        <v>0</v>
      </c>
      <c r="AF310" s="143">
        <f t="shared" si="17"/>
        <v>0</v>
      </c>
      <c r="AG310" s="143" t="s">
        <v>5790</v>
      </c>
      <c r="AH310" s="25" t="s">
        <v>5839</v>
      </c>
      <c r="AI310" s="25" t="s">
        <v>5880</v>
      </c>
      <c r="AJ310" s="143"/>
      <c r="AK310" s="143"/>
      <c r="AL310" s="143">
        <f>IFERROR(IF(AND((VLOOKUP(AH310,'Hoja básica'!$S$66:$W$73,1,FALSE)=Sheet3!AH310),(VLOOKUP($AH$303,'Hoja básica'!$S$66:$W$73,1,FALSE)=Sheet3!$AH$303)),10,0),0)</f>
        <v>0</v>
      </c>
      <c r="AM310" s="143">
        <f>IFERROR(IF(AND((VLOOKUP(AI310,'Hoja básica'!$S$66:$W$73,1,FALSE)=Sheet3!AI310),(VLOOKUP($AI$303,'Hoja básica'!$S$66:$W$73,1,FALSE)=Sheet3!$AI$303)),20,0),0)</f>
        <v>0</v>
      </c>
      <c r="AN310" s="143">
        <f>IFERROR(IF(AND((VLOOKUP(AJ310,'Hoja básica'!$S$66:$W$73,1,FALSE)=Sheet3!AJ310),(VLOOKUP($AJ$303,'Hoja básica'!$S$66:$W$73,1,FALSE)=Sheet3!$AJ$303)),5,0),0)</f>
        <v>0</v>
      </c>
      <c r="AO310" s="143">
        <f>IFERROR(IF(AND((VLOOKUP(AK310,'Hoja básica'!$S$66:$W$73,1,FALSE)=Sheet3!AK310),(VLOOKUP($AK$303,'Hoja básica'!$S$66:$W$73,1,FALSE)=Sheet3!$AK$303)),10,0),0)</f>
        <v>0</v>
      </c>
      <c r="AP310" s="143">
        <f t="shared" si="18"/>
        <v>0</v>
      </c>
      <c r="AS310" s="25" t="s">
        <v>6078</v>
      </c>
      <c r="AT310" s="25" t="s">
        <v>6130</v>
      </c>
      <c r="AU310" s="25">
        <v>5</v>
      </c>
      <c r="AV310" s="25">
        <v>20</v>
      </c>
      <c r="AW310" s="38" t="s">
        <v>6390</v>
      </c>
    </row>
    <row r="311" spans="6:49" x14ac:dyDescent="0.2">
      <c r="F311" s="38" t="s">
        <v>823</v>
      </c>
      <c r="G311" s="25" t="s">
        <v>5708</v>
      </c>
      <c r="H311" s="25" t="s">
        <v>573</v>
      </c>
      <c r="I311" s="38" t="s">
        <v>824</v>
      </c>
      <c r="J311" s="45" t="s">
        <v>5703</v>
      </c>
      <c r="M311" s="38" t="s">
        <v>821</v>
      </c>
      <c r="N311" s="25">
        <v>25</v>
      </c>
      <c r="R311" s="25" t="s">
        <v>572</v>
      </c>
      <c r="T311" s="25" t="s">
        <v>5734</v>
      </c>
      <c r="Y311" s="142" t="s">
        <v>5743</v>
      </c>
      <c r="Z311" s="142" t="s">
        <v>5743</v>
      </c>
      <c r="AA311" s="142"/>
      <c r="AB311" s="142"/>
      <c r="AC311" s="142">
        <f>IFERROR(IF(AND((VLOOKUP(Z311,'Hoja básica'!$S$66:$W$73,1,FALSE)=Sheet3!Z311),(VLOOKUP($Z$303,'Hoja básica'!$S$66:$W$73,1,FALSE)=Sheet3!$Z$303)),1,0),0)</f>
        <v>0</v>
      </c>
      <c r="AD311" s="142">
        <f>IFERROR(IF(AND((VLOOKUP(AA311,'Hoja básica'!$S$66:$W$73,1,FALSE)=Sheet3!AA311),(VLOOKUP($AA$303,'Hoja básica'!$S$66:$W$73,1,FALSE)=Sheet3!$AA$303)),1,0),0)</f>
        <v>0</v>
      </c>
      <c r="AE311" s="142">
        <f>IFERROR(IF(AND((VLOOKUP(AB311,'Hoja básica'!$S$66:$W$73,1,FALSE)=Sheet3!AB311),(VLOOKUP($AB$303,'Hoja básica'!$S$66:$W$73,1,FALSE)=Sheet3!$AB$303)),2,0),0)</f>
        <v>0</v>
      </c>
      <c r="AF311" s="142">
        <f>AC311</f>
        <v>0</v>
      </c>
      <c r="AG311" s="142" t="s">
        <v>5729</v>
      </c>
      <c r="AH311" s="142"/>
      <c r="AI311" s="142"/>
      <c r="AJ311" s="142" t="s">
        <v>5729</v>
      </c>
      <c r="AK311" s="142" t="s">
        <v>5828</v>
      </c>
      <c r="AL311" s="142">
        <f>IFERROR(IF(AND((VLOOKUP(AH311,'Hoja básica'!$S$66:$W$73,1,FALSE)=Sheet3!AH311),(VLOOKUP($AH$303,'Hoja básica'!$S$66:$W$73,1,FALSE)=Sheet3!$AH$303)),10,0),0)</f>
        <v>0</v>
      </c>
      <c r="AM311" s="142">
        <f>IFERROR(IF(AND((VLOOKUP(AI311,'Hoja básica'!$S$66:$W$73,1,FALSE)=Sheet3!AI311),(VLOOKUP($AI$303,'Hoja básica'!$S$66:$W$73,1,FALSE)=Sheet3!$AI$303)),20,0),0)</f>
        <v>0</v>
      </c>
      <c r="AN311" s="142">
        <f>IFERROR(IF(AND((VLOOKUP(AJ311,'Hoja básica'!$S$66:$W$73,1,FALSE)=Sheet3!AJ311),(VLOOKUP($AJ$303,'Hoja básica'!$S$66:$W$73,1,FALSE)=Sheet3!$AJ$303)),5,0),0)</f>
        <v>0</v>
      </c>
      <c r="AO311" s="142">
        <f>IFERROR(IF(AND((VLOOKUP(AK311,'Hoja básica'!$S$66:$W$73,1,FALSE)=Sheet3!AK311),(VLOOKUP($AK$303,'Hoja básica'!$S$66:$W$73,1,FALSE)=Sheet3!$AK$303)),10,0),0)</f>
        <v>0</v>
      </c>
      <c r="AP311" s="142">
        <f>AN311+AO311</f>
        <v>0</v>
      </c>
      <c r="AS311" s="25" t="s">
        <v>6086</v>
      </c>
      <c r="AT311" s="25" t="s">
        <v>6271</v>
      </c>
      <c r="AU311" s="25">
        <v>10</v>
      </c>
      <c r="AV311" s="25">
        <v>70</v>
      </c>
      <c r="AW311" s="38" t="s">
        <v>6391</v>
      </c>
    </row>
    <row r="312" spans="6:49" x14ac:dyDescent="0.2">
      <c r="F312" s="38" t="s">
        <v>825</v>
      </c>
      <c r="G312" s="45" t="s">
        <v>5703</v>
      </c>
      <c r="I312" s="38" t="s">
        <v>826</v>
      </c>
      <c r="J312" s="45" t="s">
        <v>5703</v>
      </c>
      <c r="M312" s="38" t="s">
        <v>823</v>
      </c>
      <c r="N312" s="25">
        <v>50</v>
      </c>
      <c r="R312" s="25" t="s">
        <v>574</v>
      </c>
      <c r="Y312" s="143" t="s">
        <v>5744</v>
      </c>
      <c r="Z312" s="143"/>
      <c r="AA312" s="143" t="s">
        <v>5744</v>
      </c>
      <c r="AB312" s="143" t="s">
        <v>5791</v>
      </c>
      <c r="AC312" s="143">
        <f>IFERROR(IF(AND((VLOOKUP(Z312,'Hoja básica'!$S$66:$W$73,1,FALSE)=Sheet3!Z312),(VLOOKUP($Z$303,'Hoja básica'!$S$66:$W$73,1,FALSE)=Sheet3!$Z$303)),1,0),0)</f>
        <v>0</v>
      </c>
      <c r="AD312" s="143">
        <f>IFERROR(IF(AND((VLOOKUP(AA312,'Hoja básica'!$S$66:$W$73,1,FALSE)=Sheet3!AA312),(VLOOKUP($AA$303,'Hoja básica'!$S$66:$W$73,1,FALSE)=Sheet3!$AA$303)),1,0),0)</f>
        <v>0</v>
      </c>
      <c r="AE312" s="143">
        <f>IFERROR(IF(AND((VLOOKUP(AB312,'Hoja básica'!$S$66:$W$73,1,FALSE)=Sheet3!AB312),(VLOOKUP($AB$303,'Hoja básica'!$S$66:$W$73,1,FALSE)=Sheet3!$AB$303)),2,0),0)</f>
        <v>0</v>
      </c>
      <c r="AF312" s="143">
        <f>SUM(AD312,AE312,$AF$311)</f>
        <v>0</v>
      </c>
      <c r="AG312" s="143" t="s">
        <v>5791</v>
      </c>
      <c r="AH312" s="25" t="s">
        <v>5840</v>
      </c>
      <c r="AI312" s="25" t="s">
        <v>5881</v>
      </c>
      <c r="AJ312" s="143"/>
      <c r="AK312" s="143"/>
      <c r="AL312" s="143">
        <f>IFERROR(IF(AND((VLOOKUP(AH312,'Hoja básica'!$S$66:$W$73,1,FALSE)=Sheet3!AH312),(VLOOKUP($AH$303,'Hoja básica'!$S$66:$W$73,1,FALSE)=Sheet3!$AH$303)),10,0),0)</f>
        <v>0</v>
      </c>
      <c r="AM312" s="143">
        <f>IFERROR(IF(AND((VLOOKUP(AI312,'Hoja básica'!$S$66:$W$73,1,FALSE)=Sheet3!AI312),(VLOOKUP($AI$303,'Hoja básica'!$S$66:$W$73,1,FALSE)=Sheet3!$AI$303)),20,0),0)</f>
        <v>0</v>
      </c>
      <c r="AN312" s="143">
        <f>IFERROR(IF(AND((VLOOKUP(AJ312,'Hoja básica'!$S$66:$W$73,1,FALSE)=Sheet3!AJ312),(VLOOKUP($AJ$303,'Hoja básica'!$S$66:$W$73,1,FALSE)=Sheet3!$AJ$303)),5,0),0)</f>
        <v>0</v>
      </c>
      <c r="AO312" s="143">
        <f>IFERROR(IF(AND((VLOOKUP(AK312,'Hoja básica'!$S$66:$W$73,1,FALSE)=Sheet3!AK312),(VLOOKUP($AK$303,'Hoja básica'!$S$66:$W$73,1,FALSE)=Sheet3!$AK$303)),10,0),0)</f>
        <v>0</v>
      </c>
      <c r="AP312" s="143">
        <f>AL312+AM312+$AP$311</f>
        <v>0</v>
      </c>
      <c r="AS312" s="25" t="s">
        <v>6082</v>
      </c>
      <c r="AT312" s="25" t="s">
        <v>6217</v>
      </c>
      <c r="AU312" s="25">
        <v>10</v>
      </c>
      <c r="AV312" s="25">
        <v>60</v>
      </c>
      <c r="AW312" s="137" t="s">
        <v>6218</v>
      </c>
    </row>
    <row r="313" spans="6:49" x14ac:dyDescent="0.2">
      <c r="F313" s="38" t="s">
        <v>827</v>
      </c>
      <c r="G313" s="45" t="s">
        <v>5703</v>
      </c>
      <c r="I313" s="38" t="s">
        <v>828</v>
      </c>
      <c r="J313" s="45" t="s">
        <v>5703</v>
      </c>
      <c r="M313" s="25">
        <v>0</v>
      </c>
      <c r="N313" s="25">
        <v>0</v>
      </c>
      <c r="R313" s="25" t="s">
        <v>578</v>
      </c>
      <c r="Y313" s="143" t="s">
        <v>5745</v>
      </c>
      <c r="Z313" s="143"/>
      <c r="AA313" s="143" t="s">
        <v>5745</v>
      </c>
      <c r="AB313" s="143" t="s">
        <v>5792</v>
      </c>
      <c r="AC313" s="143">
        <f>IFERROR(IF(AND((VLOOKUP(Z313,'Hoja básica'!$S$66:$W$73,1,FALSE)=Sheet3!Z313),(VLOOKUP($Z$303,'Hoja básica'!$S$66:$W$73,1,FALSE)=Sheet3!$Z$303)),1,0),0)</f>
        <v>0</v>
      </c>
      <c r="AD313" s="143">
        <f>IFERROR(IF(AND((VLOOKUP(AA313,'Hoja básica'!$S$66:$W$73,1,FALSE)=Sheet3!AA313),(VLOOKUP($AA$303,'Hoja básica'!$S$66:$W$73,1,FALSE)=Sheet3!$AA$303)),1,0),0)</f>
        <v>0</v>
      </c>
      <c r="AE313" s="143">
        <f>IFERROR(IF(AND((VLOOKUP(AB313,'Hoja básica'!$S$66:$W$73,1,FALSE)=Sheet3!AB313),(VLOOKUP($AB$303,'Hoja básica'!$S$66:$W$73,1,FALSE)=Sheet3!$AB$303)),2,0),0)</f>
        <v>0</v>
      </c>
      <c r="AF313" s="143">
        <f>SUM(AD313,AE313,$AF$311)</f>
        <v>0</v>
      </c>
      <c r="AG313" s="143" t="s">
        <v>5792</v>
      </c>
      <c r="AH313" s="25" t="s">
        <v>5871</v>
      </c>
      <c r="AI313" s="25" t="s">
        <v>5882</v>
      </c>
      <c r="AJ313" s="143"/>
      <c r="AK313" s="143"/>
      <c r="AL313" s="143">
        <f>IFERROR(IF(AND((VLOOKUP(AH313,'Hoja básica'!$S$66:$W$73,1,FALSE)=Sheet3!AH313),(VLOOKUP($AH$303,'Hoja básica'!$S$66:$W$73,1,FALSE)=Sheet3!$AH$303)),10,0),0)</f>
        <v>0</v>
      </c>
      <c r="AM313" s="143">
        <f>IFERROR(IF(AND((VLOOKUP(AI313,'Hoja básica'!$S$66:$W$73,1,FALSE)=Sheet3!AI313),(VLOOKUP($AI$303,'Hoja básica'!$S$66:$W$73,1,FALSE)=Sheet3!$AI$303)),20,0),0)</f>
        <v>0</v>
      </c>
      <c r="AN313" s="143">
        <f>IFERROR(IF(AND((VLOOKUP(AJ313,'Hoja básica'!$S$66:$W$73,1,FALSE)=Sheet3!AJ313),(VLOOKUP($AJ$303,'Hoja básica'!$S$66:$W$73,1,FALSE)=Sheet3!$AJ$303)),5,0),0)</f>
        <v>0</v>
      </c>
      <c r="AO313" s="143">
        <f>IFERROR(IF(AND((VLOOKUP(AK313,'Hoja básica'!$S$66:$W$73,1,FALSE)=Sheet3!AK313),(VLOOKUP($AK$303,'Hoja básica'!$S$66:$W$73,1,FALSE)=Sheet3!$AK$303)),10,0),0)</f>
        <v>0</v>
      </c>
      <c r="AP313" s="143">
        <f>AL313+AM313+$AP$311</f>
        <v>0</v>
      </c>
      <c r="AS313" s="25" t="s">
        <v>6083</v>
      </c>
      <c r="AT313" s="25" t="s">
        <v>2829</v>
      </c>
      <c r="AU313" s="25">
        <v>5</v>
      </c>
      <c r="AV313" s="25">
        <v>30</v>
      </c>
      <c r="AW313" s="38" t="s">
        <v>6392</v>
      </c>
    </row>
    <row r="314" spans="6:49" x14ac:dyDescent="0.2">
      <c r="F314" s="38" t="s">
        <v>829</v>
      </c>
      <c r="G314" s="45" t="s">
        <v>5703</v>
      </c>
      <c r="I314" s="38" t="s">
        <v>830</v>
      </c>
      <c r="J314" s="25" t="s">
        <v>5706</v>
      </c>
      <c r="K314" s="25" t="s">
        <v>573</v>
      </c>
      <c r="R314" s="25" t="s">
        <v>582</v>
      </c>
      <c r="Y314" s="143" t="s">
        <v>5746</v>
      </c>
      <c r="Z314" s="143"/>
      <c r="AA314" s="143" t="s">
        <v>5746</v>
      </c>
      <c r="AB314" s="143" t="s">
        <v>5793</v>
      </c>
      <c r="AC314" s="143">
        <f>IFERROR(IF(AND((VLOOKUP(Z314,'Hoja básica'!$S$66:$W$73,1,FALSE)=Sheet3!Z314),(VLOOKUP($Z$303,'Hoja básica'!$S$66:$W$73,1,FALSE)=Sheet3!$Z$303)),1,0),0)</f>
        <v>0</v>
      </c>
      <c r="AD314" s="143">
        <f>IFERROR(IF(AND((VLOOKUP(AA314,'Hoja básica'!$S$66:$W$73,1,FALSE)=Sheet3!AA314),(VLOOKUP($AA$303,'Hoja básica'!$S$66:$W$73,1,FALSE)=Sheet3!$AA$303)),1,0),0)</f>
        <v>0</v>
      </c>
      <c r="AE314" s="143">
        <f>IFERROR(IF(AND((VLOOKUP(AB314,'Hoja básica'!$S$66:$W$73,1,FALSE)=Sheet3!AB314),(VLOOKUP($AB$303,'Hoja básica'!$S$66:$W$73,1,FALSE)=Sheet3!$AB$303)),2,0),0)</f>
        <v>0</v>
      </c>
      <c r="AF314" s="143">
        <f>SUM(AD314,AE314,$AF$311)</f>
        <v>0</v>
      </c>
      <c r="AG314" s="143" t="s">
        <v>5793</v>
      </c>
      <c r="AH314" s="25" t="s">
        <v>5872</v>
      </c>
      <c r="AI314" s="25" t="s">
        <v>5883</v>
      </c>
      <c r="AJ314" s="143"/>
      <c r="AK314" s="143"/>
      <c r="AL314" s="143">
        <f>IFERROR(IF(AND((VLOOKUP(AH314,'Hoja básica'!$S$66:$W$73,1,FALSE)=Sheet3!AH314),(VLOOKUP($AH$303,'Hoja básica'!$S$66:$W$73,1,FALSE)=Sheet3!$AH$303)),10,0),0)</f>
        <v>0</v>
      </c>
      <c r="AM314" s="143">
        <f>IFERROR(IF(AND((VLOOKUP(AI314,'Hoja básica'!$S$66:$W$73,1,FALSE)=Sheet3!AI314),(VLOOKUP($AI$303,'Hoja básica'!$S$66:$W$73,1,FALSE)=Sheet3!$AI$303)),20,0),0)</f>
        <v>0</v>
      </c>
      <c r="AN314" s="143">
        <f>IFERROR(IF(AND((VLOOKUP(AJ314,'Hoja básica'!$S$66:$W$73,1,FALSE)=Sheet3!AJ314),(VLOOKUP($AJ$303,'Hoja básica'!$S$66:$W$73,1,FALSE)=Sheet3!$AJ$303)),5,0),0)</f>
        <v>0</v>
      </c>
      <c r="AO314" s="143">
        <f>IFERROR(IF(AND((VLOOKUP(AK314,'Hoja básica'!$S$66:$W$73,1,FALSE)=Sheet3!AK314),(VLOOKUP($AK$303,'Hoja básica'!$S$66:$W$73,1,FALSE)=Sheet3!$AK$303)),10,0),0)</f>
        <v>0</v>
      </c>
      <c r="AP314" s="143">
        <f>AL314+AM314+$AP$311</f>
        <v>0</v>
      </c>
      <c r="AS314" s="25" t="s">
        <v>6086</v>
      </c>
      <c r="AT314" s="25" t="s">
        <v>2012</v>
      </c>
      <c r="AU314" s="25">
        <v>10</v>
      </c>
      <c r="AV314" s="25" t="s">
        <v>6274</v>
      </c>
      <c r="AW314" s="38" t="s">
        <v>6393</v>
      </c>
    </row>
    <row r="315" spans="6:49" x14ac:dyDescent="0.2">
      <c r="F315" s="38" t="s">
        <v>831</v>
      </c>
      <c r="G315" s="45" t="s">
        <v>5703</v>
      </c>
      <c r="I315" s="38" t="s">
        <v>832</v>
      </c>
      <c r="J315" s="45" t="s">
        <v>5703</v>
      </c>
      <c r="M315" s="38" t="s">
        <v>830</v>
      </c>
      <c r="N315" s="25">
        <v>2</v>
      </c>
      <c r="R315" s="25" t="s">
        <v>584</v>
      </c>
      <c r="T315" s="137" t="s">
        <v>5736</v>
      </c>
      <c r="Y315" s="142" t="s">
        <v>5747</v>
      </c>
      <c r="Z315" s="142" t="s">
        <v>5747</v>
      </c>
      <c r="AA315" s="142"/>
      <c r="AB315" s="142"/>
      <c r="AC315" s="142">
        <f>IFERROR(IF(AND((VLOOKUP(Z315,'Hoja básica'!$S$66:$W$73,1,FALSE)=Sheet3!Z315),(VLOOKUP($Z$303,'Hoja básica'!$S$66:$W$73,1,FALSE)=Sheet3!$Z$303)),1,0),0)</f>
        <v>0</v>
      </c>
      <c r="AD315" s="142">
        <f>IFERROR(IF(AND((VLOOKUP(AA315,'Hoja básica'!$S$66:$W$73,1,FALSE)=Sheet3!AA315),(VLOOKUP($AA$303,'Hoja básica'!$S$66:$W$73,1,FALSE)=Sheet3!$AA$303)),1,0),0)</f>
        <v>0</v>
      </c>
      <c r="AE315" s="142">
        <f>IFERROR(IF(AND((VLOOKUP(AB315,'Hoja básica'!$S$66:$W$73,1,FALSE)=Sheet3!AB315),(VLOOKUP($AB$303,'Hoja básica'!$S$66:$W$73,1,FALSE)=Sheet3!$AB$303)),2,0),0)</f>
        <v>0</v>
      </c>
      <c r="AF315" s="142">
        <f>AC315</f>
        <v>0</v>
      </c>
      <c r="AG315" s="142" t="s">
        <v>5730</v>
      </c>
      <c r="AH315" s="142"/>
      <c r="AI315" s="142"/>
      <c r="AJ315" s="142" t="s">
        <v>5730</v>
      </c>
      <c r="AK315" s="142" t="s">
        <v>5829</v>
      </c>
      <c r="AL315" s="142">
        <f>IFERROR(IF(AND((VLOOKUP(AH315,'Hoja básica'!$S$66:$W$73,1,FALSE)=Sheet3!AH315),(VLOOKUP($AH$303,'Hoja básica'!$S$66:$W$73,1,FALSE)=Sheet3!$AH$303)),10,0),0)</f>
        <v>0</v>
      </c>
      <c r="AM315" s="142">
        <f>IFERROR(IF(AND((VLOOKUP(AI315,'Hoja básica'!$S$66:$W$73,1,FALSE)=Sheet3!AI315),(VLOOKUP($AI$303,'Hoja básica'!$S$66:$W$73,1,FALSE)=Sheet3!$AI$303)),20,0),0)</f>
        <v>0</v>
      </c>
      <c r="AN315" s="142">
        <f>IFERROR(IF(AND((VLOOKUP(AJ315,'Hoja básica'!$S$66:$W$73,1,FALSE)=Sheet3!AJ315),(VLOOKUP($AJ$303,'Hoja básica'!$S$66:$W$73,1,FALSE)=Sheet3!$AJ$303)),5,0),0)</f>
        <v>0</v>
      </c>
      <c r="AO315" s="142">
        <f>IFERROR(IF(AND((VLOOKUP(AK315,'Hoja básica'!$S$66:$W$73,1,FALSE)=Sheet3!AK315),(VLOOKUP($AK$303,'Hoja básica'!$S$66:$W$73,1,FALSE)=Sheet3!$AK$303)),10,0),0)</f>
        <v>0</v>
      </c>
      <c r="AP315" s="142">
        <f>AN315+AO315</f>
        <v>0</v>
      </c>
      <c r="AS315" s="25" t="s">
        <v>6084</v>
      </c>
      <c r="AT315" s="25" t="s">
        <v>3303</v>
      </c>
      <c r="AU315" s="25">
        <v>15</v>
      </c>
      <c r="AV315" s="25">
        <v>60</v>
      </c>
      <c r="AW315" s="38" t="str">
        <f>"Permite ignorar habilidades místicas o psíquicas que te obligen a tirar resistencias menores a "&amp;BC242+40</f>
        <v>Permite ignorar habilidades místicas o psíquicas que te obligen a tirar resistencias menores a 40</v>
      </c>
    </row>
    <row r="316" spans="6:49" x14ac:dyDescent="0.2">
      <c r="F316" s="38" t="s">
        <v>833</v>
      </c>
      <c r="G316" s="45" t="s">
        <v>5703</v>
      </c>
      <c r="I316" s="38" t="s">
        <v>834</v>
      </c>
      <c r="J316" s="45" t="s">
        <v>5703</v>
      </c>
      <c r="M316" s="25">
        <v>0</v>
      </c>
      <c r="N316" s="25">
        <v>1</v>
      </c>
      <c r="R316" s="25" t="s">
        <v>588</v>
      </c>
      <c r="T316" s="137" t="s">
        <v>5735</v>
      </c>
      <c r="Y316" s="143" t="s">
        <v>5748</v>
      </c>
      <c r="Z316" s="143"/>
      <c r="AA316" s="143" t="s">
        <v>5748</v>
      </c>
      <c r="AB316" s="143" t="s">
        <v>5794</v>
      </c>
      <c r="AC316" s="143">
        <f>IFERROR(IF(AND((VLOOKUP(Z316,'Hoja básica'!$S$66:$W$73,1,FALSE)=Sheet3!Z316),(VLOOKUP($Z$303,'Hoja básica'!$S$66:$W$73,1,FALSE)=Sheet3!$Z$303)),1,0),0)</f>
        <v>0</v>
      </c>
      <c r="AD316" s="143">
        <f>IFERROR(IF(AND((VLOOKUP(AA316,'Hoja básica'!$S$66:$W$73,1,FALSE)=Sheet3!AA316),(VLOOKUP($AA$303,'Hoja básica'!$S$66:$W$73,1,FALSE)=Sheet3!$AA$303)),1,0),0)</f>
        <v>0</v>
      </c>
      <c r="AE316" s="143">
        <f>IFERROR(IF(AND((VLOOKUP(AB316,'Hoja básica'!$S$66:$W$73,1,FALSE)=Sheet3!AB316),(VLOOKUP($AB$303,'Hoja básica'!$S$66:$W$73,1,FALSE)=Sheet3!$AB$303)),2,0),0)</f>
        <v>0</v>
      </c>
      <c r="AF316" s="143">
        <f>SUM(AD316,AE316,$AF$315)</f>
        <v>0</v>
      </c>
      <c r="AG316" s="143" t="s">
        <v>5794</v>
      </c>
      <c r="AH316" s="25" t="s">
        <v>5841</v>
      </c>
      <c r="AI316" s="25" t="s">
        <v>5884</v>
      </c>
      <c r="AJ316" s="143"/>
      <c r="AK316" s="143"/>
      <c r="AL316" s="143">
        <f>IFERROR(IF(AND((VLOOKUP(AH316,'Hoja básica'!$S$66:$W$73,1,FALSE)=Sheet3!AH316),(VLOOKUP($AH$303,'Hoja básica'!$S$66:$W$73,1,FALSE)=Sheet3!$AH$303)),10,0),0)</f>
        <v>0</v>
      </c>
      <c r="AM316" s="143">
        <f>IFERROR(IF(AND((VLOOKUP(AI316,'Hoja básica'!$S$66:$W$73,1,FALSE)=Sheet3!AI316),(VLOOKUP($AI$303,'Hoja básica'!$S$66:$W$73,1,FALSE)=Sheet3!$AI$303)),20,0),0)</f>
        <v>0</v>
      </c>
      <c r="AN316" s="143">
        <f>IFERROR(IF(AND((VLOOKUP(AJ316,'Hoja básica'!$S$66:$W$73,1,FALSE)=Sheet3!AJ316),(VLOOKUP($AJ$303,'Hoja básica'!$S$66:$W$73,1,FALSE)=Sheet3!$AJ$303)),5,0),0)</f>
        <v>0</v>
      </c>
      <c r="AO316" s="143">
        <f>IFERROR(IF(AND((VLOOKUP(AK316,'Hoja básica'!$S$66:$W$73,1,FALSE)=Sheet3!AK316),(VLOOKUP($AK$303,'Hoja básica'!$S$66:$W$73,1,FALSE)=Sheet3!$AK$303)),10,0),0)</f>
        <v>0</v>
      </c>
      <c r="AP316" s="143">
        <f>AL316+AM316+$AP$315</f>
        <v>0</v>
      </c>
      <c r="AS316" s="25" t="s">
        <v>6088</v>
      </c>
      <c r="AT316" s="25" t="s">
        <v>6297</v>
      </c>
      <c r="AU316" s="25">
        <v>10</v>
      </c>
      <c r="AV316" s="25">
        <v>50</v>
      </c>
      <c r="AW316" s="38" t="str">
        <f>"No te ves afectado por estados psicológicos, si son sobrenaturales aumentas la RM "&amp;BC244</f>
        <v>No te ves afectado por estados psicológicos, si son sobrenaturales aumentas la RM 0</v>
      </c>
    </row>
    <row r="317" spans="6:49" x14ac:dyDescent="0.2">
      <c r="F317" s="38" t="s">
        <v>835</v>
      </c>
      <c r="G317" s="45" t="s">
        <v>5703</v>
      </c>
      <c r="I317" s="38" t="s">
        <v>836</v>
      </c>
      <c r="J317" s="45" t="s">
        <v>5703</v>
      </c>
      <c r="R317" s="25" t="s">
        <v>591</v>
      </c>
      <c r="T317" s="137" t="s">
        <v>5782</v>
      </c>
      <c r="Y317" s="143" t="s">
        <v>5749</v>
      </c>
      <c r="Z317" s="143"/>
      <c r="AA317" s="143" t="s">
        <v>5749</v>
      </c>
      <c r="AB317" s="143" t="s">
        <v>5795</v>
      </c>
      <c r="AC317" s="143">
        <f>IFERROR(IF(AND((VLOOKUP(Z317,'Hoja básica'!$S$66:$W$73,1,FALSE)=Sheet3!Z317),(VLOOKUP($Z$303,'Hoja básica'!$S$66:$W$73,1,FALSE)=Sheet3!$Z$303)),1,0),0)</f>
        <v>0</v>
      </c>
      <c r="AD317" s="143">
        <f>IFERROR(IF(AND((VLOOKUP(AA317,'Hoja básica'!$S$66:$W$73,1,FALSE)=Sheet3!AA317),(VLOOKUP($AA$303,'Hoja básica'!$S$66:$W$73,1,FALSE)=Sheet3!$AA$303)),1,0),0)</f>
        <v>0</v>
      </c>
      <c r="AE317" s="143">
        <f>IFERROR(IF(AND((VLOOKUP(AB317,'Hoja básica'!$S$66:$W$73,1,FALSE)=Sheet3!AB317),(VLOOKUP($AB$303,'Hoja básica'!$S$66:$W$73,1,FALSE)=Sheet3!$AB$303)),2,0),0)</f>
        <v>0</v>
      </c>
      <c r="AF317" s="143">
        <f>SUM(AD317,AE317,$AF$315)</f>
        <v>0</v>
      </c>
      <c r="AG317" s="143" t="s">
        <v>5795</v>
      </c>
      <c r="AH317" s="25" t="s">
        <v>5842</v>
      </c>
      <c r="AI317" s="25" t="s">
        <v>5885</v>
      </c>
      <c r="AJ317" s="143"/>
      <c r="AK317" s="143"/>
      <c r="AL317" s="143">
        <f>IFERROR(IF(AND((VLOOKUP(AH317,'Hoja básica'!$S$66:$W$73,1,FALSE)=Sheet3!AH317),(VLOOKUP($AH$303,'Hoja básica'!$S$66:$W$73,1,FALSE)=Sheet3!$AH$303)),10,0),0)</f>
        <v>0</v>
      </c>
      <c r="AM317" s="143">
        <f>IFERROR(IF(AND((VLOOKUP(AI317,'Hoja básica'!$S$66:$W$73,1,FALSE)=Sheet3!AI317),(VLOOKUP($AI$303,'Hoja básica'!$S$66:$W$73,1,FALSE)=Sheet3!$AI$303)),20,0),0)</f>
        <v>0</v>
      </c>
      <c r="AN317" s="143">
        <f>IFERROR(IF(AND((VLOOKUP(AJ317,'Hoja básica'!$S$66:$W$73,1,FALSE)=Sheet3!AJ317),(VLOOKUP($AJ$303,'Hoja básica'!$S$66:$W$73,1,FALSE)=Sheet3!$AJ$303)),5,0),0)</f>
        <v>0</v>
      </c>
      <c r="AO317" s="143">
        <f>IFERROR(IF(AND((VLOOKUP(AK317,'Hoja básica'!$S$66:$W$73,1,FALSE)=Sheet3!AK317),(VLOOKUP($AK$303,'Hoja básica'!$S$66:$W$73,1,FALSE)=Sheet3!$AK$303)),10,0),0)</f>
        <v>0</v>
      </c>
      <c r="AP317" s="143">
        <f>AL317+AM317+$AP$315</f>
        <v>0</v>
      </c>
      <c r="AS317" s="25" t="s">
        <v>6080</v>
      </c>
      <c r="AT317" s="25" t="s">
        <v>6298</v>
      </c>
      <c r="AU317" s="25">
        <v>10</v>
      </c>
      <c r="AV317" s="25">
        <v>40</v>
      </c>
      <c r="AW317" s="38" t="str">
        <f>"No te ves afectado por sentimientos negativos, si son sobrenaturales aumentas la RM "&amp;BC247</f>
        <v>No te ves afectado por sentimientos negativos, si son sobrenaturales aumentas la RM 0</v>
      </c>
    </row>
    <row r="318" spans="6:49" x14ac:dyDescent="0.2">
      <c r="F318" s="38" t="s">
        <v>837</v>
      </c>
      <c r="G318" s="25" t="s">
        <v>5709</v>
      </c>
      <c r="H318" s="25" t="s">
        <v>5724</v>
      </c>
      <c r="I318" s="38" t="s">
        <v>838</v>
      </c>
      <c r="J318" s="45" t="s">
        <v>5703</v>
      </c>
      <c r="M318" s="38" t="s">
        <v>812</v>
      </c>
      <c r="N318" s="25">
        <v>2</v>
      </c>
      <c r="R318" s="25" t="s">
        <v>594</v>
      </c>
      <c r="Y318" s="143" t="s">
        <v>5750</v>
      </c>
      <c r="Z318" s="143"/>
      <c r="AA318" s="143" t="s">
        <v>5750</v>
      </c>
      <c r="AB318" s="143" t="s">
        <v>5796</v>
      </c>
      <c r="AC318" s="143">
        <f>IFERROR(IF(AND((VLOOKUP(Z318,'Hoja básica'!$S$66:$W$73,1,FALSE)=Sheet3!Z318),(VLOOKUP($Z$303,'Hoja básica'!$S$66:$W$73,1,FALSE)=Sheet3!$Z$303)),1,0),0)</f>
        <v>0</v>
      </c>
      <c r="AD318" s="143">
        <f>IFERROR(IF(AND((VLOOKUP(AA318,'Hoja básica'!$S$66:$W$73,1,FALSE)=Sheet3!AA318),(VLOOKUP($AA$303,'Hoja básica'!$S$66:$W$73,1,FALSE)=Sheet3!$AA$303)),1,0),0)</f>
        <v>0</v>
      </c>
      <c r="AE318" s="143">
        <f>IFERROR(IF(AND((VLOOKUP(AB318,'Hoja básica'!$S$66:$W$73,1,FALSE)=Sheet3!AB318),(VLOOKUP($AB$303,'Hoja básica'!$S$66:$W$73,1,FALSE)=Sheet3!$AB$303)),2,0),0)</f>
        <v>0</v>
      </c>
      <c r="AF318" s="143">
        <f>SUM(AD318,AE318,$AF$315)</f>
        <v>0</v>
      </c>
      <c r="AG318" s="143" t="s">
        <v>5796</v>
      </c>
      <c r="AH318" s="25" t="s">
        <v>5843</v>
      </c>
      <c r="AI318" s="25" t="s">
        <v>5886</v>
      </c>
      <c r="AJ318" s="143"/>
      <c r="AK318" s="143"/>
      <c r="AL318" s="143">
        <f>IFERROR(IF(AND((VLOOKUP(AH318,'Hoja básica'!$S$66:$W$73,1,FALSE)=Sheet3!AH318),(VLOOKUP($AH$303,'Hoja básica'!$S$66:$W$73,1,FALSE)=Sheet3!$AH$303)),10,0),0)</f>
        <v>0</v>
      </c>
      <c r="AM318" s="143">
        <f>IFERROR(IF(AND((VLOOKUP(AI318,'Hoja básica'!$S$66:$W$73,1,FALSE)=Sheet3!AI318),(VLOOKUP($AI$303,'Hoja básica'!$S$66:$W$73,1,FALSE)=Sheet3!$AI$303)),20,0),0)</f>
        <v>0</v>
      </c>
      <c r="AN318" s="143">
        <f>IFERROR(IF(AND((VLOOKUP(AJ318,'Hoja básica'!$S$66:$W$73,1,FALSE)=Sheet3!AJ318),(VLOOKUP($AJ$303,'Hoja básica'!$S$66:$W$73,1,FALSE)=Sheet3!$AJ$303)),5,0),0)</f>
        <v>0</v>
      </c>
      <c r="AO318" s="143">
        <f>IFERROR(IF(AND((VLOOKUP(AK318,'Hoja básica'!$S$66:$W$73,1,FALSE)=Sheet3!AK318),(VLOOKUP($AK$303,'Hoja básica'!$S$66:$W$73,1,FALSE)=Sheet3!$AK$303)),10,0),0)</f>
        <v>0</v>
      </c>
      <c r="AP318" s="143">
        <f>AL318+AM318+$AP$315</f>
        <v>0</v>
      </c>
      <c r="AS318" s="25" t="s">
        <v>6078</v>
      </c>
      <c r="AT318" s="25" t="s">
        <v>6129</v>
      </c>
      <c r="AU318" s="25">
        <v>5</v>
      </c>
      <c r="AV318" s="25">
        <v>10</v>
      </c>
      <c r="AW318" s="38" t="s">
        <v>6394</v>
      </c>
    </row>
    <row r="319" spans="6:49" x14ac:dyDescent="0.2">
      <c r="F319" s="38" t="s">
        <v>839</v>
      </c>
      <c r="G319" s="25" t="s">
        <v>5709</v>
      </c>
      <c r="H319" s="25" t="s">
        <v>5724</v>
      </c>
      <c r="I319" s="38" t="s">
        <v>840</v>
      </c>
      <c r="J319" s="45" t="s">
        <v>5703</v>
      </c>
      <c r="M319" s="25">
        <v>0</v>
      </c>
      <c r="N319" s="25">
        <v>1</v>
      </c>
      <c r="R319" s="25" t="s">
        <v>595</v>
      </c>
      <c r="T319" s="141" t="s">
        <v>5784</v>
      </c>
      <c r="Y319" s="142" t="s">
        <v>5751</v>
      </c>
      <c r="Z319" s="142" t="s">
        <v>5751</v>
      </c>
      <c r="AA319" s="142"/>
      <c r="AB319" s="142"/>
      <c r="AC319" s="142">
        <f>IFERROR(IF(AND((VLOOKUP(Z319,'Hoja básica'!$S$66:$W$73,1,FALSE)=Sheet3!Z319),(VLOOKUP($Z$303,'Hoja básica'!$S$66:$W$73,1,FALSE)=Sheet3!$Z$303)),1,0),0)</f>
        <v>0</v>
      </c>
      <c r="AD319" s="142">
        <f>IFERROR(IF(AND((VLOOKUP(AA319,'Hoja básica'!$S$66:$W$73,1,FALSE)=Sheet3!AA319),(VLOOKUP($AA$303,'Hoja básica'!$S$66:$W$73,1,FALSE)=Sheet3!$AA$303)),1,0),0)</f>
        <v>0</v>
      </c>
      <c r="AE319" s="142">
        <f>IFERROR(IF(AND((VLOOKUP(AB319,'Hoja básica'!$S$66:$W$73,1,FALSE)=Sheet3!AB319),(VLOOKUP($AB$303,'Hoja básica'!$S$66:$W$73,1,FALSE)=Sheet3!$AB$303)),2,0),0)</f>
        <v>0</v>
      </c>
      <c r="AF319" s="142">
        <f>AC319</f>
        <v>0</v>
      </c>
      <c r="AG319" s="142" t="s">
        <v>5731</v>
      </c>
      <c r="AH319" s="142"/>
      <c r="AI319" s="142"/>
      <c r="AJ319" s="142" t="s">
        <v>5731</v>
      </c>
      <c r="AK319" s="142" t="s">
        <v>5830</v>
      </c>
      <c r="AL319" s="142">
        <f>IFERROR(IF(AND((VLOOKUP(AH319,'Hoja básica'!$S$66:$W$73,1,FALSE)=Sheet3!AH319),(VLOOKUP($AH$303,'Hoja básica'!$S$66:$W$73,1,FALSE)=Sheet3!$AH$303)),10,0),0)</f>
        <v>0</v>
      </c>
      <c r="AM319" s="142">
        <f>IFERROR(IF(AND((VLOOKUP(AI319,'Hoja básica'!$S$66:$W$73,1,FALSE)=Sheet3!AI319),(VLOOKUP($AI$303,'Hoja básica'!$S$66:$W$73,1,FALSE)=Sheet3!$AI$303)),20,0),0)</f>
        <v>0</v>
      </c>
      <c r="AN319" s="142">
        <f>IFERROR(IF(AND((VLOOKUP(AJ319,'Hoja básica'!$S$66:$W$73,1,FALSE)=Sheet3!AJ319),(VLOOKUP($AJ$303,'Hoja básica'!$S$66:$W$73,1,FALSE)=Sheet3!$AJ$303)),5,0),0)</f>
        <v>0</v>
      </c>
      <c r="AO319" s="142">
        <f>IFERROR(IF(AND((VLOOKUP(AK319,'Hoja básica'!$S$66:$W$73,1,FALSE)=Sheet3!AK319),(VLOOKUP($AK$303,'Hoja básica'!$S$66:$W$73,1,FALSE)=Sheet3!$AK$303)),10,0),0)</f>
        <v>0</v>
      </c>
      <c r="AP319" s="142">
        <f>AN319+AO319</f>
        <v>0</v>
      </c>
      <c r="AS319" s="25" t="s">
        <v>6085</v>
      </c>
      <c r="AT319" s="25" t="s">
        <v>6255</v>
      </c>
      <c r="AU319" s="25">
        <v>15</v>
      </c>
      <c r="AV319" s="25">
        <v>80</v>
      </c>
      <c r="AW319" s="38" t="s">
        <v>6395</v>
      </c>
    </row>
    <row r="320" spans="6:49" x14ac:dyDescent="0.2">
      <c r="F320" s="38" t="s">
        <v>841</v>
      </c>
      <c r="G320" s="25" t="s">
        <v>5709</v>
      </c>
      <c r="H320" s="25" t="s">
        <v>5724</v>
      </c>
      <c r="I320" s="38" t="s">
        <v>842</v>
      </c>
      <c r="J320" s="45" t="s">
        <v>5703</v>
      </c>
      <c r="R320" s="25" t="s">
        <v>597</v>
      </c>
      <c r="T320" s="137" t="s">
        <v>5783</v>
      </c>
      <c r="Y320" s="143" t="s">
        <v>5752</v>
      </c>
      <c r="Z320" s="143"/>
      <c r="AA320" s="143" t="s">
        <v>5752</v>
      </c>
      <c r="AB320" s="143" t="s">
        <v>5797</v>
      </c>
      <c r="AC320" s="143">
        <f>IFERROR(IF(AND((VLOOKUP(Z320,'Hoja básica'!$S$66:$W$73,1,FALSE)=Sheet3!Z320),(VLOOKUP($Z$303,'Hoja básica'!$S$66:$W$73,1,FALSE)=Sheet3!$Z$303)),1,0),0)</f>
        <v>0</v>
      </c>
      <c r="AD320" s="143">
        <f>IFERROR(IF(AND((VLOOKUP(AA320,'Hoja básica'!$S$66:$W$73,1,FALSE)=Sheet3!AA320),(VLOOKUP($AA$303,'Hoja básica'!$S$66:$W$73,1,FALSE)=Sheet3!$AA$303)),1,0),0)</f>
        <v>0</v>
      </c>
      <c r="AE320" s="143">
        <f>IFERROR(IF(AND((VLOOKUP(AB320,'Hoja básica'!$S$66:$W$73,1,FALSE)=Sheet3!AB320),(VLOOKUP($AB$303,'Hoja básica'!$S$66:$W$73,1,FALSE)=Sheet3!$AB$303)),2,0),0)</f>
        <v>0</v>
      </c>
      <c r="AF320" s="143">
        <f>SUM(AD320,AE320,$AF$319)</f>
        <v>0</v>
      </c>
      <c r="AG320" s="143" t="s">
        <v>5797</v>
      </c>
      <c r="AH320" s="25" t="s">
        <v>5844</v>
      </c>
      <c r="AI320" s="25" t="s">
        <v>5887</v>
      </c>
      <c r="AJ320" s="143"/>
      <c r="AK320" s="143"/>
      <c r="AL320" s="143">
        <f>IFERROR(IF(AND((VLOOKUP(AH320,'Hoja básica'!$S$66:$W$73,1,FALSE)=Sheet3!AH320),(VLOOKUP($AH$303,'Hoja básica'!$S$66:$W$73,1,FALSE)=Sheet3!$AH$303)),10,0),0)</f>
        <v>0</v>
      </c>
      <c r="AM320" s="143">
        <f>IFERROR(IF(AND((VLOOKUP(AI320,'Hoja básica'!$S$66:$W$73,1,FALSE)=Sheet3!AI320),(VLOOKUP($AI$303,'Hoja básica'!$S$66:$W$73,1,FALSE)=Sheet3!$AI$303)),20,0),0)</f>
        <v>0</v>
      </c>
      <c r="AN320" s="143">
        <f>IFERROR(IF(AND((VLOOKUP(AJ320,'Hoja básica'!$S$66:$W$73,1,FALSE)=Sheet3!AJ320),(VLOOKUP($AJ$303,'Hoja básica'!$S$66:$W$73,1,FALSE)=Sheet3!$AJ$303)),5,0),0)</f>
        <v>0</v>
      </c>
      <c r="AO320" s="143">
        <f>IFERROR(IF(AND((VLOOKUP(AK320,'Hoja básica'!$S$66:$W$73,1,FALSE)=Sheet3!AK320),(VLOOKUP($AK$303,'Hoja básica'!$S$66:$W$73,1,FALSE)=Sheet3!$AK$303)),10,0),0)</f>
        <v>0</v>
      </c>
      <c r="AP320" s="143">
        <f>AL320+AM320+$AP$319</f>
        <v>0</v>
      </c>
      <c r="AS320" s="25" t="s">
        <v>6081</v>
      </c>
      <c r="AT320" s="25" t="s">
        <v>6204</v>
      </c>
      <c r="AU320" s="25">
        <v>10</v>
      </c>
      <c r="AV320" s="25" t="s">
        <v>6205</v>
      </c>
      <c r="AW320" s="38" t="s">
        <v>6206</v>
      </c>
    </row>
    <row r="321" spans="6:49" x14ac:dyDescent="0.2">
      <c r="F321" s="38" t="s">
        <v>843</v>
      </c>
      <c r="G321" s="45" t="s">
        <v>5703</v>
      </c>
      <c r="I321" s="38" t="s">
        <v>844</v>
      </c>
      <c r="J321" s="45" t="s">
        <v>5703</v>
      </c>
      <c r="M321" s="38" t="s">
        <v>818</v>
      </c>
      <c r="N321" s="25">
        <v>2</v>
      </c>
      <c r="R321" s="25" t="s">
        <v>600</v>
      </c>
      <c r="T321" s="137">
        <f>IFERROR(IF(AND((VLOOKUP(Z304,'Hoja básica'!S66:W73,1,FALSE)=Sheet3!Z304),(VLOOKUP(Z303,'Hoja básica'!S66:W73,1,FALSE)=Sheet3!Z303)),1,0),0)</f>
        <v>0</v>
      </c>
      <c r="Y321" s="143" t="s">
        <v>5753</v>
      </c>
      <c r="Z321" s="143"/>
      <c r="AA321" s="143" t="s">
        <v>5753</v>
      </c>
      <c r="AB321" s="143" t="s">
        <v>5798</v>
      </c>
      <c r="AC321" s="143">
        <f>IFERROR(IF(AND((VLOOKUP(Z321,'Hoja básica'!$S$66:$W$73,1,FALSE)=Sheet3!Z321),(VLOOKUP($Z$303,'Hoja básica'!$S$66:$W$73,1,FALSE)=Sheet3!$Z$303)),1,0),0)</f>
        <v>0</v>
      </c>
      <c r="AD321" s="143">
        <f>IFERROR(IF(AND((VLOOKUP(AA321,'Hoja básica'!$S$66:$W$73,1,FALSE)=Sheet3!AA321),(VLOOKUP($AA$303,'Hoja básica'!$S$66:$W$73,1,FALSE)=Sheet3!$AA$303)),1,0),0)</f>
        <v>0</v>
      </c>
      <c r="AE321" s="143">
        <f>IFERROR(IF(AND((VLOOKUP(AB321,'Hoja básica'!$S$66:$W$73,1,FALSE)=Sheet3!AB321),(VLOOKUP($AB$303,'Hoja básica'!$S$66:$W$73,1,FALSE)=Sheet3!$AB$303)),2,0),0)</f>
        <v>0</v>
      </c>
      <c r="AF321" s="143">
        <f t="shared" ref="AF321:AF329" si="19">SUM(AD321,AE321,$AF$319)</f>
        <v>0</v>
      </c>
      <c r="AG321" s="143" t="s">
        <v>5798</v>
      </c>
      <c r="AH321" s="25" t="s">
        <v>5845</v>
      </c>
      <c r="AI321" s="25" t="s">
        <v>5888</v>
      </c>
      <c r="AJ321" s="143"/>
      <c r="AK321" s="143"/>
      <c r="AL321" s="143">
        <f>IFERROR(IF(AND((VLOOKUP(AH321,'Hoja básica'!$S$66:$W$73,1,FALSE)=Sheet3!AH321),(VLOOKUP($AH$303,'Hoja básica'!$S$66:$W$73,1,FALSE)=Sheet3!$AH$303)),10,0),0)</f>
        <v>0</v>
      </c>
      <c r="AM321" s="143">
        <f>IFERROR(IF(AND((VLOOKUP(AI321,'Hoja básica'!$S$66:$W$73,1,FALSE)=Sheet3!AI321),(VLOOKUP($AI$303,'Hoja básica'!$S$66:$W$73,1,FALSE)=Sheet3!$AI$303)),20,0),0)</f>
        <v>0</v>
      </c>
      <c r="AN321" s="143">
        <f>IFERROR(IF(AND((VLOOKUP(AJ321,'Hoja básica'!$S$66:$W$73,1,FALSE)=Sheet3!AJ321),(VLOOKUP($AJ$303,'Hoja básica'!$S$66:$W$73,1,FALSE)=Sheet3!$AJ$303)),5,0),0)</f>
        <v>0</v>
      </c>
      <c r="AO321" s="143">
        <f>IFERROR(IF(AND((VLOOKUP(AK321,'Hoja básica'!$S$66:$W$73,1,FALSE)=Sheet3!AK321),(VLOOKUP($AK$303,'Hoja básica'!$S$66:$W$73,1,FALSE)=Sheet3!$AK$303)),10,0),0)</f>
        <v>0</v>
      </c>
      <c r="AP321" s="143">
        <f t="shared" ref="AP321:AP329" si="20">AL321+AM321+$AP$319</f>
        <v>0</v>
      </c>
      <c r="AS321" s="25" t="s">
        <v>6081</v>
      </c>
      <c r="AT321" s="25" t="s">
        <v>6202</v>
      </c>
      <c r="AU321" s="25">
        <v>10</v>
      </c>
      <c r="AV321" s="25">
        <v>60</v>
      </c>
      <c r="AW321" s="38" t="s">
        <v>6396</v>
      </c>
    </row>
    <row r="322" spans="6:49" x14ac:dyDescent="0.2">
      <c r="F322" s="38" t="s">
        <v>845</v>
      </c>
      <c r="G322" s="45" t="s">
        <v>5703</v>
      </c>
      <c r="I322" s="38" t="s">
        <v>846</v>
      </c>
      <c r="J322" s="45" t="s">
        <v>5703</v>
      </c>
      <c r="M322" s="25">
        <v>0</v>
      </c>
      <c r="N322" s="25">
        <v>1</v>
      </c>
      <c r="R322" s="25" t="s">
        <v>604</v>
      </c>
      <c r="Y322" s="143" t="s">
        <v>5754</v>
      </c>
      <c r="Z322" s="143"/>
      <c r="AA322" s="143" t="s">
        <v>5754</v>
      </c>
      <c r="AB322" s="143" t="s">
        <v>5799</v>
      </c>
      <c r="AC322" s="143">
        <f>IFERROR(IF(AND((VLOOKUP(Z322,'Hoja básica'!$S$66:$W$73,1,FALSE)=Sheet3!Z322),(VLOOKUP($Z$303,'Hoja básica'!$S$66:$W$73,1,FALSE)=Sheet3!$Z$303)),1,0),0)</f>
        <v>0</v>
      </c>
      <c r="AD322" s="143">
        <f>IFERROR(IF(AND((VLOOKUP(AA322,'Hoja básica'!$S$66:$W$73,1,FALSE)=Sheet3!AA322),(VLOOKUP($AA$303,'Hoja básica'!$S$66:$W$73,1,FALSE)=Sheet3!$AA$303)),1,0),0)</f>
        <v>0</v>
      </c>
      <c r="AE322" s="143">
        <f>IFERROR(IF(AND((VLOOKUP(AB322,'Hoja básica'!$S$66:$W$73,1,FALSE)=Sheet3!AB322),(VLOOKUP($AB$303,'Hoja básica'!$S$66:$W$73,1,FALSE)=Sheet3!$AB$303)),2,0),0)</f>
        <v>0</v>
      </c>
      <c r="AF322" s="143">
        <f t="shared" si="19"/>
        <v>0</v>
      </c>
      <c r="AG322" s="143" t="s">
        <v>5799</v>
      </c>
      <c r="AH322" s="25" t="s">
        <v>5846</v>
      </c>
      <c r="AI322" s="25" t="s">
        <v>5889</v>
      </c>
      <c r="AJ322" s="143"/>
      <c r="AK322" s="143"/>
      <c r="AL322" s="143">
        <f>IFERROR(IF(AND((VLOOKUP(AH322,'Hoja básica'!$S$66:$W$73,1,FALSE)=Sheet3!AH322),(VLOOKUP($AH$303,'Hoja básica'!$S$66:$W$73,1,FALSE)=Sheet3!$AH$303)),10,0),0)</f>
        <v>0</v>
      </c>
      <c r="AM322" s="143">
        <f>IFERROR(IF(AND((VLOOKUP(AI322,'Hoja básica'!$S$66:$W$73,1,FALSE)=Sheet3!AI322),(VLOOKUP($AI$303,'Hoja básica'!$S$66:$W$73,1,FALSE)=Sheet3!$AI$303)),20,0),0)</f>
        <v>0</v>
      </c>
      <c r="AN322" s="143">
        <f>IFERROR(IF(AND((VLOOKUP(AJ322,'Hoja básica'!$S$66:$W$73,1,FALSE)=Sheet3!AJ322),(VLOOKUP($AJ$303,'Hoja básica'!$S$66:$W$73,1,FALSE)=Sheet3!$AJ$303)),5,0),0)</f>
        <v>0</v>
      </c>
      <c r="AO322" s="143">
        <f>IFERROR(IF(AND((VLOOKUP(AK322,'Hoja básica'!$S$66:$W$73,1,FALSE)=Sheet3!AK322),(VLOOKUP($AK$303,'Hoja básica'!$S$66:$W$73,1,FALSE)=Sheet3!$AK$303)),10,0),0)</f>
        <v>0</v>
      </c>
      <c r="AP322" s="143">
        <f t="shared" si="20"/>
        <v>0</v>
      </c>
      <c r="AS322" s="25" t="s">
        <v>6086</v>
      </c>
      <c r="AT322" s="25" t="s">
        <v>6270</v>
      </c>
      <c r="AU322" s="25">
        <v>20</v>
      </c>
      <c r="AV322" s="25">
        <v>70</v>
      </c>
      <c r="AW322" s="38" t="s">
        <v>6397</v>
      </c>
    </row>
    <row r="323" spans="6:49" x14ac:dyDescent="0.2">
      <c r="F323" s="38" t="s">
        <v>847</v>
      </c>
      <c r="G323" s="45" t="s">
        <v>5703</v>
      </c>
      <c r="I323" s="38" t="s">
        <v>848</v>
      </c>
      <c r="J323" s="45" t="s">
        <v>5703</v>
      </c>
      <c r="R323" s="25" t="s">
        <v>607</v>
      </c>
      <c r="Y323" s="143" t="s">
        <v>5755</v>
      </c>
      <c r="Z323" s="143"/>
      <c r="AA323" s="143" t="s">
        <v>5755</v>
      </c>
      <c r="AB323" s="143" t="s">
        <v>5800</v>
      </c>
      <c r="AC323" s="143">
        <f>IFERROR(IF(AND((VLOOKUP(Z323,'Hoja básica'!$S$66:$W$73,1,FALSE)=Sheet3!Z323),(VLOOKUP($Z$303,'Hoja básica'!$S$66:$W$73,1,FALSE)=Sheet3!$Z$303)),1,0),0)</f>
        <v>0</v>
      </c>
      <c r="AD323" s="143">
        <f>IFERROR(IF(AND((VLOOKUP(AA323,'Hoja básica'!$S$66:$W$73,1,FALSE)=Sheet3!AA323),(VLOOKUP($AA$303,'Hoja básica'!$S$66:$W$73,1,FALSE)=Sheet3!$AA$303)),1,0),0)</f>
        <v>0</v>
      </c>
      <c r="AE323" s="143">
        <f>IFERROR(IF(AND((VLOOKUP(AB323,'Hoja básica'!$S$66:$W$73,1,FALSE)=Sheet3!AB323),(VLOOKUP($AB$303,'Hoja básica'!$S$66:$W$73,1,FALSE)=Sheet3!$AB$303)),2,0),0)</f>
        <v>0</v>
      </c>
      <c r="AF323" s="143">
        <f t="shared" si="19"/>
        <v>0</v>
      </c>
      <c r="AG323" s="143" t="s">
        <v>5800</v>
      </c>
      <c r="AH323" s="25" t="s">
        <v>5847</v>
      </c>
      <c r="AI323" s="25" t="s">
        <v>5890</v>
      </c>
      <c r="AJ323" s="143"/>
      <c r="AK323" s="143"/>
      <c r="AL323" s="143">
        <f>IFERROR(IF(AND((VLOOKUP(AH323,'Hoja básica'!$S$66:$W$73,1,FALSE)=Sheet3!AH323),(VLOOKUP($AH$303,'Hoja básica'!$S$66:$W$73,1,FALSE)=Sheet3!$AH$303)),10,0),0)</f>
        <v>0</v>
      </c>
      <c r="AM323" s="143">
        <f>IFERROR(IF(AND((VLOOKUP(AI323,'Hoja básica'!$S$66:$W$73,1,FALSE)=Sheet3!AI323),(VLOOKUP($AI$303,'Hoja básica'!$S$66:$W$73,1,FALSE)=Sheet3!$AI$303)),20,0),0)</f>
        <v>0</v>
      </c>
      <c r="AN323" s="143">
        <f>IFERROR(IF(AND((VLOOKUP(AJ323,'Hoja básica'!$S$66:$W$73,1,FALSE)=Sheet3!AJ323),(VLOOKUP($AJ$303,'Hoja básica'!$S$66:$W$73,1,FALSE)=Sheet3!$AJ$303)),5,0),0)</f>
        <v>0</v>
      </c>
      <c r="AO323" s="143">
        <f>IFERROR(IF(AND((VLOOKUP(AK323,'Hoja básica'!$S$66:$W$73,1,FALSE)=Sheet3!AK323),(VLOOKUP($AK$303,'Hoja básica'!$S$66:$W$73,1,FALSE)=Sheet3!$AK$303)),10,0),0)</f>
        <v>0</v>
      </c>
      <c r="AP323" s="143">
        <f t="shared" si="20"/>
        <v>0</v>
      </c>
      <c r="AS323" s="25" t="s">
        <v>6077</v>
      </c>
      <c r="AT323" s="25" t="s">
        <v>6125</v>
      </c>
      <c r="AU323" s="25">
        <v>20</v>
      </c>
      <c r="AV323" s="25">
        <v>90</v>
      </c>
      <c r="AW323" s="38" t="s">
        <v>6126</v>
      </c>
    </row>
    <row r="324" spans="6:49" x14ac:dyDescent="0.2">
      <c r="F324" s="38" t="s">
        <v>849</v>
      </c>
      <c r="G324" s="45" t="s">
        <v>5703</v>
      </c>
      <c r="I324" s="38" t="s">
        <v>850</v>
      </c>
      <c r="J324" s="45" t="s">
        <v>5703</v>
      </c>
      <c r="M324" s="38" t="s">
        <v>822</v>
      </c>
      <c r="N324" s="25">
        <v>2</v>
      </c>
      <c r="R324" s="25" t="s">
        <v>613</v>
      </c>
      <c r="Y324" s="143" t="s">
        <v>5756</v>
      </c>
      <c r="Z324" s="143"/>
      <c r="AA324" s="143" t="s">
        <v>5756</v>
      </c>
      <c r="AB324" s="143" t="s">
        <v>5801</v>
      </c>
      <c r="AC324" s="143">
        <f>IFERROR(IF(AND((VLOOKUP(Z324,'Hoja básica'!$S$66:$W$73,1,FALSE)=Sheet3!Z324),(VLOOKUP($Z$303,'Hoja básica'!$S$66:$W$73,1,FALSE)=Sheet3!$Z$303)),1,0),0)</f>
        <v>0</v>
      </c>
      <c r="AD324" s="143">
        <f>IFERROR(IF(AND((VLOOKUP(AA324,'Hoja básica'!$S$66:$W$73,1,FALSE)=Sheet3!AA324),(VLOOKUP($AA$303,'Hoja básica'!$S$66:$W$73,1,FALSE)=Sheet3!$AA$303)),1,0),0)</f>
        <v>0</v>
      </c>
      <c r="AE324" s="143">
        <f>IFERROR(IF(AND((VLOOKUP(AB324,'Hoja básica'!$S$66:$W$73,1,FALSE)=Sheet3!AB324),(VLOOKUP($AB$303,'Hoja básica'!$S$66:$W$73,1,FALSE)=Sheet3!$AB$303)),2,0),0)</f>
        <v>0</v>
      </c>
      <c r="AF324" s="143">
        <f t="shared" si="19"/>
        <v>0</v>
      </c>
      <c r="AG324" s="143" t="s">
        <v>5801</v>
      </c>
      <c r="AH324" s="25" t="s">
        <v>5848</v>
      </c>
      <c r="AI324" s="25" t="s">
        <v>5891</v>
      </c>
      <c r="AJ324" s="143"/>
      <c r="AK324" s="143"/>
      <c r="AL324" s="143">
        <f>IFERROR(IF(AND((VLOOKUP(AH324,'Hoja básica'!$S$66:$W$73,1,FALSE)=Sheet3!AH324),(VLOOKUP($AH$303,'Hoja básica'!$S$66:$W$73,1,FALSE)=Sheet3!$AH$303)),10,0),0)</f>
        <v>0</v>
      </c>
      <c r="AM324" s="143">
        <f>IFERROR(IF(AND((VLOOKUP(AI324,'Hoja básica'!$S$66:$W$73,1,FALSE)=Sheet3!AI324),(VLOOKUP($AI$303,'Hoja básica'!$S$66:$W$73,1,FALSE)=Sheet3!$AI$303)),20,0),0)</f>
        <v>0</v>
      </c>
      <c r="AN324" s="143">
        <f>IFERROR(IF(AND((VLOOKUP(AJ324,'Hoja básica'!$S$66:$W$73,1,FALSE)=Sheet3!AJ324),(VLOOKUP($AJ$303,'Hoja básica'!$S$66:$W$73,1,FALSE)=Sheet3!$AJ$303)),5,0),0)</f>
        <v>0</v>
      </c>
      <c r="AO324" s="143">
        <f>IFERROR(IF(AND((VLOOKUP(AK324,'Hoja básica'!$S$66:$W$73,1,FALSE)=Sheet3!AK324),(VLOOKUP($AK$303,'Hoja básica'!$S$66:$W$73,1,FALSE)=Sheet3!$AK$303)),10,0),0)</f>
        <v>0</v>
      </c>
      <c r="AP324" s="143">
        <f t="shared" si="20"/>
        <v>0</v>
      </c>
      <c r="AS324" s="25" t="s">
        <v>6085</v>
      </c>
      <c r="AT324" s="25" t="s">
        <v>6257</v>
      </c>
      <c r="AU324" s="25">
        <v>10</v>
      </c>
      <c r="AV324" s="25">
        <v>100</v>
      </c>
      <c r="AW324" s="38" t="s">
        <v>6258</v>
      </c>
    </row>
    <row r="325" spans="6:49" x14ac:dyDescent="0.2">
      <c r="F325" s="38" t="s">
        <v>851</v>
      </c>
      <c r="G325" s="45" t="s">
        <v>5703</v>
      </c>
      <c r="I325" s="38" t="s">
        <v>852</v>
      </c>
      <c r="M325" s="25">
        <v>0</v>
      </c>
      <c r="N325" s="25">
        <v>1</v>
      </c>
      <c r="R325" s="25" t="s">
        <v>616</v>
      </c>
      <c r="Y325" s="143" t="s">
        <v>5757</v>
      </c>
      <c r="Z325" s="143"/>
      <c r="AA325" s="143" t="s">
        <v>5757</v>
      </c>
      <c r="AB325" s="143" t="s">
        <v>5802</v>
      </c>
      <c r="AC325" s="143">
        <f>IFERROR(IF(AND((VLOOKUP(Z325,'Hoja básica'!$S$66:$W$73,1,FALSE)=Sheet3!Z325),(VLOOKUP($Z$303,'Hoja básica'!$S$66:$W$73,1,FALSE)=Sheet3!$Z$303)),1,0),0)</f>
        <v>0</v>
      </c>
      <c r="AD325" s="143">
        <f>IFERROR(IF(AND((VLOOKUP(AA325,'Hoja básica'!$S$66:$W$73,1,FALSE)=Sheet3!AA325),(VLOOKUP($AA$303,'Hoja básica'!$S$66:$W$73,1,FALSE)=Sheet3!$AA$303)),1,0),0)</f>
        <v>0</v>
      </c>
      <c r="AE325" s="143">
        <f>IFERROR(IF(AND((VLOOKUP(AB325,'Hoja básica'!$S$66:$W$73,1,FALSE)=Sheet3!AB325),(VLOOKUP($AB$303,'Hoja básica'!$S$66:$W$73,1,FALSE)=Sheet3!$AB$303)),2,0),0)</f>
        <v>0</v>
      </c>
      <c r="AF325" s="143">
        <f t="shared" si="19"/>
        <v>0</v>
      </c>
      <c r="AG325" s="143" t="s">
        <v>5802</v>
      </c>
      <c r="AH325" s="25" t="s">
        <v>5849</v>
      </c>
      <c r="AI325" s="25" t="s">
        <v>5892</v>
      </c>
      <c r="AJ325" s="143"/>
      <c r="AK325" s="143"/>
      <c r="AL325" s="143">
        <f>IFERROR(IF(AND((VLOOKUP(AH325,'Hoja básica'!$S$66:$W$73,1,FALSE)=Sheet3!AH325),(VLOOKUP($AH$303,'Hoja básica'!$S$66:$W$73,1,FALSE)=Sheet3!$AH$303)),10,0),0)</f>
        <v>0</v>
      </c>
      <c r="AM325" s="143">
        <f>IFERROR(IF(AND((VLOOKUP(AI325,'Hoja básica'!$S$66:$W$73,1,FALSE)=Sheet3!AI325),(VLOOKUP($AI$303,'Hoja básica'!$S$66:$W$73,1,FALSE)=Sheet3!$AI$303)),20,0),0)</f>
        <v>0</v>
      </c>
      <c r="AN325" s="143">
        <f>IFERROR(IF(AND((VLOOKUP(AJ325,'Hoja básica'!$S$66:$W$73,1,FALSE)=Sheet3!AJ325),(VLOOKUP($AJ$303,'Hoja básica'!$S$66:$W$73,1,FALSE)=Sheet3!$AJ$303)),5,0),0)</f>
        <v>0</v>
      </c>
      <c r="AO325" s="143">
        <f>IFERROR(IF(AND((VLOOKUP(AK325,'Hoja básica'!$S$66:$W$73,1,FALSE)=Sheet3!AK325),(VLOOKUP($AK$303,'Hoja básica'!$S$66:$W$73,1,FALSE)=Sheet3!$AK$303)),10,0),0)</f>
        <v>0</v>
      </c>
      <c r="AP325" s="143">
        <f t="shared" si="20"/>
        <v>0</v>
      </c>
      <c r="AS325" s="25" t="s">
        <v>6089</v>
      </c>
      <c r="AT325" s="25" t="s">
        <v>6307</v>
      </c>
      <c r="AU325" s="25">
        <v>5</v>
      </c>
      <c r="AV325" s="25">
        <v>10</v>
      </c>
      <c r="AW325" s="38" t="str">
        <f>"Aumenta Frialdad y Resistir al dolo en "&amp;BC249</f>
        <v>Aumenta Frialdad y Resistir al dolo en 0</v>
      </c>
    </row>
    <row r="326" spans="6:49" x14ac:dyDescent="0.2">
      <c r="F326" s="38" t="s">
        <v>853</v>
      </c>
      <c r="G326" s="25" t="s">
        <v>272</v>
      </c>
      <c r="H326" s="25" t="s">
        <v>573</v>
      </c>
      <c r="I326" s="38" t="s">
        <v>854</v>
      </c>
      <c r="R326" s="25" t="s">
        <v>619</v>
      </c>
      <c r="Y326" s="143" t="s">
        <v>5758</v>
      </c>
      <c r="Z326" s="143"/>
      <c r="AA326" s="143" t="s">
        <v>5758</v>
      </c>
      <c r="AB326" s="143" t="s">
        <v>5803</v>
      </c>
      <c r="AC326" s="143">
        <f>IFERROR(IF(AND((VLOOKUP(Z326,'Hoja básica'!$S$66:$W$73,1,FALSE)=Sheet3!Z326),(VLOOKUP($Z$303,'Hoja básica'!$S$66:$W$73,1,FALSE)=Sheet3!$Z$303)),1,0),0)</f>
        <v>0</v>
      </c>
      <c r="AD326" s="143">
        <f>IFERROR(IF(AND((VLOOKUP(AA326,'Hoja básica'!$S$66:$W$73,1,FALSE)=Sheet3!AA326),(VLOOKUP($AA$303,'Hoja básica'!$S$66:$W$73,1,FALSE)=Sheet3!$AA$303)),1,0),0)</f>
        <v>0</v>
      </c>
      <c r="AE326" s="143">
        <f>IFERROR(IF(AND((VLOOKUP(AB326,'Hoja básica'!$S$66:$W$73,1,FALSE)=Sheet3!AB326),(VLOOKUP($AB$303,'Hoja básica'!$S$66:$W$73,1,FALSE)=Sheet3!$AB$303)),2,0),0)</f>
        <v>0</v>
      </c>
      <c r="AF326" s="143">
        <f t="shared" si="19"/>
        <v>0</v>
      </c>
      <c r="AG326" s="143" t="s">
        <v>5803</v>
      </c>
      <c r="AH326" s="25" t="s">
        <v>5850</v>
      </c>
      <c r="AI326" s="25" t="s">
        <v>5893</v>
      </c>
      <c r="AJ326" s="143"/>
      <c r="AK326" s="143"/>
      <c r="AL326" s="143">
        <f>IFERROR(IF(AND((VLOOKUP(AH326,'Hoja básica'!$S$66:$W$73,1,FALSE)=Sheet3!AH326),(VLOOKUP($AH$303,'Hoja básica'!$S$66:$W$73,1,FALSE)=Sheet3!$AH$303)),10,0),0)</f>
        <v>0</v>
      </c>
      <c r="AM326" s="143">
        <f>IFERROR(IF(AND((VLOOKUP(AI326,'Hoja básica'!$S$66:$W$73,1,FALSE)=Sheet3!AI326),(VLOOKUP($AI$303,'Hoja básica'!$S$66:$W$73,1,FALSE)=Sheet3!$AI$303)),20,0),0)</f>
        <v>0</v>
      </c>
      <c r="AN326" s="143">
        <f>IFERROR(IF(AND((VLOOKUP(AJ326,'Hoja básica'!$S$66:$W$73,1,FALSE)=Sheet3!AJ326),(VLOOKUP($AJ$303,'Hoja básica'!$S$66:$W$73,1,FALSE)=Sheet3!$AJ$303)),5,0),0)</f>
        <v>0</v>
      </c>
      <c r="AO326" s="143">
        <f>IFERROR(IF(AND((VLOOKUP(AK326,'Hoja básica'!$S$66:$W$73,1,FALSE)=Sheet3!AK326),(VLOOKUP($AK$303,'Hoja básica'!$S$66:$W$73,1,FALSE)=Sheet3!$AK$303)),10,0),0)</f>
        <v>0</v>
      </c>
      <c r="AP326" s="143">
        <f t="shared" si="20"/>
        <v>0</v>
      </c>
      <c r="AS326" s="25" t="s">
        <v>6083</v>
      </c>
      <c r="AT326" s="25" t="s">
        <v>6191</v>
      </c>
      <c r="AU326" s="25">
        <v>15</v>
      </c>
      <c r="AV326" s="25">
        <v>90</v>
      </c>
      <c r="AW326" s="38" t="s">
        <v>6398</v>
      </c>
    </row>
    <row r="327" spans="6:49" x14ac:dyDescent="0.2">
      <c r="F327" s="38" t="s">
        <v>855</v>
      </c>
      <c r="G327" s="25" t="s">
        <v>272</v>
      </c>
      <c r="H327" s="25" t="s">
        <v>573</v>
      </c>
      <c r="I327" s="38" t="s">
        <v>856</v>
      </c>
      <c r="J327" s="25" t="s">
        <v>1</v>
      </c>
      <c r="K327" s="25" t="s">
        <v>573</v>
      </c>
      <c r="M327" s="38" t="s">
        <v>820</v>
      </c>
      <c r="N327" s="25">
        <v>2</v>
      </c>
      <c r="R327" s="25" t="s">
        <v>623</v>
      </c>
      <c r="Y327" s="143" t="s">
        <v>5759</v>
      </c>
      <c r="Z327" s="143"/>
      <c r="AA327" s="143" t="s">
        <v>5759</v>
      </c>
      <c r="AB327" s="143" t="s">
        <v>5804</v>
      </c>
      <c r="AC327" s="143">
        <f>IFERROR(IF(AND((VLOOKUP(Z327,'Hoja básica'!$S$66:$W$73,1,FALSE)=Sheet3!Z327),(VLOOKUP($Z$303,'Hoja básica'!$S$66:$W$73,1,FALSE)=Sheet3!$Z$303)),1,0),0)</f>
        <v>0</v>
      </c>
      <c r="AD327" s="143">
        <f>IFERROR(IF(AND((VLOOKUP(AA327,'Hoja básica'!$S$66:$W$73,1,FALSE)=Sheet3!AA327),(VLOOKUP($AA$303,'Hoja básica'!$S$66:$W$73,1,FALSE)=Sheet3!$AA$303)),1,0),0)</f>
        <v>0</v>
      </c>
      <c r="AE327" s="143">
        <f>IFERROR(IF(AND((VLOOKUP(AB327,'Hoja básica'!$S$66:$W$73,1,FALSE)=Sheet3!AB327),(VLOOKUP($AB$303,'Hoja básica'!$S$66:$W$73,1,FALSE)=Sheet3!$AB$303)),2,0),0)</f>
        <v>0</v>
      </c>
      <c r="AF327" s="143">
        <f t="shared" si="19"/>
        <v>0</v>
      </c>
      <c r="AG327" s="143" t="s">
        <v>5804</v>
      </c>
      <c r="AH327" s="25" t="s">
        <v>5851</v>
      </c>
      <c r="AI327" s="25" t="s">
        <v>5894</v>
      </c>
      <c r="AJ327" s="143"/>
      <c r="AK327" s="143"/>
      <c r="AL327" s="143">
        <f>IFERROR(IF(AND((VLOOKUP(AH327,'Hoja básica'!$S$66:$W$73,1,FALSE)=Sheet3!AH327),(VLOOKUP($AH$303,'Hoja básica'!$S$66:$W$73,1,FALSE)=Sheet3!$AH$303)),10,0),0)</f>
        <v>0</v>
      </c>
      <c r="AM327" s="143">
        <f>IFERROR(IF(AND((VLOOKUP(AI327,'Hoja básica'!$S$66:$W$73,1,FALSE)=Sheet3!AI327),(VLOOKUP($AI$303,'Hoja básica'!$S$66:$W$73,1,FALSE)=Sheet3!$AI$303)),20,0),0)</f>
        <v>0</v>
      </c>
      <c r="AN327" s="143">
        <f>IFERROR(IF(AND((VLOOKUP(AJ327,'Hoja básica'!$S$66:$W$73,1,FALSE)=Sheet3!AJ327),(VLOOKUP($AJ$303,'Hoja básica'!$S$66:$W$73,1,FALSE)=Sheet3!$AJ$303)),5,0),0)</f>
        <v>0</v>
      </c>
      <c r="AO327" s="143">
        <f>IFERROR(IF(AND((VLOOKUP(AK327,'Hoja básica'!$S$66:$W$73,1,FALSE)=Sheet3!AK327),(VLOOKUP($AK$303,'Hoja básica'!$S$66:$W$73,1,FALSE)=Sheet3!$AK$303)),10,0),0)</f>
        <v>0</v>
      </c>
      <c r="AP327" s="143">
        <f t="shared" si="20"/>
        <v>0</v>
      </c>
      <c r="AS327" s="25" t="s">
        <v>6089</v>
      </c>
      <c r="AT327" s="25" t="s">
        <v>6314</v>
      </c>
      <c r="AU327" s="25">
        <v>10</v>
      </c>
      <c r="AV327" s="25">
        <v>50</v>
      </c>
      <c r="AW327" s="38" t="s">
        <v>6315</v>
      </c>
    </row>
    <row r="328" spans="6:49" x14ac:dyDescent="0.2">
      <c r="F328" s="38" t="s">
        <v>857</v>
      </c>
      <c r="G328" s="25" t="s">
        <v>272</v>
      </c>
      <c r="H328" s="25" t="s">
        <v>573</v>
      </c>
      <c r="I328" s="38" t="s">
        <v>858</v>
      </c>
      <c r="J328" s="25" t="s">
        <v>1</v>
      </c>
      <c r="K328" s="25" t="s">
        <v>573</v>
      </c>
      <c r="M328" s="25">
        <v>0</v>
      </c>
      <c r="N328" s="25">
        <v>1</v>
      </c>
      <c r="R328" s="25" t="s">
        <v>626</v>
      </c>
      <c r="Y328" s="143" t="s">
        <v>5760</v>
      </c>
      <c r="Z328" s="143"/>
      <c r="AA328" s="143" t="s">
        <v>5760</v>
      </c>
      <c r="AB328" s="143" t="s">
        <v>5805</v>
      </c>
      <c r="AC328" s="143">
        <f>IFERROR(IF(AND((VLOOKUP(Z328,'Hoja básica'!$S$66:$W$73,1,FALSE)=Sheet3!Z328),(VLOOKUP($Z$303,'Hoja básica'!$S$66:$W$73,1,FALSE)=Sheet3!$Z$303)),1,0),0)</f>
        <v>0</v>
      </c>
      <c r="AD328" s="143">
        <f>IFERROR(IF(AND((VLOOKUP(AA328,'Hoja básica'!$S$66:$W$73,1,FALSE)=Sheet3!AA328),(VLOOKUP($AA$303,'Hoja básica'!$S$66:$W$73,1,FALSE)=Sheet3!$AA$303)),1,0),0)</f>
        <v>0</v>
      </c>
      <c r="AE328" s="143">
        <f>IFERROR(IF(AND((VLOOKUP(AB328,'Hoja básica'!$S$66:$W$73,1,FALSE)=Sheet3!AB328),(VLOOKUP($AB$303,'Hoja básica'!$S$66:$W$73,1,FALSE)=Sheet3!$AB$303)),2,0),0)</f>
        <v>0</v>
      </c>
      <c r="AF328" s="143">
        <f t="shared" si="19"/>
        <v>0</v>
      </c>
      <c r="AG328" s="143" t="s">
        <v>5805</v>
      </c>
      <c r="AH328" s="25" t="s">
        <v>5852</v>
      </c>
      <c r="AI328" s="25" t="s">
        <v>5895</v>
      </c>
      <c r="AJ328" s="143"/>
      <c r="AK328" s="143"/>
      <c r="AL328" s="143">
        <f>IFERROR(IF(AND((VLOOKUP(AH328,'Hoja básica'!$S$66:$W$73,1,FALSE)=Sheet3!AH328),(VLOOKUP($AH$303,'Hoja básica'!$S$66:$W$73,1,FALSE)=Sheet3!$AH$303)),10,0),0)</f>
        <v>0</v>
      </c>
      <c r="AM328" s="143">
        <f>IFERROR(IF(AND((VLOOKUP(AI328,'Hoja básica'!$S$66:$W$73,1,FALSE)=Sheet3!AI328),(VLOOKUP($AI$303,'Hoja básica'!$S$66:$W$73,1,FALSE)=Sheet3!$AI$303)),20,0),0)</f>
        <v>0</v>
      </c>
      <c r="AN328" s="143">
        <f>IFERROR(IF(AND((VLOOKUP(AJ328,'Hoja básica'!$S$66:$W$73,1,FALSE)=Sheet3!AJ328),(VLOOKUP($AJ$303,'Hoja básica'!$S$66:$W$73,1,FALSE)=Sheet3!$AJ$303)),5,0),0)</f>
        <v>0</v>
      </c>
      <c r="AO328" s="143">
        <f>IFERROR(IF(AND((VLOOKUP(AK328,'Hoja básica'!$S$66:$W$73,1,FALSE)=Sheet3!AK328),(VLOOKUP($AK$303,'Hoja básica'!$S$66:$W$73,1,FALSE)=Sheet3!$AK$303)),10,0),0)</f>
        <v>0</v>
      </c>
      <c r="AP328" s="143">
        <f t="shared" si="20"/>
        <v>0</v>
      </c>
      <c r="AS328" s="25" t="s">
        <v>6089</v>
      </c>
      <c r="AT328" s="25" t="s">
        <v>6317</v>
      </c>
      <c r="AU328" s="25">
        <v>15</v>
      </c>
      <c r="AV328" s="25" t="s">
        <v>6318</v>
      </c>
      <c r="AW328" s="38" t="str">
        <f>"RM contra "&amp;BC249+60&amp;" o dolor, si el fallo es por mas de 40 crea dolor extremo"</f>
        <v>RM contra 60 o dolor, si el fallo es por mas de 40 crea dolor extremo</v>
      </c>
    </row>
    <row r="329" spans="6:49" x14ac:dyDescent="0.2">
      <c r="F329" s="38" t="s">
        <v>859</v>
      </c>
      <c r="G329" s="25" t="s">
        <v>5710</v>
      </c>
      <c r="H329" s="25" t="s">
        <v>573</v>
      </c>
      <c r="I329" s="38" t="s">
        <v>860</v>
      </c>
      <c r="J329" s="45" t="s">
        <v>5703</v>
      </c>
      <c r="R329" s="25" t="s">
        <v>629</v>
      </c>
      <c r="Y329" s="143" t="s">
        <v>5761</v>
      </c>
      <c r="Z329" s="143"/>
      <c r="AA329" s="143" t="s">
        <v>5761</v>
      </c>
      <c r="AB329" s="143" t="s">
        <v>5806</v>
      </c>
      <c r="AC329" s="143">
        <f>IFERROR(IF(AND((VLOOKUP(Z329,'Hoja básica'!$S$66:$W$73,1,FALSE)=Sheet3!Z329),(VLOOKUP($Z$303,'Hoja básica'!$S$66:$W$73,1,FALSE)=Sheet3!$Z$303)),1,0),0)</f>
        <v>0</v>
      </c>
      <c r="AD329" s="143">
        <f>IFERROR(IF(AND((VLOOKUP(AA329,'Hoja básica'!$S$66:$W$73,1,FALSE)=Sheet3!AA329),(VLOOKUP($AA$303,'Hoja básica'!$S$66:$W$73,1,FALSE)=Sheet3!$AA$303)),1,0),0)</f>
        <v>0</v>
      </c>
      <c r="AE329" s="143">
        <f>IFERROR(IF(AND((VLOOKUP(AB329,'Hoja básica'!$S$66:$W$73,1,FALSE)=Sheet3!AB329),(VLOOKUP($AB$303,'Hoja básica'!$S$66:$W$73,1,FALSE)=Sheet3!$AB$303)),2,0),0)</f>
        <v>0</v>
      </c>
      <c r="AF329" s="143">
        <f t="shared" si="19"/>
        <v>0</v>
      </c>
      <c r="AG329" s="143" t="s">
        <v>5806</v>
      </c>
      <c r="AH329" s="25" t="s">
        <v>5873</v>
      </c>
      <c r="AI329" s="25" t="s">
        <v>5896</v>
      </c>
      <c r="AJ329" s="143"/>
      <c r="AK329" s="143"/>
      <c r="AL329" s="143">
        <f>IFERROR(IF(AND((VLOOKUP(AH329,'Hoja básica'!$S$66:$W$73,1,FALSE)=Sheet3!AH329),(VLOOKUP($AH$303,'Hoja básica'!$S$66:$W$73,1,FALSE)=Sheet3!$AH$303)),10,0),0)</f>
        <v>0</v>
      </c>
      <c r="AM329" s="143">
        <f>IFERROR(IF(AND((VLOOKUP(AI329,'Hoja básica'!$S$66:$W$73,1,FALSE)=Sheet3!AI329),(VLOOKUP($AI$303,'Hoja básica'!$S$66:$W$73,1,FALSE)=Sheet3!$AI$303)),20,0),0)</f>
        <v>0</v>
      </c>
      <c r="AN329" s="143">
        <f>IFERROR(IF(AND((VLOOKUP(AJ329,'Hoja básica'!$S$66:$W$73,1,FALSE)=Sheet3!AJ329),(VLOOKUP($AJ$303,'Hoja básica'!$S$66:$W$73,1,FALSE)=Sheet3!$AJ$303)),5,0),0)</f>
        <v>0</v>
      </c>
      <c r="AO329" s="143">
        <f>IFERROR(IF(AND((VLOOKUP(AK329,'Hoja básica'!$S$66:$W$73,1,FALSE)=Sheet3!AK329),(VLOOKUP($AK$303,'Hoja básica'!$S$66:$W$73,1,FALSE)=Sheet3!$AK$303)),10,0),0)</f>
        <v>0</v>
      </c>
      <c r="AP329" s="143">
        <f t="shared" si="20"/>
        <v>0</v>
      </c>
      <c r="AS329" s="25" t="s">
        <v>6088</v>
      </c>
      <c r="AT329" s="25" t="s">
        <v>6294</v>
      </c>
      <c r="AU329" s="25">
        <v>5</v>
      </c>
      <c r="AV329" s="25">
        <v>30</v>
      </c>
      <c r="AW329" s="38" t="str">
        <f>"Aumenta Persuasión en "&amp;BC244</f>
        <v>Aumenta Persuasión en 0</v>
      </c>
    </row>
    <row r="330" spans="6:49" x14ac:dyDescent="0.2">
      <c r="F330" s="38" t="s">
        <v>861</v>
      </c>
      <c r="G330" s="45" t="s">
        <v>5703</v>
      </c>
      <c r="I330" s="38" t="s">
        <v>862</v>
      </c>
      <c r="J330" s="45" t="s">
        <v>5703</v>
      </c>
      <c r="M330" s="38" t="s">
        <v>887</v>
      </c>
      <c r="N330" s="25">
        <v>2</v>
      </c>
      <c r="O330" s="25">
        <f>LOOKUP(IFERROR(VLOOKUP("Armadura natural – 1",'Hoja básica'!S66:W73,1,FALSE),0),Sheet3!M330:N331)</f>
        <v>0</v>
      </c>
      <c r="R330" s="25" t="s">
        <v>633</v>
      </c>
      <c r="Y330" s="142" t="s">
        <v>5762</v>
      </c>
      <c r="Z330" s="142" t="s">
        <v>5762</v>
      </c>
      <c r="AA330" s="142"/>
      <c r="AB330" s="142"/>
      <c r="AC330" s="142">
        <f>IFERROR(IF(AND((VLOOKUP(Z330,'Hoja básica'!$S$66:$W$73,1,FALSE)=Sheet3!Z330),(VLOOKUP($Z$303,'Hoja básica'!$S$66:$W$73,1,FALSE)=Sheet3!$Z$303)),1,0),0)</f>
        <v>0</v>
      </c>
      <c r="AD330" s="142">
        <f>IFERROR(IF(AND((VLOOKUP(AA330,'Hoja básica'!$S$66:$W$73,1,FALSE)=Sheet3!AA330),(VLOOKUP($AA$303,'Hoja básica'!$S$66:$W$73,1,FALSE)=Sheet3!$AA$303)),1,0),0)</f>
        <v>0</v>
      </c>
      <c r="AE330" s="142">
        <f>IFERROR(IF(AND((VLOOKUP(AB330,'Hoja básica'!$S$66:$W$73,1,FALSE)=Sheet3!AB330),(VLOOKUP($AB$303,'Hoja básica'!$S$66:$W$73,1,FALSE)=Sheet3!$AB$303)),2,0),0)</f>
        <v>0</v>
      </c>
      <c r="AF330" s="142">
        <f>AC330</f>
        <v>0</v>
      </c>
      <c r="AG330" s="142" t="s">
        <v>5732</v>
      </c>
      <c r="AH330" s="142"/>
      <c r="AI330" s="142"/>
      <c r="AJ330" s="142" t="s">
        <v>5732</v>
      </c>
      <c r="AK330" s="142" t="s">
        <v>5831</v>
      </c>
      <c r="AL330" s="142">
        <f>IFERROR(IF(AND((VLOOKUP(AH330,'Hoja básica'!$S$66:$W$73,1,FALSE)=Sheet3!AH330),(VLOOKUP($AH$303,'Hoja básica'!$S$66:$W$73,1,FALSE)=Sheet3!$AH$303)),10,0),0)</f>
        <v>0</v>
      </c>
      <c r="AM330" s="142">
        <f>IFERROR(IF(AND((VLOOKUP(AI330,'Hoja básica'!$S$66:$W$73,1,FALSE)=Sheet3!AI330),(VLOOKUP($AI$303,'Hoja básica'!$S$66:$W$73,1,FALSE)=Sheet3!$AI$303)),20,0),0)</f>
        <v>0</v>
      </c>
      <c r="AN330" s="142">
        <f>IFERROR(IF(AND((VLOOKUP(AJ330,'Hoja básica'!$S$66:$W$73,1,FALSE)=Sheet3!AJ330),(VLOOKUP($AJ$303,'Hoja básica'!$S$66:$W$73,1,FALSE)=Sheet3!$AJ$303)),5,0),0)</f>
        <v>0</v>
      </c>
      <c r="AO330" s="142">
        <f>IFERROR(IF(AND((VLOOKUP(AK330,'Hoja básica'!$S$66:$W$73,1,FALSE)=Sheet3!AK330),(VLOOKUP($AK$303,'Hoja básica'!$S$66:$W$73,1,FALSE)=Sheet3!$AK$303)),10,0),0)</f>
        <v>0</v>
      </c>
      <c r="AP330" s="142">
        <f>AN330+AO330</f>
        <v>0</v>
      </c>
      <c r="AS330" s="25" t="s">
        <v>6089</v>
      </c>
      <c r="AT330" s="25" t="s">
        <v>6310</v>
      </c>
      <c r="AU330" s="25">
        <v>5</v>
      </c>
      <c r="AV330" s="25">
        <v>30</v>
      </c>
      <c r="AW330" s="38" t="s">
        <v>6311</v>
      </c>
    </row>
    <row r="331" spans="6:49" x14ac:dyDescent="0.2">
      <c r="F331" s="38" t="s">
        <v>863</v>
      </c>
      <c r="G331" s="25" t="s">
        <v>272</v>
      </c>
      <c r="H331" s="25" t="s">
        <v>573</v>
      </c>
      <c r="I331" s="38" t="s">
        <v>864</v>
      </c>
      <c r="J331" s="45" t="s">
        <v>5703</v>
      </c>
      <c r="M331" s="25">
        <v>0</v>
      </c>
      <c r="N331" s="25">
        <v>0</v>
      </c>
      <c r="R331" s="25" t="s">
        <v>635</v>
      </c>
      <c r="Y331" s="143" t="s">
        <v>5763</v>
      </c>
      <c r="Z331" s="143"/>
      <c r="AA331" s="143" t="s">
        <v>5763</v>
      </c>
      <c r="AB331" s="143" t="s">
        <v>5807</v>
      </c>
      <c r="AC331" s="143">
        <f>IFERROR(IF(AND((VLOOKUP(Z331,'Hoja básica'!$S$66:$W$73,1,FALSE)=Sheet3!Z331),(VLOOKUP($Z$303,'Hoja básica'!$S$66:$W$73,1,FALSE)=Sheet3!$Z$303)),1,0),0)</f>
        <v>0</v>
      </c>
      <c r="AD331" s="143">
        <f>IFERROR(IF(AND((VLOOKUP(AA331,'Hoja básica'!$S$66:$W$73,1,FALSE)=Sheet3!AA331),(VLOOKUP($AA$303,'Hoja básica'!$S$66:$W$73,1,FALSE)=Sheet3!$AA$303)),1,0),0)</f>
        <v>0</v>
      </c>
      <c r="AE331" s="143">
        <f>IFERROR(IF(AND((VLOOKUP(AB331,'Hoja básica'!$S$66:$W$73,1,FALSE)=Sheet3!AB331),(VLOOKUP($AB$303,'Hoja básica'!$S$66:$W$73,1,FALSE)=Sheet3!$AB$303)),2,0),0)</f>
        <v>0</v>
      </c>
      <c r="AF331" s="143">
        <f>SUM(AD331,AE331,$AF$330)</f>
        <v>0</v>
      </c>
      <c r="AG331" s="143" t="s">
        <v>5807</v>
      </c>
      <c r="AH331" s="25" t="s">
        <v>5853</v>
      </c>
      <c r="AI331" s="25" t="s">
        <v>5897</v>
      </c>
      <c r="AJ331" s="143"/>
      <c r="AK331" s="143"/>
      <c r="AL331" s="143">
        <f>IFERROR(IF(AND((VLOOKUP(AH331,'Hoja básica'!$S$66:$W$73,1,FALSE)=Sheet3!AH331),(VLOOKUP($AH$303,'Hoja básica'!$S$66:$W$73,1,FALSE)=Sheet3!$AH$303)),10,0),0)</f>
        <v>0</v>
      </c>
      <c r="AM331" s="143">
        <f>IFERROR(IF(AND((VLOOKUP(AI331,'Hoja básica'!$S$66:$W$73,1,FALSE)=Sheet3!AI331),(VLOOKUP($AI$303,'Hoja básica'!$S$66:$W$73,1,FALSE)=Sheet3!$AI$303)),20,0),0)</f>
        <v>0</v>
      </c>
      <c r="AN331" s="143">
        <f>IFERROR(IF(AND((VLOOKUP(AJ331,'Hoja básica'!$S$66:$W$73,1,FALSE)=Sheet3!AJ331),(VLOOKUP($AJ$303,'Hoja básica'!$S$66:$W$73,1,FALSE)=Sheet3!$AJ$303)),5,0),0)</f>
        <v>0</v>
      </c>
      <c r="AO331" s="143">
        <f>IFERROR(IF(AND((VLOOKUP(AK331,'Hoja básica'!$S$66:$W$73,1,FALSE)=Sheet3!AK331),(VLOOKUP($AK$303,'Hoja básica'!$S$66:$W$73,1,FALSE)=Sheet3!$AK$303)),10,0),0)</f>
        <v>0</v>
      </c>
      <c r="AP331" s="143">
        <f>AL331+AM331+$AP$330</f>
        <v>0</v>
      </c>
      <c r="AS331" s="25" t="s">
        <v>6080</v>
      </c>
      <c r="AT331" s="25" t="s">
        <v>531</v>
      </c>
      <c r="AU331" s="25">
        <v>15</v>
      </c>
      <c r="AV331" s="25">
        <v>60</v>
      </c>
      <c r="AW331" s="38" t="s">
        <v>6399</v>
      </c>
    </row>
    <row r="332" spans="6:49" x14ac:dyDescent="0.2">
      <c r="F332" s="38" t="s">
        <v>865</v>
      </c>
      <c r="G332" s="25" t="s">
        <v>272</v>
      </c>
      <c r="H332" s="25" t="s">
        <v>573</v>
      </c>
      <c r="I332" s="38" t="s">
        <v>866</v>
      </c>
      <c r="J332" s="25" t="s">
        <v>96</v>
      </c>
      <c r="K332" s="25" t="s">
        <v>573</v>
      </c>
      <c r="R332" s="25" t="s">
        <v>636</v>
      </c>
      <c r="Y332" s="143" t="s">
        <v>5764</v>
      </c>
      <c r="Z332" s="143"/>
      <c r="AA332" s="143" t="s">
        <v>5764</v>
      </c>
      <c r="AB332" s="143" t="s">
        <v>5808</v>
      </c>
      <c r="AC332" s="143">
        <f>IFERROR(IF(AND((VLOOKUP(Z332,'Hoja básica'!$S$66:$W$73,1,FALSE)=Sheet3!Z332),(VLOOKUP($Z$303,'Hoja básica'!$S$66:$W$73,1,FALSE)=Sheet3!$Z$303)),1,0),0)</f>
        <v>0</v>
      </c>
      <c r="AD332" s="143">
        <f>IFERROR(IF(AND((VLOOKUP(AA332,'Hoja básica'!$S$66:$W$73,1,FALSE)=Sheet3!AA332),(VLOOKUP($AA$303,'Hoja básica'!$S$66:$W$73,1,FALSE)=Sheet3!$AA$303)),1,0),0)</f>
        <v>0</v>
      </c>
      <c r="AE332" s="143">
        <f>IFERROR(IF(AND((VLOOKUP(AB332,'Hoja básica'!$S$66:$W$73,1,FALSE)=Sheet3!AB332),(VLOOKUP($AB$303,'Hoja básica'!$S$66:$W$73,1,FALSE)=Sheet3!$AB$303)),2,0),0)</f>
        <v>0</v>
      </c>
      <c r="AF332" s="143">
        <f>SUM(AD332,AE332,$AF$330)</f>
        <v>0</v>
      </c>
      <c r="AG332" s="143" t="s">
        <v>5808</v>
      </c>
      <c r="AH332" s="25" t="s">
        <v>5854</v>
      </c>
      <c r="AI332" s="25" t="s">
        <v>5898</v>
      </c>
      <c r="AJ332" s="143"/>
      <c r="AK332" s="143"/>
      <c r="AL332" s="143">
        <f>IFERROR(IF(AND((VLOOKUP(AH332,'Hoja básica'!$S$66:$W$73,1,FALSE)=Sheet3!AH332),(VLOOKUP($AH$303,'Hoja básica'!$S$66:$W$73,1,FALSE)=Sheet3!$AH$303)),10,0),0)</f>
        <v>0</v>
      </c>
      <c r="AM332" s="143">
        <f>IFERROR(IF(AND((VLOOKUP(AI332,'Hoja básica'!$S$66:$W$73,1,FALSE)=Sheet3!AI332),(VLOOKUP($AI$303,'Hoja básica'!$S$66:$W$73,1,FALSE)=Sheet3!$AI$303)),20,0),0)</f>
        <v>0</v>
      </c>
      <c r="AN332" s="143">
        <f>IFERROR(IF(AND((VLOOKUP(AJ332,'Hoja básica'!$S$66:$W$73,1,FALSE)=Sheet3!AJ332),(VLOOKUP($AJ$303,'Hoja básica'!$S$66:$W$73,1,FALSE)=Sheet3!$AJ$303)),5,0),0)</f>
        <v>0</v>
      </c>
      <c r="AO332" s="143">
        <f>IFERROR(IF(AND((VLOOKUP(AK332,'Hoja básica'!$S$66:$W$73,1,FALSE)=Sheet3!AK332),(VLOOKUP($AK$303,'Hoja básica'!$S$66:$W$73,1,FALSE)=Sheet3!$AK$303)),10,0),0)</f>
        <v>0</v>
      </c>
      <c r="AP332" s="143">
        <f>AL332+AM332+$AP$330</f>
        <v>0</v>
      </c>
      <c r="AS332" s="25" t="s">
        <v>6076</v>
      </c>
      <c r="AT332" s="25" t="s">
        <v>6104</v>
      </c>
      <c r="AU332" s="25">
        <v>20</v>
      </c>
      <c r="AV332" s="25">
        <v>90</v>
      </c>
      <c r="AW332" s="38" t="s">
        <v>6105</v>
      </c>
    </row>
    <row r="333" spans="6:49" x14ac:dyDescent="0.2">
      <c r="F333" s="38" t="s">
        <v>867</v>
      </c>
      <c r="G333" s="25" t="s">
        <v>272</v>
      </c>
      <c r="H333" s="25" t="s">
        <v>573</v>
      </c>
      <c r="I333" s="38" t="s">
        <v>868</v>
      </c>
      <c r="M333" s="38" t="s">
        <v>889</v>
      </c>
      <c r="N333" s="25">
        <v>4</v>
      </c>
      <c r="O333" s="25">
        <f>LOOKUP(IFERROR(VLOOKUP("Armadura mística – 1",'Hoja básica'!S66:W73,1,FALSE),0),Sheet3!M333:N334)</f>
        <v>0</v>
      </c>
      <c r="R333" s="25" t="s">
        <v>638</v>
      </c>
      <c r="Y333" s="143" t="s">
        <v>5765</v>
      </c>
      <c r="Z333" s="143"/>
      <c r="AA333" s="143" t="s">
        <v>5765</v>
      </c>
      <c r="AB333" s="143" t="s">
        <v>5809</v>
      </c>
      <c r="AC333" s="143">
        <f>IFERROR(IF(AND((VLOOKUP(Z333,'Hoja básica'!$S$66:$W$73,1,FALSE)=Sheet3!Z333),(VLOOKUP($Z$303,'Hoja básica'!$S$66:$W$73,1,FALSE)=Sheet3!$Z$303)),1,0),0)</f>
        <v>0</v>
      </c>
      <c r="AD333" s="143">
        <f>IFERROR(IF(AND((VLOOKUP(AA333,'Hoja básica'!$S$66:$W$73,1,FALSE)=Sheet3!AA333),(VLOOKUP($AA$303,'Hoja básica'!$S$66:$W$73,1,FALSE)=Sheet3!$AA$303)),1,0),0)</f>
        <v>0</v>
      </c>
      <c r="AE333" s="143">
        <f>IFERROR(IF(AND((VLOOKUP(AB333,'Hoja básica'!$S$66:$W$73,1,FALSE)=Sheet3!AB333),(VLOOKUP($AB$303,'Hoja básica'!$S$66:$W$73,1,FALSE)=Sheet3!$AB$303)),2,0),0)</f>
        <v>0</v>
      </c>
      <c r="AF333" s="143">
        <f>SUM(AD333,AE333,$AF$330)</f>
        <v>0</v>
      </c>
      <c r="AG333" s="143" t="s">
        <v>5809</v>
      </c>
      <c r="AH333" s="25" t="s">
        <v>5855</v>
      </c>
      <c r="AI333" s="25" t="s">
        <v>5899</v>
      </c>
      <c r="AJ333" s="143"/>
      <c r="AK333" s="143"/>
      <c r="AL333" s="143">
        <f>IFERROR(IF(AND((VLOOKUP(AH333,'Hoja básica'!$S$66:$W$73,1,FALSE)=Sheet3!AH333),(VLOOKUP($AH$303,'Hoja básica'!$S$66:$W$73,1,FALSE)=Sheet3!$AH$303)),10,0),0)</f>
        <v>0</v>
      </c>
      <c r="AM333" s="143">
        <f>IFERROR(IF(AND((VLOOKUP(AI333,'Hoja básica'!$S$66:$W$73,1,FALSE)=Sheet3!AI333),(VLOOKUP($AI$303,'Hoja básica'!$S$66:$W$73,1,FALSE)=Sheet3!$AI$303)),20,0),0)</f>
        <v>0</v>
      </c>
      <c r="AN333" s="143">
        <f>IFERROR(IF(AND((VLOOKUP(AJ333,'Hoja básica'!$S$66:$W$73,1,FALSE)=Sheet3!AJ333),(VLOOKUP($AJ$303,'Hoja básica'!$S$66:$W$73,1,FALSE)=Sheet3!$AJ$303)),5,0),0)</f>
        <v>0</v>
      </c>
      <c r="AO333" s="143">
        <f>IFERROR(IF(AND((VLOOKUP(AK333,'Hoja básica'!$S$66:$W$73,1,FALSE)=Sheet3!AK333),(VLOOKUP($AK$303,'Hoja básica'!$S$66:$W$73,1,FALSE)=Sheet3!$AK$303)),10,0),0)</f>
        <v>0</v>
      </c>
      <c r="AP333" s="143">
        <f>AL333+AM333+$AP$330</f>
        <v>0</v>
      </c>
      <c r="AS333" s="25" t="s">
        <v>6084</v>
      </c>
      <c r="AT333" s="25" t="s">
        <v>6227</v>
      </c>
      <c r="AU333" s="25">
        <v>5</v>
      </c>
      <c r="AV333" s="25">
        <v>10</v>
      </c>
      <c r="AW333" s="38" t="str">
        <f>"Aumenta Liderazgo en "&amp;BC242</f>
        <v>Aumenta Liderazgo en 0</v>
      </c>
    </row>
    <row r="334" spans="6:49" x14ac:dyDescent="0.2">
      <c r="F334" s="38" t="s">
        <v>869</v>
      </c>
      <c r="G334" s="25" t="s">
        <v>272</v>
      </c>
      <c r="H334" s="25" t="s">
        <v>573</v>
      </c>
      <c r="I334" s="38" t="s">
        <v>870</v>
      </c>
      <c r="J334" s="45" t="s">
        <v>5703</v>
      </c>
      <c r="M334" s="25">
        <v>0</v>
      </c>
      <c r="N334" s="25">
        <v>0</v>
      </c>
      <c r="R334" s="25" t="s">
        <v>639</v>
      </c>
      <c r="Y334" s="143" t="s">
        <v>5766</v>
      </c>
      <c r="Z334" s="143"/>
      <c r="AA334" s="143" t="s">
        <v>5766</v>
      </c>
      <c r="AB334" s="143" t="s">
        <v>5810</v>
      </c>
      <c r="AC334" s="143">
        <f>IFERROR(IF(AND((VLOOKUP(Z334,'Hoja básica'!$S$66:$W$73,1,FALSE)=Sheet3!Z334),(VLOOKUP($Z$303,'Hoja básica'!$S$66:$W$73,1,FALSE)=Sheet3!$Z$303)),1,0),0)</f>
        <v>0</v>
      </c>
      <c r="AD334" s="143">
        <f>IFERROR(IF(AND((VLOOKUP(AA334,'Hoja básica'!$S$66:$W$73,1,FALSE)=Sheet3!AA334),(VLOOKUP($AA$303,'Hoja básica'!$S$66:$W$73,1,FALSE)=Sheet3!$AA$303)),1,0),0)</f>
        <v>0</v>
      </c>
      <c r="AE334" s="143">
        <f>IFERROR(IF(AND((VLOOKUP(AB334,'Hoja básica'!$S$66:$W$73,1,FALSE)=Sheet3!AB334),(VLOOKUP($AB$303,'Hoja básica'!$S$66:$W$73,1,FALSE)=Sheet3!$AB$303)),2,0),0)</f>
        <v>0</v>
      </c>
      <c r="AF334" s="143">
        <f>SUM(AD334,AE334,$AF$330)</f>
        <v>0</v>
      </c>
      <c r="AG334" s="143" t="s">
        <v>5810</v>
      </c>
      <c r="AH334" s="25" t="s">
        <v>5856</v>
      </c>
      <c r="AI334" s="25" t="s">
        <v>5900</v>
      </c>
      <c r="AJ334" s="143"/>
      <c r="AK334" s="143"/>
      <c r="AL334" s="143">
        <f>IFERROR(IF(AND((VLOOKUP(AH334,'Hoja básica'!$S$66:$W$73,1,FALSE)=Sheet3!AH334),(VLOOKUP($AH$303,'Hoja básica'!$S$66:$W$73,1,FALSE)=Sheet3!$AH$303)),10,0),0)</f>
        <v>0</v>
      </c>
      <c r="AM334" s="143">
        <f>IFERROR(IF(AND((VLOOKUP(AI334,'Hoja básica'!$S$66:$W$73,1,FALSE)=Sheet3!AI334),(VLOOKUP($AI$303,'Hoja básica'!$S$66:$W$73,1,FALSE)=Sheet3!$AI$303)),20,0),0)</f>
        <v>0</v>
      </c>
      <c r="AN334" s="143">
        <f>IFERROR(IF(AND((VLOOKUP(AJ334,'Hoja básica'!$S$66:$W$73,1,FALSE)=Sheet3!AJ334),(VLOOKUP($AJ$303,'Hoja básica'!$S$66:$W$73,1,FALSE)=Sheet3!$AJ$303)),5,0),0)</f>
        <v>0</v>
      </c>
      <c r="AO334" s="143">
        <f>IFERROR(IF(AND((VLOOKUP(AK334,'Hoja básica'!$S$66:$W$73,1,FALSE)=Sheet3!AK334),(VLOOKUP($AK$303,'Hoja básica'!$S$66:$W$73,1,FALSE)=Sheet3!$AK$303)),10,0),0)</f>
        <v>0</v>
      </c>
      <c r="AP334" s="143">
        <f>AL334+AM334+$AP$330</f>
        <v>0</v>
      </c>
      <c r="AS334" s="25" t="s">
        <v>6082</v>
      </c>
      <c r="AT334" s="25" t="s">
        <v>6220</v>
      </c>
      <c r="AU334" s="25">
        <v>20</v>
      </c>
      <c r="AV334" s="25">
        <v>70</v>
      </c>
      <c r="AW334" s="38" t="s">
        <v>6400</v>
      </c>
    </row>
    <row r="335" spans="6:49" x14ac:dyDescent="0.2">
      <c r="F335" s="38" t="s">
        <v>871</v>
      </c>
      <c r="G335" s="25" t="s">
        <v>272</v>
      </c>
      <c r="H335" s="25" t="s">
        <v>573</v>
      </c>
      <c r="I335" s="38" t="s">
        <v>872</v>
      </c>
      <c r="J335" s="45" t="s">
        <v>5703</v>
      </c>
      <c r="R335" s="25" t="s">
        <v>640</v>
      </c>
      <c r="Y335" s="142" t="s">
        <v>5767</v>
      </c>
      <c r="Z335" s="142" t="s">
        <v>5767</v>
      </c>
      <c r="AA335" s="142"/>
      <c r="AB335" s="142"/>
      <c r="AC335" s="142">
        <f>IFERROR(IF(AND((VLOOKUP(Z335,'Hoja básica'!$S$66:$W$73,1,FALSE)=Sheet3!Z335),(VLOOKUP($Z$303,'Hoja básica'!$S$66:$W$73,1,FALSE)=Sheet3!$Z$303)),1,0),0)</f>
        <v>0</v>
      </c>
      <c r="AD335" s="142">
        <f>IFERROR(IF(AND((VLOOKUP(AA335,'Hoja básica'!$S$66:$W$73,1,FALSE)=Sheet3!AA335),(VLOOKUP($AA$303,'Hoja básica'!$S$66:$W$73,1,FALSE)=Sheet3!$AA$303)),1,0),0)</f>
        <v>0</v>
      </c>
      <c r="AE335" s="142">
        <f>IFERROR(IF(AND((VLOOKUP(AB335,'Hoja básica'!$S$66:$W$73,1,FALSE)=Sheet3!AB335),(VLOOKUP($AB$303,'Hoja básica'!$S$66:$W$73,1,FALSE)=Sheet3!$AB$303)),2,0),0)</f>
        <v>0</v>
      </c>
      <c r="AF335" s="142">
        <f>AC335</f>
        <v>0</v>
      </c>
      <c r="AG335" s="142" t="s">
        <v>5733</v>
      </c>
      <c r="AH335" s="142"/>
      <c r="AI335" s="142"/>
      <c r="AJ335" s="142" t="s">
        <v>5733</v>
      </c>
      <c r="AK335" s="142" t="s">
        <v>5832</v>
      </c>
      <c r="AL335" s="142">
        <f>IFERROR(IF(AND((VLOOKUP(AH335,'Hoja básica'!$S$66:$W$73,1,FALSE)=Sheet3!AH335),(VLOOKUP($AH$303,'Hoja básica'!$S$66:$W$73,1,FALSE)=Sheet3!$AH$303)),10,0),0)</f>
        <v>0</v>
      </c>
      <c r="AM335" s="142">
        <f>IFERROR(IF(AND((VLOOKUP(AI335,'Hoja básica'!$S$66:$W$73,1,FALSE)=Sheet3!AI335),(VLOOKUP($AI$303,'Hoja básica'!$S$66:$W$73,1,FALSE)=Sheet3!$AI$303)),20,0),0)</f>
        <v>0</v>
      </c>
      <c r="AN335" s="142">
        <f>IFERROR(IF(AND((VLOOKUP(AJ335,'Hoja básica'!$S$66:$W$73,1,FALSE)=Sheet3!AJ335),(VLOOKUP($AJ$303,'Hoja básica'!$S$66:$W$73,1,FALSE)=Sheet3!$AJ$303)),5,0),0)</f>
        <v>0</v>
      </c>
      <c r="AO335" s="142">
        <f>IFERROR(IF(AND((VLOOKUP(AK335,'Hoja básica'!$S$66:$W$73,1,FALSE)=Sheet3!AK335),(VLOOKUP($AK$303,'Hoja básica'!$S$66:$W$73,1,FALSE)=Sheet3!$AK$303)),10,0),0)</f>
        <v>0</v>
      </c>
      <c r="AP335" s="142">
        <f>AN335+AO335</f>
        <v>0</v>
      </c>
      <c r="AS335" s="25" t="s">
        <v>6085</v>
      </c>
      <c r="AT335" s="25" t="s">
        <v>6245</v>
      </c>
      <c r="AU335" s="25">
        <v>5</v>
      </c>
      <c r="AV335" s="25">
        <v>20</v>
      </c>
      <c r="AW335" s="38" t="s">
        <v>6401</v>
      </c>
    </row>
    <row r="336" spans="6:49" x14ac:dyDescent="0.2">
      <c r="F336" s="38" t="s">
        <v>873</v>
      </c>
      <c r="G336" s="45" t="s">
        <v>5703</v>
      </c>
      <c r="I336" s="38" t="s">
        <v>874</v>
      </c>
      <c r="J336" s="45" t="s">
        <v>5703</v>
      </c>
      <c r="L336" s="38"/>
      <c r="M336" s="38" t="s">
        <v>875</v>
      </c>
      <c r="N336" s="25">
        <v>25</v>
      </c>
      <c r="O336" s="25">
        <f>LOOKUP(IFERROR(VLOOKUP("Reflejos rápidos – 1",'Hoja básica'!S66:W73,1,FALSE),0),Sheet3!M336:N340)+LOOKUP(IFERROR(VLOOKUP("Reflejos rápidos – 2",'Hoja básica'!S66:W73,1,FALSE),0),Sheet3!M336:N340)+LOOKUP(IFERROR(VLOOKUP("Reflejos rápidos – 3",'Hoja básica'!S66:W73,1,FALSE),0),Sheet3!M336:N340)</f>
        <v>0</v>
      </c>
      <c r="R336" s="25" t="s">
        <v>240</v>
      </c>
      <c r="Y336" s="143" t="s">
        <v>5768</v>
      </c>
      <c r="Z336" s="143"/>
      <c r="AA336" s="143" t="s">
        <v>5768</v>
      </c>
      <c r="AB336" s="143" t="s">
        <v>5811</v>
      </c>
      <c r="AC336" s="143">
        <f>IFERROR(IF(AND((VLOOKUP(Z336,'Hoja básica'!$S$66:$W$73,1,FALSE)=Sheet3!Z336),(VLOOKUP($Z$303,'Hoja básica'!$S$66:$W$73,1,FALSE)=Sheet3!$Z$303)),1,0),0)</f>
        <v>0</v>
      </c>
      <c r="AD336" s="143">
        <f>IFERROR(IF(AND((VLOOKUP(AA336,'Hoja básica'!$S$66:$W$73,1,FALSE)=Sheet3!AA336),(VLOOKUP($AA$303,'Hoja básica'!$S$66:$W$73,1,FALSE)=Sheet3!$AA$303)),1,0),0)</f>
        <v>0</v>
      </c>
      <c r="AE336" s="143">
        <f>IFERROR(IF(AND((VLOOKUP(AB336,'Hoja básica'!$S$66:$W$73,1,FALSE)=Sheet3!AB336),(VLOOKUP($AB$303,'Hoja básica'!$S$66:$W$73,1,FALSE)=Sheet3!$AB$303)),2,0),0)</f>
        <v>0</v>
      </c>
      <c r="AF336" s="143">
        <f>SUM(AD336,AE336,$AF$335)</f>
        <v>0</v>
      </c>
      <c r="AG336" s="143" t="s">
        <v>5811</v>
      </c>
      <c r="AH336" s="25" t="s">
        <v>5857</v>
      </c>
      <c r="AI336" s="25" t="s">
        <v>5901</v>
      </c>
      <c r="AJ336" s="143"/>
      <c r="AK336" s="143"/>
      <c r="AL336" s="143">
        <f>IFERROR(IF(AND((VLOOKUP(AH336,'Hoja básica'!$S$66:$W$73,1,FALSE)=Sheet3!AH336),(VLOOKUP($AH$303,'Hoja básica'!$S$66:$W$73,1,FALSE)=Sheet3!$AH$303)),10,0),0)</f>
        <v>0</v>
      </c>
      <c r="AM336" s="143">
        <f>IFERROR(IF(AND((VLOOKUP(AI336,'Hoja básica'!$S$66:$W$73,1,FALSE)=Sheet3!AI336),(VLOOKUP($AI$303,'Hoja básica'!$S$66:$W$73,1,FALSE)=Sheet3!$AI$303)),20,0),0)</f>
        <v>0</v>
      </c>
      <c r="AN336" s="143">
        <f>IFERROR(IF(AND((VLOOKUP(AJ336,'Hoja básica'!$S$66:$W$73,1,FALSE)=Sheet3!AJ336),(VLOOKUP($AJ$303,'Hoja básica'!$S$66:$W$73,1,FALSE)=Sheet3!$AJ$303)),5,0),0)</f>
        <v>0</v>
      </c>
      <c r="AO336" s="143">
        <f>IFERROR(IF(AND((VLOOKUP(AK336,'Hoja básica'!$S$66:$W$73,1,FALSE)=Sheet3!AK336),(VLOOKUP($AK$303,'Hoja básica'!$S$66:$W$73,1,FALSE)=Sheet3!$AK$303)),10,0),0)</f>
        <v>0</v>
      </c>
      <c r="AP336" s="143">
        <f>AL336+AM336+$AP$335</f>
        <v>0</v>
      </c>
      <c r="AS336" s="25" t="s">
        <v>6081</v>
      </c>
      <c r="AT336" s="25" t="s">
        <v>6201</v>
      </c>
      <c r="AU336" s="25">
        <v>10</v>
      </c>
      <c r="AV336" s="25">
        <v>60</v>
      </c>
      <c r="AW336" s="38" t="str">
        <f>"Permite ver y oir a través de un animal "&amp;ROUNDDOWN(BC252/10,0)&amp;" veces al día"</f>
        <v>Permite ver y oir a través de un animal 0 veces al día</v>
      </c>
    </row>
    <row r="337" spans="6:49" x14ac:dyDescent="0.2">
      <c r="F337" s="38" t="s">
        <v>875</v>
      </c>
      <c r="G337" s="25" t="s">
        <v>1</v>
      </c>
      <c r="H337" s="25" t="s">
        <v>573</v>
      </c>
      <c r="I337" s="38" t="s">
        <v>876</v>
      </c>
      <c r="J337" s="25" t="s">
        <v>5713</v>
      </c>
      <c r="K337" s="25" t="s">
        <v>573</v>
      </c>
      <c r="M337" s="38" t="s">
        <v>877</v>
      </c>
      <c r="N337" s="25">
        <v>45</v>
      </c>
      <c r="R337" s="25" t="s">
        <v>642</v>
      </c>
      <c r="Y337" s="143" t="s">
        <v>5769</v>
      </c>
      <c r="Z337" s="143"/>
      <c r="AA337" s="143" t="s">
        <v>5769</v>
      </c>
      <c r="AB337" s="143" t="s">
        <v>5812</v>
      </c>
      <c r="AC337" s="143">
        <f>IFERROR(IF(AND((VLOOKUP(Z337,'Hoja básica'!$S$66:$W$73,1,FALSE)=Sheet3!Z337),(VLOOKUP($Z$303,'Hoja básica'!$S$66:$W$73,1,FALSE)=Sheet3!$Z$303)),1,0),0)</f>
        <v>0</v>
      </c>
      <c r="AD337" s="143">
        <f>IFERROR(IF(AND((VLOOKUP(AA337,'Hoja básica'!$S$66:$W$73,1,FALSE)=Sheet3!AA337),(VLOOKUP($AA$303,'Hoja básica'!$S$66:$W$73,1,FALSE)=Sheet3!$AA$303)),1,0),0)</f>
        <v>0</v>
      </c>
      <c r="AE337" s="143">
        <f>IFERROR(IF(AND((VLOOKUP(AB337,'Hoja básica'!$S$66:$W$73,1,FALSE)=Sheet3!AB337),(VLOOKUP($AB$303,'Hoja básica'!$S$66:$W$73,1,FALSE)=Sheet3!$AB$303)),2,0),0)</f>
        <v>0</v>
      </c>
      <c r="AF337" s="143">
        <f t="shared" ref="AF337:AF342" si="21">SUM(AD337,AE337,$AF$335)</f>
        <v>0</v>
      </c>
      <c r="AG337" s="143" t="s">
        <v>5812</v>
      </c>
      <c r="AH337" s="25" t="s">
        <v>5858</v>
      </c>
      <c r="AI337" s="25" t="s">
        <v>5902</v>
      </c>
      <c r="AJ337" s="143"/>
      <c r="AK337" s="143"/>
      <c r="AL337" s="143">
        <f>IFERROR(IF(AND((VLOOKUP(AH337,'Hoja básica'!$S$66:$W$73,1,FALSE)=Sheet3!AH337),(VLOOKUP($AH$303,'Hoja básica'!$S$66:$W$73,1,FALSE)=Sheet3!$AH$303)),10,0),0)</f>
        <v>0</v>
      </c>
      <c r="AM337" s="143">
        <f>IFERROR(IF(AND((VLOOKUP(AI337,'Hoja básica'!$S$66:$W$73,1,FALSE)=Sheet3!AI337),(VLOOKUP($AI$303,'Hoja básica'!$S$66:$W$73,1,FALSE)=Sheet3!$AI$303)),20,0),0)</f>
        <v>0</v>
      </c>
      <c r="AN337" s="143">
        <f>IFERROR(IF(AND((VLOOKUP(AJ337,'Hoja básica'!$S$66:$W$73,1,FALSE)=Sheet3!AJ337),(VLOOKUP($AJ$303,'Hoja básica'!$S$66:$W$73,1,FALSE)=Sheet3!$AJ$303)),5,0),0)</f>
        <v>0</v>
      </c>
      <c r="AO337" s="143">
        <f>IFERROR(IF(AND((VLOOKUP(AK337,'Hoja básica'!$S$66:$W$73,1,FALSE)=Sheet3!AK337),(VLOOKUP($AK$303,'Hoja básica'!$S$66:$W$73,1,FALSE)=Sheet3!$AK$303)),10,0),0)</f>
        <v>0</v>
      </c>
      <c r="AP337" s="143">
        <f t="shared" ref="AP337:AP342" si="22">AL337+AM337+$AP$335</f>
        <v>0</v>
      </c>
      <c r="AS337" s="25" t="s">
        <v>6076</v>
      </c>
      <c r="AT337" s="25" t="s">
        <v>6090</v>
      </c>
      <c r="AU337" s="25">
        <v>5</v>
      </c>
      <c r="AV337" s="25">
        <v>10</v>
      </c>
      <c r="AW337" s="38" t="s">
        <v>6402</v>
      </c>
    </row>
    <row r="338" spans="6:49" x14ac:dyDescent="0.2">
      <c r="F338" s="38" t="s">
        <v>877</v>
      </c>
      <c r="G338" s="25" t="s">
        <v>1</v>
      </c>
      <c r="H338" s="25" t="s">
        <v>573</v>
      </c>
      <c r="I338" s="38" t="s">
        <v>878</v>
      </c>
      <c r="J338" s="45" t="s">
        <v>5703</v>
      </c>
      <c r="M338" s="38" t="s">
        <v>879</v>
      </c>
      <c r="N338" s="25">
        <v>60</v>
      </c>
      <c r="R338" s="25" t="s">
        <v>644</v>
      </c>
      <c r="Y338" s="143" t="s">
        <v>5770</v>
      </c>
      <c r="Z338" s="143"/>
      <c r="AA338" s="143" t="s">
        <v>5770</v>
      </c>
      <c r="AB338" s="143" t="s">
        <v>5813</v>
      </c>
      <c r="AC338" s="143">
        <f>IFERROR(IF(AND((VLOOKUP(Z338,'Hoja básica'!$S$66:$W$73,1,FALSE)=Sheet3!Z338),(VLOOKUP($Z$303,'Hoja básica'!$S$66:$W$73,1,FALSE)=Sheet3!$Z$303)),1,0),0)</f>
        <v>0</v>
      </c>
      <c r="AD338" s="143">
        <f>IFERROR(IF(AND((VLOOKUP(AA338,'Hoja básica'!$S$66:$W$73,1,FALSE)=Sheet3!AA338),(VLOOKUP($AA$303,'Hoja básica'!$S$66:$W$73,1,FALSE)=Sheet3!$AA$303)),1,0),0)</f>
        <v>0</v>
      </c>
      <c r="AE338" s="143">
        <f>IFERROR(IF(AND((VLOOKUP(AB338,'Hoja básica'!$S$66:$W$73,1,FALSE)=Sheet3!AB338),(VLOOKUP($AB$303,'Hoja básica'!$S$66:$W$73,1,FALSE)=Sheet3!$AB$303)),2,0),0)</f>
        <v>0</v>
      </c>
      <c r="AF338" s="143">
        <f t="shared" si="21"/>
        <v>0</v>
      </c>
      <c r="AG338" s="143" t="s">
        <v>5813</v>
      </c>
      <c r="AH338" s="25" t="s">
        <v>5859</v>
      </c>
      <c r="AI338" s="25" t="s">
        <v>5903</v>
      </c>
      <c r="AJ338" s="143"/>
      <c r="AK338" s="143"/>
      <c r="AL338" s="143">
        <f>IFERROR(IF(AND((VLOOKUP(AH338,'Hoja básica'!$S$66:$W$73,1,FALSE)=Sheet3!AH338),(VLOOKUP($AH$303,'Hoja básica'!$S$66:$W$73,1,FALSE)=Sheet3!$AH$303)),10,0),0)</f>
        <v>0</v>
      </c>
      <c r="AM338" s="143">
        <f>IFERROR(IF(AND((VLOOKUP(AI338,'Hoja básica'!$S$66:$W$73,1,FALSE)=Sheet3!AI338),(VLOOKUP($AI$303,'Hoja básica'!$S$66:$W$73,1,FALSE)=Sheet3!$AI$303)),20,0),0)</f>
        <v>0</v>
      </c>
      <c r="AN338" s="143">
        <f>IFERROR(IF(AND((VLOOKUP(AJ338,'Hoja básica'!$S$66:$W$73,1,FALSE)=Sheet3!AJ338),(VLOOKUP($AJ$303,'Hoja básica'!$S$66:$W$73,1,FALSE)=Sheet3!$AJ$303)),5,0),0)</f>
        <v>0</v>
      </c>
      <c r="AO338" s="143">
        <f>IFERROR(IF(AND((VLOOKUP(AK338,'Hoja básica'!$S$66:$W$73,1,FALSE)=Sheet3!AK338),(VLOOKUP($AK$303,'Hoja básica'!$S$66:$W$73,1,FALSE)=Sheet3!$AK$303)),10,0),0)</f>
        <v>0</v>
      </c>
      <c r="AP338" s="143">
        <f t="shared" si="22"/>
        <v>0</v>
      </c>
      <c r="AS338" s="25" t="s">
        <v>6079</v>
      </c>
      <c r="AT338" s="25" t="s">
        <v>6158</v>
      </c>
      <c r="AU338" s="25">
        <v>10</v>
      </c>
      <c r="AV338" s="25">
        <v>100</v>
      </c>
      <c r="AW338" s="38" t="s">
        <v>6403</v>
      </c>
    </row>
    <row r="339" spans="6:49" x14ac:dyDescent="0.2">
      <c r="F339" s="38" t="s">
        <v>879</v>
      </c>
      <c r="G339" s="25" t="s">
        <v>1</v>
      </c>
      <c r="H339" s="25" t="s">
        <v>573</v>
      </c>
      <c r="I339" s="38" t="s">
        <v>880</v>
      </c>
      <c r="J339" s="25" t="s">
        <v>5713</v>
      </c>
      <c r="K339" s="25" t="s">
        <v>573</v>
      </c>
      <c r="M339" s="25">
        <v>0</v>
      </c>
      <c r="N339" s="25">
        <v>0</v>
      </c>
      <c r="R339" s="25" t="s">
        <v>648</v>
      </c>
      <c r="Y339" s="143" t="s">
        <v>5771</v>
      </c>
      <c r="Z339" s="143"/>
      <c r="AA339" s="143" t="s">
        <v>5771</v>
      </c>
      <c r="AB339" s="143" t="s">
        <v>5814</v>
      </c>
      <c r="AC339" s="143">
        <f>IFERROR(IF(AND((VLOOKUP(Z339,'Hoja básica'!$S$66:$W$73,1,FALSE)=Sheet3!Z339),(VLOOKUP($Z$303,'Hoja básica'!$S$66:$W$73,1,FALSE)=Sheet3!$Z$303)),1,0),0)</f>
        <v>0</v>
      </c>
      <c r="AD339" s="143">
        <f>IFERROR(IF(AND((VLOOKUP(AA339,'Hoja básica'!$S$66:$W$73,1,FALSE)=Sheet3!AA339),(VLOOKUP($AA$303,'Hoja básica'!$S$66:$W$73,1,FALSE)=Sheet3!$AA$303)),1,0),0)</f>
        <v>0</v>
      </c>
      <c r="AE339" s="143">
        <f>IFERROR(IF(AND((VLOOKUP(AB339,'Hoja básica'!$S$66:$W$73,1,FALSE)=Sheet3!AB339),(VLOOKUP($AB$303,'Hoja básica'!$S$66:$W$73,1,FALSE)=Sheet3!$AB$303)),2,0),0)</f>
        <v>0</v>
      </c>
      <c r="AF339" s="143">
        <f t="shared" si="21"/>
        <v>0</v>
      </c>
      <c r="AG339" s="143" t="s">
        <v>5814</v>
      </c>
      <c r="AH339" s="25" t="s">
        <v>5860</v>
      </c>
      <c r="AI339" s="25" t="s">
        <v>5904</v>
      </c>
      <c r="AJ339" s="143"/>
      <c r="AK339" s="143"/>
      <c r="AL339" s="143">
        <f>IFERROR(IF(AND((VLOOKUP(AH339,'Hoja básica'!$S$66:$W$73,1,FALSE)=Sheet3!AH339),(VLOOKUP($AH$303,'Hoja básica'!$S$66:$W$73,1,FALSE)=Sheet3!$AH$303)),10,0),0)</f>
        <v>0</v>
      </c>
      <c r="AM339" s="143">
        <f>IFERROR(IF(AND((VLOOKUP(AI339,'Hoja básica'!$S$66:$W$73,1,FALSE)=Sheet3!AI339),(VLOOKUP($AI$303,'Hoja básica'!$S$66:$W$73,1,FALSE)=Sheet3!$AI$303)),20,0),0)</f>
        <v>0</v>
      </c>
      <c r="AN339" s="143">
        <f>IFERROR(IF(AND((VLOOKUP(AJ339,'Hoja básica'!$S$66:$W$73,1,FALSE)=Sheet3!AJ339),(VLOOKUP($AJ$303,'Hoja básica'!$S$66:$W$73,1,FALSE)=Sheet3!$AJ$303)),5,0),0)</f>
        <v>0</v>
      </c>
      <c r="AO339" s="143">
        <f>IFERROR(IF(AND((VLOOKUP(AK339,'Hoja básica'!$S$66:$W$73,1,FALSE)=Sheet3!AK339),(VLOOKUP($AK$303,'Hoja básica'!$S$66:$W$73,1,FALSE)=Sheet3!$AK$303)),10,0),0)</f>
        <v>0</v>
      </c>
      <c r="AP339" s="143">
        <f t="shared" si="22"/>
        <v>0</v>
      </c>
      <c r="AS339" s="25" t="s">
        <v>6076</v>
      </c>
      <c r="AT339" s="25" t="s">
        <v>6092</v>
      </c>
      <c r="AU339" s="25">
        <v>5</v>
      </c>
      <c r="AV339" s="25">
        <v>30</v>
      </c>
      <c r="AW339" s="38" t="s">
        <v>6093</v>
      </c>
    </row>
    <row r="340" spans="6:49" x14ac:dyDescent="0.2">
      <c r="F340" s="38" t="s">
        <v>881</v>
      </c>
      <c r="G340" s="25" t="s">
        <v>96</v>
      </c>
      <c r="H340" s="25" t="s">
        <v>573</v>
      </c>
      <c r="I340" s="38" t="s">
        <v>882</v>
      </c>
      <c r="J340" s="45" t="s">
        <v>5703</v>
      </c>
      <c r="R340" s="25" t="s">
        <v>650</v>
      </c>
      <c r="Y340" s="143" t="s">
        <v>5772</v>
      </c>
      <c r="Z340" s="143"/>
      <c r="AA340" s="143" t="s">
        <v>5772</v>
      </c>
      <c r="AB340" s="143" t="s">
        <v>5815</v>
      </c>
      <c r="AC340" s="143">
        <f>IFERROR(IF(AND((VLOOKUP(Z340,'Hoja básica'!$S$66:$W$73,1,FALSE)=Sheet3!Z340),(VLOOKUP($Z$303,'Hoja básica'!$S$66:$W$73,1,FALSE)=Sheet3!$Z$303)),1,0),0)</f>
        <v>0</v>
      </c>
      <c r="AD340" s="143">
        <f>IFERROR(IF(AND((VLOOKUP(AA340,'Hoja básica'!$S$66:$W$73,1,FALSE)=Sheet3!AA340),(VLOOKUP($AA$303,'Hoja básica'!$S$66:$W$73,1,FALSE)=Sheet3!$AA$303)),1,0),0)</f>
        <v>0</v>
      </c>
      <c r="AE340" s="143">
        <f>IFERROR(IF(AND((VLOOKUP(AB340,'Hoja básica'!$S$66:$W$73,1,FALSE)=Sheet3!AB340),(VLOOKUP($AB$303,'Hoja básica'!$S$66:$W$73,1,FALSE)=Sheet3!$AB$303)),2,0),0)</f>
        <v>0</v>
      </c>
      <c r="AF340" s="143">
        <f t="shared" si="21"/>
        <v>0</v>
      </c>
      <c r="AG340" s="143" t="s">
        <v>5815</v>
      </c>
      <c r="AH340" s="25" t="s">
        <v>5861</v>
      </c>
      <c r="AI340" s="25" t="s">
        <v>5905</v>
      </c>
      <c r="AJ340" s="143"/>
      <c r="AK340" s="143"/>
      <c r="AL340" s="143">
        <f>IFERROR(IF(AND((VLOOKUP(AH340,'Hoja básica'!$S$66:$W$73,1,FALSE)=Sheet3!AH340),(VLOOKUP($AH$303,'Hoja básica'!$S$66:$W$73,1,FALSE)=Sheet3!$AH$303)),10,0),0)</f>
        <v>0</v>
      </c>
      <c r="AM340" s="143">
        <f>IFERROR(IF(AND((VLOOKUP(AI340,'Hoja básica'!$S$66:$W$73,1,FALSE)=Sheet3!AI340),(VLOOKUP($AI$303,'Hoja básica'!$S$66:$W$73,1,FALSE)=Sheet3!$AI$303)),20,0),0)</f>
        <v>0</v>
      </c>
      <c r="AN340" s="143">
        <f>IFERROR(IF(AND((VLOOKUP(AJ340,'Hoja básica'!$S$66:$W$73,1,FALSE)=Sheet3!AJ340),(VLOOKUP($AJ$303,'Hoja básica'!$S$66:$W$73,1,FALSE)=Sheet3!$AJ$303)),5,0),0)</f>
        <v>0</v>
      </c>
      <c r="AO340" s="143">
        <f>IFERROR(IF(AND((VLOOKUP(AK340,'Hoja básica'!$S$66:$W$73,1,FALSE)=Sheet3!AK340),(VLOOKUP($AK$303,'Hoja básica'!$S$66:$W$73,1,FALSE)=Sheet3!$AK$303)),10,0),0)</f>
        <v>0</v>
      </c>
      <c r="AP340" s="143">
        <f t="shared" si="22"/>
        <v>0</v>
      </c>
      <c r="AS340" s="25" t="s">
        <v>6081</v>
      </c>
      <c r="AT340" s="25" t="s">
        <v>6196</v>
      </c>
      <c r="AU340" s="25">
        <v>5</v>
      </c>
      <c r="AV340" s="25">
        <v>30</v>
      </c>
      <c r="AW340" s="38" t="s">
        <v>6404</v>
      </c>
    </row>
    <row r="341" spans="6:49" x14ac:dyDescent="0.2">
      <c r="F341" s="38" t="s">
        <v>883</v>
      </c>
      <c r="G341" s="25" t="s">
        <v>55</v>
      </c>
      <c r="H341" s="25" t="s">
        <v>573</v>
      </c>
      <c r="I341" s="38" t="s">
        <v>884</v>
      </c>
      <c r="J341" s="45" t="s">
        <v>5703</v>
      </c>
      <c r="M341" s="38" t="s">
        <v>856</v>
      </c>
      <c r="N341" s="25">
        <v>30</v>
      </c>
      <c r="O341" s="25">
        <f>LOOKUP(IFERROR(VLOOKUP("Reacción lenta – 1",'Hoja básica'!O66:R73,1,FALSE),0),Sheet3!M341:N343)+LOOKUP(IFERROR(VLOOKUP("Reacción lenta – 2",'Hoja básica'!O66:R73,1,FALSE),0),Sheet3!M341:N343)</f>
        <v>0</v>
      </c>
      <c r="R341" s="25" t="s">
        <v>653</v>
      </c>
      <c r="Y341" s="143" t="s">
        <v>5773</v>
      </c>
      <c r="Z341" s="143"/>
      <c r="AA341" s="143" t="s">
        <v>5773</v>
      </c>
      <c r="AB341" s="143" t="s">
        <v>5816</v>
      </c>
      <c r="AC341" s="143">
        <f>IFERROR(IF(AND((VLOOKUP(Z341,'Hoja básica'!$S$66:$W$73,1,FALSE)=Sheet3!Z341),(VLOOKUP($Z$303,'Hoja básica'!$S$66:$W$73,1,FALSE)=Sheet3!$Z$303)),1,0),0)</f>
        <v>0</v>
      </c>
      <c r="AD341" s="143">
        <f>IFERROR(IF(AND((VLOOKUP(AA341,'Hoja básica'!$S$66:$W$73,1,FALSE)=Sheet3!AA341),(VLOOKUP($AA$303,'Hoja básica'!$S$66:$W$73,1,FALSE)=Sheet3!$AA$303)),1,0),0)</f>
        <v>0</v>
      </c>
      <c r="AE341" s="143">
        <f>IFERROR(IF(AND((VLOOKUP(AB341,'Hoja básica'!$S$66:$W$73,1,FALSE)=Sheet3!AB341),(VLOOKUP($AB$303,'Hoja básica'!$S$66:$W$73,1,FALSE)=Sheet3!$AB$303)),2,0),0)</f>
        <v>0</v>
      </c>
      <c r="AF341" s="143">
        <f t="shared" si="21"/>
        <v>0</v>
      </c>
      <c r="AG341" s="143" t="s">
        <v>5816</v>
      </c>
      <c r="AH341" s="25" t="s">
        <v>5862</v>
      </c>
      <c r="AI341" s="25" t="s">
        <v>5906</v>
      </c>
      <c r="AJ341" s="143"/>
      <c r="AK341" s="143"/>
      <c r="AL341" s="143">
        <f>IFERROR(IF(AND((VLOOKUP(AH341,'Hoja básica'!$S$66:$W$73,1,FALSE)=Sheet3!AH341),(VLOOKUP($AH$303,'Hoja básica'!$S$66:$W$73,1,FALSE)=Sheet3!$AH$303)),10,0),0)</f>
        <v>0</v>
      </c>
      <c r="AM341" s="143">
        <f>IFERROR(IF(AND((VLOOKUP(AI341,'Hoja básica'!$S$66:$W$73,1,FALSE)=Sheet3!AI341),(VLOOKUP($AI$303,'Hoja básica'!$S$66:$W$73,1,FALSE)=Sheet3!$AI$303)),20,0),0)</f>
        <v>0</v>
      </c>
      <c r="AN341" s="143">
        <f>IFERROR(IF(AND((VLOOKUP(AJ341,'Hoja básica'!$S$66:$W$73,1,FALSE)=Sheet3!AJ341),(VLOOKUP($AJ$303,'Hoja básica'!$S$66:$W$73,1,FALSE)=Sheet3!$AJ$303)),5,0),0)</f>
        <v>0</v>
      </c>
      <c r="AO341" s="143">
        <f>IFERROR(IF(AND((VLOOKUP(AK341,'Hoja básica'!$S$66:$W$73,1,FALSE)=Sheet3!AK341),(VLOOKUP($AK$303,'Hoja básica'!$S$66:$W$73,1,FALSE)=Sheet3!$AK$303)),10,0),0)</f>
        <v>0</v>
      </c>
      <c r="AP341" s="143">
        <f t="shared" si="22"/>
        <v>0</v>
      </c>
      <c r="AS341" s="25" t="s">
        <v>6089</v>
      </c>
      <c r="AT341" s="25" t="s">
        <v>6319</v>
      </c>
      <c r="AU341" s="25">
        <v>10</v>
      </c>
      <c r="AV341" s="25">
        <v>70</v>
      </c>
      <c r="AW341" s="38" t="str">
        <f>"Permite revivir con 300 PD más como un no muerto durante "&amp;BC249&amp;" días"</f>
        <v>Permite revivir con 300 PD más como un no muerto durante 0 días</v>
      </c>
    </row>
    <row r="342" spans="6:49" x14ac:dyDescent="0.2">
      <c r="F342" s="38" t="s">
        <v>885</v>
      </c>
      <c r="G342" s="45" t="s">
        <v>5703</v>
      </c>
      <c r="I342" s="38" t="s">
        <v>886</v>
      </c>
      <c r="M342" s="38" t="s">
        <v>858</v>
      </c>
      <c r="N342" s="25">
        <v>60</v>
      </c>
      <c r="Y342" s="143" t="s">
        <v>5774</v>
      </c>
      <c r="Z342" s="143"/>
      <c r="AA342" s="143" t="s">
        <v>5774</v>
      </c>
      <c r="AB342" s="143" t="s">
        <v>5817</v>
      </c>
      <c r="AC342" s="143">
        <f>IFERROR(IF(AND((VLOOKUP(Z342,'Hoja básica'!$S$66:$W$73,1,FALSE)=Sheet3!Z342),(VLOOKUP($Z$303,'Hoja básica'!$S$66:$W$73,1,FALSE)=Sheet3!$Z$303)),1,0),0)</f>
        <v>0</v>
      </c>
      <c r="AD342" s="143">
        <f>IFERROR(IF(AND((VLOOKUP(AA342,'Hoja básica'!$S$66:$W$73,1,FALSE)=Sheet3!AA342),(VLOOKUP($AA$303,'Hoja básica'!$S$66:$W$73,1,FALSE)=Sheet3!$AA$303)),1,0),0)</f>
        <v>0</v>
      </c>
      <c r="AE342" s="143">
        <f>IFERROR(IF(AND((VLOOKUP(AB342,'Hoja básica'!$S$66:$W$73,1,FALSE)=Sheet3!AB342),(VLOOKUP($AB$303,'Hoja básica'!$S$66:$W$73,1,FALSE)=Sheet3!$AB$303)),2,0),0)</f>
        <v>0</v>
      </c>
      <c r="AF342" s="143">
        <f t="shared" si="21"/>
        <v>0</v>
      </c>
      <c r="AG342" s="143" t="s">
        <v>5817</v>
      </c>
      <c r="AH342" s="25" t="s">
        <v>5863</v>
      </c>
      <c r="AI342" s="25" t="s">
        <v>5907</v>
      </c>
      <c r="AJ342" s="143"/>
      <c r="AK342" s="143"/>
      <c r="AL342" s="143">
        <f>IFERROR(IF(AND((VLOOKUP(AH342,'Hoja básica'!$S$66:$W$73,1,FALSE)=Sheet3!AH342),(VLOOKUP($AH$303,'Hoja básica'!$S$66:$W$73,1,FALSE)=Sheet3!$AH$303)),10,0),0)</f>
        <v>0</v>
      </c>
      <c r="AM342" s="143">
        <f>IFERROR(IF(AND((VLOOKUP(AI342,'Hoja básica'!$S$66:$W$73,1,FALSE)=Sheet3!AI342),(VLOOKUP($AI$303,'Hoja básica'!$S$66:$W$73,1,FALSE)=Sheet3!$AI$303)),20,0),0)</f>
        <v>0</v>
      </c>
      <c r="AN342" s="143">
        <f>IFERROR(IF(AND((VLOOKUP(AJ342,'Hoja básica'!$S$66:$W$73,1,FALSE)=Sheet3!AJ342),(VLOOKUP($AJ$303,'Hoja básica'!$S$66:$W$73,1,FALSE)=Sheet3!$AJ$303)),5,0),0)</f>
        <v>0</v>
      </c>
      <c r="AO342" s="143">
        <f>IFERROR(IF(AND((VLOOKUP(AK342,'Hoja básica'!$S$66:$W$73,1,FALSE)=Sheet3!AK342),(VLOOKUP($AK$303,'Hoja básica'!$S$66:$W$73,1,FALSE)=Sheet3!$AK$303)),10,0),0)</f>
        <v>0</v>
      </c>
      <c r="AP342" s="143">
        <f t="shared" si="22"/>
        <v>0</v>
      </c>
      <c r="AS342" s="25" t="s">
        <v>6078</v>
      </c>
      <c r="AT342" s="25" t="s">
        <v>6134</v>
      </c>
      <c r="AU342" s="25">
        <v>5</v>
      </c>
      <c r="AV342" s="25">
        <v>40</v>
      </c>
      <c r="AW342" s="38" t="s">
        <v>6405</v>
      </c>
    </row>
    <row r="343" spans="6:49" x14ac:dyDescent="0.2">
      <c r="F343" s="38" t="s">
        <v>887</v>
      </c>
      <c r="G343" s="25" t="s">
        <v>5711</v>
      </c>
      <c r="H343" s="25" t="s">
        <v>573</v>
      </c>
      <c r="I343" s="38" t="s">
        <v>888</v>
      </c>
      <c r="J343" s="45" t="s">
        <v>5703</v>
      </c>
      <c r="M343" s="25">
        <v>0</v>
      </c>
      <c r="N343" s="25">
        <v>0</v>
      </c>
      <c r="Y343" s="142" t="s">
        <v>5775</v>
      </c>
      <c r="Z343" s="142" t="s">
        <v>5775</v>
      </c>
      <c r="AA343" s="142"/>
      <c r="AB343" s="142"/>
      <c r="AC343" s="142">
        <f>IFERROR(IF(AND((VLOOKUP(Z343,'Hoja básica'!$S$66:$W$73,1,FALSE)=Sheet3!Z343),(VLOOKUP($Z$303,'Hoja básica'!$S$66:$W$73,1,FALSE)=Sheet3!$Z$303)),1,0),0)</f>
        <v>0</v>
      </c>
      <c r="AD343" s="142">
        <f>IFERROR(IF(AND((VLOOKUP(AA343,'Hoja básica'!$S$66:$W$73,1,FALSE)=Sheet3!AA343),(VLOOKUP($AA$303,'Hoja básica'!$S$66:$W$73,1,FALSE)=Sheet3!$AA$303)),1,0),0)</f>
        <v>0</v>
      </c>
      <c r="AE343" s="142">
        <f>IFERROR(IF(AND((VLOOKUP(AB343,'Hoja básica'!$S$66:$W$73,1,FALSE)=Sheet3!AB343),(VLOOKUP($AB$303,'Hoja básica'!$S$66:$W$73,1,FALSE)=Sheet3!$AB$303)),2,0),0)</f>
        <v>0</v>
      </c>
      <c r="AF343" s="142">
        <f>AC343</f>
        <v>0</v>
      </c>
      <c r="AG343" s="142" t="s">
        <v>5734</v>
      </c>
      <c r="AH343" s="142"/>
      <c r="AI343" s="142"/>
      <c r="AJ343" s="142" t="s">
        <v>5734</v>
      </c>
      <c r="AK343" s="142" t="s">
        <v>5833</v>
      </c>
      <c r="AL343" s="142">
        <f>IFERROR(IF(AND((VLOOKUP(AH343,'Hoja básica'!$S$66:$W$73,1,FALSE)=Sheet3!AH343),(VLOOKUP($AH$303,'Hoja básica'!$S$66:$W$73,1,FALSE)=Sheet3!$AH$303)),10,0),0)</f>
        <v>0</v>
      </c>
      <c r="AM343" s="142">
        <f>IFERROR(IF(AND((VLOOKUP(AI343,'Hoja básica'!$S$66:$W$73,1,FALSE)=Sheet3!AI343),(VLOOKUP($AI$303,'Hoja básica'!$S$66:$W$73,1,FALSE)=Sheet3!$AI$303)),20,0),0)</f>
        <v>0</v>
      </c>
      <c r="AN343" s="142">
        <f>IFERROR(IF(AND((VLOOKUP(AJ343,'Hoja básica'!$S$66:$W$73,1,FALSE)=Sheet3!AJ343),(VLOOKUP($AJ$303,'Hoja básica'!$S$66:$W$73,1,FALSE)=Sheet3!$AJ$303)),5,0),0)</f>
        <v>0</v>
      </c>
      <c r="AO343" s="142">
        <f>IFERROR(IF(AND((VLOOKUP(AK343,'Hoja básica'!$S$66:$W$73,1,FALSE)=Sheet3!AK343),(VLOOKUP($AK$303,'Hoja básica'!$S$66:$W$73,1,FALSE)=Sheet3!$AK$303)),10,0),0)</f>
        <v>0</v>
      </c>
      <c r="AP343" s="142">
        <f>AN343+AO343</f>
        <v>0</v>
      </c>
      <c r="AS343" s="25" t="s">
        <v>6083</v>
      </c>
      <c r="AT343" s="25" t="s">
        <v>6186</v>
      </c>
      <c r="AU343" s="25">
        <v>15</v>
      </c>
      <c r="AV343" s="25">
        <v>70</v>
      </c>
      <c r="AW343" s="38" t="s">
        <v>6187</v>
      </c>
    </row>
    <row r="344" spans="6:49" x14ac:dyDescent="0.2">
      <c r="F344" s="38" t="s">
        <v>889</v>
      </c>
      <c r="G344" s="25" t="s">
        <v>5711</v>
      </c>
      <c r="H344" s="25" t="s">
        <v>573</v>
      </c>
      <c r="I344" s="38" t="s">
        <v>890</v>
      </c>
      <c r="J344" s="45" t="s">
        <v>5703</v>
      </c>
      <c r="Y344" s="143" t="s">
        <v>5776</v>
      </c>
      <c r="Z344" s="143"/>
      <c r="AA344" s="143" t="s">
        <v>5776</v>
      </c>
      <c r="AB344" s="143" t="s">
        <v>5818</v>
      </c>
      <c r="AC344" s="143">
        <f>IFERROR(IF(AND((VLOOKUP(Z344,'Hoja básica'!$S$66:$W$73,1,FALSE)=Sheet3!Z344),(VLOOKUP($Z$303,'Hoja básica'!$S$66:$W$73,1,FALSE)=Sheet3!$Z$303)),1,0),0)</f>
        <v>0</v>
      </c>
      <c r="AD344" s="143">
        <f>IFERROR(IF(AND((VLOOKUP(AA344,'Hoja básica'!$S$66:$W$73,1,FALSE)=Sheet3!AA344),(VLOOKUP($AA$303,'Hoja básica'!$S$66:$W$73,1,FALSE)=Sheet3!$AA$303)),1,0),0)</f>
        <v>0</v>
      </c>
      <c r="AE344" s="143">
        <f>IFERROR(IF(AND((VLOOKUP(AB344,'Hoja básica'!$S$66:$W$73,1,FALSE)=Sheet3!AB344),(VLOOKUP($AB$303,'Hoja básica'!$S$66:$W$73,1,FALSE)=Sheet3!$AB$303)),2,0),0)</f>
        <v>0</v>
      </c>
      <c r="AF344" s="143">
        <f>SUM(AD344,AE344,$AF$343)</f>
        <v>0</v>
      </c>
      <c r="AG344" s="143" t="s">
        <v>5818</v>
      </c>
      <c r="AH344" s="25" t="s">
        <v>5864</v>
      </c>
      <c r="AI344" s="25" t="s">
        <v>5908</v>
      </c>
      <c r="AJ344" s="143"/>
      <c r="AK344" s="143"/>
      <c r="AL344" s="143">
        <f>IFERROR(IF(AND((VLOOKUP(AH344,'Hoja básica'!$S$66:$W$73,1,FALSE)=Sheet3!AH344),(VLOOKUP($AH$303,'Hoja básica'!$S$66:$W$73,1,FALSE)=Sheet3!$AH$303)),10,0),0)</f>
        <v>0</v>
      </c>
      <c r="AM344" s="143">
        <f>IFERROR(IF(AND((VLOOKUP(AI344,'Hoja básica'!$S$66:$W$73,1,FALSE)=Sheet3!AI344),(VLOOKUP($AI$303,'Hoja básica'!$S$66:$W$73,1,FALSE)=Sheet3!$AI$303)),20,0),0)</f>
        <v>0</v>
      </c>
      <c r="AN344" s="143">
        <f>IFERROR(IF(AND((VLOOKUP(AJ344,'Hoja básica'!$S$66:$W$73,1,FALSE)=Sheet3!AJ344),(VLOOKUP($AJ$303,'Hoja básica'!$S$66:$W$73,1,FALSE)=Sheet3!$AJ$303)),5,0),0)</f>
        <v>0</v>
      </c>
      <c r="AO344" s="143">
        <f>IFERROR(IF(AND((VLOOKUP(AK344,'Hoja básica'!$S$66:$W$73,1,FALSE)=Sheet3!AK344),(VLOOKUP($AK$303,'Hoja básica'!$S$66:$W$73,1,FALSE)=Sheet3!$AK$303)),10,0),0)</f>
        <v>0</v>
      </c>
      <c r="AP344" s="143">
        <f>AL344+AM344+$AP$343</f>
        <v>0</v>
      </c>
      <c r="AS344" s="25" t="s">
        <v>6076</v>
      </c>
      <c r="AT344" s="25" t="s">
        <v>6098</v>
      </c>
      <c r="AU344" s="25">
        <v>10</v>
      </c>
      <c r="AV344" s="25">
        <v>60</v>
      </c>
      <c r="AW344" s="38" t="s">
        <v>6099</v>
      </c>
    </row>
    <row r="345" spans="6:49" x14ac:dyDescent="0.2">
      <c r="F345" s="38" t="s">
        <v>891</v>
      </c>
      <c r="G345" s="45" t="s">
        <v>5703</v>
      </c>
      <c r="I345" s="38" t="s">
        <v>892</v>
      </c>
      <c r="J345" s="45" t="s">
        <v>5703</v>
      </c>
      <c r="M345" s="25">
        <v>0</v>
      </c>
      <c r="N345" s="25">
        <v>0</v>
      </c>
      <c r="O345" s="25">
        <f>LOOKUP(IFERROR(VLOOKUP("Regeneración básica – 1",'Hoja básica'!S66:W73,1,FALSE),0),Sheet3!M345:N348)+LOOKUP(IFERROR(VLOOKUP("Regeneración avanzada – 2",'Hoja básica'!S66:W73,1,FALSE),0),Sheet3!M345:N348)+LOOKUP(IFERROR(VLOOKUP("Regeneración mayor – 3",'Hoja básica'!S66:W73,1,FALSE),0),Sheet3!M345:N348)</f>
        <v>0</v>
      </c>
      <c r="Y345" s="143" t="s">
        <v>5777</v>
      </c>
      <c r="Z345" s="143"/>
      <c r="AA345" s="143" t="s">
        <v>5777</v>
      </c>
      <c r="AB345" s="143" t="s">
        <v>5819</v>
      </c>
      <c r="AC345" s="143">
        <f>IFERROR(IF(AND((VLOOKUP(Z345,'Hoja básica'!$S$66:$W$73,1,FALSE)=Sheet3!Z345),(VLOOKUP($Z$303,'Hoja básica'!$S$66:$W$73,1,FALSE)=Sheet3!$Z$303)),1,0),0)</f>
        <v>0</v>
      </c>
      <c r="AD345" s="143">
        <f>IFERROR(IF(AND((VLOOKUP(AA345,'Hoja básica'!$S$66:$W$73,1,FALSE)=Sheet3!AA345),(VLOOKUP($AA$303,'Hoja básica'!$S$66:$W$73,1,FALSE)=Sheet3!$AA$303)),1,0),0)</f>
        <v>0</v>
      </c>
      <c r="AE345" s="143">
        <f>IFERROR(IF(AND((VLOOKUP(AB345,'Hoja básica'!$S$66:$W$73,1,FALSE)=Sheet3!AB345),(VLOOKUP($AB$303,'Hoja básica'!$S$66:$W$73,1,FALSE)=Sheet3!$AB$303)),2,0),0)</f>
        <v>0</v>
      </c>
      <c r="AF345" s="143">
        <f>SUM(AD345,AE345,$AF$343)</f>
        <v>0</v>
      </c>
      <c r="AG345" s="143" t="s">
        <v>5819</v>
      </c>
      <c r="AH345" s="25" t="s">
        <v>5865</v>
      </c>
      <c r="AI345" s="25" t="s">
        <v>5909</v>
      </c>
      <c r="AJ345" s="143"/>
      <c r="AK345" s="143"/>
      <c r="AL345" s="143">
        <f>IFERROR(IF(AND((VLOOKUP(AH345,'Hoja básica'!$S$66:$W$73,1,FALSE)=Sheet3!AH345),(VLOOKUP($AH$303,'Hoja básica'!$S$66:$W$73,1,FALSE)=Sheet3!$AH$303)),10,0),0)</f>
        <v>0</v>
      </c>
      <c r="AM345" s="143">
        <f>IFERROR(IF(AND((VLOOKUP(AI345,'Hoja básica'!$S$66:$W$73,1,FALSE)=Sheet3!AI345),(VLOOKUP($AI$303,'Hoja básica'!$S$66:$W$73,1,FALSE)=Sheet3!$AI$303)),20,0),0)</f>
        <v>0</v>
      </c>
      <c r="AN345" s="143">
        <f>IFERROR(IF(AND((VLOOKUP(AJ345,'Hoja básica'!$S$66:$W$73,1,FALSE)=Sheet3!AJ345),(VLOOKUP($AJ$303,'Hoja básica'!$S$66:$W$73,1,FALSE)=Sheet3!$AJ$303)),5,0),0)</f>
        <v>0</v>
      </c>
      <c r="AO345" s="143">
        <f>IFERROR(IF(AND((VLOOKUP(AK345,'Hoja básica'!$S$66:$W$73,1,FALSE)=Sheet3!AK345),(VLOOKUP($AK$303,'Hoja básica'!$S$66:$W$73,1,FALSE)=Sheet3!$AK$303)),10,0),0)</f>
        <v>0</v>
      </c>
      <c r="AP345" s="143">
        <f>AL345+AM345+$AP$343</f>
        <v>0</v>
      </c>
      <c r="AS345" s="25" t="s">
        <v>6082</v>
      </c>
      <c r="AT345" s="25" t="s">
        <v>6216</v>
      </c>
      <c r="AU345" s="25">
        <v>15</v>
      </c>
      <c r="AV345" s="25">
        <v>50</v>
      </c>
      <c r="AW345" s="38" t="str">
        <f>"Otorga "&amp;2*BC245&amp;" en Zeon para el uso de hechizos de libre acceso de nivel "&amp;BC245</f>
        <v>Otorga 0 en Zeon para el uso de hechizos de libre acceso de nivel 0</v>
      </c>
    </row>
    <row r="346" spans="6:49" x14ac:dyDescent="0.2">
      <c r="F346" s="38" t="s">
        <v>893</v>
      </c>
      <c r="G346" s="45" t="s">
        <v>5703</v>
      </c>
      <c r="I346" s="38" t="s">
        <v>894</v>
      </c>
      <c r="J346" s="45" t="s">
        <v>5703</v>
      </c>
      <c r="M346" s="38" t="s">
        <v>839</v>
      </c>
      <c r="N346" s="25">
        <v>4</v>
      </c>
      <c r="Y346" s="143" t="s">
        <v>5778</v>
      </c>
      <c r="Z346" s="143"/>
      <c r="AA346" s="143" t="s">
        <v>5778</v>
      </c>
      <c r="AB346" s="143" t="s">
        <v>5820</v>
      </c>
      <c r="AC346" s="143">
        <f>IFERROR(IF(AND((VLOOKUP(Z346,'Hoja básica'!$S$66:$W$73,1,FALSE)=Sheet3!Z346),(VLOOKUP($Z$303,'Hoja básica'!$S$66:$W$73,1,FALSE)=Sheet3!$Z$303)),1,0),0)</f>
        <v>0</v>
      </c>
      <c r="AD346" s="143">
        <f>IFERROR(IF(AND((VLOOKUP(AA346,'Hoja básica'!$S$66:$W$73,1,FALSE)=Sheet3!AA346),(VLOOKUP($AA$303,'Hoja básica'!$S$66:$W$73,1,FALSE)=Sheet3!$AA$303)),1,0),0)</f>
        <v>0</v>
      </c>
      <c r="AE346" s="143">
        <f>IFERROR(IF(AND((VLOOKUP(AB346,'Hoja básica'!$S$66:$W$73,1,FALSE)=Sheet3!AB346),(VLOOKUP($AB$303,'Hoja básica'!$S$66:$W$73,1,FALSE)=Sheet3!$AB$303)),2,0),0)</f>
        <v>0</v>
      </c>
      <c r="AF346" s="143">
        <f>SUM(AD346,AE346,$AF$343)</f>
        <v>0</v>
      </c>
      <c r="AG346" s="143" t="s">
        <v>5820</v>
      </c>
      <c r="AH346" s="25" t="s">
        <v>5866</v>
      </c>
      <c r="AI346" s="25" t="s">
        <v>5910</v>
      </c>
      <c r="AJ346" s="143"/>
      <c r="AK346" s="143"/>
      <c r="AL346" s="143">
        <f>IFERROR(IF(AND((VLOOKUP(AH346,'Hoja básica'!$S$66:$W$73,1,FALSE)=Sheet3!AH346),(VLOOKUP($AH$303,'Hoja básica'!$S$66:$W$73,1,FALSE)=Sheet3!$AH$303)),10,0),0)</f>
        <v>0</v>
      </c>
      <c r="AM346" s="143">
        <f>IFERROR(IF(AND((VLOOKUP(AI346,'Hoja básica'!$S$66:$W$73,1,FALSE)=Sheet3!AI346),(VLOOKUP($AI$303,'Hoja básica'!$S$66:$W$73,1,FALSE)=Sheet3!$AI$303)),20,0),0)</f>
        <v>0</v>
      </c>
      <c r="AN346" s="143">
        <f>IFERROR(IF(AND((VLOOKUP(AJ346,'Hoja básica'!$S$66:$W$73,1,FALSE)=Sheet3!AJ346),(VLOOKUP($AJ$303,'Hoja básica'!$S$66:$W$73,1,FALSE)=Sheet3!$AJ$303)),5,0),0)</f>
        <v>0</v>
      </c>
      <c r="AO346" s="143">
        <f>IFERROR(IF(AND((VLOOKUP(AK346,'Hoja básica'!$S$66:$W$73,1,FALSE)=Sheet3!AK346),(VLOOKUP($AK$303,'Hoja básica'!$S$66:$W$73,1,FALSE)=Sheet3!$AK$303)),10,0),0)</f>
        <v>0</v>
      </c>
      <c r="AP346" s="143">
        <f>AL346+AM346+$AP$343</f>
        <v>0</v>
      </c>
      <c r="AS346" s="25" t="s">
        <v>6082</v>
      </c>
      <c r="AT346" s="25" t="s">
        <v>6222</v>
      </c>
      <c r="AU346" s="25">
        <v>10</v>
      </c>
      <c r="AV346" s="25" t="s">
        <v>6223</v>
      </c>
      <c r="AW346" s="38" t="s">
        <v>6224</v>
      </c>
    </row>
    <row r="347" spans="6:49" x14ac:dyDescent="0.2">
      <c r="F347" s="38" t="s">
        <v>895</v>
      </c>
      <c r="G347" s="45" t="s">
        <v>5703</v>
      </c>
      <c r="M347" s="38" t="s">
        <v>837</v>
      </c>
      <c r="N347" s="25">
        <v>2</v>
      </c>
      <c r="Y347" s="143" t="s">
        <v>5779</v>
      </c>
      <c r="Z347" s="143"/>
      <c r="AA347" s="143" t="s">
        <v>5779</v>
      </c>
      <c r="AB347" s="143" t="s">
        <v>5821</v>
      </c>
      <c r="AC347" s="143">
        <f>IFERROR(IF(AND((VLOOKUP(Z347,'Hoja básica'!$S$66:$W$73,1,FALSE)=Sheet3!Z347),(VLOOKUP($Z$303,'Hoja básica'!$S$66:$W$73,1,FALSE)=Sheet3!$Z$303)),1,0),0)</f>
        <v>0</v>
      </c>
      <c r="AD347" s="143">
        <f>IFERROR(IF(AND((VLOOKUP(AA347,'Hoja básica'!$S$66:$W$73,1,FALSE)=Sheet3!AA347),(VLOOKUP($AA$303,'Hoja básica'!$S$66:$W$73,1,FALSE)=Sheet3!$AA$303)),1,0),0)</f>
        <v>0</v>
      </c>
      <c r="AE347" s="143">
        <f>IFERROR(IF(AND((VLOOKUP(AB347,'Hoja básica'!$S$66:$W$73,1,FALSE)=Sheet3!AB347),(VLOOKUP($AB$303,'Hoja básica'!$S$66:$W$73,1,FALSE)=Sheet3!$AB$303)),2,0),0)</f>
        <v>0</v>
      </c>
      <c r="AF347" s="143">
        <f>SUM(AD347,AE347,$AF$343)</f>
        <v>0</v>
      </c>
      <c r="AG347" s="143" t="s">
        <v>5821</v>
      </c>
      <c r="AH347" s="25" t="s">
        <v>5867</v>
      </c>
      <c r="AI347" s="25" t="s">
        <v>5911</v>
      </c>
      <c r="AJ347" s="143"/>
      <c r="AK347" s="143"/>
      <c r="AL347" s="143">
        <f>IFERROR(IF(AND((VLOOKUP(AH347,'Hoja básica'!$S$66:$W$73,1,FALSE)=Sheet3!AH347),(VLOOKUP($AH$303,'Hoja básica'!$S$66:$W$73,1,FALSE)=Sheet3!$AH$303)),10,0),0)</f>
        <v>0</v>
      </c>
      <c r="AM347" s="143">
        <f>IFERROR(IF(AND((VLOOKUP(AI347,'Hoja básica'!$S$66:$W$73,1,FALSE)=Sheet3!AI347),(VLOOKUP($AI$303,'Hoja básica'!$S$66:$W$73,1,FALSE)=Sheet3!$AI$303)),20,0),0)</f>
        <v>0</v>
      </c>
      <c r="AN347" s="143">
        <f>IFERROR(IF(AND((VLOOKUP(AJ347,'Hoja básica'!$S$66:$W$73,1,FALSE)=Sheet3!AJ347),(VLOOKUP($AJ$303,'Hoja básica'!$S$66:$W$73,1,FALSE)=Sheet3!$AJ$303)),5,0),0)</f>
        <v>0</v>
      </c>
      <c r="AO347" s="143">
        <f>IFERROR(IF(AND((VLOOKUP(AK347,'Hoja básica'!$S$66:$W$73,1,FALSE)=Sheet3!AK347),(VLOOKUP($AK$303,'Hoja básica'!$S$66:$W$73,1,FALSE)=Sheet3!$AK$303)),10,0),0)</f>
        <v>0</v>
      </c>
      <c r="AP347" s="143">
        <f>AL347+AM347+$AP$343</f>
        <v>0</v>
      </c>
      <c r="AS347" s="25" t="s">
        <v>6089</v>
      </c>
      <c r="AT347" s="25" t="s">
        <v>6309</v>
      </c>
      <c r="AU347" s="25">
        <v>10</v>
      </c>
      <c r="AV347" s="25">
        <v>30</v>
      </c>
      <c r="AW347" s="38" t="s">
        <v>6406</v>
      </c>
    </row>
    <row r="348" spans="6:49" x14ac:dyDescent="0.2">
      <c r="F348" s="38" t="s">
        <v>896</v>
      </c>
      <c r="G348" s="45" t="s">
        <v>5703</v>
      </c>
      <c r="M348" s="38" t="s">
        <v>841</v>
      </c>
      <c r="N348" s="25">
        <v>6</v>
      </c>
      <c r="Y348" s="143" t="s">
        <v>5780</v>
      </c>
      <c r="Z348" s="143"/>
      <c r="AA348" s="143" t="s">
        <v>5780</v>
      </c>
      <c r="AB348" s="143" t="s">
        <v>5822</v>
      </c>
      <c r="AC348" s="143">
        <f>IFERROR(IF(AND((VLOOKUP(Z348,'Hoja básica'!$S$66:$W$73,1,FALSE)=Sheet3!Z348),(VLOOKUP($Z$303,'Hoja básica'!$S$66:$W$73,1,FALSE)=Sheet3!$Z$303)),1,0),0)</f>
        <v>0</v>
      </c>
      <c r="AD348" s="143">
        <f>IFERROR(IF(AND((VLOOKUP(AA348,'Hoja básica'!$S$66:$W$73,1,FALSE)=Sheet3!AA348),(VLOOKUP($AA$303,'Hoja básica'!$S$66:$W$73,1,FALSE)=Sheet3!$AA$303)),1,0),0)</f>
        <v>0</v>
      </c>
      <c r="AE348" s="143">
        <f>IFERROR(IF(AND((VLOOKUP(AB348,'Hoja básica'!$S$66:$W$73,1,FALSE)=Sheet3!AB348),(VLOOKUP($AB$303,'Hoja básica'!$S$66:$W$73,1,FALSE)=Sheet3!$AB$303)),2,0),0)</f>
        <v>0</v>
      </c>
      <c r="AF348" s="143">
        <f>SUM(AD348,AE348,$AF$343)</f>
        <v>0</v>
      </c>
      <c r="AG348" s="143" t="s">
        <v>5822</v>
      </c>
      <c r="AH348" s="25" t="s">
        <v>5874</v>
      </c>
      <c r="AI348" s="25" t="s">
        <v>5912</v>
      </c>
      <c r="AJ348" s="143"/>
      <c r="AK348" s="143"/>
      <c r="AL348" s="143">
        <f>IFERROR(IF(AND((VLOOKUP(AH348,'Hoja básica'!$S$66:$W$73,1,FALSE)=Sheet3!AH348),(VLOOKUP($AH$303,'Hoja básica'!$S$66:$W$73,1,FALSE)=Sheet3!$AH$303)),10,0),0)</f>
        <v>0</v>
      </c>
      <c r="AM348" s="143">
        <f>IFERROR(IF(AND((VLOOKUP(AI348,'Hoja básica'!$S$66:$W$73,1,FALSE)=Sheet3!AI348),(VLOOKUP($AI$303,'Hoja básica'!$S$66:$W$73,1,FALSE)=Sheet3!$AI$303)),20,0),0)</f>
        <v>0</v>
      </c>
      <c r="AN348" s="143">
        <f>IFERROR(IF(AND((VLOOKUP(AJ348,'Hoja básica'!$S$66:$W$73,1,FALSE)=Sheet3!AJ348),(VLOOKUP($AJ$303,'Hoja básica'!$S$66:$W$73,1,FALSE)=Sheet3!$AJ$303)),5,0),0)</f>
        <v>0</v>
      </c>
      <c r="AO348" s="143">
        <f>IFERROR(IF(AND((VLOOKUP(AK348,'Hoja básica'!$S$66:$W$73,1,FALSE)=Sheet3!AK348),(VLOOKUP($AK$303,'Hoja básica'!$S$66:$W$73,1,FALSE)=Sheet3!$AK$303)),10,0),0)</f>
        <v>0</v>
      </c>
      <c r="AP348" s="143">
        <f>AL348+AM348+$AP$343</f>
        <v>0</v>
      </c>
      <c r="AS348" s="25" t="s">
        <v>6078</v>
      </c>
      <c r="AT348" s="25" t="s">
        <v>6136</v>
      </c>
      <c r="AU348" s="25">
        <v>20</v>
      </c>
      <c r="AV348" s="25" t="s">
        <v>6137</v>
      </c>
      <c r="AW348" s="38" t="str">
        <f>"Obtienes un +30 a tu tirada en tiradas enfrentadas (límite "&amp;ROUNDDOWN(BC253/10,0)&amp;" al día)"</f>
        <v>Obtienes un +30 a tu tirada en tiradas enfrentadas (límite 0 al día)</v>
      </c>
    </row>
    <row r="349" spans="6:49" x14ac:dyDescent="0.2">
      <c r="F349" s="38" t="s">
        <v>897</v>
      </c>
      <c r="G349" s="45" t="s">
        <v>5703</v>
      </c>
      <c r="AS349" s="25" t="s">
        <v>6087</v>
      </c>
      <c r="AT349" s="25" t="s">
        <v>6276</v>
      </c>
      <c r="AU349" s="25">
        <v>10</v>
      </c>
      <c r="AV349" s="25">
        <v>10</v>
      </c>
      <c r="AW349" s="38" t="s">
        <v>6277</v>
      </c>
    </row>
    <row r="350" spans="6:49" x14ac:dyDescent="0.2">
      <c r="F350" s="38" t="s">
        <v>898</v>
      </c>
      <c r="G350" s="45" t="s">
        <v>5703</v>
      </c>
      <c r="M350" s="38" t="s">
        <v>814</v>
      </c>
      <c r="N350" s="25">
        <v>2</v>
      </c>
      <c r="O350" s="25">
        <f>LOOKUP(IFERROR(VLOOKUP("Lenta curación – 1",'Hoja básica'!O66:R73,1,FALSE),1),Sheet3!M350:N351)</f>
        <v>1</v>
      </c>
      <c r="R350" s="25" t="s">
        <v>5868</v>
      </c>
      <c r="S350" s="25">
        <v>1</v>
      </c>
      <c r="T350" s="25">
        <v>2</v>
      </c>
      <c r="U350" s="25">
        <v>3</v>
      </c>
      <c r="V350" s="25">
        <v>4</v>
      </c>
      <c r="W350" s="25" t="s">
        <v>5869</v>
      </c>
      <c r="X350" s="25" t="s">
        <v>5870</v>
      </c>
      <c r="AS350" s="25" t="s">
        <v>6080</v>
      </c>
      <c r="AT350" s="25" t="s">
        <v>6169</v>
      </c>
      <c r="AU350" s="25">
        <v>10</v>
      </c>
      <c r="AV350" s="25">
        <v>40</v>
      </c>
      <c r="AW350" s="38" t="s">
        <v>6407</v>
      </c>
    </row>
    <row r="351" spans="6:49" x14ac:dyDescent="0.2">
      <c r="F351" s="38" t="s">
        <v>899</v>
      </c>
      <c r="G351" s="25" t="s">
        <v>5</v>
      </c>
      <c r="H351" s="25" t="s">
        <v>573</v>
      </c>
      <c r="M351" s="25">
        <v>0</v>
      </c>
      <c r="N351" s="25">
        <v>1</v>
      </c>
      <c r="R351" s="38" t="s">
        <v>853</v>
      </c>
      <c r="S351" s="38" t="s">
        <v>855</v>
      </c>
      <c r="T351" s="38" t="s">
        <v>857</v>
      </c>
      <c r="U351" s="38" t="s">
        <v>863</v>
      </c>
      <c r="V351" s="38" t="s">
        <v>865</v>
      </c>
      <c r="W351" s="38" t="s">
        <v>867</v>
      </c>
      <c r="X351" s="38" t="s">
        <v>869</v>
      </c>
      <c r="AS351" s="25" t="s">
        <v>6080</v>
      </c>
      <c r="AT351" s="25" t="s">
        <v>6176</v>
      </c>
      <c r="AU351" s="25">
        <v>10</v>
      </c>
      <c r="AV351" s="25" t="s">
        <v>6177</v>
      </c>
      <c r="AW351" s="38" t="s">
        <v>6408</v>
      </c>
    </row>
    <row r="352" spans="6:49" x14ac:dyDescent="0.2">
      <c r="F352" s="38" t="s">
        <v>900</v>
      </c>
      <c r="G352" s="25" t="s">
        <v>5</v>
      </c>
      <c r="H352" s="25" t="s">
        <v>573</v>
      </c>
      <c r="R352" s="25" t="s">
        <v>5781</v>
      </c>
      <c r="S352" s="25" t="s">
        <v>5737</v>
      </c>
      <c r="T352" s="25" t="s">
        <v>5785</v>
      </c>
      <c r="U352" s="25" t="s">
        <v>5834</v>
      </c>
      <c r="V352" s="25" t="s">
        <v>5875</v>
      </c>
      <c r="W352" s="25" t="s">
        <v>5728</v>
      </c>
      <c r="X352" s="25" t="s">
        <v>5827</v>
      </c>
      <c r="AS352" s="25" t="s">
        <v>6088</v>
      </c>
      <c r="AT352" s="25" t="s">
        <v>6301</v>
      </c>
      <c r="AU352" s="25">
        <v>15</v>
      </c>
      <c r="AV352" s="25">
        <v>60</v>
      </c>
      <c r="AW352" s="38" t="str">
        <f>"RM "&amp;2*BC244&amp;" o se quedan atontado por mirarte a los ojos o hablar contigo"</f>
        <v>RM 0 o se quedan atontado por mirarte a los ojos o hablar contigo</v>
      </c>
    </row>
    <row r="353" spans="6:49" x14ac:dyDescent="0.2">
      <c r="F353" s="38" t="s">
        <v>901</v>
      </c>
      <c r="G353" s="25" t="s">
        <v>5</v>
      </c>
      <c r="H353" s="25" t="s">
        <v>573</v>
      </c>
      <c r="M353" s="38" t="s">
        <v>902</v>
      </c>
      <c r="N353" s="25">
        <v>3</v>
      </c>
      <c r="O353" s="25">
        <f>LOOKUP(IFERROR(VLOOKUP("Infatigable – 1",'Hoja básica'!S66:W73,1,FALSE),0),Sheet3!M353:N356)+LOOKUP(IFERROR(VLOOKUP("Infatigable – 2",'Hoja básica'!S66:W73,1,FALSE),0),Sheet3!M353:N356)+LOOKUP(IFERROR(VLOOKUP("Infatigable – 3",'Hoja básica'!S66:W73,1,FALSE),0),Sheet3!M353:N356)</f>
        <v>0</v>
      </c>
      <c r="R353" s="25" t="s">
        <v>5743</v>
      </c>
      <c r="S353" s="25" t="s">
        <v>5738</v>
      </c>
      <c r="T353" s="25" t="s">
        <v>5786</v>
      </c>
      <c r="U353" s="25" t="s">
        <v>5835</v>
      </c>
      <c r="V353" s="25" t="s">
        <v>5876</v>
      </c>
      <c r="W353" s="25" t="s">
        <v>5729</v>
      </c>
      <c r="X353" s="25" t="s">
        <v>5828</v>
      </c>
      <c r="AS353" s="25" t="s">
        <v>6078</v>
      </c>
      <c r="AT353" s="25" t="s">
        <v>6138</v>
      </c>
      <c r="AU353" s="25">
        <v>15</v>
      </c>
      <c r="AV353" s="25">
        <v>60</v>
      </c>
      <c r="AW353" s="38" t="s">
        <v>6143</v>
      </c>
    </row>
    <row r="354" spans="6:49" x14ac:dyDescent="0.2">
      <c r="F354" s="38" t="s">
        <v>902</v>
      </c>
      <c r="G354" s="25" t="s">
        <v>96</v>
      </c>
      <c r="H354" s="25" t="s">
        <v>573</v>
      </c>
      <c r="M354" s="38" t="s">
        <v>903</v>
      </c>
      <c r="N354" s="25">
        <v>6</v>
      </c>
      <c r="R354" s="25" t="s">
        <v>5747</v>
      </c>
      <c r="S354" s="25" t="s">
        <v>5739</v>
      </c>
      <c r="T354" s="25" t="s">
        <v>5787</v>
      </c>
      <c r="U354" s="25" t="s">
        <v>5836</v>
      </c>
      <c r="V354" s="25" t="s">
        <v>5877</v>
      </c>
      <c r="W354" s="25" t="s">
        <v>5730</v>
      </c>
      <c r="X354" s="25" t="s">
        <v>5829</v>
      </c>
      <c r="AS354" s="25" t="s">
        <v>6080</v>
      </c>
      <c r="AT354" s="25" t="s">
        <v>6170</v>
      </c>
      <c r="AU354" s="25">
        <v>10</v>
      </c>
      <c r="AV354" s="25">
        <v>50</v>
      </c>
      <c r="AW354" s="38" t="s">
        <v>6171</v>
      </c>
    </row>
    <row r="355" spans="6:49" x14ac:dyDescent="0.2">
      <c r="F355" s="38" t="s">
        <v>903</v>
      </c>
      <c r="G355" s="25" t="s">
        <v>96</v>
      </c>
      <c r="H355" s="25" t="s">
        <v>573</v>
      </c>
      <c r="M355" s="38" t="s">
        <v>904</v>
      </c>
      <c r="N355" s="25">
        <v>9</v>
      </c>
      <c r="R355" s="25" t="s">
        <v>5751</v>
      </c>
      <c r="S355" s="25" t="s">
        <v>5740</v>
      </c>
      <c r="T355" s="25" t="s">
        <v>5788</v>
      </c>
      <c r="U355" s="25" t="s">
        <v>5837</v>
      </c>
      <c r="V355" s="25" t="s">
        <v>5878</v>
      </c>
      <c r="W355" s="25" t="s">
        <v>5731</v>
      </c>
      <c r="X355" s="25" t="s">
        <v>5830</v>
      </c>
      <c r="AS355" s="25" t="s">
        <v>6086</v>
      </c>
      <c r="AT355" s="25" t="s">
        <v>6262</v>
      </c>
      <c r="AU355" s="25">
        <v>10</v>
      </c>
      <c r="AV355" s="25">
        <v>40</v>
      </c>
      <c r="AW355" s="38" t="s">
        <v>6409</v>
      </c>
    </row>
    <row r="356" spans="6:49" x14ac:dyDescent="0.2">
      <c r="F356" s="38" t="s">
        <v>904</v>
      </c>
      <c r="G356" s="25" t="s">
        <v>96</v>
      </c>
      <c r="H356" s="25" t="s">
        <v>573</v>
      </c>
      <c r="M356" s="25">
        <v>0</v>
      </c>
      <c r="N356" s="25">
        <v>0</v>
      </c>
      <c r="R356" s="25" t="s">
        <v>5762</v>
      </c>
      <c r="S356" s="25" t="s">
        <v>5741</v>
      </c>
      <c r="T356" s="25" t="s">
        <v>5789</v>
      </c>
      <c r="U356" s="25" t="s">
        <v>5838</v>
      </c>
      <c r="V356" s="25" t="s">
        <v>5879</v>
      </c>
      <c r="W356" s="25" t="s">
        <v>5732</v>
      </c>
      <c r="X356" s="25" t="s">
        <v>5831</v>
      </c>
      <c r="AS356" s="25" t="s">
        <v>6086</v>
      </c>
      <c r="AT356" s="25" t="s">
        <v>6275</v>
      </c>
      <c r="AU356" s="25">
        <v>10</v>
      </c>
      <c r="AV356" s="25">
        <v>100</v>
      </c>
      <c r="AW356" s="38" t="s">
        <v>6410</v>
      </c>
    </row>
    <row r="357" spans="6:49" x14ac:dyDescent="0.2">
      <c r="F357" s="38" t="s">
        <v>905</v>
      </c>
      <c r="G357" s="45" t="s">
        <v>5703</v>
      </c>
      <c r="R357" s="25" t="s">
        <v>5767</v>
      </c>
      <c r="S357" s="25" t="s">
        <v>5742</v>
      </c>
      <c r="T357" s="25" t="s">
        <v>5790</v>
      </c>
      <c r="U357" s="25" t="s">
        <v>5839</v>
      </c>
      <c r="V357" s="25" t="s">
        <v>5880</v>
      </c>
      <c r="W357" s="25" t="s">
        <v>5733</v>
      </c>
      <c r="X357" s="25" t="s">
        <v>5832</v>
      </c>
      <c r="AS357" s="25" t="s">
        <v>6079</v>
      </c>
      <c r="AT357" s="25" t="s">
        <v>6155</v>
      </c>
      <c r="AU357" s="25">
        <v>15</v>
      </c>
      <c r="AV357" s="25">
        <v>70</v>
      </c>
      <c r="AW357" s="137" t="s">
        <v>6164</v>
      </c>
    </row>
    <row r="358" spans="6:49" x14ac:dyDescent="0.2">
      <c r="F358" s="38" t="s">
        <v>906</v>
      </c>
      <c r="G358" s="45" t="s">
        <v>5703</v>
      </c>
      <c r="M358" s="38" t="s">
        <v>899</v>
      </c>
      <c r="N358" s="25">
        <v>40</v>
      </c>
      <c r="O358" s="25">
        <f>LOOKUP(IFERROR(VLOOKUP("Maestro Marcial – 1",'Hoja básica'!S66:W73,1,FALSE),0),Sheet3!M358:N361)+LOOKUP(IFERROR(VLOOKUP("Maestro Marcial – 2",'Hoja básica'!S66:W73,1,FALSE),0),Sheet3!M358:N361)+LOOKUP(IFERROR(VLOOKUP("Maestro Marcial – 3",'Hoja básica'!S66:W73,1,FALSE),0),Sheet3!M358:N361)</f>
        <v>0</v>
      </c>
      <c r="R358" s="25" t="s">
        <v>5775</v>
      </c>
      <c r="S358" s="25" t="s">
        <v>5744</v>
      </c>
      <c r="T358" s="25" t="s">
        <v>5791</v>
      </c>
      <c r="U358" s="25" t="s">
        <v>5840</v>
      </c>
      <c r="V358" s="25" t="s">
        <v>5881</v>
      </c>
      <c r="W358" s="25" t="s">
        <v>5734</v>
      </c>
      <c r="X358" s="25" t="s">
        <v>5833</v>
      </c>
      <c r="AS358" s="25" t="s">
        <v>6077</v>
      </c>
      <c r="AT358" s="25" t="s">
        <v>6127</v>
      </c>
      <c r="AU358" s="25">
        <v>10</v>
      </c>
      <c r="AV358" s="25">
        <v>100</v>
      </c>
      <c r="AW358" s="38" t="s">
        <v>6128</v>
      </c>
    </row>
    <row r="359" spans="6:49" x14ac:dyDescent="0.2">
      <c r="F359" s="38" t="s">
        <v>907</v>
      </c>
      <c r="G359" s="25" t="s">
        <v>5712</v>
      </c>
      <c r="H359" s="25" t="s">
        <v>573</v>
      </c>
      <c r="M359" s="38" t="s">
        <v>900</v>
      </c>
      <c r="N359" s="25">
        <v>80</v>
      </c>
      <c r="S359" s="25" t="s">
        <v>5745</v>
      </c>
      <c r="T359" s="25" t="s">
        <v>5792</v>
      </c>
      <c r="U359" s="25" t="s">
        <v>5871</v>
      </c>
      <c r="V359" s="25" t="s">
        <v>5882</v>
      </c>
      <c r="AS359" s="25" t="s">
        <v>6083</v>
      </c>
      <c r="AT359" s="25" t="s">
        <v>6183</v>
      </c>
      <c r="AU359" s="25">
        <v>15</v>
      </c>
      <c r="AV359" s="25">
        <v>50</v>
      </c>
      <c r="AW359" s="38" t="str">
        <f>"Permite gastar "&amp;BC251*2&amp;" puntos, hasta un máximo de 30 a la vez, en tiradas; Se regeneran a 5 al día"</f>
        <v>Permite gastar 0 puntos, hasta un máximo de 30 a la vez, en tiradas; Se regeneran a 5 al día</v>
      </c>
    </row>
    <row r="360" spans="6:49" x14ac:dyDescent="0.2">
      <c r="F360" s="38" t="s">
        <v>908</v>
      </c>
      <c r="G360" s="25" t="s">
        <v>5712</v>
      </c>
      <c r="H360" s="25" t="s">
        <v>573</v>
      </c>
      <c r="M360" s="38" t="s">
        <v>901</v>
      </c>
      <c r="N360" s="25">
        <v>120</v>
      </c>
      <c r="S360" s="25" t="s">
        <v>5746</v>
      </c>
      <c r="T360" s="25" t="s">
        <v>5793</v>
      </c>
      <c r="U360" s="25" t="s">
        <v>5872</v>
      </c>
      <c r="V360" s="25" t="s">
        <v>5883</v>
      </c>
      <c r="AS360" s="25" t="s">
        <v>6082</v>
      </c>
      <c r="AT360" s="25" t="s">
        <v>6221</v>
      </c>
      <c r="AU360" s="25">
        <v>15</v>
      </c>
      <c r="AV360" s="25">
        <v>80</v>
      </c>
      <c r="AW360" s="38" t="s">
        <v>6362</v>
      </c>
    </row>
    <row r="361" spans="6:49" x14ac:dyDescent="0.2">
      <c r="F361" s="38" t="s">
        <v>909</v>
      </c>
      <c r="G361" s="25" t="s">
        <v>5712</v>
      </c>
      <c r="H361" s="25" t="s">
        <v>573</v>
      </c>
      <c r="M361" s="25">
        <v>0</v>
      </c>
      <c r="N361" s="25">
        <v>0</v>
      </c>
      <c r="S361" s="25" t="s">
        <v>5748</v>
      </c>
      <c r="T361" s="25" t="s">
        <v>5794</v>
      </c>
      <c r="U361" s="25" t="s">
        <v>5841</v>
      </c>
      <c r="V361" s="25" t="s">
        <v>5884</v>
      </c>
      <c r="AS361" s="25" t="s">
        <v>6077</v>
      </c>
      <c r="AT361" s="25" t="s">
        <v>6119</v>
      </c>
      <c r="AU361" s="25">
        <v>10</v>
      </c>
      <c r="AV361" s="25">
        <v>60</v>
      </c>
      <c r="AW361" s="38" t="s">
        <v>6411</v>
      </c>
    </row>
    <row r="362" spans="6:49" x14ac:dyDescent="0.2">
      <c r="F362" s="38" t="s">
        <v>910</v>
      </c>
      <c r="G362" s="45" t="s">
        <v>5703</v>
      </c>
      <c r="S362" s="25" t="s">
        <v>5749</v>
      </c>
      <c r="T362" s="25" t="s">
        <v>5795</v>
      </c>
      <c r="U362" s="25" t="s">
        <v>5842</v>
      </c>
      <c r="V362" s="25" t="s">
        <v>5885</v>
      </c>
      <c r="AS362" s="25" t="s">
        <v>6082</v>
      </c>
      <c r="AT362" s="25" t="s">
        <v>6212</v>
      </c>
      <c r="AU362" s="25">
        <v>5</v>
      </c>
      <c r="AV362" s="25">
        <v>20</v>
      </c>
      <c r="AW362" s="38" t="str">
        <f>"Aumenta Intimidar "&amp;BC245</f>
        <v>Aumenta Intimidar 0</v>
      </c>
    </row>
    <row r="363" spans="6:49" x14ac:dyDescent="0.2">
      <c r="F363" s="38" t="s">
        <v>911</v>
      </c>
      <c r="G363" s="45" t="s">
        <v>5703</v>
      </c>
      <c r="M363" s="38" t="s">
        <v>907</v>
      </c>
      <c r="N363" s="25">
        <v>50</v>
      </c>
      <c r="O363" s="25">
        <f>LOOKUP(IFERROR(VLOOKUP("Curtido – 1",'Hoja básica'!S66:W73,1,FALSE),0),Sheet3!M363:N366)+LOOKUP(IFERROR(VLOOKUP("Curtido – 2",'Hoja básica'!S66:W73,1,FALSE),0),Sheet3!M363:N366)+LOOKUP(IFERROR(VLOOKUP("Curtido – 3",'Hoja básica'!S66:W73,1,FALSE),0),Sheet3!M363:N366)</f>
        <v>0</v>
      </c>
      <c r="S363" s="25" t="s">
        <v>5750</v>
      </c>
      <c r="T363" s="25" t="s">
        <v>5796</v>
      </c>
      <c r="U363" s="25" t="s">
        <v>5843</v>
      </c>
      <c r="V363" s="25" t="s">
        <v>5886</v>
      </c>
      <c r="AS363" s="25" t="s">
        <v>6080</v>
      </c>
      <c r="AT363" s="25" t="s">
        <v>6175</v>
      </c>
      <c r="AU363" s="25">
        <v>90</v>
      </c>
      <c r="AV363" s="25">
        <v>20</v>
      </c>
      <c r="AW363" s="38" t="str">
        <f>"Para intentar atacarte hay que superar una RM contra "&amp;2*BC247&amp;" (no afecta a seres sin emociones)"</f>
        <v>Para intentar atacarte hay que superar una RM contra 0 (no afecta a seres sin emociones)</v>
      </c>
    </row>
    <row r="364" spans="6:49" x14ac:dyDescent="0.2">
      <c r="F364" s="38" t="s">
        <v>912</v>
      </c>
      <c r="G364" s="45" t="s">
        <v>5703</v>
      </c>
      <c r="M364" s="38" t="s">
        <v>908</v>
      </c>
      <c r="N364" s="25">
        <v>100</v>
      </c>
      <c r="S364" s="25" t="s">
        <v>5752</v>
      </c>
      <c r="T364" s="25" t="s">
        <v>5797</v>
      </c>
      <c r="U364" s="25" t="s">
        <v>5844</v>
      </c>
      <c r="V364" s="25" t="s">
        <v>5887</v>
      </c>
      <c r="AS364" s="25" t="s">
        <v>6076</v>
      </c>
      <c r="AT364" s="25" t="s">
        <v>6094</v>
      </c>
      <c r="AU364" s="25">
        <v>20</v>
      </c>
      <c r="AV364" s="25">
        <v>40</v>
      </c>
      <c r="AW364" s="38" t="str">
        <f>"Aumenta tus resistencias en "&amp;ROUNDDOWN(BC250/2,0)</f>
        <v>Aumenta tus resistencias en 0</v>
      </c>
    </row>
    <row r="365" spans="6:49" x14ac:dyDescent="0.2">
      <c r="F365" s="38" t="s">
        <v>913</v>
      </c>
      <c r="G365" s="45" t="s">
        <v>5703</v>
      </c>
      <c r="M365" s="38" t="s">
        <v>909</v>
      </c>
      <c r="N365" s="25">
        <v>150</v>
      </c>
      <c r="S365" s="25" t="s">
        <v>5753</v>
      </c>
      <c r="T365" s="25" t="s">
        <v>5798</v>
      </c>
      <c r="U365" s="25" t="s">
        <v>5845</v>
      </c>
      <c r="V365" s="25" t="s">
        <v>5888</v>
      </c>
      <c r="AS365" s="25" t="s">
        <v>6083</v>
      </c>
      <c r="AT365" s="25" t="s">
        <v>6181</v>
      </c>
      <c r="AU365" s="25">
        <v>5</v>
      </c>
      <c r="AV365" s="25">
        <v>20</v>
      </c>
      <c r="AW365" s="38" t="str">
        <f>"Otorga un bono a tu RF de "&amp;ROUNDDOWN(BC251/2,0)</f>
        <v>Otorga un bono a tu RF de 0</v>
      </c>
    </row>
    <row r="366" spans="6:49" x14ac:dyDescent="0.2">
      <c r="F366" s="38" t="s">
        <v>914</v>
      </c>
      <c r="G366" s="45" t="s">
        <v>5703</v>
      </c>
      <c r="M366" s="25">
        <v>0</v>
      </c>
      <c r="N366" s="25">
        <v>0</v>
      </c>
      <c r="S366" s="25" t="s">
        <v>5754</v>
      </c>
      <c r="T366" s="25" t="s">
        <v>5799</v>
      </c>
      <c r="U366" s="25" t="s">
        <v>5846</v>
      </c>
      <c r="V366" s="25" t="s">
        <v>5889</v>
      </c>
      <c r="AS366" s="25" t="s">
        <v>6087</v>
      </c>
      <c r="AT366" s="25" t="s">
        <v>6280</v>
      </c>
      <c r="AU366" s="25">
        <v>10</v>
      </c>
      <c r="AV366" s="25">
        <v>40</v>
      </c>
      <c r="AW366" s="38" t="str">
        <f>"RM contra "&amp;2*BC246&amp;" o robas la suerte de otra persona"</f>
        <v>RM contra 0 o robas la suerte de otra persona</v>
      </c>
    </row>
    <row r="367" spans="6:49" x14ac:dyDescent="0.2">
      <c r="F367" s="38" t="s">
        <v>915</v>
      </c>
      <c r="G367" s="45" t="s">
        <v>5703</v>
      </c>
      <c r="S367" s="25" t="s">
        <v>5755</v>
      </c>
      <c r="T367" s="25" t="s">
        <v>5800</v>
      </c>
      <c r="U367" s="25" t="s">
        <v>5847</v>
      </c>
      <c r="V367" s="25" t="s">
        <v>5890</v>
      </c>
      <c r="AS367" s="25" t="s">
        <v>6078</v>
      </c>
      <c r="AT367" s="25" t="s">
        <v>6135</v>
      </c>
      <c r="AU367" s="25">
        <v>10</v>
      </c>
      <c r="AV367" s="25">
        <v>50</v>
      </c>
      <c r="AW367" s="38" t="str">
        <f>"Obligas a tirar RM "&amp;BC253*2&amp;" a alguien que tenga subyugado a otro, si falla liberará al preso"</f>
        <v>Obligas a tirar RM 0 a alguien que tenga subyugado a otro, si falla liberará al preso</v>
      </c>
    </row>
    <row r="368" spans="6:49" x14ac:dyDescent="0.2">
      <c r="F368" s="38" t="s">
        <v>916</v>
      </c>
      <c r="G368" s="45" t="s">
        <v>5703</v>
      </c>
      <c r="M368" s="38" t="s">
        <v>921</v>
      </c>
      <c r="N368" s="25">
        <v>1</v>
      </c>
      <c r="O368" s="25">
        <f>LOOKUP(IFERROR(VLOOKUP("Recuperación superior de magia – 1",'Hoja básica'!S66:W73,1,FALSE),0),Sheet3!M368:N371)+LOOKUP(IFERROR(VLOOKUP("Recuperación superior de magia – 2",'Hoja básica'!S66:W73,1,FALSE),0),Sheet3!M368:N371)+LOOKUP(IFERROR(VLOOKUP("Recuperación superior de magia – 3",'Hoja básica'!S66:W73,1,FALSE),0),Sheet3!M368:N371)</f>
        <v>0</v>
      </c>
      <c r="S368" s="25" t="s">
        <v>5756</v>
      </c>
      <c r="T368" s="25" t="s">
        <v>5801</v>
      </c>
      <c r="U368" s="25" t="s">
        <v>5848</v>
      </c>
      <c r="V368" s="25" t="s">
        <v>5891</v>
      </c>
      <c r="AS368" s="25" t="s">
        <v>6086</v>
      </c>
      <c r="AT368" s="25" t="s">
        <v>6261</v>
      </c>
      <c r="AU368" s="25">
        <v>10</v>
      </c>
      <c r="AV368" s="25">
        <v>30</v>
      </c>
      <c r="AW368" s="38" t="str">
        <f>"Aumenta Ciencia en "&amp;BC243</f>
        <v>Aumenta Ciencia en 0</v>
      </c>
    </row>
    <row r="369" spans="6:49" x14ac:dyDescent="0.2">
      <c r="F369" s="38" t="s">
        <v>917</v>
      </c>
      <c r="G369" s="45" t="s">
        <v>5703</v>
      </c>
      <c r="M369" s="38" t="s">
        <v>922</v>
      </c>
      <c r="N369" s="25">
        <v>2</v>
      </c>
      <c r="S369" s="25" t="s">
        <v>5757</v>
      </c>
      <c r="T369" s="25" t="s">
        <v>5802</v>
      </c>
      <c r="U369" s="25" t="s">
        <v>5849</v>
      </c>
      <c r="V369" s="25" t="s">
        <v>5892</v>
      </c>
      <c r="AS369" s="25" t="s">
        <v>6076</v>
      </c>
      <c r="AT369" s="25" t="s">
        <v>6101</v>
      </c>
      <c r="AU369" s="25">
        <v>10</v>
      </c>
      <c r="AV369" s="25">
        <v>70</v>
      </c>
      <c r="AW369" s="38" t="s">
        <v>6412</v>
      </c>
    </row>
    <row r="370" spans="6:49" x14ac:dyDescent="0.2">
      <c r="F370" s="38" t="s">
        <v>918</v>
      </c>
      <c r="G370" s="45" t="s">
        <v>5703</v>
      </c>
      <c r="M370" s="38" t="s">
        <v>923</v>
      </c>
      <c r="N370" s="25">
        <v>3</v>
      </c>
      <c r="S370" s="25" t="s">
        <v>5758</v>
      </c>
      <c r="T370" s="25" t="s">
        <v>5803</v>
      </c>
      <c r="U370" s="25" t="s">
        <v>5850</v>
      </c>
      <c r="V370" s="25" t="s">
        <v>5893</v>
      </c>
      <c r="AS370" s="25" t="s">
        <v>6084</v>
      </c>
      <c r="AT370" s="25" t="s">
        <v>6230</v>
      </c>
      <c r="AU370" s="25">
        <v>10</v>
      </c>
      <c r="AV370" s="25">
        <v>40</v>
      </c>
      <c r="AW370" s="38" t="s">
        <v>6231</v>
      </c>
    </row>
    <row r="371" spans="6:49" x14ac:dyDescent="0.2">
      <c r="F371" s="38" t="s">
        <v>868</v>
      </c>
      <c r="M371" s="25">
        <v>0</v>
      </c>
      <c r="N371" s="25">
        <v>0</v>
      </c>
      <c r="S371" s="25" t="s">
        <v>5759</v>
      </c>
      <c r="T371" s="25" t="s">
        <v>5804</v>
      </c>
      <c r="U371" s="25" t="s">
        <v>5851</v>
      </c>
      <c r="V371" s="25" t="s">
        <v>5894</v>
      </c>
      <c r="AS371" s="25" t="s">
        <v>6087</v>
      </c>
      <c r="AT371" s="25" t="s">
        <v>6279</v>
      </c>
      <c r="AU371" s="25">
        <v>5</v>
      </c>
      <c r="AV371" s="25">
        <v>30</v>
      </c>
      <c r="AW371" s="38" t="s">
        <v>6413</v>
      </c>
    </row>
    <row r="372" spans="6:49" x14ac:dyDescent="0.2">
      <c r="F372" s="38" t="s">
        <v>919</v>
      </c>
      <c r="G372" s="45" t="s">
        <v>5703</v>
      </c>
      <c r="S372" s="25" t="s">
        <v>5760</v>
      </c>
      <c r="T372" s="25" t="s">
        <v>5805</v>
      </c>
      <c r="U372" s="25" t="s">
        <v>5852</v>
      </c>
      <c r="V372" s="25" t="s">
        <v>5895</v>
      </c>
      <c r="AS372" s="25" t="s">
        <v>6088</v>
      </c>
      <c r="AT372" s="25" t="s">
        <v>6295</v>
      </c>
      <c r="AU372" s="25">
        <v>10</v>
      </c>
      <c r="AV372" s="25">
        <v>40</v>
      </c>
      <c r="AW372" s="38" t="s">
        <v>6296</v>
      </c>
    </row>
    <row r="373" spans="6:49" x14ac:dyDescent="0.2">
      <c r="F373" s="38" t="s">
        <v>920</v>
      </c>
      <c r="G373" s="45" t="s">
        <v>5703</v>
      </c>
      <c r="M373" s="38" t="s">
        <v>924</v>
      </c>
      <c r="N373" s="25">
        <v>10</v>
      </c>
      <c r="O373" s="25">
        <f>LOOKUP(IFERROR(VLOOKUP("Magia innata mejorada – 1",'Hoja básica'!S66:W73,1,FALSE),0),Sheet3!M373:N376)+LOOKUP(IFERROR(VLOOKUP("Magia innata mejorada – 2",'Hoja básica'!S66:W73,1,FALSE),0),Sheet3!M373:N376)+LOOKUP(IFERROR(VLOOKUP("Magia innata mejorada – 3",'Hoja básica'!S66:W73,1,FALSE),0),Sheet3!M373:N376)</f>
        <v>0</v>
      </c>
      <c r="S373" s="25" t="s">
        <v>5761</v>
      </c>
      <c r="T373" s="25" t="s">
        <v>5806</v>
      </c>
      <c r="U373" s="25" t="s">
        <v>5873</v>
      </c>
      <c r="V373" s="25" t="s">
        <v>5896</v>
      </c>
      <c r="AS373" s="25" t="s">
        <v>6086</v>
      </c>
      <c r="AT373" s="25" t="s">
        <v>6263</v>
      </c>
      <c r="AU373" s="25">
        <v>5</v>
      </c>
      <c r="AV373" s="25">
        <v>40</v>
      </c>
      <c r="AW373" s="38" t="s">
        <v>6264</v>
      </c>
    </row>
    <row r="374" spans="6:49" x14ac:dyDescent="0.2">
      <c r="F374" s="38" t="s">
        <v>921</v>
      </c>
      <c r="G374" s="25" t="s">
        <v>5713</v>
      </c>
      <c r="H374" s="25" t="s">
        <v>573</v>
      </c>
      <c r="M374" s="38" t="s">
        <v>925</v>
      </c>
      <c r="N374" s="25">
        <v>20</v>
      </c>
      <c r="S374" s="25" t="s">
        <v>5763</v>
      </c>
      <c r="T374" s="25" t="s">
        <v>5807</v>
      </c>
      <c r="U374" s="25" t="s">
        <v>5853</v>
      </c>
      <c r="V374" s="25" t="s">
        <v>5897</v>
      </c>
      <c r="AS374" s="25" t="s">
        <v>6077</v>
      </c>
      <c r="AT374" s="25" t="s">
        <v>6122</v>
      </c>
      <c r="AU374" s="25">
        <v>10</v>
      </c>
      <c r="AV374" s="25" t="s">
        <v>6123</v>
      </c>
      <c r="AW374" s="38" t="str">
        <f>"Todos a 10 metros tiran RM "&amp;BC254+40&amp;" con daño igual al fracaso"</f>
        <v>Todos a 10 metros tiran RM 40 con daño igual al fracaso</v>
      </c>
    </row>
    <row r="375" spans="6:49" x14ac:dyDescent="0.2">
      <c r="F375" s="38" t="s">
        <v>922</v>
      </c>
      <c r="G375" s="25" t="s">
        <v>5713</v>
      </c>
      <c r="H375" s="25" t="s">
        <v>573</v>
      </c>
      <c r="M375" s="38" t="s">
        <v>926</v>
      </c>
      <c r="N375" s="25">
        <v>30</v>
      </c>
      <c r="S375" s="25" t="s">
        <v>5764</v>
      </c>
      <c r="T375" s="25" t="s">
        <v>5808</v>
      </c>
      <c r="U375" s="25" t="s">
        <v>5854</v>
      </c>
      <c r="V375" s="25" t="s">
        <v>5898</v>
      </c>
      <c r="AS375" s="25" t="s">
        <v>6077</v>
      </c>
      <c r="AT375" s="25" t="s">
        <v>6114</v>
      </c>
      <c r="AU375" s="25">
        <v>10</v>
      </c>
      <c r="AV375" s="25">
        <v>50</v>
      </c>
      <c r="AW375" s="38" t="str">
        <f>"Puedes obligar a alguien que toques a tirar RM o RF contra "&amp;BC254+80&amp;" con daño igual al fracaso"</f>
        <v>Puedes obligar a alguien que toques a tirar RM o RF contra 80 con daño igual al fracaso</v>
      </c>
    </row>
    <row r="376" spans="6:49" x14ac:dyDescent="0.2">
      <c r="F376" s="38" t="s">
        <v>923</v>
      </c>
      <c r="G376" s="25" t="s">
        <v>5713</v>
      </c>
      <c r="H376" s="25" t="s">
        <v>573</v>
      </c>
      <c r="J376" s="38"/>
      <c r="M376" s="25">
        <v>0</v>
      </c>
      <c r="N376" s="25">
        <v>0</v>
      </c>
      <c r="S376" s="25" t="s">
        <v>5765</v>
      </c>
      <c r="T376" s="25" t="s">
        <v>5809</v>
      </c>
      <c r="U376" s="25" t="s">
        <v>5855</v>
      </c>
      <c r="V376" s="25" t="s">
        <v>5899</v>
      </c>
      <c r="AS376" s="25" t="s">
        <v>6077</v>
      </c>
      <c r="AT376" s="25" t="s">
        <v>6120</v>
      </c>
      <c r="AU376" s="25">
        <v>10</v>
      </c>
      <c r="AV376" s="25" t="s">
        <v>6121</v>
      </c>
      <c r="AW376" s="38" t="str">
        <f>"Puedes obligar a alguien que mires a tirar RM o RF contra "&amp;BC254+60&amp;" con daño igual al fracaso"</f>
        <v>Puedes obligar a alguien que mires a tirar RM o RF contra 60 con daño igual al fracaso</v>
      </c>
    </row>
    <row r="377" spans="6:49" x14ac:dyDescent="0.2">
      <c r="F377" s="38" t="s">
        <v>924</v>
      </c>
      <c r="G377" s="25" t="s">
        <v>9</v>
      </c>
      <c r="H377" s="25" t="s">
        <v>573</v>
      </c>
      <c r="J377" s="38"/>
      <c r="S377" s="25" t="s">
        <v>5766</v>
      </c>
      <c r="T377" s="25" t="s">
        <v>5810</v>
      </c>
      <c r="U377" s="25" t="s">
        <v>5856</v>
      </c>
      <c r="V377" s="25" t="s">
        <v>5900</v>
      </c>
      <c r="AS377" s="25" t="s">
        <v>6079</v>
      </c>
      <c r="AT377" s="25" t="s">
        <v>6153</v>
      </c>
      <c r="AU377" s="25">
        <v>15</v>
      </c>
      <c r="AV377" s="25" t="s">
        <v>6154</v>
      </c>
      <c r="AW377" s="38" t="s">
        <v>6163</v>
      </c>
    </row>
    <row r="378" spans="6:49" x14ac:dyDescent="0.2">
      <c r="F378" s="38" t="s">
        <v>925</v>
      </c>
      <c r="G378" s="25" t="s">
        <v>9</v>
      </c>
      <c r="H378" s="25" t="s">
        <v>573</v>
      </c>
      <c r="J378" s="38"/>
      <c r="M378" s="38" t="s">
        <v>931</v>
      </c>
      <c r="N378" s="25">
        <v>40</v>
      </c>
      <c r="O378" s="25">
        <f>LOOKUP(IFERROR(VLOOKUP("Conocimiento natural de via – 1",'Hoja básica'!S66:W73,1,FALSE),0),Sheet3!M378:N379)*COUNTIF('Hoja básica'!S66:W73,"Conocimiento natural de via – 1")</f>
        <v>0</v>
      </c>
      <c r="S378" s="25" t="s">
        <v>5768</v>
      </c>
      <c r="T378" s="25" t="s">
        <v>5811</v>
      </c>
      <c r="U378" s="25" t="s">
        <v>5857</v>
      </c>
      <c r="V378" s="25" t="s">
        <v>5901</v>
      </c>
      <c r="AS378" s="25" t="s">
        <v>6085</v>
      </c>
      <c r="AT378" s="25" t="s">
        <v>6246</v>
      </c>
      <c r="AU378" s="25">
        <v>10</v>
      </c>
      <c r="AV378" s="25">
        <v>30</v>
      </c>
      <c r="AW378" s="38" t="str">
        <f>"RM o RP contra "&amp;2*BC241&amp;" o se verá obligado a satisfacer su pecado mas importante"</f>
        <v>RM o RP contra 0 o se verá obligado a satisfacer su pecado mas importante</v>
      </c>
    </row>
    <row r="379" spans="6:49" x14ac:dyDescent="0.2">
      <c r="F379" s="38" t="s">
        <v>926</v>
      </c>
      <c r="G379" s="25" t="s">
        <v>9</v>
      </c>
      <c r="H379" s="25" t="s">
        <v>573</v>
      </c>
      <c r="M379" s="25">
        <v>0</v>
      </c>
      <c r="N379" s="25">
        <v>0</v>
      </c>
      <c r="S379" s="25" t="s">
        <v>5769</v>
      </c>
      <c r="T379" s="25" t="s">
        <v>5812</v>
      </c>
      <c r="U379" s="25" t="s">
        <v>5858</v>
      </c>
      <c r="V379" s="25" t="s">
        <v>5902</v>
      </c>
      <c r="AS379" s="25" t="s">
        <v>6087</v>
      </c>
      <c r="AT379" s="25" t="s">
        <v>6289</v>
      </c>
      <c r="AU379" s="25">
        <v>10</v>
      </c>
      <c r="AV379" s="25" t="s">
        <v>6290</v>
      </c>
      <c r="AW379" s="38" t="s">
        <v>6291</v>
      </c>
    </row>
    <row r="380" spans="6:49" x14ac:dyDescent="0.2">
      <c r="F380" s="38" t="s">
        <v>927</v>
      </c>
      <c r="G380" s="45" t="s">
        <v>5703</v>
      </c>
      <c r="S380" s="25" t="s">
        <v>5770</v>
      </c>
      <c r="T380" s="25" t="s">
        <v>5813</v>
      </c>
      <c r="U380" s="25" t="s">
        <v>5859</v>
      </c>
      <c r="V380" s="25" t="s">
        <v>5903</v>
      </c>
      <c r="AS380" s="25" t="s">
        <v>6085</v>
      </c>
      <c r="AT380" s="25" t="s">
        <v>6247</v>
      </c>
      <c r="AU380" s="25">
        <v>5</v>
      </c>
      <c r="AV380" s="25">
        <v>40</v>
      </c>
      <c r="AW380" s="38" t="s">
        <v>6414</v>
      </c>
    </row>
    <row r="381" spans="6:49" x14ac:dyDescent="0.2">
      <c r="F381" s="38" t="s">
        <v>928</v>
      </c>
      <c r="G381" s="45" t="s">
        <v>5703</v>
      </c>
      <c r="M381" s="38" t="s">
        <v>932</v>
      </c>
      <c r="N381" s="25">
        <v>2</v>
      </c>
      <c r="O381" s="25">
        <f>LOOKUP(IFERROR(VLOOKUP("Calibre – 1",'Hoja básica'!S66:W73,1,FALSE),1),Sheet3!M381:N382)</f>
        <v>1</v>
      </c>
      <c r="S381" s="25" t="s">
        <v>5771</v>
      </c>
      <c r="T381" s="25" t="s">
        <v>5814</v>
      </c>
      <c r="U381" s="25" t="s">
        <v>5860</v>
      </c>
      <c r="V381" s="25" t="s">
        <v>5904</v>
      </c>
      <c r="AS381" s="25" t="s">
        <v>6079</v>
      </c>
      <c r="AT381" s="25" t="s">
        <v>545</v>
      </c>
      <c r="AU381" s="25">
        <v>5</v>
      </c>
      <c r="AV381" s="25">
        <v>30</v>
      </c>
      <c r="AW381" s="38" t="s">
        <v>6415</v>
      </c>
    </row>
    <row r="382" spans="6:49" x14ac:dyDescent="0.2">
      <c r="F382" s="38" t="s">
        <v>929</v>
      </c>
      <c r="G382" s="45" t="s">
        <v>5703</v>
      </c>
      <c r="M382" s="25">
        <v>0</v>
      </c>
      <c r="N382" s="25">
        <v>1</v>
      </c>
      <c r="S382" s="25" t="s">
        <v>5772</v>
      </c>
      <c r="T382" s="25" t="s">
        <v>5815</v>
      </c>
      <c r="U382" s="25" t="s">
        <v>5861</v>
      </c>
      <c r="V382" s="25" t="s">
        <v>5905</v>
      </c>
      <c r="AS382" s="25" t="s">
        <v>6082</v>
      </c>
      <c r="AT382" s="25" t="s">
        <v>6215</v>
      </c>
      <c r="AU382" s="25">
        <v>10</v>
      </c>
      <c r="AV382" s="25">
        <v>40</v>
      </c>
      <c r="AW382" s="38" t="s">
        <v>6416</v>
      </c>
    </row>
    <row r="383" spans="6:49" x14ac:dyDescent="0.2">
      <c r="F383" s="38" t="s">
        <v>930</v>
      </c>
      <c r="G383" s="45" t="s">
        <v>5703</v>
      </c>
      <c r="S383" s="25" t="s">
        <v>5773</v>
      </c>
      <c r="T383" s="25" t="s">
        <v>5816</v>
      </c>
      <c r="U383" s="25" t="s">
        <v>5862</v>
      </c>
      <c r="V383" s="25" t="s">
        <v>5906</v>
      </c>
      <c r="AS383" s="25" t="s">
        <v>6081</v>
      </c>
      <c r="AT383" s="25" t="s">
        <v>6198</v>
      </c>
      <c r="AU383" s="25">
        <v>20</v>
      </c>
      <c r="AV383" s="25">
        <v>50</v>
      </c>
      <c r="AW383" s="38" t="s">
        <v>6417</v>
      </c>
    </row>
    <row r="384" spans="6:49" x14ac:dyDescent="0.2">
      <c r="F384" s="38" t="s">
        <v>931</v>
      </c>
      <c r="G384" s="25" t="s">
        <v>5714</v>
      </c>
      <c r="H384" s="25" t="s">
        <v>573</v>
      </c>
      <c r="M384" s="38" t="s">
        <v>866</v>
      </c>
      <c r="N384" s="25">
        <v>1</v>
      </c>
      <c r="O384" s="25">
        <f>LOOKUP(IFERROR(VLOOKUP("Exhausto – 1",'Hoja básica'!O66:R73,1,FALSE),0),Sheet3!M384:N385)</f>
        <v>0</v>
      </c>
      <c r="S384" s="25" t="s">
        <v>5774</v>
      </c>
      <c r="T384" s="25" t="s">
        <v>5817</v>
      </c>
      <c r="U384" s="25" t="s">
        <v>5863</v>
      </c>
      <c r="V384" s="25" t="s">
        <v>5907</v>
      </c>
      <c r="AS384" s="25" t="s">
        <v>6081</v>
      </c>
      <c r="AT384" s="25" t="s">
        <v>6203</v>
      </c>
      <c r="AU384" s="25">
        <v>10</v>
      </c>
      <c r="AV384" s="25">
        <v>70</v>
      </c>
      <c r="AW384" s="38" t="str">
        <f>"Permite asumir una forma animal obteniendo sus habilidades; el máximo de formas es "&amp;ROUNDDOWN(BC252/10,0)</f>
        <v>Permite asumir una forma animal obteniendo sus habilidades; el máximo de formas es 0</v>
      </c>
    </row>
    <row r="385" spans="6:49" x14ac:dyDescent="0.2">
      <c r="F385" s="38" t="s">
        <v>886</v>
      </c>
      <c r="M385" s="25">
        <v>0</v>
      </c>
      <c r="N385" s="25">
        <v>0</v>
      </c>
      <c r="S385" s="25" t="s">
        <v>5776</v>
      </c>
      <c r="T385" s="25" t="s">
        <v>5818</v>
      </c>
      <c r="U385" s="25" t="s">
        <v>5864</v>
      </c>
      <c r="V385" s="25" t="s">
        <v>5908</v>
      </c>
      <c r="AS385" s="25" t="s">
        <v>6088</v>
      </c>
      <c r="AT385" s="25" t="s">
        <v>6304</v>
      </c>
      <c r="AU385" s="25">
        <v>15</v>
      </c>
      <c r="AV385" s="25">
        <v>80</v>
      </c>
      <c r="AW385" s="38" t="s">
        <v>6418</v>
      </c>
    </row>
    <row r="386" spans="6:49" x14ac:dyDescent="0.2">
      <c r="F386" s="38" t="s">
        <v>932</v>
      </c>
      <c r="G386" s="25" t="s">
        <v>5715</v>
      </c>
      <c r="H386" s="25" t="s">
        <v>573</v>
      </c>
      <c r="S386" s="25" t="s">
        <v>5777</v>
      </c>
      <c r="T386" s="25" t="s">
        <v>5819</v>
      </c>
      <c r="U386" s="25" t="s">
        <v>5865</v>
      </c>
      <c r="V386" s="25" t="s">
        <v>5909</v>
      </c>
      <c r="AS386" s="25" t="s">
        <v>6089</v>
      </c>
      <c r="AT386" s="25" t="s">
        <v>6312</v>
      </c>
      <c r="AU386" s="25">
        <v>10</v>
      </c>
      <c r="AV386" s="25">
        <v>40</v>
      </c>
      <c r="AW386" s="38" t="str">
        <f>"RM o RP contra "&amp;BC249*2&amp;" o dolor, requiere contacto físico"</f>
        <v>RM o RP contra 0 o dolor, requiere contacto físico</v>
      </c>
    </row>
    <row r="387" spans="6:49" x14ac:dyDescent="0.2">
      <c r="F387" s="38" t="s">
        <v>933</v>
      </c>
      <c r="G387" s="45" t="s">
        <v>5703</v>
      </c>
      <c r="M387" s="38" t="s">
        <v>876</v>
      </c>
      <c r="N387" s="25">
        <v>2</v>
      </c>
      <c r="O387" s="25">
        <f>LOOKUP(IFERROR(VLOOKUP("Lenta recuperación de magia – 1",'Hoja básica'!O66:R73,1,FALSE),1),Sheet3!M387:N388)</f>
        <v>1</v>
      </c>
      <c r="S387" s="25" t="s">
        <v>5778</v>
      </c>
      <c r="T387" s="25" t="s">
        <v>5820</v>
      </c>
      <c r="U387" s="25" t="s">
        <v>5866</v>
      </c>
      <c r="V387" s="25" t="s">
        <v>5910</v>
      </c>
      <c r="AS387" s="25" t="s">
        <v>6087</v>
      </c>
      <c r="AT387" s="25" t="s">
        <v>6288</v>
      </c>
      <c r="AU387" s="25">
        <v>15</v>
      </c>
      <c r="AV387" s="25">
        <v>90</v>
      </c>
      <c r="AW387" s="38" t="str">
        <f>"RM contra "&amp;2*BC246&amp;" o la siguiente tirada es una pifia automática, solo una vez por persona al día"</f>
        <v>RM contra 0 o la siguiente tirada es una pifia automática, solo una vez por persona al día</v>
      </c>
    </row>
    <row r="388" spans="6:49" x14ac:dyDescent="0.2">
      <c r="F388" s="38" t="s">
        <v>934</v>
      </c>
      <c r="G388" s="45" t="s">
        <v>5703</v>
      </c>
      <c r="M388" s="25">
        <v>0</v>
      </c>
      <c r="N388" s="25">
        <v>1</v>
      </c>
      <c r="S388" s="25" t="s">
        <v>5779</v>
      </c>
      <c r="T388" s="25" t="s">
        <v>5821</v>
      </c>
      <c r="U388" s="25" t="s">
        <v>5867</v>
      </c>
      <c r="V388" s="25" t="s">
        <v>5911</v>
      </c>
      <c r="AS388" s="25" t="s">
        <v>6078</v>
      </c>
      <c r="AT388" s="25" t="s">
        <v>6141</v>
      </c>
      <c r="AU388" s="25">
        <v>20</v>
      </c>
      <c r="AV388" s="25">
        <v>90</v>
      </c>
      <c r="AW388" s="38" t="s">
        <v>6146</v>
      </c>
    </row>
    <row r="389" spans="6:49" x14ac:dyDescent="0.2">
      <c r="F389" s="38" t="s">
        <v>935</v>
      </c>
      <c r="G389" s="45" t="s">
        <v>5703</v>
      </c>
      <c r="S389" s="25" t="s">
        <v>5780</v>
      </c>
      <c r="T389" s="25" t="s">
        <v>5822</v>
      </c>
      <c r="U389" s="25" t="s">
        <v>5874</v>
      </c>
      <c r="V389" s="25" t="s">
        <v>5912</v>
      </c>
      <c r="AS389" s="25" t="s">
        <v>6089</v>
      </c>
      <c r="AT389" s="25" t="s">
        <v>6316</v>
      </c>
      <c r="AU389" s="25">
        <v>10</v>
      </c>
      <c r="AV389" s="25">
        <v>60</v>
      </c>
      <c r="AW389" s="137" t="s">
        <v>6419</v>
      </c>
    </row>
    <row r="390" spans="6:49" x14ac:dyDescent="0.2">
      <c r="F390" s="38" t="s">
        <v>936</v>
      </c>
      <c r="G390" s="45" t="s">
        <v>5703</v>
      </c>
      <c r="M390" s="38" t="s">
        <v>880</v>
      </c>
      <c r="N390" s="25">
        <v>0</v>
      </c>
      <c r="O390" s="25">
        <f>LOOKUP(IFERROR(VLOOKUP("Mágia estancada – 2",'Hoja básica'!O66:R73,1,FALSE),1),Sheet3!M390:N391)</f>
        <v>1</v>
      </c>
      <c r="AS390" s="25" t="s">
        <v>6078</v>
      </c>
      <c r="AT390" s="25" t="s">
        <v>6133</v>
      </c>
      <c r="AU390" s="25">
        <v>10</v>
      </c>
      <c r="AV390" s="25">
        <v>40</v>
      </c>
      <c r="AW390" s="38" t="s">
        <v>6144</v>
      </c>
    </row>
    <row r="391" spans="6:49" x14ac:dyDescent="0.2">
      <c r="F391" s="38" t="s">
        <v>937</v>
      </c>
      <c r="G391" s="45" t="s">
        <v>5703</v>
      </c>
      <c r="M391" s="25">
        <v>0</v>
      </c>
      <c r="N391" s="25">
        <v>1</v>
      </c>
      <c r="AS391" s="25" t="s">
        <v>6088</v>
      </c>
      <c r="AT391" s="25" t="s">
        <v>6305</v>
      </c>
      <c r="AU391" s="25">
        <v>25</v>
      </c>
      <c r="AV391" s="25">
        <v>90</v>
      </c>
      <c r="AW391" s="38" t="str">
        <f>"Conjuro de nivel 90 de Destrucción en base, "&amp;ROUNDDOWN(BC244/10,0)&amp;" lanzamientos al día"</f>
        <v>Conjuro de nivel 90 de Destrucción en base, 0 lanzamientos al día</v>
      </c>
    </row>
    <row r="392" spans="6:49" x14ac:dyDescent="0.2">
      <c r="F392" s="38" t="s">
        <v>938</v>
      </c>
      <c r="G392" s="45" t="s">
        <v>5703</v>
      </c>
      <c r="AS392" s="25" t="s">
        <v>6076</v>
      </c>
      <c r="AT392" s="25" t="s">
        <v>6106</v>
      </c>
      <c r="AU392" s="25">
        <v>10</v>
      </c>
      <c r="AV392" s="25">
        <v>100</v>
      </c>
      <c r="AW392" s="38" t="s">
        <v>6420</v>
      </c>
    </row>
    <row r="393" spans="6:49" x14ac:dyDescent="0.2">
      <c r="F393" s="38" t="s">
        <v>939</v>
      </c>
      <c r="G393" s="45" t="s">
        <v>5703</v>
      </c>
      <c r="M393" s="38" t="s">
        <v>859</v>
      </c>
      <c r="N393" s="25">
        <f>50+IF('Hoja básica'!C5="Tuan Dalyr",30,0)</f>
        <v>50</v>
      </c>
      <c r="O393" s="25">
        <f>LOOKUP(IFERROR(VLOOKUP("Sentidos agudos – 1",'Hoja básica'!S66:W73,1,FALSE),0),Sheet3!M393:N394)</f>
        <v>0</v>
      </c>
      <c r="AS393" s="25" t="s">
        <v>6084</v>
      </c>
      <c r="AT393" s="25" t="s">
        <v>6242</v>
      </c>
      <c r="AU393" s="25">
        <v>10</v>
      </c>
      <c r="AV393" s="25">
        <v>100</v>
      </c>
      <c r="AW393" s="38" t="s">
        <v>6243</v>
      </c>
    </row>
    <row r="394" spans="6:49" x14ac:dyDescent="0.2">
      <c r="F394" s="38" t="s">
        <v>940</v>
      </c>
      <c r="G394" s="45" t="s">
        <v>5703</v>
      </c>
      <c r="M394" s="25">
        <v>0</v>
      </c>
      <c r="N394" s="25">
        <v>0</v>
      </c>
    </row>
    <row r="395" spans="6:49" x14ac:dyDescent="0.2">
      <c r="J395" s="25" t="s">
        <v>5725</v>
      </c>
      <c r="K395" s="25" t="s">
        <v>5725</v>
      </c>
    </row>
    <row r="396" spans="6:49" x14ac:dyDescent="0.2">
      <c r="J396" s="25" t="str">
        <f>IF(OR(J395="a",K395="a"),"Cierto","Falso")</f>
        <v>Cierto</v>
      </c>
      <c r="M396" s="38" t="s">
        <v>871</v>
      </c>
      <c r="N396" s="25">
        <v>10</v>
      </c>
      <c r="O396" s="25">
        <f>LOOKUP(IFERROR(VLOOKUP("Conocedor de todas las materias – 2",'Hoja básica'!S66:W73,1,FALSE),0),Sheet3!M396:N397)</f>
        <v>0</v>
      </c>
      <c r="R396" s="25" t="s">
        <v>5940</v>
      </c>
    </row>
    <row r="397" spans="6:49" x14ac:dyDescent="0.2">
      <c r="M397" s="25">
        <v>0</v>
      </c>
      <c r="N397" s="25">
        <v>0</v>
      </c>
      <c r="R397" s="145" t="s">
        <v>46</v>
      </c>
      <c r="S397" s="25">
        <f>'Hoja básica'!E10</f>
        <v>5</v>
      </c>
      <c r="T397" s="25">
        <f>IF(S397&gt;10,LOOKUP(S397,$R$407:$S$426)-10,0)</f>
        <v>0</v>
      </c>
    </row>
    <row r="398" spans="6:49" x14ac:dyDescent="0.2">
      <c r="R398" s="145" t="s">
        <v>66</v>
      </c>
      <c r="S398" s="25">
        <f>'Hoja básica'!E11</f>
        <v>5</v>
      </c>
      <c r="T398" s="25">
        <f>IF(S398&gt;10,LOOKUP(S398,$R$407:$S$426)-10,0)</f>
        <v>0</v>
      </c>
    </row>
    <row r="399" spans="6:49" x14ac:dyDescent="0.2">
      <c r="M399" s="38" t="s">
        <v>881</v>
      </c>
      <c r="N399" s="25">
        <v>1</v>
      </c>
      <c r="O399" s="25">
        <f>LOOKUP(IFERROR(VLOOKUP("Inmunidad al dolor y al cansancio – 1",'Hoja básica'!S66:W73,1,FALSE),0),Sheet3!M399:N400)</f>
        <v>0</v>
      </c>
      <c r="R399" s="145" t="s">
        <v>57</v>
      </c>
      <c r="S399" s="25">
        <f>'Hoja básica'!E12</f>
        <v>5</v>
      </c>
      <c r="T399" s="25">
        <f>IF(S399&gt;10,LOOKUP(S399,$R$407:$S$426)-10,0)</f>
        <v>0</v>
      </c>
    </row>
    <row r="400" spans="6:49" x14ac:dyDescent="0.2">
      <c r="M400" s="25">
        <v>0</v>
      </c>
      <c r="N400" s="25">
        <v>0</v>
      </c>
      <c r="R400" s="145" t="s">
        <v>36</v>
      </c>
      <c r="S400" s="25">
        <f>'Hoja básica'!E13</f>
        <v>5</v>
      </c>
      <c r="T400" s="25">
        <f>IF(S400&gt;10,LOOKUP(S400,$R$407:$S$426)-10,0)</f>
        <v>0</v>
      </c>
    </row>
    <row r="401" spans="1:20" x14ac:dyDescent="0.2">
      <c r="R401" s="145" t="s">
        <v>58</v>
      </c>
      <c r="S401" s="25">
        <f>'Hoja básica'!E16</f>
        <v>5</v>
      </c>
      <c r="T401" s="25">
        <f>LOOKUP(S401,R407:S426)*6</f>
        <v>30</v>
      </c>
    </row>
    <row r="402" spans="1:20" x14ac:dyDescent="0.2">
      <c r="A402" s="25" t="s">
        <v>233</v>
      </c>
      <c r="G402" s="25" t="s">
        <v>247</v>
      </c>
      <c r="M402" s="25" t="s">
        <v>5916</v>
      </c>
      <c r="N402" s="25">
        <v>5</v>
      </c>
      <c r="O402" s="25">
        <f>LOOKUP(IFERROR(VLOOKUP("Aprendizaje Mágico Gradual - 1",'Hoja básica'!S66:W73,1,FALSE),0),Sheet3!M402:N403)</f>
        <v>0</v>
      </c>
      <c r="R402" s="70" t="s">
        <v>59</v>
      </c>
      <c r="S402" s="25">
        <f>'Hoja básica'!E17</f>
        <v>5</v>
      </c>
      <c r="T402" s="25">
        <f>IF(S402&gt;10,LOOKUP(S402,$R$407:$S$426)-10,0)</f>
        <v>0</v>
      </c>
    </row>
    <row r="403" spans="1:20" x14ac:dyDescent="0.2">
      <c r="M403" s="25">
        <v>0</v>
      </c>
      <c r="N403" s="25">
        <v>0</v>
      </c>
      <c r="T403" s="25">
        <f>SUM(T397:T402)</f>
        <v>30</v>
      </c>
    </row>
    <row r="405" spans="1:20" x14ac:dyDescent="0.2">
      <c r="A405" s="25" t="s">
        <v>808</v>
      </c>
      <c r="B405" s="25" t="s">
        <v>868</v>
      </c>
      <c r="C405" s="25" t="s">
        <v>886</v>
      </c>
      <c r="D405" s="25" t="s">
        <v>808</v>
      </c>
      <c r="G405" s="25" t="s">
        <v>808</v>
      </c>
      <c r="H405" s="25" t="s">
        <v>868</v>
      </c>
      <c r="I405" s="25" t="s">
        <v>886</v>
      </c>
      <c r="J405" s="25" t="s">
        <v>808</v>
      </c>
      <c r="M405" s="25" t="s">
        <v>5939</v>
      </c>
      <c r="N405" s="25">
        <v>10</v>
      </c>
      <c r="O405" s="25">
        <f>LOOKUP(IFERROR(VLOOKUP("Ki Imperceptible - 1",'Hoja básica'!S66:W73,1,FALSE),0),Sheet3!M405:N406)</f>
        <v>0</v>
      </c>
    </row>
    <row r="406" spans="1:20" x14ac:dyDescent="0.2">
      <c r="A406" s="25" t="s">
        <v>809</v>
      </c>
      <c r="B406" s="25" t="s">
        <v>919</v>
      </c>
      <c r="C406" s="25" t="s">
        <v>932</v>
      </c>
      <c r="D406" s="25" t="s">
        <v>809</v>
      </c>
      <c r="G406" s="25" t="s">
        <v>810</v>
      </c>
      <c r="H406" s="25" t="s">
        <v>870</v>
      </c>
      <c r="I406" s="25" t="s">
        <v>888</v>
      </c>
      <c r="J406" s="25" t="s">
        <v>810</v>
      </c>
      <c r="M406" s="25">
        <v>0</v>
      </c>
      <c r="N406" s="25">
        <v>0</v>
      </c>
      <c r="R406" s="25" t="s">
        <v>5941</v>
      </c>
      <c r="S406" s="25" t="s">
        <v>5942</v>
      </c>
    </row>
    <row r="407" spans="1:20" x14ac:dyDescent="0.2">
      <c r="A407" s="25" t="s">
        <v>811</v>
      </c>
      <c r="B407" s="25" t="s">
        <v>920</v>
      </c>
      <c r="C407" s="25" t="s">
        <v>933</v>
      </c>
      <c r="D407" s="25" t="s">
        <v>811</v>
      </c>
      <c r="G407" s="25" t="s">
        <v>812</v>
      </c>
      <c r="H407" s="25" t="s">
        <v>872</v>
      </c>
      <c r="I407" s="25" t="s">
        <v>890</v>
      </c>
      <c r="J407" s="25" t="s">
        <v>812</v>
      </c>
      <c r="R407" s="25">
        <v>1</v>
      </c>
      <c r="S407" s="25">
        <v>1</v>
      </c>
    </row>
    <row r="408" spans="1:20" x14ac:dyDescent="0.2">
      <c r="A408" s="25" t="s">
        <v>813</v>
      </c>
      <c r="B408" s="25" t="s">
        <v>921</v>
      </c>
      <c r="C408" s="25" t="s">
        <v>934</v>
      </c>
      <c r="D408" s="25" t="s">
        <v>813</v>
      </c>
      <c r="G408" s="25" t="s">
        <v>814</v>
      </c>
      <c r="H408" s="25" t="s">
        <v>874</v>
      </c>
      <c r="I408" s="25" t="s">
        <v>892</v>
      </c>
      <c r="J408" s="25" t="s">
        <v>814</v>
      </c>
      <c r="M408" s="25" t="s">
        <v>5930</v>
      </c>
      <c r="N408" s="25">
        <v>10</v>
      </c>
      <c r="O408" s="25">
        <f>LOOKUP(IFERROR(VLOOKUP("Percepción de Ki - 1",'Hoja básica'!S66:W73,1,FALSE),0),Sheet3!M408:N409)</f>
        <v>0</v>
      </c>
      <c r="R408" s="25">
        <v>2</v>
      </c>
      <c r="S408" s="25">
        <v>2</v>
      </c>
    </row>
    <row r="409" spans="1:20" x14ac:dyDescent="0.2">
      <c r="A409" s="25" t="s">
        <v>815</v>
      </c>
      <c r="B409" s="25" t="s">
        <v>922</v>
      </c>
      <c r="C409" s="25" t="s">
        <v>935</v>
      </c>
      <c r="D409" s="25" t="s">
        <v>815</v>
      </c>
      <c r="G409" s="25" t="s">
        <v>816</v>
      </c>
      <c r="H409" s="25" t="s">
        <v>876</v>
      </c>
      <c r="I409" s="25" t="s">
        <v>894</v>
      </c>
      <c r="J409" s="25" t="s">
        <v>816</v>
      </c>
      <c r="M409" s="25">
        <v>0</v>
      </c>
      <c r="N409" s="25">
        <v>0</v>
      </c>
      <c r="R409" s="25">
        <v>3</v>
      </c>
      <c r="S409" s="25">
        <v>3</v>
      </c>
    </row>
    <row r="410" spans="1:20" x14ac:dyDescent="0.2">
      <c r="A410" s="25" t="s">
        <v>817</v>
      </c>
      <c r="B410" s="25" t="s">
        <v>923</v>
      </c>
      <c r="C410" s="25" t="s">
        <v>936</v>
      </c>
      <c r="D410" s="25" t="s">
        <v>817</v>
      </c>
      <c r="G410" s="25" t="s">
        <v>818</v>
      </c>
      <c r="H410" s="25" t="s">
        <v>878</v>
      </c>
      <c r="J410" s="25" t="s">
        <v>818</v>
      </c>
      <c r="R410" s="25">
        <v>4</v>
      </c>
      <c r="S410" s="25">
        <v>4</v>
      </c>
    </row>
    <row r="411" spans="1:20" x14ac:dyDescent="0.2">
      <c r="A411" s="25" t="s">
        <v>819</v>
      </c>
      <c r="B411" s="25" t="s">
        <v>924</v>
      </c>
      <c r="C411" s="25" t="s">
        <v>937</v>
      </c>
      <c r="D411" s="25" t="s">
        <v>819</v>
      </c>
      <c r="G411" s="25" t="s">
        <v>820</v>
      </c>
      <c r="H411" s="25" t="s">
        <v>880</v>
      </c>
      <c r="I411" s="25" t="s">
        <v>808</v>
      </c>
      <c r="J411" s="25" t="s">
        <v>820</v>
      </c>
      <c r="M411" s="25" t="s">
        <v>5926</v>
      </c>
      <c r="N411" s="25">
        <f>T403</f>
        <v>30</v>
      </c>
      <c r="O411" s="25">
        <f>LOOKUP(IFERROR(VLOOKUP("Poder Innato - 1",'Hoja básica'!S66:W73,1,FALSE),0),Sheet3!M411:N412)</f>
        <v>0</v>
      </c>
      <c r="R411" s="25">
        <v>5</v>
      </c>
      <c r="S411" s="25">
        <v>5</v>
      </c>
    </row>
    <row r="412" spans="1:20" x14ac:dyDescent="0.2">
      <c r="A412" s="25" t="s">
        <v>821</v>
      </c>
      <c r="B412" s="25" t="s">
        <v>925</v>
      </c>
      <c r="C412" s="25" t="s">
        <v>938</v>
      </c>
      <c r="D412" s="25" t="s">
        <v>821</v>
      </c>
      <c r="G412" s="25" t="s">
        <v>822</v>
      </c>
      <c r="H412" s="25" t="s">
        <v>882</v>
      </c>
      <c r="I412" s="25" t="s">
        <v>810</v>
      </c>
      <c r="J412" s="25" t="s">
        <v>822</v>
      </c>
      <c r="M412" s="25">
        <v>0</v>
      </c>
      <c r="N412" s="25">
        <v>0</v>
      </c>
      <c r="R412" s="25">
        <v>6</v>
      </c>
      <c r="S412" s="25">
        <v>6</v>
      </c>
    </row>
    <row r="413" spans="1:20" x14ac:dyDescent="0.2">
      <c r="A413" s="25" t="s">
        <v>823</v>
      </c>
      <c r="B413" s="25" t="s">
        <v>926</v>
      </c>
      <c r="C413" s="25" t="s">
        <v>939</v>
      </c>
      <c r="D413" s="25" t="s">
        <v>823</v>
      </c>
      <c r="G413" s="25" t="s">
        <v>824</v>
      </c>
      <c r="H413" s="25" t="s">
        <v>884</v>
      </c>
      <c r="I413" s="25" t="s">
        <v>812</v>
      </c>
      <c r="J413" s="25" t="s">
        <v>824</v>
      </c>
      <c r="R413" s="25">
        <v>7</v>
      </c>
      <c r="S413" s="25">
        <v>7</v>
      </c>
    </row>
    <row r="414" spans="1:20" x14ac:dyDescent="0.2">
      <c r="A414" s="25" t="s">
        <v>825</v>
      </c>
      <c r="B414" s="25" t="s">
        <v>927</v>
      </c>
      <c r="C414" s="25" t="s">
        <v>940</v>
      </c>
      <c r="D414" s="25" t="s">
        <v>825</v>
      </c>
      <c r="G414" s="25" t="s">
        <v>826</v>
      </c>
      <c r="I414" s="25" t="s">
        <v>814</v>
      </c>
      <c r="J414" s="25" t="s">
        <v>826</v>
      </c>
      <c r="M414" s="25" t="s">
        <v>5943</v>
      </c>
      <c r="N414" s="25">
        <v>10</v>
      </c>
      <c r="O414" s="25">
        <f>LOOKUP(IFERROR(VLOOKUP("Difícil de Matar - 1",'Hoja básica'!S66:W73,1,FALSE),0),Sheet3!M414:N417)+LOOKUP(IFERROR(VLOOKUP("Difícil de Matar - 2",'Hoja básica'!S66:W73,1,FALSE),0),Sheet3!M414:N417)+LOOKUP(IFERROR(VLOOKUP("Difícil de Matar - 3",'Hoja básica'!S66:W73,1,FALSE),0),Sheet3!M414:N417)</f>
        <v>0</v>
      </c>
      <c r="R414" s="25">
        <v>8</v>
      </c>
      <c r="S414" s="25">
        <v>8</v>
      </c>
    </row>
    <row r="415" spans="1:20" x14ac:dyDescent="0.2">
      <c r="A415" s="25" t="s">
        <v>827</v>
      </c>
      <c r="B415" s="25" t="s">
        <v>928</v>
      </c>
      <c r="C415" s="25" t="s">
        <v>5971</v>
      </c>
      <c r="D415" s="25" t="s">
        <v>827</v>
      </c>
      <c r="G415" s="25" t="s">
        <v>828</v>
      </c>
      <c r="H415" s="25" t="s">
        <v>808</v>
      </c>
      <c r="I415" s="25" t="s">
        <v>816</v>
      </c>
      <c r="J415" s="25" t="s">
        <v>828</v>
      </c>
      <c r="M415" s="25" t="s">
        <v>5945</v>
      </c>
      <c r="N415" s="25">
        <v>30</v>
      </c>
      <c r="R415" s="25">
        <v>9</v>
      </c>
      <c r="S415" s="25">
        <v>9</v>
      </c>
    </row>
    <row r="416" spans="1:20" x14ac:dyDescent="0.2">
      <c r="A416" s="25" t="s">
        <v>829</v>
      </c>
      <c r="B416" s="25" t="s">
        <v>929</v>
      </c>
      <c r="C416" s="25" t="s">
        <v>5972</v>
      </c>
      <c r="D416" s="25" t="s">
        <v>829</v>
      </c>
      <c r="G416" s="25" t="s">
        <v>830</v>
      </c>
      <c r="H416" s="25" t="s">
        <v>810</v>
      </c>
      <c r="I416" s="25" t="s">
        <v>818</v>
      </c>
      <c r="J416" s="25" t="s">
        <v>830</v>
      </c>
      <c r="M416" s="25" t="s">
        <v>5944</v>
      </c>
      <c r="N416" s="25">
        <v>20</v>
      </c>
      <c r="R416" s="25">
        <v>10</v>
      </c>
      <c r="S416" s="25">
        <v>10</v>
      </c>
    </row>
    <row r="417" spans="1:19" x14ac:dyDescent="0.2">
      <c r="A417" s="25" t="s">
        <v>831</v>
      </c>
      <c r="B417" s="25" t="s">
        <v>930</v>
      </c>
      <c r="D417" s="25" t="s">
        <v>831</v>
      </c>
      <c r="G417" s="25" t="s">
        <v>832</v>
      </c>
      <c r="H417" s="25" t="s">
        <v>812</v>
      </c>
      <c r="I417" s="25" t="s">
        <v>820</v>
      </c>
      <c r="J417" s="25" t="s">
        <v>832</v>
      </c>
      <c r="M417" s="25">
        <v>0</v>
      </c>
      <c r="N417" s="25">
        <v>0</v>
      </c>
      <c r="R417" s="25">
        <v>11</v>
      </c>
      <c r="S417" s="25">
        <v>12</v>
      </c>
    </row>
    <row r="418" spans="1:19" x14ac:dyDescent="0.2">
      <c r="A418" s="25" t="s">
        <v>833</v>
      </c>
      <c r="B418" s="25" t="s">
        <v>931</v>
      </c>
      <c r="C418" s="25" t="s">
        <v>808</v>
      </c>
      <c r="D418" s="25" t="s">
        <v>833</v>
      </c>
      <c r="G418" s="25" t="s">
        <v>834</v>
      </c>
      <c r="H418" s="25" t="s">
        <v>814</v>
      </c>
      <c r="I418" s="25" t="s">
        <v>822</v>
      </c>
      <c r="J418" s="25" t="s">
        <v>834</v>
      </c>
      <c r="R418" s="25">
        <v>12</v>
      </c>
      <c r="S418" s="25">
        <v>14</v>
      </c>
    </row>
    <row r="419" spans="1:19" x14ac:dyDescent="0.2">
      <c r="A419" s="25" t="s">
        <v>835</v>
      </c>
      <c r="B419" s="25" t="s">
        <v>5965</v>
      </c>
      <c r="C419" s="25" t="s">
        <v>809</v>
      </c>
      <c r="D419" s="25" t="s">
        <v>835</v>
      </c>
      <c r="G419" s="25" t="s">
        <v>836</v>
      </c>
      <c r="H419" s="25" t="s">
        <v>816</v>
      </c>
      <c r="I419" s="25" t="s">
        <v>824</v>
      </c>
      <c r="J419" s="25" t="s">
        <v>836</v>
      </c>
      <c r="M419" s="25" t="s">
        <v>5951</v>
      </c>
      <c r="N419" s="25">
        <v>5</v>
      </c>
      <c r="O419" s="25">
        <f>LOOKUP(IFERROR(VLOOKUP("Sentido del combate (Ataque) - 3",'Hoja básica'!S66:W73,1,FALSE),0),Sheet3!M419:N420)</f>
        <v>0</v>
      </c>
      <c r="R419" s="25">
        <v>13</v>
      </c>
      <c r="S419" s="25">
        <v>16</v>
      </c>
    </row>
    <row r="420" spans="1:19" x14ac:dyDescent="0.2">
      <c r="A420" s="25" t="s">
        <v>837</v>
      </c>
      <c r="B420" s="25" t="s">
        <v>5966</v>
      </c>
      <c r="C420" s="25" t="s">
        <v>811</v>
      </c>
      <c r="D420" s="25" t="s">
        <v>837</v>
      </c>
      <c r="G420" s="25" t="s">
        <v>838</v>
      </c>
      <c r="H420" s="25" t="s">
        <v>818</v>
      </c>
      <c r="I420" s="25" t="s">
        <v>826</v>
      </c>
      <c r="J420" s="25" t="s">
        <v>838</v>
      </c>
      <c r="M420" s="25">
        <v>0</v>
      </c>
      <c r="N420" s="25">
        <v>0</v>
      </c>
      <c r="R420" s="25">
        <v>14</v>
      </c>
      <c r="S420" s="25">
        <v>18</v>
      </c>
    </row>
    <row r="421" spans="1:19" x14ac:dyDescent="0.2">
      <c r="A421" s="25" t="s">
        <v>839</v>
      </c>
      <c r="B421" s="25" t="s">
        <v>5967</v>
      </c>
      <c r="C421" s="25" t="s">
        <v>813</v>
      </c>
      <c r="D421" s="25" t="s">
        <v>839</v>
      </c>
      <c r="G421" s="25" t="s">
        <v>840</v>
      </c>
      <c r="H421" s="25" t="s">
        <v>820</v>
      </c>
      <c r="I421" s="25" t="s">
        <v>828</v>
      </c>
      <c r="J421" s="25" t="s">
        <v>840</v>
      </c>
      <c r="R421" s="25">
        <v>15</v>
      </c>
      <c r="S421" s="25">
        <v>20</v>
      </c>
    </row>
    <row r="422" spans="1:19" x14ac:dyDescent="0.2">
      <c r="A422" s="25" t="s">
        <v>841</v>
      </c>
      <c r="B422" s="25" t="s">
        <v>5968</v>
      </c>
      <c r="C422" s="25" t="s">
        <v>815</v>
      </c>
      <c r="D422" s="25" t="s">
        <v>841</v>
      </c>
      <c r="G422" s="25" t="s">
        <v>842</v>
      </c>
      <c r="H422" s="25" t="s">
        <v>822</v>
      </c>
      <c r="I422" s="25" t="s">
        <v>830</v>
      </c>
      <c r="J422" s="25" t="s">
        <v>842</v>
      </c>
      <c r="M422" s="25" t="s">
        <v>5952</v>
      </c>
      <c r="N422" s="25">
        <v>5</v>
      </c>
      <c r="O422" s="25">
        <f>LOOKUP(IFERROR(VLOOKUP("Sentido del combate (Parada) - 3",'Hoja básica'!S66:W73,1,FALSE),0),Sheet3!M422:N423)</f>
        <v>0</v>
      </c>
      <c r="R422" s="25">
        <v>16</v>
      </c>
      <c r="S422" s="25">
        <v>22</v>
      </c>
    </row>
    <row r="423" spans="1:19" x14ac:dyDescent="0.2">
      <c r="A423" s="25" t="s">
        <v>843</v>
      </c>
      <c r="B423" s="25" t="s">
        <v>5969</v>
      </c>
      <c r="C423" s="25" t="s">
        <v>817</v>
      </c>
      <c r="D423" s="25" t="s">
        <v>843</v>
      </c>
      <c r="G423" s="25" t="s">
        <v>844</v>
      </c>
      <c r="H423" s="25" t="s">
        <v>824</v>
      </c>
      <c r="I423" s="25" t="s">
        <v>832</v>
      </c>
      <c r="J423" s="25" t="s">
        <v>844</v>
      </c>
      <c r="M423" s="25">
        <v>0</v>
      </c>
      <c r="N423" s="25">
        <v>0</v>
      </c>
      <c r="R423" s="25">
        <v>17</v>
      </c>
      <c r="S423" s="25">
        <v>24</v>
      </c>
    </row>
    <row r="424" spans="1:19" x14ac:dyDescent="0.2">
      <c r="A424" s="25" t="s">
        <v>845</v>
      </c>
      <c r="B424" s="25" t="s">
        <v>5970</v>
      </c>
      <c r="C424" s="25" t="s">
        <v>819</v>
      </c>
      <c r="D424" s="25" t="s">
        <v>845</v>
      </c>
      <c r="G424" s="25" t="s">
        <v>846</v>
      </c>
      <c r="H424" s="25" t="s">
        <v>826</v>
      </c>
      <c r="I424" s="25" t="s">
        <v>834</v>
      </c>
      <c r="J424" s="25" t="s">
        <v>846</v>
      </c>
      <c r="R424" s="25">
        <v>18</v>
      </c>
      <c r="S424" s="25">
        <v>26</v>
      </c>
    </row>
    <row r="425" spans="1:19" x14ac:dyDescent="0.2">
      <c r="A425" s="25" t="s">
        <v>847</v>
      </c>
      <c r="C425" s="25" t="s">
        <v>821</v>
      </c>
      <c r="D425" s="25" t="s">
        <v>847</v>
      </c>
      <c r="G425" s="25" t="s">
        <v>848</v>
      </c>
      <c r="H425" s="25" t="s">
        <v>828</v>
      </c>
      <c r="I425" s="25" t="s">
        <v>836</v>
      </c>
      <c r="J425" s="25" t="s">
        <v>848</v>
      </c>
      <c r="M425" s="25" t="s">
        <v>5953</v>
      </c>
      <c r="N425" s="25">
        <v>5</v>
      </c>
      <c r="O425" s="25">
        <f>LOOKUP(IFERROR(VLOOKUP("Sentido del combate (Esquiva) - 3",'Hoja básica'!S66:W73,1,FALSE),0),Sheet3!M425:N426)</f>
        <v>0</v>
      </c>
      <c r="R425" s="25">
        <v>19</v>
      </c>
      <c r="S425" s="25">
        <v>28</v>
      </c>
    </row>
    <row r="426" spans="1:19" x14ac:dyDescent="0.2">
      <c r="A426" s="25" t="s">
        <v>849</v>
      </c>
      <c r="B426" s="25" t="s">
        <v>808</v>
      </c>
      <c r="C426" s="25" t="s">
        <v>823</v>
      </c>
      <c r="D426" s="25" t="s">
        <v>849</v>
      </c>
      <c r="G426" s="25" t="s">
        <v>850</v>
      </c>
      <c r="H426" s="25" t="s">
        <v>830</v>
      </c>
      <c r="I426" s="25" t="s">
        <v>838</v>
      </c>
      <c r="J426" s="25" t="s">
        <v>850</v>
      </c>
      <c r="M426" s="25">
        <v>0</v>
      </c>
      <c r="N426" s="25">
        <v>0</v>
      </c>
      <c r="R426" s="25">
        <v>20</v>
      </c>
      <c r="S426" s="25">
        <v>30</v>
      </c>
    </row>
    <row r="427" spans="1:19" x14ac:dyDescent="0.2">
      <c r="A427" s="25" t="s">
        <v>851</v>
      </c>
      <c r="B427" s="25" t="s">
        <v>809</v>
      </c>
      <c r="C427" s="25" t="s">
        <v>825</v>
      </c>
      <c r="D427" s="25" t="s">
        <v>851</v>
      </c>
      <c r="G427" s="25" t="s">
        <v>852</v>
      </c>
      <c r="H427" s="25" t="s">
        <v>832</v>
      </c>
      <c r="I427" s="25" t="s">
        <v>840</v>
      </c>
      <c r="J427" s="25" t="s">
        <v>852</v>
      </c>
    </row>
    <row r="428" spans="1:19" x14ac:dyDescent="0.2">
      <c r="A428" s="25" t="s">
        <v>853</v>
      </c>
      <c r="B428" s="25" t="s">
        <v>811</v>
      </c>
      <c r="C428" s="25" t="s">
        <v>827</v>
      </c>
      <c r="D428" s="25" t="s">
        <v>853</v>
      </c>
      <c r="G428" s="25" t="s">
        <v>854</v>
      </c>
      <c r="H428" s="25" t="s">
        <v>834</v>
      </c>
      <c r="I428" s="25" t="s">
        <v>842</v>
      </c>
      <c r="J428" s="25" t="s">
        <v>854</v>
      </c>
      <c r="M428" s="25" t="s">
        <v>5955</v>
      </c>
      <c r="N428" s="25">
        <v>5</v>
      </c>
      <c r="O428" s="25">
        <f>LOOKUP(IFERROR(VLOOKUP("Uso de Armadura - 1",'Hoja básica'!S66:W73,1,FALSE),0),Sheet3!M428:N431)+LOOKUP(IFERROR(VLOOKUP("Uso de Armadura - 2",'Hoja básica'!S66:W73,1,FALSE),0),Sheet3!M428:N431)+LOOKUP(IFERROR(VLOOKUP("Uso de Armadura - 3",'Hoja básica'!S66:W73,1,FALSE),0),Sheet3!M428:N431)</f>
        <v>0</v>
      </c>
    </row>
    <row r="429" spans="1:19" x14ac:dyDescent="0.2">
      <c r="A429" s="25" t="s">
        <v>855</v>
      </c>
      <c r="B429" s="25" t="s">
        <v>813</v>
      </c>
      <c r="C429" s="25" t="s">
        <v>829</v>
      </c>
      <c r="D429" s="25" t="s">
        <v>855</v>
      </c>
      <c r="G429" s="25" t="s">
        <v>856</v>
      </c>
      <c r="H429" s="25" t="s">
        <v>836</v>
      </c>
      <c r="I429" s="25" t="s">
        <v>844</v>
      </c>
      <c r="J429" s="25" t="s">
        <v>856</v>
      </c>
      <c r="M429" s="25" t="s">
        <v>5956</v>
      </c>
      <c r="N429" s="25">
        <v>10</v>
      </c>
      <c r="Q429" s="25" t="s">
        <v>5982</v>
      </c>
    </row>
    <row r="430" spans="1:19" x14ac:dyDescent="0.2">
      <c r="A430" s="25" t="s">
        <v>857</v>
      </c>
      <c r="B430" s="25" t="s">
        <v>815</v>
      </c>
      <c r="C430" s="25" t="s">
        <v>831</v>
      </c>
      <c r="D430" s="25" t="s">
        <v>857</v>
      </c>
      <c r="G430" s="25" t="s">
        <v>858</v>
      </c>
      <c r="H430" s="25" t="s">
        <v>838</v>
      </c>
      <c r="I430" s="25" t="s">
        <v>846</v>
      </c>
      <c r="J430" s="25" t="s">
        <v>858</v>
      </c>
      <c r="M430" s="25" t="s">
        <v>5957</v>
      </c>
      <c r="N430" s="25">
        <v>15</v>
      </c>
      <c r="Q430" s="25" t="s">
        <v>5725</v>
      </c>
      <c r="R430" s="25" t="str">
        <f>IFERROR(VLOOKUP("b",Q430:Q434,1,FALSE),"nada")</f>
        <v>b</v>
      </c>
    </row>
    <row r="431" spans="1:19" x14ac:dyDescent="0.2">
      <c r="A431" s="25" t="s">
        <v>859</v>
      </c>
      <c r="B431" s="25" t="s">
        <v>817</v>
      </c>
      <c r="C431" s="25" t="s">
        <v>833</v>
      </c>
      <c r="D431" s="25" t="s">
        <v>859</v>
      </c>
      <c r="G431" s="25" t="s">
        <v>860</v>
      </c>
      <c r="H431" s="25" t="s">
        <v>840</v>
      </c>
      <c r="I431" s="25" t="s">
        <v>848</v>
      </c>
      <c r="J431" s="25" t="s">
        <v>860</v>
      </c>
      <c r="M431" s="25">
        <v>0</v>
      </c>
      <c r="N431" s="25">
        <v>0</v>
      </c>
      <c r="Q431" s="25" t="s">
        <v>5726</v>
      </c>
    </row>
    <row r="432" spans="1:19" x14ac:dyDescent="0.2">
      <c r="A432" s="25" t="s">
        <v>861</v>
      </c>
      <c r="B432" s="25" t="s">
        <v>819</v>
      </c>
      <c r="C432" s="25" t="s">
        <v>835</v>
      </c>
      <c r="D432" s="25" t="s">
        <v>861</v>
      </c>
      <c r="G432" s="25" t="s">
        <v>862</v>
      </c>
      <c r="H432" s="25" t="s">
        <v>842</v>
      </c>
      <c r="I432" s="25" t="s">
        <v>850</v>
      </c>
      <c r="J432" s="25" t="s">
        <v>862</v>
      </c>
      <c r="Q432" s="25" t="s">
        <v>5727</v>
      </c>
    </row>
    <row r="433" spans="1:20" x14ac:dyDescent="0.2">
      <c r="A433" s="25" t="s">
        <v>863</v>
      </c>
      <c r="B433" s="25" t="s">
        <v>821</v>
      </c>
      <c r="C433" s="25" t="s">
        <v>837</v>
      </c>
      <c r="D433" s="25" t="s">
        <v>863</v>
      </c>
      <c r="G433" s="25" t="s">
        <v>864</v>
      </c>
      <c r="H433" s="25" t="s">
        <v>844</v>
      </c>
      <c r="I433" s="25" t="s">
        <v>852</v>
      </c>
      <c r="J433" s="25" t="s">
        <v>864</v>
      </c>
      <c r="M433" s="25" t="s">
        <v>5962</v>
      </c>
      <c r="N433" s="25">
        <v>30</v>
      </c>
      <c r="O433" s="25">
        <f>LOOKUP(IFERROR(VLOOKUP("Habilidoso - 1",'Hoja básica'!S66:W73,1,FALSE),0),Sheet3!M433:N434)</f>
        <v>0</v>
      </c>
      <c r="Q433" s="25" t="s">
        <v>5983</v>
      </c>
    </row>
    <row r="434" spans="1:20" x14ac:dyDescent="0.2">
      <c r="A434" s="25" t="s">
        <v>865</v>
      </c>
      <c r="B434" s="25" t="s">
        <v>823</v>
      </c>
      <c r="C434" s="25" t="s">
        <v>839</v>
      </c>
      <c r="D434" s="25" t="s">
        <v>865</v>
      </c>
      <c r="G434" s="25" t="s">
        <v>866</v>
      </c>
      <c r="H434" s="25" t="s">
        <v>846</v>
      </c>
      <c r="I434" s="25" t="s">
        <v>854</v>
      </c>
      <c r="J434" s="25" t="s">
        <v>866</v>
      </c>
      <c r="M434" s="25">
        <v>0</v>
      </c>
      <c r="N434" s="25">
        <v>0</v>
      </c>
      <c r="Q434" s="25" t="s">
        <v>5984</v>
      </c>
    </row>
    <row r="435" spans="1:20" x14ac:dyDescent="0.2">
      <c r="A435" s="25" t="s">
        <v>867</v>
      </c>
      <c r="B435" s="25" t="s">
        <v>825</v>
      </c>
      <c r="C435" s="25" t="s">
        <v>841</v>
      </c>
      <c r="D435" s="25" t="s">
        <v>867</v>
      </c>
      <c r="G435" s="25" t="s">
        <v>5973</v>
      </c>
      <c r="H435" s="25" t="s">
        <v>848</v>
      </c>
      <c r="I435" s="25" t="s">
        <v>856</v>
      </c>
      <c r="J435" s="25" t="s">
        <v>5973</v>
      </c>
    </row>
    <row r="436" spans="1:20" x14ac:dyDescent="0.2">
      <c r="A436" s="25" t="s">
        <v>869</v>
      </c>
      <c r="B436" s="25" t="s">
        <v>827</v>
      </c>
      <c r="C436" s="25" t="s">
        <v>843</v>
      </c>
      <c r="D436" s="25" t="s">
        <v>869</v>
      </c>
      <c r="G436" s="25" t="s">
        <v>5974</v>
      </c>
      <c r="H436" s="25" t="s">
        <v>850</v>
      </c>
      <c r="I436" s="25" t="s">
        <v>858</v>
      </c>
      <c r="J436" s="25" t="s">
        <v>5974</v>
      </c>
      <c r="M436" s="25" t="s">
        <v>5966</v>
      </c>
      <c r="N436" s="25">
        <v>50</v>
      </c>
      <c r="O436" s="25">
        <f>LOOKUP(IFERROR(VLOOKUP("Naturaleza mágica - 1",'Hoja básica'!S66:W73,1,FALSE),0),Sheet3!M436:N439)+LOOKUP(IFERROR(VLOOKUP("Naturaleza mágica - 2",'Hoja básica'!S66:W73,1,FALSE),0),Sheet3!M436:N439)+LOOKUP(IFERROR(VLOOKUP("Naturaleza mágica - 3",'Hoja básica'!S66:W73,1,FALSE),0),Sheet3!M436:N439)</f>
        <v>0</v>
      </c>
    </row>
    <row r="437" spans="1:20" x14ac:dyDescent="0.2">
      <c r="A437" s="25" t="s">
        <v>871</v>
      </c>
      <c r="B437" s="25" t="s">
        <v>829</v>
      </c>
      <c r="C437" s="25" t="s">
        <v>845</v>
      </c>
      <c r="D437" s="25" t="s">
        <v>871</v>
      </c>
      <c r="G437" s="25" t="s">
        <v>5975</v>
      </c>
      <c r="H437" s="25" t="s">
        <v>852</v>
      </c>
      <c r="I437" s="25" t="s">
        <v>860</v>
      </c>
      <c r="J437" s="25" t="s">
        <v>5975</v>
      </c>
      <c r="M437" s="25" t="s">
        <v>5967</v>
      </c>
      <c r="N437" s="25">
        <v>100</v>
      </c>
      <c r="R437" s="25" t="s">
        <v>5985</v>
      </c>
      <c r="S437" s="25">
        <f>IF(IFERROR(VLOOKUP(A432,'Hoja básica'!S66:W73,1,FALSE),0)&lt;&gt;0,1,0)+IF(IFERROR(VLOOKUP(A476,'Hoja básica'!S66:W73,1,FALSE),0)&lt;&gt;0,1,0)</f>
        <v>0</v>
      </c>
      <c r="T437" s="25" t="s">
        <v>5991</v>
      </c>
    </row>
    <row r="438" spans="1:20" x14ac:dyDescent="0.2">
      <c r="A438" s="25" t="s">
        <v>873</v>
      </c>
      <c r="B438" s="25" t="s">
        <v>831</v>
      </c>
      <c r="C438" s="25" t="s">
        <v>847</v>
      </c>
      <c r="D438" s="25" t="s">
        <v>873</v>
      </c>
      <c r="G438" s="25" t="s">
        <v>5976</v>
      </c>
      <c r="H438" s="25" t="s">
        <v>854</v>
      </c>
      <c r="I438" s="25" t="s">
        <v>862</v>
      </c>
      <c r="J438" s="25" t="s">
        <v>5976</v>
      </c>
      <c r="M438" s="25" t="s">
        <v>5968</v>
      </c>
      <c r="N438" s="25">
        <v>150</v>
      </c>
      <c r="R438" s="25" t="s">
        <v>5986</v>
      </c>
      <c r="S438" s="25">
        <f>IF(IFERROR(VLOOKUP(A414,'Hoja básica'!S67:W74,1,FALSE),0)&lt;&gt;0,1,0)+IF(IFERROR(VLOOKUP(A415,'Hoja básica'!S67:W74,1,FALSE),0)&lt;&gt;0,1,0)</f>
        <v>0</v>
      </c>
      <c r="T438" s="25" t="s">
        <v>5990</v>
      </c>
    </row>
    <row r="439" spans="1:20" x14ac:dyDescent="0.2">
      <c r="A439" s="25" t="s">
        <v>875</v>
      </c>
      <c r="B439" s="25" t="s">
        <v>833</v>
      </c>
      <c r="C439" s="25" t="s">
        <v>849</v>
      </c>
      <c r="D439" s="25" t="s">
        <v>875</v>
      </c>
      <c r="G439" s="25" t="s">
        <v>5977</v>
      </c>
      <c r="H439" s="25" t="s">
        <v>856</v>
      </c>
      <c r="I439" s="25" t="s">
        <v>864</v>
      </c>
      <c r="J439" s="25" t="s">
        <v>5977</v>
      </c>
      <c r="M439" s="25">
        <v>0</v>
      </c>
      <c r="N439" s="25">
        <v>0</v>
      </c>
      <c r="R439" s="25" t="s">
        <v>5987</v>
      </c>
      <c r="S439" s="25">
        <f>IF(AND(S437&gt;0,S438&gt;0),1,0)</f>
        <v>0</v>
      </c>
      <c r="T439" s="25" t="s">
        <v>5989</v>
      </c>
    </row>
    <row r="440" spans="1:20" x14ac:dyDescent="0.2">
      <c r="A440" s="25" t="s">
        <v>877</v>
      </c>
      <c r="B440" s="25" t="s">
        <v>835</v>
      </c>
      <c r="C440" s="25" t="s">
        <v>851</v>
      </c>
      <c r="D440" s="25" t="s">
        <v>877</v>
      </c>
      <c r="G440" s="25" t="s">
        <v>5978</v>
      </c>
      <c r="H440" s="25" t="s">
        <v>858</v>
      </c>
      <c r="I440" s="25" t="s">
        <v>866</v>
      </c>
      <c r="J440" s="25" t="s">
        <v>5978</v>
      </c>
      <c r="R440" s="25" t="s">
        <v>806</v>
      </c>
      <c r="S440" s="25">
        <f>IF(AND(S437=0,S438=0),1,0)</f>
        <v>1</v>
      </c>
      <c r="T440" s="25" t="s">
        <v>5988</v>
      </c>
    </row>
    <row r="441" spans="1:20" x14ac:dyDescent="0.2">
      <c r="A441" s="25" t="s">
        <v>879</v>
      </c>
      <c r="B441" s="25" t="s">
        <v>837</v>
      </c>
      <c r="C441" s="25" t="s">
        <v>853</v>
      </c>
      <c r="D441" s="25" t="s">
        <v>879</v>
      </c>
      <c r="G441" s="25" t="s">
        <v>5979</v>
      </c>
      <c r="H441" s="25" t="s">
        <v>860</v>
      </c>
      <c r="I441" s="25" t="s">
        <v>5973</v>
      </c>
      <c r="J441" s="25" t="s">
        <v>5979</v>
      </c>
    </row>
    <row r="442" spans="1:20" x14ac:dyDescent="0.2">
      <c r="A442" s="25" t="s">
        <v>881</v>
      </c>
      <c r="B442" s="25" t="s">
        <v>839</v>
      </c>
      <c r="C442" s="25" t="s">
        <v>855</v>
      </c>
      <c r="D442" s="25" t="s">
        <v>881</v>
      </c>
      <c r="G442" s="25" t="s">
        <v>5980</v>
      </c>
      <c r="H442" s="25" t="s">
        <v>862</v>
      </c>
      <c r="I442" s="25" t="s">
        <v>5974</v>
      </c>
      <c r="J442" s="25" t="s">
        <v>5980</v>
      </c>
      <c r="R442" s="25" t="s">
        <v>5992</v>
      </c>
      <c r="T442" s="25" t="s">
        <v>5998</v>
      </c>
    </row>
    <row r="443" spans="1:20" x14ac:dyDescent="0.2">
      <c r="A443" s="25" t="s">
        <v>883</v>
      </c>
      <c r="B443" s="25" t="s">
        <v>841</v>
      </c>
      <c r="C443" s="25" t="s">
        <v>857</v>
      </c>
      <c r="D443" s="25" t="s">
        <v>883</v>
      </c>
      <c r="G443" s="25" t="s">
        <v>5981</v>
      </c>
      <c r="H443" s="25" t="s">
        <v>864</v>
      </c>
      <c r="I443" s="25" t="s">
        <v>5975</v>
      </c>
      <c r="J443" s="25" t="s">
        <v>5981</v>
      </c>
      <c r="R443" s="25" t="s">
        <v>5993</v>
      </c>
      <c r="T443" s="25" t="s">
        <v>5997</v>
      </c>
    </row>
    <row r="444" spans="1:20" x14ac:dyDescent="0.2">
      <c r="A444" s="25" t="s">
        <v>885</v>
      </c>
      <c r="B444" s="25" t="s">
        <v>843</v>
      </c>
      <c r="C444" s="25" t="s">
        <v>859</v>
      </c>
      <c r="D444" s="25" t="s">
        <v>885</v>
      </c>
      <c r="H444" s="25" t="s">
        <v>866</v>
      </c>
      <c r="I444" s="25" t="s">
        <v>5976</v>
      </c>
      <c r="R444" s="25" t="s">
        <v>5994</v>
      </c>
      <c r="T444" s="25" t="s">
        <v>5996</v>
      </c>
    </row>
    <row r="445" spans="1:20" x14ac:dyDescent="0.2">
      <c r="A445" s="25" t="s">
        <v>887</v>
      </c>
      <c r="B445" s="25" t="s">
        <v>845</v>
      </c>
      <c r="C445" s="25" t="s">
        <v>861</v>
      </c>
      <c r="D445" s="25" t="s">
        <v>887</v>
      </c>
      <c r="H445" s="25" t="s">
        <v>5973</v>
      </c>
      <c r="I445" s="25" t="s">
        <v>5977</v>
      </c>
      <c r="J445" s="25" t="s">
        <v>868</v>
      </c>
      <c r="R445" s="25" t="s">
        <v>807</v>
      </c>
      <c r="T445" s="25" t="s">
        <v>5995</v>
      </c>
    </row>
    <row r="446" spans="1:20" x14ac:dyDescent="0.2">
      <c r="A446" s="25" t="s">
        <v>889</v>
      </c>
      <c r="B446" s="25" t="s">
        <v>847</v>
      </c>
      <c r="C446" s="25" t="s">
        <v>863</v>
      </c>
      <c r="D446" s="25" t="s">
        <v>889</v>
      </c>
      <c r="H446" s="25" t="s">
        <v>5974</v>
      </c>
      <c r="I446" s="25" t="s">
        <v>5978</v>
      </c>
      <c r="J446" s="25" t="s">
        <v>870</v>
      </c>
    </row>
    <row r="447" spans="1:20" x14ac:dyDescent="0.2">
      <c r="A447" s="25" t="s">
        <v>891</v>
      </c>
      <c r="B447" s="25" t="s">
        <v>849</v>
      </c>
      <c r="C447" s="25" t="s">
        <v>865</v>
      </c>
      <c r="D447" s="25" t="s">
        <v>891</v>
      </c>
      <c r="H447" s="25" t="s">
        <v>5975</v>
      </c>
      <c r="I447" s="25" t="s">
        <v>5979</v>
      </c>
      <c r="J447" s="25" t="s">
        <v>872</v>
      </c>
    </row>
    <row r="448" spans="1:20" x14ac:dyDescent="0.2">
      <c r="A448" s="25" t="s">
        <v>893</v>
      </c>
      <c r="B448" s="25" t="s">
        <v>851</v>
      </c>
      <c r="C448" s="25" t="s">
        <v>867</v>
      </c>
      <c r="D448" s="25" t="s">
        <v>893</v>
      </c>
      <c r="H448" s="25" t="s">
        <v>5976</v>
      </c>
      <c r="I448" s="25" t="s">
        <v>5980</v>
      </c>
      <c r="J448" s="25" t="s">
        <v>874</v>
      </c>
    </row>
    <row r="449" spans="1:10" x14ac:dyDescent="0.2">
      <c r="A449" s="25" t="s">
        <v>895</v>
      </c>
      <c r="B449" s="25" t="s">
        <v>853</v>
      </c>
      <c r="C449" s="25" t="s">
        <v>869</v>
      </c>
      <c r="D449" s="25" t="s">
        <v>895</v>
      </c>
      <c r="H449" s="25" t="s">
        <v>5977</v>
      </c>
      <c r="I449" s="25" t="s">
        <v>5981</v>
      </c>
      <c r="J449" s="25" t="s">
        <v>876</v>
      </c>
    </row>
    <row r="450" spans="1:10" x14ac:dyDescent="0.2">
      <c r="A450" s="25" t="s">
        <v>896</v>
      </c>
      <c r="B450" s="25" t="s">
        <v>855</v>
      </c>
      <c r="C450" s="25" t="s">
        <v>871</v>
      </c>
      <c r="D450" s="25" t="s">
        <v>896</v>
      </c>
      <c r="H450" s="25" t="s">
        <v>5978</v>
      </c>
      <c r="J450" s="25" t="s">
        <v>878</v>
      </c>
    </row>
    <row r="451" spans="1:10" x14ac:dyDescent="0.2">
      <c r="A451" s="25" t="s">
        <v>897</v>
      </c>
      <c r="B451" s="25" t="s">
        <v>857</v>
      </c>
      <c r="C451" s="25" t="s">
        <v>873</v>
      </c>
      <c r="D451" s="25" t="s">
        <v>897</v>
      </c>
      <c r="H451" s="25" t="s">
        <v>5979</v>
      </c>
      <c r="J451" s="25" t="s">
        <v>880</v>
      </c>
    </row>
    <row r="452" spans="1:10" x14ac:dyDescent="0.2">
      <c r="A452" s="25" t="s">
        <v>898</v>
      </c>
      <c r="B452" s="25" t="s">
        <v>859</v>
      </c>
      <c r="C452" s="25" t="s">
        <v>875</v>
      </c>
      <c r="D452" s="25" t="s">
        <v>898</v>
      </c>
      <c r="H452" s="25" t="s">
        <v>5980</v>
      </c>
      <c r="J452" s="25" t="s">
        <v>882</v>
      </c>
    </row>
    <row r="453" spans="1:10" x14ac:dyDescent="0.2">
      <c r="A453" s="25" t="s">
        <v>899</v>
      </c>
      <c r="B453" s="25" t="s">
        <v>861</v>
      </c>
      <c r="C453" s="25" t="s">
        <v>877</v>
      </c>
      <c r="D453" s="25" t="s">
        <v>899</v>
      </c>
      <c r="H453" s="25" t="s">
        <v>5981</v>
      </c>
      <c r="J453" s="25" t="s">
        <v>884</v>
      </c>
    </row>
    <row r="454" spans="1:10" x14ac:dyDescent="0.2">
      <c r="A454" s="25" t="s">
        <v>900</v>
      </c>
      <c r="B454" s="25" t="s">
        <v>863</v>
      </c>
      <c r="C454" s="25" t="s">
        <v>879</v>
      </c>
      <c r="D454" s="25" t="s">
        <v>900</v>
      </c>
    </row>
    <row r="455" spans="1:10" x14ac:dyDescent="0.2">
      <c r="A455" s="25" t="s">
        <v>901</v>
      </c>
      <c r="B455" s="25" t="s">
        <v>865</v>
      </c>
      <c r="C455" s="25" t="s">
        <v>881</v>
      </c>
      <c r="D455" s="25" t="s">
        <v>901</v>
      </c>
      <c r="J455" s="25" t="s">
        <v>886</v>
      </c>
    </row>
    <row r="456" spans="1:10" x14ac:dyDescent="0.2">
      <c r="A456" s="25" t="s">
        <v>902</v>
      </c>
      <c r="B456" s="25" t="s">
        <v>867</v>
      </c>
      <c r="C456" s="25" t="s">
        <v>883</v>
      </c>
      <c r="D456" s="25" t="s">
        <v>902</v>
      </c>
      <c r="J456" s="25" t="s">
        <v>888</v>
      </c>
    </row>
    <row r="457" spans="1:10" x14ac:dyDescent="0.2">
      <c r="A457" s="25" t="s">
        <v>903</v>
      </c>
      <c r="B457" s="25" t="s">
        <v>869</v>
      </c>
      <c r="C457" s="25" t="s">
        <v>885</v>
      </c>
      <c r="D457" s="25" t="s">
        <v>903</v>
      </c>
      <c r="J457" s="25" t="s">
        <v>890</v>
      </c>
    </row>
    <row r="458" spans="1:10" x14ac:dyDescent="0.2">
      <c r="A458" s="25" t="s">
        <v>904</v>
      </c>
      <c r="B458" s="25" t="s">
        <v>871</v>
      </c>
      <c r="C458" s="25" t="s">
        <v>887</v>
      </c>
      <c r="D458" s="25" t="s">
        <v>904</v>
      </c>
      <c r="J458" s="25" t="s">
        <v>892</v>
      </c>
    </row>
    <row r="459" spans="1:10" x14ac:dyDescent="0.2">
      <c r="A459" s="25" t="s">
        <v>905</v>
      </c>
      <c r="B459" s="25" t="s">
        <v>873</v>
      </c>
      <c r="C459" s="25" t="s">
        <v>889</v>
      </c>
      <c r="D459" s="25" t="s">
        <v>905</v>
      </c>
      <c r="J459" s="25" t="s">
        <v>894</v>
      </c>
    </row>
    <row r="460" spans="1:10" x14ac:dyDescent="0.2">
      <c r="A460" s="25" t="s">
        <v>906</v>
      </c>
      <c r="B460" s="25" t="s">
        <v>875</v>
      </c>
      <c r="C460" s="25" t="s">
        <v>891</v>
      </c>
      <c r="D460" s="25" t="s">
        <v>906</v>
      </c>
    </row>
    <row r="461" spans="1:10" x14ac:dyDescent="0.2">
      <c r="A461" s="25" t="s">
        <v>907</v>
      </c>
      <c r="B461" s="25" t="s">
        <v>877</v>
      </c>
      <c r="C461" s="25" t="s">
        <v>893</v>
      </c>
      <c r="D461" s="25" t="s">
        <v>907</v>
      </c>
    </row>
    <row r="462" spans="1:10" x14ac:dyDescent="0.2">
      <c r="A462" s="25" t="s">
        <v>908</v>
      </c>
      <c r="B462" s="25" t="s">
        <v>879</v>
      </c>
      <c r="C462" s="25" t="s">
        <v>895</v>
      </c>
      <c r="D462" s="25" t="s">
        <v>908</v>
      </c>
    </row>
    <row r="463" spans="1:10" x14ac:dyDescent="0.2">
      <c r="A463" s="25" t="s">
        <v>909</v>
      </c>
      <c r="B463" s="25" t="s">
        <v>881</v>
      </c>
      <c r="C463" s="25" t="s">
        <v>896</v>
      </c>
      <c r="D463" s="25" t="s">
        <v>909</v>
      </c>
    </row>
    <row r="464" spans="1:10" x14ac:dyDescent="0.2">
      <c r="A464" s="25" t="s">
        <v>910</v>
      </c>
      <c r="B464" s="25" t="s">
        <v>883</v>
      </c>
      <c r="C464" s="25" t="s">
        <v>897</v>
      </c>
      <c r="D464" s="25" t="s">
        <v>910</v>
      </c>
    </row>
    <row r="465" spans="1:4" x14ac:dyDescent="0.2">
      <c r="A465" s="25" t="s">
        <v>911</v>
      </c>
      <c r="B465" s="25" t="s">
        <v>885</v>
      </c>
      <c r="C465" s="25" t="s">
        <v>898</v>
      </c>
      <c r="D465" s="25" t="s">
        <v>911</v>
      </c>
    </row>
    <row r="466" spans="1:4" x14ac:dyDescent="0.2">
      <c r="A466" s="25" t="s">
        <v>912</v>
      </c>
      <c r="B466" s="25" t="s">
        <v>887</v>
      </c>
      <c r="C466" s="25" t="s">
        <v>899</v>
      </c>
      <c r="D466" s="25" t="s">
        <v>912</v>
      </c>
    </row>
    <row r="467" spans="1:4" x14ac:dyDescent="0.2">
      <c r="A467" s="25" t="s">
        <v>913</v>
      </c>
      <c r="B467" s="25" t="s">
        <v>889</v>
      </c>
      <c r="C467" s="25" t="s">
        <v>900</v>
      </c>
      <c r="D467" s="25" t="s">
        <v>913</v>
      </c>
    </row>
    <row r="468" spans="1:4" x14ac:dyDescent="0.2">
      <c r="A468" s="25" t="s">
        <v>914</v>
      </c>
      <c r="B468" s="25" t="s">
        <v>891</v>
      </c>
      <c r="C468" s="25" t="s">
        <v>901</v>
      </c>
      <c r="D468" s="25" t="s">
        <v>914</v>
      </c>
    </row>
    <row r="469" spans="1:4" x14ac:dyDescent="0.2">
      <c r="A469" s="25" t="s">
        <v>915</v>
      </c>
      <c r="B469" s="25" t="s">
        <v>893</v>
      </c>
      <c r="C469" s="25" t="s">
        <v>902</v>
      </c>
      <c r="D469" s="25" t="s">
        <v>915</v>
      </c>
    </row>
    <row r="470" spans="1:4" x14ac:dyDescent="0.2">
      <c r="A470" s="25" t="s">
        <v>916</v>
      </c>
      <c r="B470" s="25" t="s">
        <v>895</v>
      </c>
      <c r="C470" s="25" t="s">
        <v>903</v>
      </c>
      <c r="D470" s="25" t="s">
        <v>916</v>
      </c>
    </row>
    <row r="471" spans="1:4" x14ac:dyDescent="0.2">
      <c r="A471" s="25" t="s">
        <v>917</v>
      </c>
      <c r="B471" s="25" t="s">
        <v>896</v>
      </c>
      <c r="C471" s="25" t="s">
        <v>904</v>
      </c>
      <c r="D471" s="25" t="s">
        <v>917</v>
      </c>
    </row>
    <row r="472" spans="1:4" x14ac:dyDescent="0.2">
      <c r="A472" s="25" t="s">
        <v>918</v>
      </c>
      <c r="B472" s="25" t="s">
        <v>897</v>
      </c>
      <c r="C472" s="25" t="s">
        <v>905</v>
      </c>
      <c r="D472" s="25" t="s">
        <v>918</v>
      </c>
    </row>
    <row r="473" spans="1:4" x14ac:dyDescent="0.2">
      <c r="A473" s="25" t="s">
        <v>5914</v>
      </c>
      <c r="B473" s="25" t="s">
        <v>898</v>
      </c>
      <c r="C473" s="25" t="s">
        <v>906</v>
      </c>
      <c r="D473" s="25" t="s">
        <v>5914</v>
      </c>
    </row>
    <row r="474" spans="1:4" x14ac:dyDescent="0.2">
      <c r="A474" s="25" t="s">
        <v>5915</v>
      </c>
      <c r="B474" s="25" t="s">
        <v>899</v>
      </c>
      <c r="C474" s="25" t="s">
        <v>907</v>
      </c>
      <c r="D474" s="25" t="s">
        <v>5915</v>
      </c>
    </row>
    <row r="475" spans="1:4" x14ac:dyDescent="0.2">
      <c r="A475" s="25" t="s">
        <v>5916</v>
      </c>
      <c r="B475" s="25" t="s">
        <v>900</v>
      </c>
      <c r="C475" s="25" t="s">
        <v>908</v>
      </c>
      <c r="D475" s="25" t="s">
        <v>5916</v>
      </c>
    </row>
    <row r="476" spans="1:4" x14ac:dyDescent="0.2">
      <c r="A476" s="25" t="s">
        <v>5917</v>
      </c>
      <c r="B476" s="25" t="s">
        <v>901</v>
      </c>
      <c r="C476" s="25" t="s">
        <v>909</v>
      </c>
      <c r="D476" s="25" t="s">
        <v>5917</v>
      </c>
    </row>
    <row r="477" spans="1:4" x14ac:dyDescent="0.2">
      <c r="A477" s="25" t="s">
        <v>5918</v>
      </c>
      <c r="B477" s="25" t="s">
        <v>902</v>
      </c>
      <c r="C477" s="25" t="s">
        <v>910</v>
      </c>
      <c r="D477" s="25" t="s">
        <v>5918</v>
      </c>
    </row>
    <row r="478" spans="1:4" x14ac:dyDescent="0.2">
      <c r="A478" s="25" t="s">
        <v>5919</v>
      </c>
      <c r="B478" s="25" t="s">
        <v>903</v>
      </c>
      <c r="C478" s="25" t="s">
        <v>911</v>
      </c>
      <c r="D478" s="25" t="s">
        <v>5919</v>
      </c>
    </row>
    <row r="479" spans="1:4" x14ac:dyDescent="0.2">
      <c r="A479" s="25" t="s">
        <v>5920</v>
      </c>
      <c r="B479" s="25" t="s">
        <v>904</v>
      </c>
      <c r="C479" s="25" t="s">
        <v>912</v>
      </c>
      <c r="D479" s="25" t="s">
        <v>5920</v>
      </c>
    </row>
    <row r="480" spans="1:4" x14ac:dyDescent="0.2">
      <c r="A480" s="25" t="s">
        <v>5921</v>
      </c>
      <c r="B480" s="25" t="s">
        <v>905</v>
      </c>
      <c r="C480" s="25" t="s">
        <v>913</v>
      </c>
      <c r="D480" s="25" t="s">
        <v>5921</v>
      </c>
    </row>
    <row r="481" spans="1:4" x14ac:dyDescent="0.2">
      <c r="A481" s="25" t="s">
        <v>5922</v>
      </c>
      <c r="B481" s="25" t="s">
        <v>906</v>
      </c>
      <c r="C481" s="25" t="s">
        <v>914</v>
      </c>
      <c r="D481" s="25" t="s">
        <v>5922</v>
      </c>
    </row>
    <row r="482" spans="1:4" x14ac:dyDescent="0.2">
      <c r="A482" s="25" t="s">
        <v>5923</v>
      </c>
      <c r="B482" s="25" t="s">
        <v>907</v>
      </c>
      <c r="C482" s="25" t="s">
        <v>915</v>
      </c>
      <c r="D482" s="25" t="s">
        <v>5923</v>
      </c>
    </row>
    <row r="483" spans="1:4" x14ac:dyDescent="0.2">
      <c r="A483" s="25" t="s">
        <v>5924</v>
      </c>
      <c r="B483" s="25" t="s">
        <v>908</v>
      </c>
      <c r="C483" s="25" t="s">
        <v>916</v>
      </c>
      <c r="D483" s="25" t="s">
        <v>5924</v>
      </c>
    </row>
    <row r="484" spans="1:4" x14ac:dyDescent="0.2">
      <c r="A484" s="25" t="s">
        <v>5925</v>
      </c>
      <c r="B484" s="25" t="s">
        <v>909</v>
      </c>
      <c r="C484" s="25" t="s">
        <v>917</v>
      </c>
      <c r="D484" s="25" t="s">
        <v>5925</v>
      </c>
    </row>
    <row r="485" spans="1:4" x14ac:dyDescent="0.2">
      <c r="A485" s="25" t="s">
        <v>5939</v>
      </c>
      <c r="B485" s="25" t="s">
        <v>910</v>
      </c>
      <c r="C485" s="25" t="s">
        <v>918</v>
      </c>
      <c r="D485" s="25" t="s">
        <v>5939</v>
      </c>
    </row>
    <row r="486" spans="1:4" x14ac:dyDescent="0.2">
      <c r="A486" s="25" t="s">
        <v>5926</v>
      </c>
      <c r="B486" s="25" t="s">
        <v>911</v>
      </c>
      <c r="C486" s="25" t="s">
        <v>5914</v>
      </c>
      <c r="D486" s="25" t="s">
        <v>5926</v>
      </c>
    </row>
    <row r="487" spans="1:4" x14ac:dyDescent="0.2">
      <c r="A487" s="25" t="s">
        <v>5927</v>
      </c>
      <c r="B487" s="25" t="s">
        <v>912</v>
      </c>
      <c r="C487" s="25" t="s">
        <v>5915</v>
      </c>
      <c r="D487" s="25" t="s">
        <v>5927</v>
      </c>
    </row>
    <row r="488" spans="1:4" x14ac:dyDescent="0.2">
      <c r="A488" s="25" t="s">
        <v>5929</v>
      </c>
      <c r="B488" s="25" t="s">
        <v>913</v>
      </c>
      <c r="C488" s="25" t="s">
        <v>5916</v>
      </c>
      <c r="D488" s="25" t="s">
        <v>5929</v>
      </c>
    </row>
    <row r="489" spans="1:4" x14ac:dyDescent="0.2">
      <c r="A489" s="25" t="s">
        <v>5928</v>
      </c>
      <c r="B489" s="25" t="s">
        <v>914</v>
      </c>
      <c r="C489" s="25" t="s">
        <v>5917</v>
      </c>
      <c r="D489" s="25" t="s">
        <v>5928</v>
      </c>
    </row>
    <row r="490" spans="1:4" x14ac:dyDescent="0.2">
      <c r="A490" s="25" t="s">
        <v>5930</v>
      </c>
      <c r="B490" s="25" t="s">
        <v>915</v>
      </c>
      <c r="C490" s="25" t="s">
        <v>5918</v>
      </c>
      <c r="D490" s="25" t="s">
        <v>5930</v>
      </c>
    </row>
    <row r="491" spans="1:4" x14ac:dyDescent="0.2">
      <c r="A491" s="25" t="s">
        <v>5931</v>
      </c>
      <c r="B491" s="25" t="s">
        <v>916</v>
      </c>
      <c r="C491" s="25" t="s">
        <v>5919</v>
      </c>
      <c r="D491" s="25" t="s">
        <v>5931</v>
      </c>
    </row>
    <row r="492" spans="1:4" x14ac:dyDescent="0.2">
      <c r="A492" s="25" t="s">
        <v>5932</v>
      </c>
      <c r="B492" s="25" t="s">
        <v>917</v>
      </c>
      <c r="C492" s="25" t="s">
        <v>5920</v>
      </c>
      <c r="D492" s="25" t="s">
        <v>5932</v>
      </c>
    </row>
    <row r="493" spans="1:4" x14ac:dyDescent="0.2">
      <c r="A493" s="25" t="s">
        <v>5933</v>
      </c>
      <c r="B493" s="25" t="s">
        <v>918</v>
      </c>
      <c r="C493" s="25" t="s">
        <v>5921</v>
      </c>
      <c r="D493" s="25" t="s">
        <v>5933</v>
      </c>
    </row>
    <row r="494" spans="1:4" x14ac:dyDescent="0.2">
      <c r="A494" s="25" t="s">
        <v>5943</v>
      </c>
      <c r="B494" s="25" t="s">
        <v>5914</v>
      </c>
      <c r="C494" s="25" t="s">
        <v>5922</v>
      </c>
      <c r="D494" s="25" t="s">
        <v>5943</v>
      </c>
    </row>
    <row r="495" spans="1:4" x14ac:dyDescent="0.2">
      <c r="A495" s="25" t="s">
        <v>5944</v>
      </c>
      <c r="B495" s="25" t="s">
        <v>5915</v>
      </c>
      <c r="C495" s="25" t="s">
        <v>5923</v>
      </c>
      <c r="D495" s="25" t="s">
        <v>5944</v>
      </c>
    </row>
    <row r="496" spans="1:4" x14ac:dyDescent="0.2">
      <c r="A496" s="25" t="s">
        <v>5945</v>
      </c>
      <c r="B496" s="25" t="s">
        <v>5916</v>
      </c>
      <c r="C496" s="25" t="s">
        <v>5924</v>
      </c>
      <c r="D496" s="25" t="s">
        <v>5945</v>
      </c>
    </row>
    <row r="497" spans="1:4" x14ac:dyDescent="0.2">
      <c r="A497" s="25" t="s">
        <v>5946</v>
      </c>
      <c r="B497" s="25" t="s">
        <v>5917</v>
      </c>
      <c r="C497" s="25" t="s">
        <v>5925</v>
      </c>
      <c r="D497" s="25" t="s">
        <v>5946</v>
      </c>
    </row>
    <row r="498" spans="1:4" x14ac:dyDescent="0.2">
      <c r="A498" s="25" t="s">
        <v>5947</v>
      </c>
      <c r="B498" s="25" t="s">
        <v>5918</v>
      </c>
      <c r="C498" s="25" t="s">
        <v>5939</v>
      </c>
      <c r="D498" s="25" t="s">
        <v>5947</v>
      </c>
    </row>
    <row r="499" spans="1:4" x14ac:dyDescent="0.2">
      <c r="A499" s="25" t="s">
        <v>5948</v>
      </c>
      <c r="B499" s="25" t="s">
        <v>5919</v>
      </c>
      <c r="C499" s="25" t="s">
        <v>5926</v>
      </c>
      <c r="D499" s="25" t="s">
        <v>5948</v>
      </c>
    </row>
    <row r="500" spans="1:4" x14ac:dyDescent="0.2">
      <c r="A500" s="25" t="s">
        <v>5949</v>
      </c>
      <c r="B500" s="25" t="s">
        <v>5920</v>
      </c>
      <c r="C500" s="25" t="s">
        <v>5927</v>
      </c>
      <c r="D500" s="25" t="s">
        <v>5949</v>
      </c>
    </row>
    <row r="501" spans="1:4" x14ac:dyDescent="0.2">
      <c r="A501" s="25" t="s">
        <v>5950</v>
      </c>
      <c r="B501" s="25" t="s">
        <v>5921</v>
      </c>
      <c r="C501" s="25" t="s">
        <v>5929</v>
      </c>
      <c r="D501" s="25" t="s">
        <v>5950</v>
      </c>
    </row>
    <row r="502" spans="1:4" x14ac:dyDescent="0.2">
      <c r="A502" s="25" t="s">
        <v>5951</v>
      </c>
      <c r="B502" s="25" t="s">
        <v>5922</v>
      </c>
      <c r="C502" s="25" t="s">
        <v>5928</v>
      </c>
      <c r="D502" s="25" t="s">
        <v>5951</v>
      </c>
    </row>
    <row r="503" spans="1:4" x14ac:dyDescent="0.2">
      <c r="A503" s="25" t="s">
        <v>5952</v>
      </c>
      <c r="B503" s="25" t="s">
        <v>5923</v>
      </c>
      <c r="C503" s="25" t="s">
        <v>5930</v>
      </c>
      <c r="D503" s="25" t="s">
        <v>5952</v>
      </c>
    </row>
    <row r="504" spans="1:4" x14ac:dyDescent="0.2">
      <c r="A504" s="25" t="s">
        <v>5953</v>
      </c>
      <c r="B504" s="25" t="s">
        <v>5924</v>
      </c>
      <c r="C504" s="25" t="s">
        <v>5931</v>
      </c>
      <c r="D504" s="25" t="s">
        <v>5953</v>
      </c>
    </row>
    <row r="505" spans="1:4" x14ac:dyDescent="0.2">
      <c r="A505" s="25" t="s">
        <v>5954</v>
      </c>
      <c r="B505" s="25" t="s">
        <v>5925</v>
      </c>
      <c r="C505" s="25" t="s">
        <v>5932</v>
      </c>
      <c r="D505" s="25" t="s">
        <v>5954</v>
      </c>
    </row>
    <row r="506" spans="1:4" x14ac:dyDescent="0.2">
      <c r="A506" s="25" t="s">
        <v>5955</v>
      </c>
      <c r="B506" s="25" t="s">
        <v>5939</v>
      </c>
      <c r="C506" s="25" t="s">
        <v>5933</v>
      </c>
      <c r="D506" s="25" t="s">
        <v>5955</v>
      </c>
    </row>
    <row r="507" spans="1:4" x14ac:dyDescent="0.2">
      <c r="A507" s="25" t="s">
        <v>5956</v>
      </c>
      <c r="B507" s="25" t="s">
        <v>5926</v>
      </c>
      <c r="C507" s="25" t="s">
        <v>5943</v>
      </c>
      <c r="D507" s="25" t="s">
        <v>5956</v>
      </c>
    </row>
    <row r="508" spans="1:4" x14ac:dyDescent="0.2">
      <c r="A508" s="25" t="s">
        <v>5957</v>
      </c>
      <c r="B508" s="25" t="s">
        <v>5927</v>
      </c>
      <c r="C508" s="25" t="s">
        <v>5944</v>
      </c>
      <c r="D508" s="25" t="s">
        <v>5957</v>
      </c>
    </row>
    <row r="509" spans="1:4" x14ac:dyDescent="0.2">
      <c r="A509" s="25" t="s">
        <v>5958</v>
      </c>
      <c r="B509" s="25" t="s">
        <v>5929</v>
      </c>
      <c r="C509" s="25" t="s">
        <v>5945</v>
      </c>
      <c r="D509" s="25" t="s">
        <v>5958</v>
      </c>
    </row>
    <row r="510" spans="1:4" x14ac:dyDescent="0.2">
      <c r="A510" s="25" t="s">
        <v>5959</v>
      </c>
      <c r="B510" s="25" t="s">
        <v>5928</v>
      </c>
      <c r="C510" s="25" t="s">
        <v>5946</v>
      </c>
      <c r="D510" s="25" t="s">
        <v>5959</v>
      </c>
    </row>
    <row r="511" spans="1:4" x14ac:dyDescent="0.2">
      <c r="A511" s="25" t="s">
        <v>5960</v>
      </c>
      <c r="B511" s="25" t="s">
        <v>5930</v>
      </c>
      <c r="C511" s="25" t="s">
        <v>5947</v>
      </c>
      <c r="D511" s="25" t="s">
        <v>5960</v>
      </c>
    </row>
    <row r="512" spans="1:4" x14ac:dyDescent="0.2">
      <c r="A512" s="25" t="s">
        <v>5961</v>
      </c>
      <c r="B512" s="25" t="s">
        <v>5931</v>
      </c>
      <c r="C512" s="25" t="s">
        <v>5948</v>
      </c>
      <c r="D512" s="25" t="s">
        <v>5961</v>
      </c>
    </row>
    <row r="513" spans="1:4" x14ac:dyDescent="0.2">
      <c r="A513" s="25" t="s">
        <v>5962</v>
      </c>
      <c r="B513" s="25" t="s">
        <v>5932</v>
      </c>
      <c r="C513" s="25" t="s">
        <v>5949</v>
      </c>
      <c r="D513" s="25" t="s">
        <v>5962</v>
      </c>
    </row>
    <row r="514" spans="1:4" x14ac:dyDescent="0.2">
      <c r="A514" s="25" t="s">
        <v>5963</v>
      </c>
      <c r="B514" s="25" t="s">
        <v>5933</v>
      </c>
      <c r="C514" s="25" t="s">
        <v>5950</v>
      </c>
      <c r="D514" s="25" t="s">
        <v>5963</v>
      </c>
    </row>
    <row r="515" spans="1:4" x14ac:dyDescent="0.2">
      <c r="A515" s="25" t="s">
        <v>5964</v>
      </c>
      <c r="B515" s="25" t="s">
        <v>5943</v>
      </c>
      <c r="C515" s="25" t="s">
        <v>5951</v>
      </c>
      <c r="D515" s="25" t="s">
        <v>5964</v>
      </c>
    </row>
    <row r="516" spans="1:4" x14ac:dyDescent="0.2">
      <c r="A516" s="25" t="s">
        <v>6004</v>
      </c>
      <c r="B516" s="25" t="s">
        <v>5944</v>
      </c>
      <c r="C516" s="25" t="s">
        <v>5952</v>
      </c>
      <c r="D516" s="25" t="s">
        <v>6004</v>
      </c>
    </row>
    <row r="517" spans="1:4" x14ac:dyDescent="0.2">
      <c r="B517" s="25" t="s">
        <v>5945</v>
      </c>
      <c r="C517" s="25" t="s">
        <v>5953</v>
      </c>
    </row>
    <row r="518" spans="1:4" x14ac:dyDescent="0.2">
      <c r="B518" s="25" t="s">
        <v>5946</v>
      </c>
      <c r="C518" s="25" t="s">
        <v>5954</v>
      </c>
      <c r="D518" s="25" t="s">
        <v>868</v>
      </c>
    </row>
    <row r="519" spans="1:4" x14ac:dyDescent="0.2">
      <c r="B519" s="25" t="s">
        <v>5947</v>
      </c>
      <c r="C519" s="25" t="s">
        <v>5955</v>
      </c>
      <c r="D519" s="25" t="s">
        <v>919</v>
      </c>
    </row>
    <row r="520" spans="1:4" x14ac:dyDescent="0.2">
      <c r="B520" s="25" t="s">
        <v>5948</v>
      </c>
      <c r="C520" s="25" t="s">
        <v>5956</v>
      </c>
      <c r="D520" s="25" t="s">
        <v>920</v>
      </c>
    </row>
    <row r="521" spans="1:4" x14ac:dyDescent="0.2">
      <c r="B521" s="25" t="s">
        <v>5949</v>
      </c>
      <c r="C521" s="25" t="s">
        <v>5957</v>
      </c>
      <c r="D521" s="25" t="s">
        <v>921</v>
      </c>
    </row>
    <row r="522" spans="1:4" x14ac:dyDescent="0.2">
      <c r="B522" s="25" t="s">
        <v>5950</v>
      </c>
      <c r="C522" s="25" t="s">
        <v>5958</v>
      </c>
      <c r="D522" s="25" t="s">
        <v>922</v>
      </c>
    </row>
    <row r="523" spans="1:4" x14ac:dyDescent="0.2">
      <c r="B523" s="25" t="s">
        <v>5951</v>
      </c>
      <c r="C523" s="25" t="s">
        <v>5959</v>
      </c>
      <c r="D523" s="25" t="s">
        <v>923</v>
      </c>
    </row>
    <row r="524" spans="1:4" x14ac:dyDescent="0.2">
      <c r="B524" s="25" t="s">
        <v>5952</v>
      </c>
      <c r="C524" s="25" t="s">
        <v>5960</v>
      </c>
      <c r="D524" s="25" t="s">
        <v>924</v>
      </c>
    </row>
    <row r="525" spans="1:4" x14ac:dyDescent="0.2">
      <c r="B525" s="25" t="s">
        <v>5953</v>
      </c>
      <c r="C525" s="25" t="s">
        <v>5961</v>
      </c>
      <c r="D525" s="25" t="s">
        <v>925</v>
      </c>
    </row>
    <row r="526" spans="1:4" x14ac:dyDescent="0.2">
      <c r="B526" s="25" t="s">
        <v>5954</v>
      </c>
      <c r="C526" s="25" t="s">
        <v>5962</v>
      </c>
      <c r="D526" s="25" t="s">
        <v>926</v>
      </c>
    </row>
    <row r="527" spans="1:4" x14ac:dyDescent="0.2">
      <c r="B527" s="25" t="s">
        <v>5955</v>
      </c>
      <c r="C527" s="25" t="s">
        <v>5963</v>
      </c>
      <c r="D527" s="25" t="s">
        <v>927</v>
      </c>
    </row>
    <row r="528" spans="1:4" x14ac:dyDescent="0.2">
      <c r="B528" s="25" t="s">
        <v>5956</v>
      </c>
      <c r="C528" s="25" t="s">
        <v>5964</v>
      </c>
      <c r="D528" s="25" t="s">
        <v>928</v>
      </c>
    </row>
    <row r="529" spans="2:4" x14ac:dyDescent="0.2">
      <c r="B529" s="25" t="s">
        <v>5957</v>
      </c>
      <c r="C529" s="25" t="s">
        <v>6004</v>
      </c>
      <c r="D529" s="25" t="s">
        <v>929</v>
      </c>
    </row>
    <row r="530" spans="2:4" x14ac:dyDescent="0.2">
      <c r="B530" s="25" t="s">
        <v>5958</v>
      </c>
      <c r="D530" s="25" t="s">
        <v>930</v>
      </c>
    </row>
    <row r="531" spans="2:4" x14ac:dyDescent="0.2">
      <c r="B531" s="25" t="s">
        <v>5959</v>
      </c>
      <c r="D531" s="25" t="s">
        <v>931</v>
      </c>
    </row>
    <row r="532" spans="2:4" x14ac:dyDescent="0.2">
      <c r="B532" s="25" t="s">
        <v>5960</v>
      </c>
      <c r="D532" s="25" t="s">
        <v>5965</v>
      </c>
    </row>
    <row r="533" spans="2:4" x14ac:dyDescent="0.2">
      <c r="B533" s="25" t="s">
        <v>5961</v>
      </c>
      <c r="D533" s="25" t="s">
        <v>5966</v>
      </c>
    </row>
    <row r="534" spans="2:4" x14ac:dyDescent="0.2">
      <c r="B534" s="25" t="s">
        <v>5962</v>
      </c>
      <c r="D534" s="25" t="s">
        <v>5967</v>
      </c>
    </row>
    <row r="535" spans="2:4" x14ac:dyDescent="0.2">
      <c r="B535" s="25" t="s">
        <v>5963</v>
      </c>
      <c r="D535" s="25" t="s">
        <v>5968</v>
      </c>
    </row>
    <row r="536" spans="2:4" x14ac:dyDescent="0.2">
      <c r="B536" s="25" t="s">
        <v>5964</v>
      </c>
      <c r="D536" s="25" t="s">
        <v>5969</v>
      </c>
    </row>
    <row r="537" spans="2:4" x14ac:dyDescent="0.2">
      <c r="B537" s="25" t="s">
        <v>6004</v>
      </c>
      <c r="D537" s="25" t="s">
        <v>5970</v>
      </c>
    </row>
    <row r="539" spans="2:4" x14ac:dyDescent="0.2">
      <c r="D539" s="25" t="s">
        <v>886</v>
      </c>
    </row>
    <row r="540" spans="2:4" x14ac:dyDescent="0.2">
      <c r="D540" s="25" t="s">
        <v>932</v>
      </c>
    </row>
    <row r="541" spans="2:4" x14ac:dyDescent="0.2">
      <c r="D541" s="25" t="s">
        <v>933</v>
      </c>
    </row>
    <row r="542" spans="2:4" x14ac:dyDescent="0.2">
      <c r="D542" s="25" t="s">
        <v>934</v>
      </c>
    </row>
    <row r="543" spans="2:4" x14ac:dyDescent="0.2">
      <c r="D543" s="25" t="s">
        <v>935</v>
      </c>
    </row>
    <row r="544" spans="2:4" x14ac:dyDescent="0.2">
      <c r="D544" s="25" t="s">
        <v>936</v>
      </c>
    </row>
    <row r="545" spans="4:4" x14ac:dyDescent="0.2">
      <c r="D545" s="25" t="s">
        <v>937</v>
      </c>
    </row>
    <row r="546" spans="4:4" x14ac:dyDescent="0.2">
      <c r="D546" s="25" t="s">
        <v>938</v>
      </c>
    </row>
    <row r="547" spans="4:4" x14ac:dyDescent="0.2">
      <c r="D547" s="25" t="s">
        <v>939</v>
      </c>
    </row>
    <row r="548" spans="4:4" x14ac:dyDescent="0.2">
      <c r="D548" s="25" t="s">
        <v>940</v>
      </c>
    </row>
    <row r="549" spans="4:4" x14ac:dyDescent="0.2">
      <c r="D549" s="25" t="s">
        <v>5971</v>
      </c>
    </row>
    <row r="550" spans="4:4" x14ac:dyDescent="0.2">
      <c r="D550" s="25" t="s">
        <v>5972</v>
      </c>
    </row>
  </sheetData>
  <sheetProtection selectLockedCells="1" selectUnlockedCells="1"/>
  <autoFilter ref="B172:B189"/>
  <sortState ref="K186:P189">
    <sortCondition ref="K186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AX9" sqref="AX9"/>
    </sheetView>
  </sheetViews>
  <sheetFormatPr baseColWidth="10" defaultColWidth="4.5703125" defaultRowHeight="8.25" x14ac:dyDescent="0.2"/>
  <cols>
    <col min="1" max="1" width="17.5703125" style="22" customWidth="1"/>
    <col min="2" max="2" width="9" style="22" customWidth="1"/>
    <col min="3" max="3" width="10.5703125" style="22" customWidth="1"/>
    <col min="4" max="4" width="17.28515625" style="22" customWidth="1"/>
    <col min="5" max="5" width="60.28515625" style="22" customWidth="1"/>
    <col min="6" max="6" width="15.28515625" style="22" customWidth="1"/>
    <col min="7" max="8" width="4.5703125" style="22"/>
    <col min="9" max="9" width="5" style="22" customWidth="1"/>
    <col min="10" max="11" width="9.140625" style="22" customWidth="1"/>
    <col min="12" max="13" width="6.85546875" style="22" customWidth="1"/>
    <col min="14" max="14" width="7.140625" style="22" customWidth="1"/>
    <col min="15" max="15" width="13.42578125" style="22" customWidth="1"/>
    <col min="16" max="16" width="5.7109375" style="22" customWidth="1"/>
    <col min="17" max="41" width="4.5703125" style="22"/>
    <col min="42" max="42" width="11.7109375" style="22" customWidth="1"/>
    <col min="43" max="16384" width="4.5703125" style="22"/>
  </cols>
  <sheetData>
    <row r="1" spans="1:65" x14ac:dyDescent="0.2">
      <c r="A1" s="22">
        <v>1</v>
      </c>
      <c r="B1" s="1" t="s">
        <v>941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942</v>
      </c>
      <c r="D2" s="1"/>
      <c r="E2" s="1"/>
      <c r="F2" s="1"/>
      <c r="G2" s="1"/>
      <c r="W2" s="22" t="s">
        <v>943</v>
      </c>
      <c r="X2" s="22" t="s">
        <v>944</v>
      </c>
    </row>
    <row r="3" spans="1:65" x14ac:dyDescent="0.2">
      <c r="B3" s="1"/>
      <c r="C3" s="1">
        <v>3</v>
      </c>
      <c r="D3" s="1" t="s">
        <v>945</v>
      </c>
      <c r="E3" s="1"/>
      <c r="F3" s="1"/>
      <c r="G3" s="1"/>
      <c r="W3" s="22" t="s">
        <v>946</v>
      </c>
      <c r="X3" s="22" t="s">
        <v>947</v>
      </c>
    </row>
    <row r="4" spans="1:65" x14ac:dyDescent="0.2">
      <c r="B4" s="1"/>
      <c r="C4" s="1"/>
      <c r="D4" s="1">
        <v>3.1</v>
      </c>
      <c r="E4" s="1" t="s">
        <v>948</v>
      </c>
      <c r="F4" s="1"/>
      <c r="G4" s="1"/>
    </row>
    <row r="5" spans="1:65" x14ac:dyDescent="0.2">
      <c r="B5" s="1"/>
      <c r="C5" s="1">
        <v>4</v>
      </c>
      <c r="D5" s="1" t="s">
        <v>949</v>
      </c>
      <c r="E5" s="1"/>
      <c r="F5" s="1"/>
      <c r="G5" s="1"/>
      <c r="BE5" s="22" t="s">
        <v>5668</v>
      </c>
      <c r="BK5" s="22" t="s">
        <v>5667</v>
      </c>
    </row>
    <row r="6" spans="1:65" x14ac:dyDescent="0.2">
      <c r="B6" s="1"/>
      <c r="C6" s="1"/>
      <c r="D6" s="1">
        <v>4.0999999999999996</v>
      </c>
      <c r="E6" s="1" t="s">
        <v>950</v>
      </c>
      <c r="F6" s="1"/>
      <c r="G6" s="1"/>
      <c r="I6" s="18" t="s">
        <v>55</v>
      </c>
      <c r="J6" s="37" t="s">
        <v>283</v>
      </c>
      <c r="K6" s="37" t="s">
        <v>282</v>
      </c>
      <c r="L6" s="37" t="s">
        <v>284</v>
      </c>
      <c r="M6" s="18" t="s">
        <v>285</v>
      </c>
      <c r="N6" s="37" t="s">
        <v>97</v>
      </c>
      <c r="O6" s="37" t="s">
        <v>286</v>
      </c>
      <c r="P6" s="37" t="s">
        <v>33</v>
      </c>
      <c r="Q6" s="22" t="s">
        <v>288</v>
      </c>
      <c r="R6" s="22" t="s">
        <v>289</v>
      </c>
      <c r="T6" s="22" t="s">
        <v>951</v>
      </c>
      <c r="U6" s="22" t="s">
        <v>152</v>
      </c>
      <c r="AP6" s="22" t="s">
        <v>0</v>
      </c>
      <c r="AQ6" s="22" t="s">
        <v>228</v>
      </c>
      <c r="AR6" s="22" t="s">
        <v>13</v>
      </c>
      <c r="AS6" s="22" t="s">
        <v>5</v>
      </c>
      <c r="AT6" s="22" t="s">
        <v>233</v>
      </c>
      <c r="AU6" s="22" t="s">
        <v>152</v>
      </c>
      <c r="AV6" s="22" t="s">
        <v>952</v>
      </c>
      <c r="AW6" s="22" t="s">
        <v>229</v>
      </c>
      <c r="AX6" s="22" t="s">
        <v>230</v>
      </c>
      <c r="BE6" s="22" t="s">
        <v>5626</v>
      </c>
      <c r="BF6" s="22" t="s">
        <v>5627</v>
      </c>
      <c r="BG6" s="22" t="s">
        <v>5628</v>
      </c>
      <c r="BK6" s="22" t="s">
        <v>5626</v>
      </c>
      <c r="BL6" s="22" t="s">
        <v>5627</v>
      </c>
      <c r="BM6" s="22" t="s">
        <v>5628</v>
      </c>
    </row>
    <row r="7" spans="1:65" x14ac:dyDescent="0.2">
      <c r="B7" s="1"/>
      <c r="C7" s="1"/>
      <c r="D7" s="1"/>
      <c r="E7" s="1" t="s">
        <v>953</v>
      </c>
      <c r="F7" s="1" t="s">
        <v>954</v>
      </c>
      <c r="G7" s="1"/>
      <c r="I7" s="22">
        <v>1</v>
      </c>
      <c r="J7" s="22">
        <v>5</v>
      </c>
      <c r="K7" s="22">
        <v>20</v>
      </c>
      <c r="L7" s="22">
        <v>40</v>
      </c>
      <c r="M7" s="22" t="s">
        <v>430</v>
      </c>
      <c r="N7" s="22">
        <v>-4</v>
      </c>
      <c r="O7" s="22">
        <v>1</v>
      </c>
      <c r="P7" s="22">
        <v>1</v>
      </c>
      <c r="Q7" s="22">
        <v>-4</v>
      </c>
      <c r="R7" s="22">
        <v>4</v>
      </c>
      <c r="T7" s="22">
        <v>1</v>
      </c>
      <c r="U7" s="22">
        <v>1</v>
      </c>
      <c r="AI7" s="22" t="s">
        <v>955</v>
      </c>
      <c r="AK7" s="22" t="s">
        <v>956</v>
      </c>
      <c r="AM7" s="22" t="s">
        <v>957</v>
      </c>
      <c r="AP7" s="22">
        <v>0</v>
      </c>
      <c r="AQ7" s="129" t="s">
        <v>5703</v>
      </c>
      <c r="AR7" s="129" t="s">
        <v>5703</v>
      </c>
      <c r="AS7" s="22">
        <v>0</v>
      </c>
      <c r="AT7" s="129" t="s">
        <v>5703</v>
      </c>
      <c r="AU7" s="22">
        <v>0</v>
      </c>
      <c r="AV7" s="22">
        <v>0</v>
      </c>
      <c r="AW7" s="129" t="s">
        <v>5703</v>
      </c>
      <c r="AX7" s="129" t="s">
        <v>5703</v>
      </c>
      <c r="AZ7" s="22" t="s">
        <v>955</v>
      </c>
      <c r="BE7" s="22">
        <v>0</v>
      </c>
      <c r="BF7" s="22">
        <v>0</v>
      </c>
      <c r="BG7" s="129" t="s">
        <v>5703</v>
      </c>
      <c r="BK7" s="22">
        <v>0</v>
      </c>
      <c r="BL7" s="22">
        <v>0</v>
      </c>
      <c r="BM7" s="129" t="s">
        <v>5703</v>
      </c>
    </row>
    <row r="8" spans="1:65" x14ac:dyDescent="0.2">
      <c r="B8" s="1"/>
      <c r="C8" s="1"/>
      <c r="D8" s="1"/>
      <c r="E8" s="1" t="s">
        <v>958</v>
      </c>
      <c r="F8" s="1" t="s">
        <v>959</v>
      </c>
      <c r="G8" s="1"/>
      <c r="I8" s="22">
        <v>2</v>
      </c>
      <c r="J8" s="22">
        <v>5</v>
      </c>
      <c r="K8" s="22">
        <v>20</v>
      </c>
      <c r="L8" s="22">
        <v>40</v>
      </c>
      <c r="M8" s="22" t="s">
        <v>430</v>
      </c>
      <c r="N8" s="22">
        <v>-4</v>
      </c>
      <c r="O8" s="22">
        <v>1</v>
      </c>
      <c r="P8" s="22">
        <v>1</v>
      </c>
      <c r="Q8" s="22">
        <v>-4</v>
      </c>
      <c r="R8" s="22">
        <v>4</v>
      </c>
      <c r="T8" s="22">
        <v>2</v>
      </c>
      <c r="U8" s="22">
        <v>2</v>
      </c>
      <c r="AI8" s="22" t="s">
        <v>960</v>
      </c>
      <c r="AK8" s="22" t="s">
        <v>961</v>
      </c>
      <c r="AM8" s="22" t="s">
        <v>962</v>
      </c>
      <c r="AP8" s="22">
        <v>0</v>
      </c>
      <c r="AQ8" s="129" t="s">
        <v>5703</v>
      </c>
      <c r="AR8" s="129" t="s">
        <v>5703</v>
      </c>
      <c r="AS8" s="22">
        <v>0</v>
      </c>
      <c r="AT8" s="129" t="s">
        <v>5703</v>
      </c>
      <c r="AU8" s="22">
        <v>0</v>
      </c>
      <c r="AV8" s="22">
        <v>0</v>
      </c>
      <c r="AW8" s="129" t="s">
        <v>5703</v>
      </c>
      <c r="AX8" s="129" t="s">
        <v>5703</v>
      </c>
      <c r="AZ8" s="22" t="s">
        <v>960</v>
      </c>
      <c r="BD8" s="22" t="s">
        <v>5629</v>
      </c>
      <c r="BE8" s="22" t="s">
        <v>5629</v>
      </c>
      <c r="BF8" s="22">
        <v>40</v>
      </c>
      <c r="BG8" s="22" t="s">
        <v>5630</v>
      </c>
      <c r="BJ8" s="22" t="s">
        <v>5673</v>
      </c>
      <c r="BK8" s="22" t="s">
        <v>5673</v>
      </c>
      <c r="BL8" s="22">
        <v>40</v>
      </c>
      <c r="BM8" s="22" t="s">
        <v>5674</v>
      </c>
    </row>
    <row r="9" spans="1:65" x14ac:dyDescent="0.2">
      <c r="B9" s="1"/>
      <c r="C9" s="1">
        <v>5</v>
      </c>
      <c r="D9" s="1" t="s">
        <v>966</v>
      </c>
      <c r="E9" s="1"/>
      <c r="F9" s="1"/>
      <c r="G9" s="1"/>
      <c r="I9" s="22">
        <v>3</v>
      </c>
      <c r="J9" s="22">
        <v>5</v>
      </c>
      <c r="K9" s="22">
        <v>20</v>
      </c>
      <c r="L9" s="22">
        <v>40</v>
      </c>
      <c r="M9" s="22" t="s">
        <v>430</v>
      </c>
      <c r="N9" s="22">
        <v>-4</v>
      </c>
      <c r="O9" s="22">
        <v>1</v>
      </c>
      <c r="P9" s="22">
        <v>1</v>
      </c>
      <c r="Q9" s="22">
        <v>-4</v>
      </c>
      <c r="R9" s="22">
        <v>4</v>
      </c>
      <c r="T9" s="22">
        <v>3</v>
      </c>
      <c r="U9" s="22">
        <v>3</v>
      </c>
      <c r="AI9" s="22" t="s">
        <v>967</v>
      </c>
      <c r="AK9" s="22" t="s">
        <v>968</v>
      </c>
      <c r="AM9" s="22" t="s">
        <v>969</v>
      </c>
      <c r="AP9" s="22" t="s">
        <v>956</v>
      </c>
      <c r="AQ9" s="22" t="s">
        <v>963</v>
      </c>
      <c r="AR9" s="22" t="s">
        <v>148</v>
      </c>
      <c r="AS9" s="22">
        <v>0</v>
      </c>
      <c r="AT9" s="22" t="s">
        <v>964</v>
      </c>
      <c r="AU9" s="22">
        <v>20</v>
      </c>
      <c r="AV9" s="22">
        <v>10</v>
      </c>
      <c r="AW9" s="22" t="s">
        <v>965</v>
      </c>
      <c r="AZ9" s="22" t="s">
        <v>967</v>
      </c>
      <c r="BD9" s="22" t="s">
        <v>5661</v>
      </c>
      <c r="BE9" s="22" t="s">
        <v>5661</v>
      </c>
      <c r="BF9" s="22">
        <v>10</v>
      </c>
      <c r="BG9" s="22" t="s">
        <v>5662</v>
      </c>
      <c r="BJ9" s="22" t="s">
        <v>5679</v>
      </c>
      <c r="BK9" s="22" t="s">
        <v>5679</v>
      </c>
      <c r="BL9" s="22">
        <v>10</v>
      </c>
      <c r="BM9" s="22" t="s">
        <v>5680</v>
      </c>
    </row>
    <row r="10" spans="1:65" x14ac:dyDescent="0.2">
      <c r="B10" s="1"/>
      <c r="C10" s="1"/>
      <c r="D10" s="1">
        <v>5.0999999999999996</v>
      </c>
      <c r="E10" s="1" t="s">
        <v>974</v>
      </c>
      <c r="F10" s="1"/>
      <c r="G10" s="1"/>
      <c r="I10" s="22">
        <v>4</v>
      </c>
      <c r="J10" s="22">
        <v>10</v>
      </c>
      <c r="K10" s="22">
        <v>30</v>
      </c>
      <c r="L10" s="22">
        <v>30</v>
      </c>
      <c r="M10" s="22" t="s">
        <v>430</v>
      </c>
      <c r="N10" s="22">
        <v>-2</v>
      </c>
      <c r="O10" s="22">
        <v>2</v>
      </c>
      <c r="P10" s="22">
        <v>2</v>
      </c>
      <c r="Q10" s="22">
        <v>-2</v>
      </c>
      <c r="R10" s="22">
        <v>8</v>
      </c>
      <c r="T10" s="22">
        <v>4</v>
      </c>
      <c r="U10" s="22">
        <v>4</v>
      </c>
      <c r="AI10" s="22" t="s">
        <v>975</v>
      </c>
      <c r="AK10" s="22" t="s">
        <v>976</v>
      </c>
      <c r="AM10" s="22" t="s">
        <v>977</v>
      </c>
      <c r="AP10" s="22" t="s">
        <v>970</v>
      </c>
      <c r="AQ10" s="22" t="s">
        <v>971</v>
      </c>
      <c r="AR10" s="22" t="s">
        <v>148</v>
      </c>
      <c r="AS10" s="22">
        <v>10</v>
      </c>
      <c r="AT10" s="22" t="s">
        <v>972</v>
      </c>
      <c r="AU10" s="22">
        <v>50</v>
      </c>
      <c r="AV10" s="22">
        <v>20</v>
      </c>
      <c r="AW10" s="22" t="s">
        <v>973</v>
      </c>
      <c r="AZ10" s="22" t="s">
        <v>975</v>
      </c>
      <c r="BD10" s="22" t="s">
        <v>5637</v>
      </c>
      <c r="BE10" s="22" t="s">
        <v>5637</v>
      </c>
      <c r="BF10" s="22">
        <v>30</v>
      </c>
      <c r="BG10" s="22" t="s">
        <v>5638</v>
      </c>
      <c r="BJ10" s="22" t="s">
        <v>5681</v>
      </c>
      <c r="BK10" s="22" t="s">
        <v>5681</v>
      </c>
      <c r="BL10" s="22">
        <v>20</v>
      </c>
      <c r="BM10" s="22" t="s">
        <v>5682</v>
      </c>
    </row>
    <row r="11" spans="1:65" x14ac:dyDescent="0.2">
      <c r="B11" s="1"/>
      <c r="C11" s="1"/>
      <c r="D11" s="1">
        <v>5.2</v>
      </c>
      <c r="E11" s="1" t="s">
        <v>982</v>
      </c>
      <c r="F11" s="1"/>
      <c r="G11" s="1"/>
      <c r="I11" s="22">
        <v>5</v>
      </c>
      <c r="J11" s="22">
        <v>10</v>
      </c>
      <c r="K11" s="22">
        <v>30</v>
      </c>
      <c r="L11" s="22">
        <v>30</v>
      </c>
      <c r="M11" s="22" t="s">
        <v>430</v>
      </c>
      <c r="N11" s="22">
        <v>-2</v>
      </c>
      <c r="O11" s="22">
        <v>2</v>
      </c>
      <c r="P11" s="22">
        <v>2</v>
      </c>
      <c r="Q11" s="22">
        <v>-2</v>
      </c>
      <c r="R11" s="22">
        <v>8</v>
      </c>
      <c r="T11" s="22">
        <v>5</v>
      </c>
      <c r="U11" s="22">
        <v>5</v>
      </c>
      <c r="AI11" s="22" t="s">
        <v>983</v>
      </c>
      <c r="AK11" s="22" t="s">
        <v>984</v>
      </c>
      <c r="AM11" s="22" t="s">
        <v>985</v>
      </c>
      <c r="AP11" s="22" t="s">
        <v>978</v>
      </c>
      <c r="AQ11" s="22" t="s">
        <v>979</v>
      </c>
      <c r="AR11" s="22" t="s">
        <v>980</v>
      </c>
      <c r="AS11" s="22">
        <v>0</v>
      </c>
      <c r="AT11" s="22" t="s">
        <v>148</v>
      </c>
      <c r="AU11" s="22">
        <v>20</v>
      </c>
      <c r="AV11" s="22">
        <v>10</v>
      </c>
      <c r="AW11" s="22" t="s">
        <v>981</v>
      </c>
      <c r="AZ11" s="22" t="s">
        <v>983</v>
      </c>
      <c r="BD11" s="22" t="s">
        <v>5641</v>
      </c>
      <c r="BE11" s="22" t="s">
        <v>5641</v>
      </c>
      <c r="BF11" s="22">
        <v>10</v>
      </c>
      <c r="BG11" s="22" t="s">
        <v>5642</v>
      </c>
      <c r="BJ11" s="22" t="s">
        <v>5685</v>
      </c>
      <c r="BK11" s="22" t="s">
        <v>5685</v>
      </c>
      <c r="BL11" s="22">
        <v>20</v>
      </c>
      <c r="BM11" s="22" t="s">
        <v>5686</v>
      </c>
    </row>
    <row r="12" spans="1:65" x14ac:dyDescent="0.2">
      <c r="B12" s="1"/>
      <c r="C12" s="1"/>
      <c r="D12" s="1">
        <v>5.3</v>
      </c>
      <c r="E12" s="1" t="s">
        <v>990</v>
      </c>
      <c r="F12" s="1"/>
      <c r="G12" s="1"/>
      <c r="I12" s="22">
        <v>6</v>
      </c>
      <c r="J12" s="22">
        <v>10</v>
      </c>
      <c r="K12" s="22">
        <v>30</v>
      </c>
      <c r="L12" s="22">
        <v>30</v>
      </c>
      <c r="M12" s="22" t="s">
        <v>430</v>
      </c>
      <c r="N12" s="22">
        <v>-2</v>
      </c>
      <c r="O12" s="22">
        <v>2</v>
      </c>
      <c r="P12" s="22">
        <v>2</v>
      </c>
      <c r="Q12" s="22">
        <v>-2</v>
      </c>
      <c r="R12" s="22">
        <v>8</v>
      </c>
      <c r="T12" s="22">
        <v>6</v>
      </c>
      <c r="U12" s="22">
        <v>6</v>
      </c>
      <c r="AI12" s="22" t="s">
        <v>991</v>
      </c>
      <c r="AK12" s="22" t="s">
        <v>992</v>
      </c>
      <c r="AM12" s="22" t="s">
        <v>993</v>
      </c>
      <c r="AP12" s="22" t="s">
        <v>986</v>
      </c>
      <c r="AQ12" s="22" t="s">
        <v>987</v>
      </c>
      <c r="AR12" s="22" t="s">
        <v>148</v>
      </c>
      <c r="AS12" s="22">
        <v>0</v>
      </c>
      <c r="AT12" s="22" t="s">
        <v>988</v>
      </c>
      <c r="AU12" s="22">
        <v>20</v>
      </c>
      <c r="AV12" s="22">
        <v>10</v>
      </c>
      <c r="AW12" s="22" t="s">
        <v>989</v>
      </c>
      <c r="AZ12" s="22" t="s">
        <v>991</v>
      </c>
      <c r="BD12" s="22" t="s">
        <v>5651</v>
      </c>
      <c r="BE12" s="22" t="s">
        <v>5651</v>
      </c>
      <c r="BF12" s="22">
        <v>40</v>
      </c>
      <c r="BG12" s="22" t="s">
        <v>5652</v>
      </c>
      <c r="BJ12" s="22" t="s">
        <v>5671</v>
      </c>
      <c r="BK12" s="22" t="s">
        <v>5671</v>
      </c>
      <c r="BL12" s="22">
        <v>20</v>
      </c>
      <c r="BM12" s="22" t="s">
        <v>5672</v>
      </c>
    </row>
    <row r="13" spans="1:65" x14ac:dyDescent="0.2">
      <c r="B13" s="1"/>
      <c r="C13" s="1">
        <v>6</v>
      </c>
      <c r="D13" s="1" t="s">
        <v>998</v>
      </c>
      <c r="E13" s="1"/>
      <c r="F13" s="1"/>
      <c r="G13" s="1"/>
      <c r="I13" s="22">
        <v>7</v>
      </c>
      <c r="J13" s="22">
        <v>10</v>
      </c>
      <c r="K13" s="22">
        <v>30</v>
      </c>
      <c r="L13" s="22">
        <v>30</v>
      </c>
      <c r="M13" s="22" t="s">
        <v>430</v>
      </c>
      <c r="N13" s="22">
        <v>-2</v>
      </c>
      <c r="O13" s="22">
        <v>2</v>
      </c>
      <c r="P13" s="22">
        <v>2</v>
      </c>
      <c r="Q13" s="22">
        <v>-2</v>
      </c>
      <c r="R13" s="22">
        <v>8</v>
      </c>
      <c r="T13" s="22">
        <v>7</v>
      </c>
      <c r="U13" s="22">
        <v>7</v>
      </c>
      <c r="AI13" s="22" t="s">
        <v>999</v>
      </c>
      <c r="AK13" s="22" t="s">
        <v>1000</v>
      </c>
      <c r="AM13" s="22" t="s">
        <v>1001</v>
      </c>
      <c r="AP13" s="22" t="s">
        <v>994</v>
      </c>
      <c r="AQ13" s="22" t="s">
        <v>995</v>
      </c>
      <c r="AR13" s="22" t="s">
        <v>996</v>
      </c>
      <c r="AS13" s="22">
        <v>10</v>
      </c>
      <c r="AT13" s="22" t="s">
        <v>997</v>
      </c>
      <c r="AU13" s="22">
        <v>50</v>
      </c>
      <c r="AV13" s="22">
        <v>20</v>
      </c>
      <c r="AW13" s="22" t="s">
        <v>973</v>
      </c>
      <c r="AZ13" s="22" t="s">
        <v>999</v>
      </c>
      <c r="BD13" s="22" t="s">
        <v>5639</v>
      </c>
      <c r="BE13" s="22" t="s">
        <v>5639</v>
      </c>
      <c r="BF13" s="22">
        <v>10</v>
      </c>
      <c r="BG13" s="22" t="s">
        <v>5640</v>
      </c>
      <c r="BJ13" s="22" t="s">
        <v>5687</v>
      </c>
      <c r="BK13" s="22" t="s">
        <v>5687</v>
      </c>
      <c r="BL13" s="22">
        <v>10</v>
      </c>
      <c r="BM13" s="22" t="s">
        <v>5688</v>
      </c>
    </row>
    <row r="14" spans="1:65" x14ac:dyDescent="0.2">
      <c r="B14" s="1"/>
      <c r="C14" s="1"/>
      <c r="D14" s="1">
        <v>6.1</v>
      </c>
      <c r="E14" s="1" t="s">
        <v>1005</v>
      </c>
      <c r="F14" s="1"/>
      <c r="G14" s="1"/>
      <c r="I14" s="22">
        <v>8</v>
      </c>
      <c r="J14" s="22">
        <v>10</v>
      </c>
      <c r="K14" s="22">
        <v>30</v>
      </c>
      <c r="L14" s="22">
        <v>30</v>
      </c>
      <c r="M14" s="22" t="s">
        <v>430</v>
      </c>
      <c r="N14" s="22">
        <v>-2</v>
      </c>
      <c r="O14" s="22">
        <v>2</v>
      </c>
      <c r="P14" s="22">
        <v>2</v>
      </c>
      <c r="Q14" s="22">
        <v>-2</v>
      </c>
      <c r="R14" s="22">
        <v>8</v>
      </c>
      <c r="T14" s="22">
        <v>8</v>
      </c>
      <c r="U14" s="22">
        <v>8</v>
      </c>
      <c r="AI14" s="22" t="s">
        <v>1006</v>
      </c>
      <c r="AK14" s="22" t="s">
        <v>1007</v>
      </c>
      <c r="AM14" s="22" t="s">
        <v>1008</v>
      </c>
      <c r="AP14" s="22" t="s">
        <v>957</v>
      </c>
      <c r="AQ14" s="22" t="s">
        <v>1002</v>
      </c>
      <c r="AR14" s="22" t="s">
        <v>1003</v>
      </c>
      <c r="AS14" s="22">
        <v>10</v>
      </c>
      <c r="AT14" s="22" t="s">
        <v>1004</v>
      </c>
      <c r="AU14" s="22">
        <v>50</v>
      </c>
      <c r="AV14" s="22">
        <v>20</v>
      </c>
      <c r="AW14" s="22" t="s">
        <v>168</v>
      </c>
      <c r="AZ14" s="22" t="s">
        <v>1006</v>
      </c>
      <c r="BD14" s="22" t="s">
        <v>5657</v>
      </c>
      <c r="BE14" s="22" t="s">
        <v>5657</v>
      </c>
      <c r="BF14" s="22">
        <v>30</v>
      </c>
      <c r="BG14" s="22" t="s">
        <v>5658</v>
      </c>
      <c r="BJ14" s="22" t="s">
        <v>5689</v>
      </c>
      <c r="BK14" s="22" t="s">
        <v>5689</v>
      </c>
      <c r="BL14" s="22">
        <v>40</v>
      </c>
      <c r="BM14" s="22" t="s">
        <v>5690</v>
      </c>
    </row>
    <row r="15" spans="1:65" x14ac:dyDescent="0.2">
      <c r="B15" s="1"/>
      <c r="C15" s="1">
        <v>7</v>
      </c>
      <c r="D15" s="1" t="s">
        <v>1013</v>
      </c>
      <c r="E15" s="1"/>
      <c r="F15" s="1"/>
      <c r="G15" s="1"/>
      <c r="I15" s="22">
        <v>9</v>
      </c>
      <c r="J15" s="22">
        <v>10</v>
      </c>
      <c r="K15" s="22">
        <v>40</v>
      </c>
      <c r="L15" s="22">
        <v>20</v>
      </c>
      <c r="M15" s="22" t="s">
        <v>430</v>
      </c>
      <c r="N15" s="22" t="s">
        <v>430</v>
      </c>
      <c r="O15" s="22">
        <v>5</v>
      </c>
      <c r="P15" s="22">
        <v>3</v>
      </c>
      <c r="Q15" s="22">
        <v>0</v>
      </c>
      <c r="R15" s="22">
        <v>12</v>
      </c>
      <c r="T15" s="22">
        <v>9</v>
      </c>
      <c r="U15" s="22">
        <v>10</v>
      </c>
      <c r="AI15" s="22" t="s">
        <v>1014</v>
      </c>
      <c r="AK15" s="22" t="s">
        <v>1015</v>
      </c>
      <c r="AM15" s="22" t="s">
        <v>970</v>
      </c>
      <c r="AP15" s="22" t="s">
        <v>1009</v>
      </c>
      <c r="AQ15" s="22" t="s">
        <v>1010</v>
      </c>
      <c r="AR15" s="22" t="s">
        <v>1011</v>
      </c>
      <c r="AS15" s="22">
        <v>10</v>
      </c>
      <c r="AT15" s="22" t="s">
        <v>1012</v>
      </c>
      <c r="AU15" s="22">
        <v>50</v>
      </c>
      <c r="AV15" s="22">
        <v>20</v>
      </c>
      <c r="AW15" s="22" t="s">
        <v>168</v>
      </c>
      <c r="AZ15" s="22" t="s">
        <v>1014</v>
      </c>
      <c r="BD15" s="22" t="s">
        <v>5631</v>
      </c>
      <c r="BE15" s="22" t="s">
        <v>5631</v>
      </c>
      <c r="BF15" s="22">
        <v>60</v>
      </c>
      <c r="BG15" s="22" t="s">
        <v>5632</v>
      </c>
      <c r="BJ15" s="22" t="s">
        <v>5669</v>
      </c>
      <c r="BK15" s="22" t="s">
        <v>5669</v>
      </c>
      <c r="BL15" s="22">
        <v>40</v>
      </c>
      <c r="BM15" s="22" t="s">
        <v>5670</v>
      </c>
    </row>
    <row r="16" spans="1:65" x14ac:dyDescent="0.2">
      <c r="B16" s="1"/>
      <c r="C16" s="1"/>
      <c r="D16" s="1">
        <v>7.1</v>
      </c>
      <c r="E16" s="1" t="s">
        <v>1020</v>
      </c>
      <c r="F16" s="1"/>
      <c r="G16" s="1"/>
      <c r="I16" s="22">
        <v>10</v>
      </c>
      <c r="J16" s="22">
        <v>10</v>
      </c>
      <c r="K16" s="22">
        <v>40</v>
      </c>
      <c r="L16" s="22">
        <v>20</v>
      </c>
      <c r="M16" s="22" t="s">
        <v>430</v>
      </c>
      <c r="N16" s="22" t="s">
        <v>430</v>
      </c>
      <c r="O16" s="22">
        <v>5</v>
      </c>
      <c r="P16" s="22">
        <v>3</v>
      </c>
      <c r="Q16" s="22">
        <v>0</v>
      </c>
      <c r="R16" s="22">
        <v>12</v>
      </c>
      <c r="T16" s="22">
        <v>10</v>
      </c>
      <c r="U16" s="22">
        <v>15</v>
      </c>
      <c r="AI16" s="22" t="s">
        <v>1021</v>
      </c>
      <c r="AK16" s="22" t="s">
        <v>1022</v>
      </c>
      <c r="AM16" s="22" t="s">
        <v>1023</v>
      </c>
      <c r="AP16" s="22" t="s">
        <v>1016</v>
      </c>
      <c r="AQ16" s="22" t="s">
        <v>1017</v>
      </c>
      <c r="AR16" s="22" t="s">
        <v>1018</v>
      </c>
      <c r="AS16" s="22">
        <v>15</v>
      </c>
      <c r="AT16" s="22" t="s">
        <v>1019</v>
      </c>
      <c r="AU16" s="22">
        <v>50</v>
      </c>
      <c r="AV16" s="22">
        <v>20</v>
      </c>
      <c r="AW16" s="22" t="s">
        <v>38</v>
      </c>
      <c r="AZ16" s="22" t="s">
        <v>1021</v>
      </c>
      <c r="BD16" s="22" t="s">
        <v>5655</v>
      </c>
      <c r="BE16" s="22" t="s">
        <v>5655</v>
      </c>
      <c r="BF16" s="22">
        <v>10</v>
      </c>
      <c r="BG16" s="22" t="s">
        <v>5656</v>
      </c>
      <c r="BJ16" s="22" t="s">
        <v>5675</v>
      </c>
      <c r="BK16" s="22" t="s">
        <v>5675</v>
      </c>
      <c r="BL16" s="22">
        <v>30</v>
      </c>
      <c r="BM16" s="22" t="s">
        <v>5676</v>
      </c>
    </row>
    <row r="17" spans="1:65" x14ac:dyDescent="0.2">
      <c r="B17" s="1"/>
      <c r="C17" s="1"/>
      <c r="D17" s="1"/>
      <c r="E17" s="1" t="s">
        <v>1027</v>
      </c>
      <c r="F17" s="1" t="s">
        <v>1028</v>
      </c>
      <c r="G17" s="1"/>
      <c r="I17" s="22">
        <v>11</v>
      </c>
      <c r="J17" s="22">
        <v>10</v>
      </c>
      <c r="K17" s="22">
        <v>40</v>
      </c>
      <c r="L17" s="22">
        <v>20</v>
      </c>
      <c r="M17" s="22" t="s">
        <v>430</v>
      </c>
      <c r="N17" s="22" t="s">
        <v>430</v>
      </c>
      <c r="O17" s="22">
        <v>5</v>
      </c>
      <c r="P17" s="22">
        <v>3</v>
      </c>
      <c r="Q17" s="22">
        <v>0</v>
      </c>
      <c r="R17" s="22">
        <v>12</v>
      </c>
      <c r="T17" s="22">
        <v>11</v>
      </c>
      <c r="U17" s="22">
        <v>20</v>
      </c>
      <c r="AI17" s="22" t="s">
        <v>1029</v>
      </c>
      <c r="AK17" s="22" t="s">
        <v>1030</v>
      </c>
      <c r="AM17" s="22" t="s">
        <v>1031</v>
      </c>
      <c r="AP17" s="22" t="s">
        <v>1024</v>
      </c>
      <c r="AQ17" s="22" t="s">
        <v>1025</v>
      </c>
      <c r="AR17" s="22" t="s">
        <v>1018</v>
      </c>
      <c r="AS17" s="22">
        <v>10</v>
      </c>
      <c r="AT17" s="22" t="s">
        <v>1026</v>
      </c>
      <c r="AU17" s="22">
        <v>50</v>
      </c>
      <c r="AV17" s="22">
        <v>20</v>
      </c>
      <c r="AW17" s="22" t="s">
        <v>168</v>
      </c>
      <c r="AZ17" s="22" t="s">
        <v>1029</v>
      </c>
      <c r="BD17" s="22" t="s">
        <v>5653</v>
      </c>
      <c r="BE17" s="22" t="s">
        <v>5653</v>
      </c>
      <c r="BF17" s="22">
        <v>20</v>
      </c>
      <c r="BG17" s="22" t="s">
        <v>5654</v>
      </c>
      <c r="BJ17" s="22" t="s">
        <v>5677</v>
      </c>
      <c r="BK17" s="22" t="s">
        <v>5677</v>
      </c>
      <c r="BL17" s="22">
        <v>20</v>
      </c>
      <c r="BM17" s="22" t="s">
        <v>5678</v>
      </c>
    </row>
    <row r="18" spans="1:65" x14ac:dyDescent="0.2">
      <c r="B18" s="1"/>
      <c r="C18" s="1"/>
      <c r="D18" s="1">
        <v>7.2</v>
      </c>
      <c r="E18" s="1" t="s">
        <v>1035</v>
      </c>
      <c r="F18" s="1"/>
      <c r="G18" s="1"/>
      <c r="I18" s="22">
        <v>12</v>
      </c>
      <c r="J18" s="22">
        <v>10</v>
      </c>
      <c r="K18" s="22">
        <v>40</v>
      </c>
      <c r="L18" s="22">
        <v>20</v>
      </c>
      <c r="M18" s="22" t="s">
        <v>430</v>
      </c>
      <c r="N18" s="22" t="s">
        <v>430</v>
      </c>
      <c r="O18" s="22">
        <v>5</v>
      </c>
      <c r="P18" s="22">
        <v>3</v>
      </c>
      <c r="Q18" s="22">
        <v>0</v>
      </c>
      <c r="R18" s="22">
        <v>12</v>
      </c>
      <c r="T18" s="22">
        <v>12</v>
      </c>
      <c r="U18" s="22">
        <v>30</v>
      </c>
      <c r="AI18" s="22" t="s">
        <v>1036</v>
      </c>
      <c r="AK18" s="22" t="s">
        <v>1037</v>
      </c>
      <c r="AM18" s="22" t="s">
        <v>1038</v>
      </c>
      <c r="AP18" s="22" t="s">
        <v>1032</v>
      </c>
      <c r="AQ18" s="22" t="s">
        <v>1033</v>
      </c>
      <c r="AR18" s="22" t="s">
        <v>148</v>
      </c>
      <c r="AS18" s="22">
        <v>0</v>
      </c>
      <c r="AT18" s="22" t="s">
        <v>1034</v>
      </c>
      <c r="AU18" s="22">
        <v>20</v>
      </c>
      <c r="AV18" s="22">
        <v>10</v>
      </c>
      <c r="AW18" s="22" t="s">
        <v>965</v>
      </c>
      <c r="AZ18" s="22" t="s">
        <v>1036</v>
      </c>
      <c r="BD18" s="22" t="s">
        <v>5635</v>
      </c>
      <c r="BE18" s="22" t="s">
        <v>5635</v>
      </c>
      <c r="BF18" s="22">
        <v>20</v>
      </c>
      <c r="BG18" s="22" t="s">
        <v>5636</v>
      </c>
      <c r="BJ18" s="22" t="s">
        <v>5683</v>
      </c>
      <c r="BK18" s="22" t="s">
        <v>5683</v>
      </c>
      <c r="BL18" s="22">
        <v>20</v>
      </c>
      <c r="BM18" s="22" t="s">
        <v>5684</v>
      </c>
    </row>
    <row r="19" spans="1:65" x14ac:dyDescent="0.2">
      <c r="B19" s="1"/>
      <c r="C19" s="1"/>
      <c r="D19" s="1">
        <v>7.3</v>
      </c>
      <c r="E19" s="1" t="s">
        <v>1044</v>
      </c>
      <c r="F19" s="1"/>
      <c r="G19" s="1"/>
      <c r="I19" s="22">
        <v>13</v>
      </c>
      <c r="J19" s="22">
        <v>10</v>
      </c>
      <c r="K19" s="22">
        <v>40</v>
      </c>
      <c r="L19" s="22">
        <v>20</v>
      </c>
      <c r="M19" s="22" t="s">
        <v>430</v>
      </c>
      <c r="N19" s="22" t="s">
        <v>430</v>
      </c>
      <c r="O19" s="22">
        <v>5</v>
      </c>
      <c r="P19" s="22">
        <v>3</v>
      </c>
      <c r="Q19" s="22">
        <v>0</v>
      </c>
      <c r="R19" s="22">
        <v>12</v>
      </c>
      <c r="T19" s="22">
        <v>13</v>
      </c>
      <c r="U19" s="22">
        <v>40</v>
      </c>
      <c r="AI19" s="22" t="s">
        <v>1045</v>
      </c>
      <c r="AK19" s="22" t="s">
        <v>978</v>
      </c>
      <c r="AM19" s="22" t="s">
        <v>1046</v>
      </c>
      <c r="AP19" s="22" t="s">
        <v>1039</v>
      </c>
      <c r="AQ19" s="22" t="s">
        <v>1040</v>
      </c>
      <c r="AR19" s="22" t="s">
        <v>1041</v>
      </c>
      <c r="AS19" s="22">
        <v>10</v>
      </c>
      <c r="AT19" s="22" t="s">
        <v>1042</v>
      </c>
      <c r="AU19" s="22">
        <v>50</v>
      </c>
      <c r="AV19" s="22">
        <v>20</v>
      </c>
      <c r="AW19" s="22" t="s">
        <v>1043</v>
      </c>
      <c r="AZ19" s="22" t="s">
        <v>1045</v>
      </c>
      <c r="BD19" s="22" t="s">
        <v>5649</v>
      </c>
      <c r="BE19" s="22" t="s">
        <v>5649</v>
      </c>
      <c r="BF19" s="22">
        <v>20</v>
      </c>
      <c r="BG19" s="22" t="s">
        <v>5650</v>
      </c>
    </row>
    <row r="20" spans="1:65" x14ac:dyDescent="0.2">
      <c r="B20" s="1"/>
      <c r="C20" s="1"/>
      <c r="D20" s="1"/>
      <c r="E20" s="1" t="s">
        <v>1051</v>
      </c>
      <c r="F20" s="1" t="s">
        <v>1052</v>
      </c>
      <c r="G20" s="1"/>
      <c r="I20" s="22">
        <v>14</v>
      </c>
      <c r="J20" s="22">
        <v>10</v>
      </c>
      <c r="K20" s="22">
        <v>40</v>
      </c>
      <c r="L20" s="22">
        <v>20</v>
      </c>
      <c r="M20" s="22" t="s">
        <v>430</v>
      </c>
      <c r="N20" s="22" t="s">
        <v>430</v>
      </c>
      <c r="O20" s="22">
        <v>5</v>
      </c>
      <c r="P20" s="22">
        <v>3</v>
      </c>
      <c r="Q20" s="22">
        <v>0</v>
      </c>
      <c r="R20" s="22">
        <v>12</v>
      </c>
      <c r="T20" s="22">
        <v>14</v>
      </c>
      <c r="U20" s="22">
        <v>50</v>
      </c>
      <c r="AI20" s="22" t="s">
        <v>1053</v>
      </c>
      <c r="AK20" s="22" t="s">
        <v>1054</v>
      </c>
      <c r="AM20" s="22" t="s">
        <v>1055</v>
      </c>
      <c r="AP20" s="22" t="s">
        <v>1047</v>
      </c>
      <c r="AQ20" s="22" t="s">
        <v>1048</v>
      </c>
      <c r="AR20" s="22" t="s">
        <v>1049</v>
      </c>
      <c r="AS20" s="22">
        <v>10</v>
      </c>
      <c r="AT20" s="22" t="s">
        <v>1050</v>
      </c>
      <c r="AU20" s="22">
        <v>50</v>
      </c>
      <c r="AV20" s="22">
        <v>20</v>
      </c>
      <c r="AW20" s="22" t="s">
        <v>168</v>
      </c>
      <c r="AZ20" s="22" t="s">
        <v>1053</v>
      </c>
      <c r="BD20" s="22" t="s">
        <v>5643</v>
      </c>
      <c r="BE20" s="22" t="s">
        <v>5643</v>
      </c>
      <c r="BF20" s="22">
        <v>30</v>
      </c>
      <c r="BG20" s="22" t="s">
        <v>5644</v>
      </c>
    </row>
    <row r="21" spans="1:65" x14ac:dyDescent="0.2">
      <c r="B21" s="1"/>
      <c r="C21" s="1"/>
      <c r="D21" s="1">
        <v>7.4</v>
      </c>
      <c r="E21" s="1" t="s">
        <v>1059</v>
      </c>
      <c r="F21" s="1"/>
      <c r="G21" s="1"/>
      <c r="I21" s="22">
        <v>15</v>
      </c>
      <c r="J21" s="22">
        <v>10</v>
      </c>
      <c r="K21" s="22">
        <v>40</v>
      </c>
      <c r="L21" s="22">
        <v>20</v>
      </c>
      <c r="M21" s="22" t="s">
        <v>430</v>
      </c>
      <c r="N21" s="22" t="s">
        <v>430</v>
      </c>
      <c r="O21" s="22">
        <v>5</v>
      </c>
      <c r="P21" s="22">
        <v>3</v>
      </c>
      <c r="Q21" s="22">
        <v>0</v>
      </c>
      <c r="R21" s="22">
        <v>12</v>
      </c>
      <c r="T21" s="22">
        <v>15</v>
      </c>
      <c r="U21" s="22">
        <v>60</v>
      </c>
      <c r="AI21" s="22" t="s">
        <v>1060</v>
      </c>
      <c r="AK21" s="22" t="s">
        <v>1061</v>
      </c>
      <c r="AM21" s="22" t="s">
        <v>1062</v>
      </c>
      <c r="AP21" s="22" t="s">
        <v>1056</v>
      </c>
      <c r="AQ21" s="22" t="s">
        <v>1057</v>
      </c>
      <c r="AR21" s="22" t="s">
        <v>148</v>
      </c>
      <c r="AS21" s="22">
        <v>0</v>
      </c>
      <c r="AT21" s="22" t="s">
        <v>1058</v>
      </c>
      <c r="AU21" s="22">
        <v>20</v>
      </c>
      <c r="AV21" s="22">
        <v>10</v>
      </c>
      <c r="AW21" s="22" t="s">
        <v>965</v>
      </c>
      <c r="AZ21" s="22" t="s">
        <v>1060</v>
      </c>
      <c r="BD21" s="22" t="s">
        <v>5633</v>
      </c>
      <c r="BE21" s="22" t="s">
        <v>5633</v>
      </c>
      <c r="BF21" s="22">
        <v>20</v>
      </c>
      <c r="BG21" s="22" t="s">
        <v>5634</v>
      </c>
    </row>
    <row r="22" spans="1:65" x14ac:dyDescent="0.2">
      <c r="B22" s="1"/>
      <c r="C22" s="1">
        <v>8</v>
      </c>
      <c r="D22" s="1" t="s">
        <v>1065</v>
      </c>
      <c r="E22" s="1"/>
      <c r="F22" s="1"/>
      <c r="G22" s="1"/>
      <c r="I22" s="22">
        <v>16</v>
      </c>
      <c r="J22" s="22">
        <v>10</v>
      </c>
      <c r="K22" s="22">
        <v>40</v>
      </c>
      <c r="L22" s="22">
        <v>20</v>
      </c>
      <c r="M22" s="22" t="s">
        <v>430</v>
      </c>
      <c r="N22" s="22" t="s">
        <v>430</v>
      </c>
      <c r="O22" s="22">
        <v>5</v>
      </c>
      <c r="P22" s="22">
        <v>3</v>
      </c>
      <c r="Q22" s="22">
        <v>0</v>
      </c>
      <c r="R22" s="22">
        <v>12</v>
      </c>
      <c r="AI22" s="22" t="s">
        <v>1066</v>
      </c>
      <c r="AK22" s="22" t="s">
        <v>1067</v>
      </c>
      <c r="AM22" s="22" t="s">
        <v>1068</v>
      </c>
      <c r="AP22" s="22" t="s">
        <v>1063</v>
      </c>
      <c r="AQ22" s="22" t="s">
        <v>148</v>
      </c>
      <c r="AR22" s="22" t="s">
        <v>148</v>
      </c>
      <c r="AS22" s="22">
        <v>0</v>
      </c>
      <c r="AT22" s="22" t="s">
        <v>1064</v>
      </c>
      <c r="AU22" s="22">
        <v>20</v>
      </c>
      <c r="AV22" s="22">
        <v>10</v>
      </c>
      <c r="AW22" s="22" t="s">
        <v>965</v>
      </c>
      <c r="AZ22" s="22" t="s">
        <v>1066</v>
      </c>
      <c r="BD22" s="22" t="s">
        <v>5659</v>
      </c>
      <c r="BE22" s="22" t="s">
        <v>5659</v>
      </c>
      <c r="BF22" s="22">
        <v>10</v>
      </c>
      <c r="BG22" s="22" t="s">
        <v>5660</v>
      </c>
    </row>
    <row r="23" spans="1:65" x14ac:dyDescent="0.2">
      <c r="B23" s="1"/>
      <c r="C23" s="1"/>
      <c r="D23" s="1">
        <v>8.1</v>
      </c>
      <c r="E23" s="1" t="s">
        <v>1072</v>
      </c>
      <c r="F23" s="1"/>
      <c r="G23" s="1"/>
      <c r="I23" s="22">
        <v>17</v>
      </c>
      <c r="J23" s="22">
        <v>10</v>
      </c>
      <c r="K23" s="22">
        <v>40</v>
      </c>
      <c r="L23" s="22">
        <v>20</v>
      </c>
      <c r="M23" s="22" t="s">
        <v>430</v>
      </c>
      <c r="N23" s="22" t="s">
        <v>430</v>
      </c>
      <c r="O23" s="22">
        <v>5</v>
      </c>
      <c r="P23" s="22">
        <v>3</v>
      </c>
      <c r="Q23" s="22">
        <v>0</v>
      </c>
      <c r="R23" s="22">
        <v>12</v>
      </c>
      <c r="AI23" s="22" t="s">
        <v>1073</v>
      </c>
      <c r="AK23" s="22" t="s">
        <v>1074</v>
      </c>
      <c r="AM23" s="22" t="s">
        <v>994</v>
      </c>
      <c r="AP23" s="22" t="s">
        <v>1069</v>
      </c>
      <c r="AQ23" s="22" t="s">
        <v>1070</v>
      </c>
      <c r="AR23" s="22" t="s">
        <v>148</v>
      </c>
      <c r="AS23" s="22">
        <v>0</v>
      </c>
      <c r="AT23" s="22" t="s">
        <v>1071</v>
      </c>
      <c r="AU23" s="22">
        <v>20</v>
      </c>
      <c r="AV23" s="22">
        <v>10</v>
      </c>
      <c r="AW23" s="22" t="s">
        <v>965</v>
      </c>
      <c r="AZ23" s="22" t="s">
        <v>1073</v>
      </c>
      <c r="BD23" s="22" t="s">
        <v>5645</v>
      </c>
      <c r="BE23" s="22" t="s">
        <v>5645</v>
      </c>
      <c r="BF23" s="22">
        <v>40</v>
      </c>
      <c r="BG23" s="22" t="s">
        <v>5646</v>
      </c>
    </row>
    <row r="24" spans="1:65" x14ac:dyDescent="0.2">
      <c r="I24" s="22">
        <v>18</v>
      </c>
      <c r="J24" s="22">
        <v>10</v>
      </c>
      <c r="K24" s="22">
        <v>40</v>
      </c>
      <c r="L24" s="22">
        <v>20</v>
      </c>
      <c r="M24" s="22" t="s">
        <v>430</v>
      </c>
      <c r="N24" s="22" t="s">
        <v>430</v>
      </c>
      <c r="O24" s="22">
        <v>5</v>
      </c>
      <c r="P24" s="22">
        <v>3</v>
      </c>
      <c r="Q24" s="22">
        <v>0</v>
      </c>
      <c r="R24" s="22">
        <v>12</v>
      </c>
      <c r="AI24" s="22" t="s">
        <v>1076</v>
      </c>
      <c r="AK24" s="22" t="s">
        <v>1077</v>
      </c>
      <c r="AM24" s="22" t="s">
        <v>1078</v>
      </c>
      <c r="AP24" s="22" t="s">
        <v>976</v>
      </c>
      <c r="AQ24" s="22" t="s">
        <v>1075</v>
      </c>
      <c r="AR24" s="22" t="s">
        <v>148</v>
      </c>
      <c r="AS24" s="22">
        <v>0</v>
      </c>
      <c r="AT24" s="22" t="s">
        <v>148</v>
      </c>
      <c r="AU24" s="22">
        <v>20</v>
      </c>
      <c r="AV24" s="22">
        <v>10</v>
      </c>
      <c r="AW24" s="22" t="s">
        <v>989</v>
      </c>
      <c r="AZ24" s="22" t="s">
        <v>1076</v>
      </c>
      <c r="BD24" s="22" t="s">
        <v>5647</v>
      </c>
      <c r="BE24" s="22" t="s">
        <v>5647</v>
      </c>
      <c r="BF24" s="22">
        <v>30</v>
      </c>
      <c r="BG24" s="22" t="s">
        <v>5648</v>
      </c>
    </row>
    <row r="25" spans="1:65" x14ac:dyDescent="0.2">
      <c r="I25" s="22">
        <v>19</v>
      </c>
      <c r="J25" s="22">
        <v>10</v>
      </c>
      <c r="K25" s="22">
        <v>40</v>
      </c>
      <c r="L25" s="22">
        <v>20</v>
      </c>
      <c r="M25" s="22" t="s">
        <v>430</v>
      </c>
      <c r="N25" s="22" t="s">
        <v>430</v>
      </c>
      <c r="O25" s="22">
        <v>5</v>
      </c>
      <c r="P25" s="22">
        <v>3</v>
      </c>
      <c r="Q25" s="22">
        <v>0</v>
      </c>
      <c r="R25" s="22">
        <v>12</v>
      </c>
      <c r="AI25" s="22" t="s">
        <v>1081</v>
      </c>
      <c r="AK25" s="22" t="s">
        <v>986</v>
      </c>
      <c r="AM25" s="22" t="s">
        <v>1082</v>
      </c>
      <c r="AP25" s="22" t="s">
        <v>1079</v>
      </c>
      <c r="AQ25" s="22" t="s">
        <v>1080</v>
      </c>
      <c r="AR25" s="22" t="s">
        <v>148</v>
      </c>
      <c r="AS25" s="22">
        <v>0</v>
      </c>
      <c r="AT25" s="22" t="s">
        <v>148</v>
      </c>
      <c r="AU25" s="22">
        <v>20</v>
      </c>
      <c r="AV25" s="22">
        <v>10</v>
      </c>
      <c r="AW25" s="22" t="s">
        <v>965</v>
      </c>
      <c r="AZ25" s="22" t="s">
        <v>1081</v>
      </c>
      <c r="BD25" s="22" t="s">
        <v>5663</v>
      </c>
      <c r="BE25" s="22" t="s">
        <v>5663</v>
      </c>
      <c r="BF25" s="22">
        <v>40</v>
      </c>
      <c r="BG25" s="22" t="s">
        <v>5664</v>
      </c>
    </row>
    <row r="26" spans="1:65" x14ac:dyDescent="0.2">
      <c r="A26" s="22">
        <v>0</v>
      </c>
      <c r="B26" s="22">
        <v>0</v>
      </c>
      <c r="I26" s="22">
        <v>20</v>
      </c>
      <c r="J26" s="22">
        <v>10</v>
      </c>
      <c r="K26" s="22">
        <v>40</v>
      </c>
      <c r="L26" s="22">
        <v>20</v>
      </c>
      <c r="M26" s="22" t="s">
        <v>430</v>
      </c>
      <c r="N26" s="22" t="s">
        <v>430</v>
      </c>
      <c r="O26" s="22">
        <v>5</v>
      </c>
      <c r="P26" s="22">
        <v>3</v>
      </c>
      <c r="Q26" s="22">
        <v>0</v>
      </c>
      <c r="R26" s="22">
        <v>12</v>
      </c>
      <c r="AI26" s="22" t="s">
        <v>1085</v>
      </c>
      <c r="AK26" s="22" t="s">
        <v>1086</v>
      </c>
      <c r="AM26" s="22" t="s">
        <v>1087</v>
      </c>
      <c r="AP26" s="22" t="s">
        <v>1031</v>
      </c>
      <c r="AQ26" s="22" t="s">
        <v>1083</v>
      </c>
      <c r="AR26" s="22" t="s">
        <v>1011</v>
      </c>
      <c r="AS26" s="22">
        <v>10</v>
      </c>
      <c r="AT26" s="22" t="s">
        <v>1084</v>
      </c>
      <c r="AU26" s="22">
        <v>50</v>
      </c>
      <c r="AV26" s="22">
        <v>20</v>
      </c>
      <c r="AW26" s="22" t="s">
        <v>168</v>
      </c>
      <c r="AZ26" s="22" t="s">
        <v>1085</v>
      </c>
    </row>
    <row r="27" spans="1:65" x14ac:dyDescent="0.2">
      <c r="A27" s="22" t="s">
        <v>1090</v>
      </c>
      <c r="B27" s="22">
        <v>40</v>
      </c>
      <c r="I27" s="22">
        <v>21</v>
      </c>
      <c r="J27" s="22">
        <v>10</v>
      </c>
      <c r="K27" s="22">
        <v>40</v>
      </c>
      <c r="L27" s="22">
        <v>20</v>
      </c>
      <c r="M27" s="22" t="s">
        <v>430</v>
      </c>
      <c r="N27" s="22" t="s">
        <v>430</v>
      </c>
      <c r="O27" s="22">
        <v>5</v>
      </c>
      <c r="P27" s="22">
        <v>3</v>
      </c>
      <c r="Q27" s="22">
        <v>0</v>
      </c>
      <c r="R27" s="22">
        <v>12</v>
      </c>
      <c r="AK27" s="22" t="s">
        <v>1091</v>
      </c>
      <c r="AM27" s="22" t="s">
        <v>1039</v>
      </c>
      <c r="AP27" s="22" t="s">
        <v>1088</v>
      </c>
      <c r="AQ27" s="22" t="s">
        <v>963</v>
      </c>
      <c r="AR27" s="22" t="s">
        <v>148</v>
      </c>
      <c r="AS27" s="22">
        <v>0</v>
      </c>
      <c r="AT27" s="22" t="s">
        <v>1089</v>
      </c>
      <c r="AU27" s="22">
        <v>20</v>
      </c>
      <c r="AV27" s="22">
        <v>10</v>
      </c>
      <c r="AW27" s="22" t="s">
        <v>989</v>
      </c>
      <c r="AZ27" s="22" t="s">
        <v>956</v>
      </c>
    </row>
    <row r="28" spans="1:65" x14ac:dyDescent="0.2">
      <c r="A28" s="22" t="s">
        <v>1094</v>
      </c>
      <c r="B28" s="22">
        <v>30</v>
      </c>
      <c r="I28" s="22">
        <v>22</v>
      </c>
      <c r="J28" s="22">
        <v>10</v>
      </c>
      <c r="K28" s="22">
        <v>40</v>
      </c>
      <c r="L28" s="22">
        <v>20</v>
      </c>
      <c r="M28" s="22" t="s">
        <v>430</v>
      </c>
      <c r="N28" s="22" t="s">
        <v>430</v>
      </c>
      <c r="O28" s="22">
        <v>5</v>
      </c>
      <c r="P28" s="22">
        <v>3</v>
      </c>
      <c r="Q28" s="22">
        <v>0</v>
      </c>
      <c r="R28" s="22">
        <v>12</v>
      </c>
      <c r="AI28" s="22" t="s">
        <v>1095</v>
      </c>
      <c r="AK28" s="22" t="s">
        <v>1088</v>
      </c>
      <c r="AM28" s="22" t="s">
        <v>1096</v>
      </c>
      <c r="AP28" s="22" t="s">
        <v>1062</v>
      </c>
      <c r="AQ28" s="22" t="s">
        <v>1092</v>
      </c>
      <c r="AR28" s="22" t="s">
        <v>1018</v>
      </c>
      <c r="AS28" s="22">
        <v>10</v>
      </c>
      <c r="AT28" s="22" t="s">
        <v>1093</v>
      </c>
      <c r="AU28" s="22">
        <v>50</v>
      </c>
      <c r="AV28" s="22">
        <v>20</v>
      </c>
      <c r="AW28" s="22" t="s">
        <v>168</v>
      </c>
      <c r="AZ28" s="22" t="s">
        <v>961</v>
      </c>
    </row>
    <row r="29" spans="1:65" x14ac:dyDescent="0.2">
      <c r="A29" s="22" t="s">
        <v>1098</v>
      </c>
      <c r="B29" s="22">
        <v>20</v>
      </c>
      <c r="I29" s="22">
        <v>23</v>
      </c>
      <c r="J29" s="22">
        <v>20</v>
      </c>
      <c r="K29" s="22">
        <v>60</v>
      </c>
      <c r="L29" s="22">
        <v>10</v>
      </c>
      <c r="M29" s="22" t="s">
        <v>430</v>
      </c>
      <c r="N29" s="22" t="s">
        <v>430</v>
      </c>
      <c r="O29" s="22">
        <v>5</v>
      </c>
      <c r="P29" s="22">
        <v>4</v>
      </c>
      <c r="Q29" s="22">
        <v>4</v>
      </c>
      <c r="R29" s="22">
        <v>16</v>
      </c>
      <c r="AK29" s="22" t="s">
        <v>1099</v>
      </c>
      <c r="AM29" s="22" t="s">
        <v>1100</v>
      </c>
      <c r="AP29" s="22" t="s">
        <v>1067</v>
      </c>
      <c r="AQ29" s="22" t="s">
        <v>979</v>
      </c>
      <c r="AR29" s="22" t="s">
        <v>148</v>
      </c>
      <c r="AS29" s="22">
        <v>0</v>
      </c>
      <c r="AT29" s="22" t="s">
        <v>148</v>
      </c>
      <c r="AU29" s="22">
        <v>20</v>
      </c>
      <c r="AV29" s="22">
        <v>10</v>
      </c>
      <c r="AW29" s="22" t="s">
        <v>1097</v>
      </c>
      <c r="AZ29" s="22" t="s">
        <v>968</v>
      </c>
    </row>
    <row r="30" spans="1:65" x14ac:dyDescent="0.2">
      <c r="A30" s="22" t="s">
        <v>1103</v>
      </c>
      <c r="B30" s="22">
        <v>10</v>
      </c>
      <c r="I30" s="22">
        <v>24</v>
      </c>
      <c r="J30" s="22">
        <v>20</v>
      </c>
      <c r="K30" s="22">
        <v>60</v>
      </c>
      <c r="L30" s="22">
        <v>10</v>
      </c>
      <c r="M30" s="22" t="s">
        <v>430</v>
      </c>
      <c r="N30" s="22" t="s">
        <v>430</v>
      </c>
      <c r="O30" s="22">
        <v>5</v>
      </c>
      <c r="P30" s="22">
        <v>4</v>
      </c>
      <c r="Q30" s="22">
        <v>4</v>
      </c>
      <c r="R30" s="22">
        <v>16</v>
      </c>
      <c r="AK30" s="22" t="s">
        <v>1104</v>
      </c>
      <c r="AM30" s="22" t="s">
        <v>1105</v>
      </c>
      <c r="AP30" s="22" t="s">
        <v>1082</v>
      </c>
      <c r="AQ30" s="22" t="s">
        <v>1101</v>
      </c>
      <c r="AR30" s="22" t="s">
        <v>1018</v>
      </c>
      <c r="AS30" s="22">
        <v>15</v>
      </c>
      <c r="AT30" s="22" t="s">
        <v>1102</v>
      </c>
      <c r="AU30" s="22">
        <v>50</v>
      </c>
      <c r="AV30" s="22">
        <v>20</v>
      </c>
      <c r="AW30" s="22" t="s">
        <v>168</v>
      </c>
      <c r="AZ30" s="22" t="s">
        <v>976</v>
      </c>
    </row>
    <row r="31" spans="1:65" x14ac:dyDescent="0.2">
      <c r="A31" s="22" t="s">
        <v>1108</v>
      </c>
      <c r="B31" s="22">
        <v>10</v>
      </c>
      <c r="I31" s="22">
        <v>25</v>
      </c>
      <c r="J31" s="22">
        <v>30</v>
      </c>
      <c r="K31" s="22">
        <v>100</v>
      </c>
      <c r="L31" s="22">
        <v>0</v>
      </c>
      <c r="M31" s="22" t="s">
        <v>1109</v>
      </c>
      <c r="N31" s="22">
        <v>1</v>
      </c>
      <c r="O31" s="22">
        <v>10</v>
      </c>
      <c r="P31" s="22">
        <v>6</v>
      </c>
      <c r="Q31" s="22">
        <v>8</v>
      </c>
      <c r="R31" s="22">
        <v>20</v>
      </c>
      <c r="AK31" s="22" t="s">
        <v>1110</v>
      </c>
      <c r="AM31" s="22" t="s">
        <v>1009</v>
      </c>
      <c r="AP31" s="22" t="s">
        <v>1000</v>
      </c>
      <c r="AQ31" s="22" t="s">
        <v>1106</v>
      </c>
      <c r="AR31" s="22" t="s">
        <v>148</v>
      </c>
      <c r="AS31" s="22">
        <v>0</v>
      </c>
      <c r="AT31" s="22" t="s">
        <v>1107</v>
      </c>
      <c r="AU31" s="22">
        <v>20</v>
      </c>
      <c r="AV31" s="22">
        <v>10</v>
      </c>
      <c r="AW31" s="22" t="s">
        <v>989</v>
      </c>
      <c r="AZ31" s="22" t="s">
        <v>984</v>
      </c>
    </row>
    <row r="32" spans="1:65" x14ac:dyDescent="0.2">
      <c r="A32" s="22" t="s">
        <v>1114</v>
      </c>
      <c r="B32" s="22">
        <v>20</v>
      </c>
      <c r="I32" s="22">
        <v>26</v>
      </c>
      <c r="J32" s="22">
        <v>30</v>
      </c>
      <c r="K32" s="22">
        <v>100</v>
      </c>
      <c r="L32" s="22">
        <v>0</v>
      </c>
      <c r="M32" s="22" t="s">
        <v>1109</v>
      </c>
      <c r="N32" s="22">
        <v>1</v>
      </c>
      <c r="O32" s="22">
        <v>10</v>
      </c>
      <c r="P32" s="22">
        <v>6</v>
      </c>
      <c r="Q32" s="22">
        <v>8</v>
      </c>
      <c r="R32" s="22">
        <v>20</v>
      </c>
      <c r="AK32" s="22" t="s">
        <v>1115</v>
      </c>
      <c r="AM32" s="22" t="s">
        <v>1116</v>
      </c>
      <c r="AP32" s="22" t="s">
        <v>1111</v>
      </c>
      <c r="AQ32" s="22" t="s">
        <v>1112</v>
      </c>
      <c r="AR32" s="22" t="s">
        <v>1049</v>
      </c>
      <c r="AS32" s="22">
        <v>10</v>
      </c>
      <c r="AT32" s="22" t="s">
        <v>1113</v>
      </c>
      <c r="AU32" s="22">
        <v>50</v>
      </c>
      <c r="AV32" s="22">
        <v>20</v>
      </c>
      <c r="AW32" s="22" t="s">
        <v>168</v>
      </c>
      <c r="AZ32" s="22" t="s">
        <v>992</v>
      </c>
    </row>
    <row r="33" spans="1:52" x14ac:dyDescent="0.2">
      <c r="A33" s="22" t="s">
        <v>1118</v>
      </c>
      <c r="B33" s="22">
        <v>10</v>
      </c>
      <c r="I33" s="22">
        <v>27</v>
      </c>
      <c r="J33" s="22">
        <v>30</v>
      </c>
      <c r="K33" s="22">
        <v>100</v>
      </c>
      <c r="L33" s="22">
        <v>0</v>
      </c>
      <c r="M33" s="22" t="s">
        <v>1109</v>
      </c>
      <c r="N33" s="22">
        <v>1</v>
      </c>
      <c r="O33" s="22">
        <v>10</v>
      </c>
      <c r="P33" s="22">
        <v>6</v>
      </c>
      <c r="Q33" s="22">
        <v>8</v>
      </c>
      <c r="R33" s="22">
        <v>20</v>
      </c>
      <c r="AK33" s="22" t="s">
        <v>1119</v>
      </c>
      <c r="AM33" s="22" t="s">
        <v>1047</v>
      </c>
      <c r="AP33" s="22" t="s">
        <v>1110</v>
      </c>
      <c r="AQ33" s="22" t="s">
        <v>148</v>
      </c>
      <c r="AR33" s="22" t="s">
        <v>148</v>
      </c>
      <c r="AS33" s="22">
        <v>0</v>
      </c>
      <c r="AT33" s="22" t="s">
        <v>1117</v>
      </c>
      <c r="AU33" s="22">
        <v>20</v>
      </c>
      <c r="AV33" s="22">
        <v>10</v>
      </c>
      <c r="AW33" s="22" t="s">
        <v>965</v>
      </c>
      <c r="AZ33" s="22" t="s">
        <v>1000</v>
      </c>
    </row>
    <row r="34" spans="1:52" x14ac:dyDescent="0.2">
      <c r="A34" s="22" t="s">
        <v>1122</v>
      </c>
      <c r="B34" s="22">
        <v>20</v>
      </c>
      <c r="I34" s="22">
        <v>28</v>
      </c>
      <c r="J34" s="22">
        <v>30</v>
      </c>
      <c r="K34" s="22">
        <v>100</v>
      </c>
      <c r="L34" s="22">
        <v>0</v>
      </c>
      <c r="M34" s="22" t="s">
        <v>1109</v>
      </c>
      <c r="N34" s="22">
        <v>1</v>
      </c>
      <c r="O34" s="22">
        <v>10</v>
      </c>
      <c r="P34" s="22">
        <v>6</v>
      </c>
      <c r="Q34" s="22">
        <v>8</v>
      </c>
      <c r="R34" s="22">
        <v>20</v>
      </c>
      <c r="AK34" s="22" t="s">
        <v>1063</v>
      </c>
      <c r="AM34" s="22" t="s">
        <v>1123</v>
      </c>
      <c r="AP34" s="22" t="s">
        <v>969</v>
      </c>
      <c r="AQ34" s="22" t="s">
        <v>1120</v>
      </c>
      <c r="AR34" s="22" t="s">
        <v>1011</v>
      </c>
      <c r="AS34" s="22">
        <v>10</v>
      </c>
      <c r="AT34" s="22" t="s">
        <v>1121</v>
      </c>
      <c r="AU34" s="22">
        <v>50</v>
      </c>
      <c r="AV34" s="22">
        <v>20</v>
      </c>
      <c r="AW34" s="22" t="s">
        <v>168</v>
      </c>
      <c r="AZ34" s="22" t="s">
        <v>1007</v>
      </c>
    </row>
    <row r="35" spans="1:52" x14ac:dyDescent="0.2">
      <c r="A35" s="22" t="s">
        <v>1126</v>
      </c>
      <c r="B35" s="22">
        <v>10</v>
      </c>
      <c r="I35" s="22">
        <v>29</v>
      </c>
      <c r="J35" s="22">
        <v>40</v>
      </c>
      <c r="K35" s="22">
        <v>120</v>
      </c>
      <c r="L35" s="22">
        <v>-10</v>
      </c>
      <c r="M35" s="22" t="s">
        <v>1127</v>
      </c>
      <c r="N35" s="22">
        <v>2</v>
      </c>
      <c r="O35" s="22">
        <v>15</v>
      </c>
      <c r="P35" s="22">
        <v>8</v>
      </c>
      <c r="Q35" s="22">
        <v>12</v>
      </c>
      <c r="R35" s="22">
        <v>28</v>
      </c>
      <c r="AK35" s="22" t="s">
        <v>1128</v>
      </c>
      <c r="AM35" s="22" t="s">
        <v>1024</v>
      </c>
      <c r="AP35" s="22" t="s">
        <v>1046</v>
      </c>
      <c r="AQ35" s="22" t="s">
        <v>1124</v>
      </c>
      <c r="AR35" s="22" t="s">
        <v>996</v>
      </c>
      <c r="AS35" s="22">
        <v>10</v>
      </c>
      <c r="AT35" s="22" t="s">
        <v>1125</v>
      </c>
      <c r="AU35" s="22">
        <v>50</v>
      </c>
      <c r="AV35" s="22">
        <v>20</v>
      </c>
      <c r="AW35" s="22" t="s">
        <v>973</v>
      </c>
      <c r="AZ35" s="22" t="s">
        <v>1015</v>
      </c>
    </row>
    <row r="36" spans="1:52" x14ac:dyDescent="0.2">
      <c r="A36" s="22" t="s">
        <v>1131</v>
      </c>
      <c r="B36" s="22">
        <v>10</v>
      </c>
      <c r="I36" s="22">
        <v>30</v>
      </c>
      <c r="J36" s="22">
        <v>40</v>
      </c>
      <c r="K36" s="22">
        <v>120</v>
      </c>
      <c r="L36" s="22">
        <v>-10</v>
      </c>
      <c r="M36" s="22" t="s">
        <v>1127</v>
      </c>
      <c r="N36" s="22">
        <v>2</v>
      </c>
      <c r="O36" s="22">
        <v>15</v>
      </c>
      <c r="P36" s="22">
        <v>8</v>
      </c>
      <c r="Q36" s="22">
        <v>12</v>
      </c>
      <c r="R36" s="22">
        <v>28</v>
      </c>
      <c r="AK36" s="22" t="s">
        <v>1132</v>
      </c>
      <c r="AM36" s="22" t="s">
        <v>1133</v>
      </c>
      <c r="AP36" s="22" t="s">
        <v>1100</v>
      </c>
      <c r="AQ36" s="22" t="s">
        <v>1129</v>
      </c>
      <c r="AR36" s="22" t="s">
        <v>1011</v>
      </c>
      <c r="AS36" s="22">
        <v>10</v>
      </c>
      <c r="AT36" s="22" t="s">
        <v>1130</v>
      </c>
      <c r="AU36" s="22">
        <v>50</v>
      </c>
      <c r="AV36" s="22">
        <v>20</v>
      </c>
      <c r="AW36" s="22" t="s">
        <v>168</v>
      </c>
      <c r="AZ36" s="22" t="s">
        <v>1022</v>
      </c>
    </row>
    <row r="37" spans="1:52" x14ac:dyDescent="0.2">
      <c r="A37" s="22" t="s">
        <v>1135</v>
      </c>
      <c r="B37" s="22">
        <v>10</v>
      </c>
      <c r="I37" s="22">
        <v>31</v>
      </c>
      <c r="J37" s="22">
        <v>40</v>
      </c>
      <c r="K37" s="22">
        <v>120</v>
      </c>
      <c r="L37" s="22">
        <v>-10</v>
      </c>
      <c r="M37" s="22" t="s">
        <v>1127</v>
      </c>
      <c r="N37" s="22">
        <v>2</v>
      </c>
      <c r="O37" s="22">
        <v>15</v>
      </c>
      <c r="P37" s="22">
        <v>8</v>
      </c>
      <c r="Q37" s="22">
        <v>12</v>
      </c>
      <c r="R37" s="22">
        <v>28</v>
      </c>
      <c r="AK37" s="22" t="s">
        <v>1136</v>
      </c>
      <c r="AM37" s="22" t="s">
        <v>1111</v>
      </c>
      <c r="AP37" s="22" t="s">
        <v>1022</v>
      </c>
      <c r="AQ37" s="22" t="s">
        <v>148</v>
      </c>
      <c r="AR37" s="22" t="s">
        <v>1134</v>
      </c>
      <c r="AS37" s="22">
        <v>0</v>
      </c>
      <c r="AT37" s="22" t="s">
        <v>148</v>
      </c>
      <c r="AU37" s="22">
        <v>20</v>
      </c>
      <c r="AV37" s="22">
        <v>10</v>
      </c>
      <c r="AW37" s="22" t="s">
        <v>989</v>
      </c>
      <c r="AZ37" s="22" t="s">
        <v>1030</v>
      </c>
    </row>
    <row r="38" spans="1:52" x14ac:dyDescent="0.2">
      <c r="A38" s="22" t="s">
        <v>1140</v>
      </c>
      <c r="B38" s="22">
        <v>20</v>
      </c>
      <c r="I38" s="22">
        <v>32</v>
      </c>
      <c r="J38" s="22">
        <v>40</v>
      </c>
      <c r="K38" s="22">
        <v>120</v>
      </c>
      <c r="L38" s="22">
        <v>-10</v>
      </c>
      <c r="M38" s="22" t="s">
        <v>1127</v>
      </c>
      <c r="N38" s="22">
        <v>2</v>
      </c>
      <c r="O38" s="22">
        <v>15</v>
      </c>
      <c r="P38" s="22">
        <v>8</v>
      </c>
      <c r="Q38" s="22">
        <v>12</v>
      </c>
      <c r="R38" s="22">
        <v>28</v>
      </c>
      <c r="AK38" s="22" t="s">
        <v>1141</v>
      </c>
      <c r="AM38" s="22" t="s">
        <v>1142</v>
      </c>
      <c r="AP38" s="22" t="s">
        <v>1137</v>
      </c>
      <c r="AQ38" s="22" t="s">
        <v>1138</v>
      </c>
      <c r="AR38" s="22" t="s">
        <v>148</v>
      </c>
      <c r="AS38" s="22">
        <v>0</v>
      </c>
      <c r="AT38" s="22" t="s">
        <v>1139</v>
      </c>
      <c r="AU38" s="22">
        <v>20</v>
      </c>
      <c r="AV38" s="22">
        <v>10</v>
      </c>
      <c r="AW38" s="22" t="s">
        <v>965</v>
      </c>
      <c r="AZ38" s="22" t="s">
        <v>1037</v>
      </c>
    </row>
    <row r="39" spans="1:52" x14ac:dyDescent="0.2">
      <c r="A39" s="22" t="s">
        <v>1145</v>
      </c>
      <c r="B39" s="22">
        <v>10</v>
      </c>
      <c r="I39" s="22">
        <v>33</v>
      </c>
      <c r="J39" s="22">
        <v>40</v>
      </c>
      <c r="K39" s="22">
        <v>120</v>
      </c>
      <c r="L39" s="22">
        <v>-10</v>
      </c>
      <c r="M39" s="22" t="s">
        <v>1127</v>
      </c>
      <c r="N39" s="22">
        <v>2</v>
      </c>
      <c r="O39" s="22">
        <v>15</v>
      </c>
      <c r="P39" s="22">
        <v>8</v>
      </c>
      <c r="Q39" s="22">
        <v>12</v>
      </c>
      <c r="R39" s="22">
        <v>28</v>
      </c>
      <c r="AK39" s="22" t="s">
        <v>1146</v>
      </c>
      <c r="AM39" s="22" t="s">
        <v>1016</v>
      </c>
      <c r="AP39" s="22" t="s">
        <v>985</v>
      </c>
      <c r="AQ39" s="22" t="s">
        <v>1143</v>
      </c>
      <c r="AR39" s="22" t="s">
        <v>1018</v>
      </c>
      <c r="AS39" s="22">
        <v>15</v>
      </c>
      <c r="AT39" s="22" t="s">
        <v>1144</v>
      </c>
      <c r="AU39" s="22">
        <v>50</v>
      </c>
      <c r="AV39" s="22">
        <v>20</v>
      </c>
      <c r="AW39" s="22" t="s">
        <v>168</v>
      </c>
      <c r="AZ39" s="22" t="s">
        <v>978</v>
      </c>
    </row>
    <row r="40" spans="1:52" x14ac:dyDescent="0.2">
      <c r="A40" s="22" t="s">
        <v>1148</v>
      </c>
      <c r="B40" s="22">
        <v>10</v>
      </c>
      <c r="I40" s="22">
        <v>34</v>
      </c>
      <c r="J40" s="22">
        <v>60</v>
      </c>
      <c r="K40" s="22">
        <v>140</v>
      </c>
      <c r="L40" s="22">
        <v>-20</v>
      </c>
      <c r="M40" s="22" t="s">
        <v>1149</v>
      </c>
      <c r="N40" s="22">
        <v>3</v>
      </c>
      <c r="O40" s="22">
        <v>20</v>
      </c>
      <c r="P40" s="22">
        <v>10</v>
      </c>
      <c r="Q40" s="22">
        <v>16</v>
      </c>
      <c r="R40" s="22">
        <v>34</v>
      </c>
      <c r="AK40" s="22" t="s">
        <v>1079</v>
      </c>
      <c r="AM40" s="22" t="s">
        <v>1150</v>
      </c>
      <c r="AP40" s="22" t="s">
        <v>1136</v>
      </c>
      <c r="AQ40" s="22" t="s">
        <v>148</v>
      </c>
      <c r="AR40" s="22" t="s">
        <v>148</v>
      </c>
      <c r="AS40" s="22">
        <v>0</v>
      </c>
      <c r="AT40" s="22" t="s">
        <v>1147</v>
      </c>
      <c r="AU40" s="22">
        <v>20</v>
      </c>
      <c r="AV40" s="22">
        <v>10</v>
      </c>
      <c r="AW40" s="22" t="s">
        <v>965</v>
      </c>
      <c r="AZ40" s="22" t="s">
        <v>1054</v>
      </c>
    </row>
    <row r="41" spans="1:52" x14ac:dyDescent="0.2">
      <c r="A41" s="22" t="s">
        <v>1153</v>
      </c>
      <c r="B41" s="22">
        <v>10</v>
      </c>
      <c r="I41" s="22">
        <v>35</v>
      </c>
      <c r="J41" s="22">
        <v>60</v>
      </c>
      <c r="K41" s="22">
        <v>140</v>
      </c>
      <c r="L41" s="22">
        <v>-20</v>
      </c>
      <c r="M41" s="22" t="s">
        <v>1149</v>
      </c>
      <c r="N41" s="22">
        <v>3</v>
      </c>
      <c r="O41" s="22">
        <v>20</v>
      </c>
      <c r="P41" s="22">
        <v>10</v>
      </c>
      <c r="Q41" s="22">
        <v>16</v>
      </c>
      <c r="R41" s="22">
        <v>34</v>
      </c>
      <c r="AK41" s="22" t="s">
        <v>1154</v>
      </c>
      <c r="AP41" s="22" t="s">
        <v>1151</v>
      </c>
      <c r="AQ41" s="22" t="s">
        <v>148</v>
      </c>
      <c r="AR41" s="22" t="s">
        <v>148</v>
      </c>
      <c r="AS41" s="22">
        <v>10</v>
      </c>
      <c r="AT41" s="22" t="s">
        <v>148</v>
      </c>
      <c r="AU41" s="22">
        <v>20</v>
      </c>
      <c r="AV41" s="22">
        <v>10</v>
      </c>
      <c r="AW41" s="22" t="s">
        <v>1152</v>
      </c>
      <c r="AZ41" s="22" t="s">
        <v>1061</v>
      </c>
    </row>
    <row r="42" spans="1:52" x14ac:dyDescent="0.2">
      <c r="A42" s="22" t="s">
        <v>1157</v>
      </c>
      <c r="B42" s="22">
        <v>10</v>
      </c>
      <c r="I42" s="22">
        <v>36</v>
      </c>
      <c r="J42" s="22">
        <v>60</v>
      </c>
      <c r="K42" s="22">
        <v>140</v>
      </c>
      <c r="L42" s="22">
        <v>-20</v>
      </c>
      <c r="M42" s="22" t="s">
        <v>1149</v>
      </c>
      <c r="N42" s="22">
        <v>3</v>
      </c>
      <c r="O42" s="22">
        <v>20</v>
      </c>
      <c r="P42" s="22">
        <v>10</v>
      </c>
      <c r="Q42" s="22">
        <v>16</v>
      </c>
      <c r="R42" s="22">
        <v>34</v>
      </c>
      <c r="AK42" s="22" t="s">
        <v>1158</v>
      </c>
      <c r="AM42" s="22" t="s">
        <v>1159</v>
      </c>
      <c r="AP42" s="22" t="s">
        <v>1001</v>
      </c>
      <c r="AQ42" s="22" t="s">
        <v>1155</v>
      </c>
      <c r="AR42" s="22" t="s">
        <v>1011</v>
      </c>
      <c r="AS42" s="22">
        <v>20</v>
      </c>
      <c r="AT42" s="22" t="s">
        <v>1156</v>
      </c>
      <c r="AU42" s="22">
        <v>50</v>
      </c>
      <c r="AV42" s="22">
        <v>20</v>
      </c>
      <c r="AW42" s="22" t="s">
        <v>168</v>
      </c>
      <c r="AZ42" s="22" t="s">
        <v>1067</v>
      </c>
    </row>
    <row r="43" spans="1:52" x14ac:dyDescent="0.2">
      <c r="A43" s="22" t="s">
        <v>1162</v>
      </c>
      <c r="B43" s="22">
        <v>10</v>
      </c>
      <c r="I43" s="22">
        <v>37</v>
      </c>
      <c r="J43" s="22">
        <v>60</v>
      </c>
      <c r="K43" s="22">
        <v>140</v>
      </c>
      <c r="L43" s="22">
        <v>-20</v>
      </c>
      <c r="M43" s="22" t="s">
        <v>1149</v>
      </c>
      <c r="N43" s="22">
        <v>3</v>
      </c>
      <c r="O43" s="22">
        <v>20</v>
      </c>
      <c r="P43" s="22">
        <v>10</v>
      </c>
      <c r="Q43" s="22">
        <v>16</v>
      </c>
      <c r="R43" s="22">
        <v>34</v>
      </c>
      <c r="AK43" s="22" t="s">
        <v>1032</v>
      </c>
      <c r="AP43" s="22" t="s">
        <v>1160</v>
      </c>
      <c r="AQ43" s="22" t="s">
        <v>963</v>
      </c>
      <c r="AR43" s="22" t="s">
        <v>148</v>
      </c>
      <c r="AS43" s="22">
        <v>0</v>
      </c>
      <c r="AT43" s="22" t="s">
        <v>1161</v>
      </c>
      <c r="AU43" s="22">
        <v>20</v>
      </c>
      <c r="AV43" s="22">
        <v>10</v>
      </c>
      <c r="AW43" s="22" t="s">
        <v>965</v>
      </c>
      <c r="AZ43" s="22" t="s">
        <v>1074</v>
      </c>
    </row>
    <row r="44" spans="1:52" x14ac:dyDescent="0.2">
      <c r="A44" s="22" t="s">
        <v>1166</v>
      </c>
      <c r="B44" s="22">
        <v>10</v>
      </c>
      <c r="I44" s="22">
        <v>38</v>
      </c>
      <c r="J44" s="22">
        <v>60</v>
      </c>
      <c r="K44" s="22">
        <v>140</v>
      </c>
      <c r="L44" s="22">
        <v>-20</v>
      </c>
      <c r="M44" s="22" t="s">
        <v>1149</v>
      </c>
      <c r="N44" s="22">
        <v>3</v>
      </c>
      <c r="O44" s="22">
        <v>20</v>
      </c>
      <c r="P44" s="22">
        <v>10</v>
      </c>
      <c r="Q44" s="22">
        <v>16</v>
      </c>
      <c r="R44" s="22">
        <v>34</v>
      </c>
      <c r="AK44" s="22" t="s">
        <v>1167</v>
      </c>
      <c r="AP44" s="22" t="s">
        <v>961</v>
      </c>
      <c r="AQ44" s="22" t="s">
        <v>1163</v>
      </c>
      <c r="AR44" s="22" t="s">
        <v>1164</v>
      </c>
      <c r="AS44" s="22">
        <v>10</v>
      </c>
      <c r="AT44" s="22" t="s">
        <v>1165</v>
      </c>
      <c r="AU44" s="22">
        <v>50</v>
      </c>
      <c r="AV44" s="22">
        <v>20</v>
      </c>
      <c r="AW44" s="22" t="s">
        <v>965</v>
      </c>
      <c r="AZ44" s="22" t="s">
        <v>1077</v>
      </c>
    </row>
    <row r="45" spans="1:52" x14ac:dyDescent="0.2">
      <c r="A45" s="22" t="s">
        <v>1170</v>
      </c>
      <c r="B45" s="22">
        <v>20</v>
      </c>
      <c r="I45" s="22">
        <v>39</v>
      </c>
      <c r="J45" s="22">
        <v>60</v>
      </c>
      <c r="K45" s="22">
        <v>140</v>
      </c>
      <c r="L45" s="22">
        <v>-20</v>
      </c>
      <c r="M45" s="22" t="s">
        <v>1149</v>
      </c>
      <c r="N45" s="22">
        <v>3</v>
      </c>
      <c r="O45" s="22">
        <v>20</v>
      </c>
      <c r="P45" s="22">
        <v>10</v>
      </c>
      <c r="Q45" s="22">
        <v>16</v>
      </c>
      <c r="R45" s="22">
        <v>34</v>
      </c>
      <c r="AK45" s="22" t="s">
        <v>1171</v>
      </c>
      <c r="AP45" s="22" t="s">
        <v>1023</v>
      </c>
      <c r="AQ45" s="22" t="s">
        <v>1168</v>
      </c>
      <c r="AR45" s="22" t="s">
        <v>148</v>
      </c>
      <c r="AS45" s="22">
        <v>20</v>
      </c>
      <c r="AT45" s="22" t="s">
        <v>1169</v>
      </c>
      <c r="AU45" s="22">
        <v>100</v>
      </c>
      <c r="AV45" s="22">
        <v>40</v>
      </c>
      <c r="AW45" s="22" t="s">
        <v>973</v>
      </c>
      <c r="AX45" s="129" t="s">
        <v>5619</v>
      </c>
      <c r="AZ45" s="22" t="s">
        <v>986</v>
      </c>
    </row>
    <row r="46" spans="1:52" x14ac:dyDescent="0.2">
      <c r="A46" s="22" t="s">
        <v>1174</v>
      </c>
      <c r="B46" s="22">
        <v>20</v>
      </c>
      <c r="I46" s="22">
        <v>40</v>
      </c>
      <c r="J46" s="22">
        <v>60</v>
      </c>
      <c r="K46" s="22">
        <v>140</v>
      </c>
      <c r="L46" s="22">
        <v>-20</v>
      </c>
      <c r="M46" s="22" t="s">
        <v>1149</v>
      </c>
      <c r="N46" s="22">
        <v>3</v>
      </c>
      <c r="O46" s="22">
        <v>20</v>
      </c>
      <c r="P46" s="22">
        <v>10</v>
      </c>
      <c r="Q46" s="22">
        <v>16</v>
      </c>
      <c r="R46" s="22">
        <v>34</v>
      </c>
      <c r="AK46" s="22" t="s">
        <v>1151</v>
      </c>
      <c r="AP46" s="22" t="s">
        <v>1054</v>
      </c>
      <c r="AQ46" s="22" t="s">
        <v>1172</v>
      </c>
      <c r="AR46" s="22" t="s">
        <v>980</v>
      </c>
      <c r="AS46" s="22">
        <v>10</v>
      </c>
      <c r="AT46" s="22" t="s">
        <v>1173</v>
      </c>
      <c r="AU46" s="22">
        <v>50</v>
      </c>
      <c r="AV46" s="22">
        <v>20</v>
      </c>
      <c r="AW46" s="22" t="s">
        <v>1097</v>
      </c>
      <c r="AZ46" s="22" t="s">
        <v>1086</v>
      </c>
    </row>
    <row r="47" spans="1:52" x14ac:dyDescent="0.2">
      <c r="A47" s="22" t="s">
        <v>1178</v>
      </c>
      <c r="B47" s="22">
        <v>20</v>
      </c>
      <c r="AK47" s="22" t="s">
        <v>1179</v>
      </c>
      <c r="AP47" s="22" t="s">
        <v>1086</v>
      </c>
      <c r="AQ47" s="22" t="s">
        <v>1175</v>
      </c>
      <c r="AR47" s="22" t="s">
        <v>1176</v>
      </c>
      <c r="AS47" s="22">
        <v>10</v>
      </c>
      <c r="AT47" s="22" t="s">
        <v>1177</v>
      </c>
      <c r="AU47" s="22">
        <v>50</v>
      </c>
      <c r="AV47" s="22">
        <v>20</v>
      </c>
      <c r="AW47" s="22" t="s">
        <v>989</v>
      </c>
      <c r="AZ47" s="22" t="s">
        <v>1091</v>
      </c>
    </row>
    <row r="48" spans="1:52" x14ac:dyDescent="0.2">
      <c r="A48" s="22" t="s">
        <v>1182</v>
      </c>
      <c r="B48" s="22">
        <v>30</v>
      </c>
      <c r="AK48" s="22" t="s">
        <v>1183</v>
      </c>
      <c r="AP48" s="22" t="s">
        <v>1078</v>
      </c>
      <c r="AQ48" s="22" t="s">
        <v>1180</v>
      </c>
      <c r="AR48" s="22" t="s">
        <v>148</v>
      </c>
      <c r="AS48" s="22">
        <v>20</v>
      </c>
      <c r="AT48" s="22" t="s">
        <v>1181</v>
      </c>
      <c r="AU48" s="22">
        <v>100</v>
      </c>
      <c r="AV48" s="22">
        <v>40</v>
      </c>
      <c r="AW48" s="22" t="s">
        <v>1043</v>
      </c>
      <c r="AX48" s="129" t="s">
        <v>5615</v>
      </c>
      <c r="AZ48" s="22" t="s">
        <v>1088</v>
      </c>
    </row>
    <row r="49" spans="1:52" x14ac:dyDescent="0.2">
      <c r="A49" s="22" t="s">
        <v>1187</v>
      </c>
      <c r="B49" s="22">
        <v>50</v>
      </c>
      <c r="AK49" s="22" t="s">
        <v>1056</v>
      </c>
      <c r="AP49" s="22" t="s">
        <v>962</v>
      </c>
      <c r="AQ49" s="22" t="s">
        <v>1184</v>
      </c>
      <c r="AR49" s="22" t="s">
        <v>1185</v>
      </c>
      <c r="AS49" s="22">
        <v>20</v>
      </c>
      <c r="AT49" s="22" t="s">
        <v>1186</v>
      </c>
      <c r="AU49" s="22">
        <v>100</v>
      </c>
      <c r="AV49" s="22">
        <v>40</v>
      </c>
      <c r="AW49" s="22" t="s">
        <v>168</v>
      </c>
      <c r="AX49" s="129" t="s">
        <v>5615</v>
      </c>
      <c r="AZ49" s="22" t="s">
        <v>1099</v>
      </c>
    </row>
    <row r="50" spans="1:52" x14ac:dyDescent="0.2">
      <c r="AK50" s="22" t="s">
        <v>1190</v>
      </c>
      <c r="AP50" s="22" t="s">
        <v>1116</v>
      </c>
      <c r="AQ50" s="22" t="s">
        <v>1188</v>
      </c>
      <c r="AR50" s="22" t="s">
        <v>148</v>
      </c>
      <c r="AS50" s="22">
        <v>20</v>
      </c>
      <c r="AT50" s="22" t="s">
        <v>1189</v>
      </c>
      <c r="AU50" s="22">
        <v>100</v>
      </c>
      <c r="AV50" s="22">
        <v>40</v>
      </c>
      <c r="AW50" s="22" t="s">
        <v>168</v>
      </c>
      <c r="AX50" s="129" t="s">
        <v>5620</v>
      </c>
      <c r="AZ50" s="22" t="s">
        <v>1104</v>
      </c>
    </row>
    <row r="51" spans="1:52" x14ac:dyDescent="0.2">
      <c r="AK51" s="22" t="s">
        <v>1192</v>
      </c>
      <c r="AP51" s="22" t="s">
        <v>1150</v>
      </c>
      <c r="AQ51" s="22" t="s">
        <v>1191</v>
      </c>
      <c r="AR51" s="22" t="s">
        <v>148</v>
      </c>
      <c r="AS51" s="22">
        <v>35</v>
      </c>
      <c r="AT51" s="22" t="s">
        <v>1019</v>
      </c>
      <c r="AU51" s="22">
        <v>100</v>
      </c>
      <c r="AV51" s="22">
        <v>40</v>
      </c>
      <c r="AW51" s="22" t="s">
        <v>38</v>
      </c>
      <c r="AX51" s="129" t="s">
        <v>5621</v>
      </c>
      <c r="AZ51" s="22" t="s">
        <v>1110</v>
      </c>
    </row>
    <row r="52" spans="1:52" x14ac:dyDescent="0.2">
      <c r="AK52" s="22" t="s">
        <v>1160</v>
      </c>
      <c r="AP52" s="22" t="s">
        <v>1133</v>
      </c>
      <c r="AQ52" s="22" t="s">
        <v>1193</v>
      </c>
      <c r="AR52" s="22" t="s">
        <v>148</v>
      </c>
      <c r="AS52" s="22">
        <v>20</v>
      </c>
      <c r="AT52" s="22" t="s">
        <v>1194</v>
      </c>
      <c r="AU52" s="22">
        <v>100</v>
      </c>
      <c r="AV52" s="22">
        <v>40</v>
      </c>
      <c r="AW52" s="22" t="s">
        <v>168</v>
      </c>
      <c r="AX52" s="129" t="s">
        <v>5617</v>
      </c>
      <c r="AZ52" s="22" t="s">
        <v>1115</v>
      </c>
    </row>
    <row r="53" spans="1:52" x14ac:dyDescent="0.2">
      <c r="AK53" s="22" t="s">
        <v>1197</v>
      </c>
      <c r="AP53" s="22" t="s">
        <v>1167</v>
      </c>
      <c r="AQ53" s="22" t="s">
        <v>1195</v>
      </c>
      <c r="AR53" s="22" t="s">
        <v>148</v>
      </c>
      <c r="AS53" s="22">
        <v>10</v>
      </c>
      <c r="AT53" s="22" t="s">
        <v>1196</v>
      </c>
      <c r="AU53" s="22">
        <v>50</v>
      </c>
      <c r="AV53" s="22">
        <v>20</v>
      </c>
      <c r="AW53" s="22" t="s">
        <v>989</v>
      </c>
      <c r="AZ53" s="22" t="s">
        <v>1119</v>
      </c>
    </row>
    <row r="54" spans="1:52" x14ac:dyDescent="0.2">
      <c r="AK54" s="22" t="s">
        <v>1202</v>
      </c>
      <c r="AP54" s="22" t="s">
        <v>1096</v>
      </c>
      <c r="AQ54" s="22" t="s">
        <v>1198</v>
      </c>
      <c r="AR54" s="22" t="s">
        <v>1199</v>
      </c>
      <c r="AS54" s="22">
        <v>20</v>
      </c>
      <c r="AT54" s="22" t="s">
        <v>1200</v>
      </c>
      <c r="AU54" s="22">
        <v>100</v>
      </c>
      <c r="AV54" s="22">
        <v>40</v>
      </c>
      <c r="AW54" s="22" t="s">
        <v>1201</v>
      </c>
      <c r="AX54" s="129" t="s">
        <v>5615</v>
      </c>
      <c r="AZ54" s="22" t="s">
        <v>1063</v>
      </c>
    </row>
    <row r="55" spans="1:52" x14ac:dyDescent="0.2">
      <c r="A55" s="22" t="s">
        <v>0</v>
      </c>
      <c r="B55" s="22" t="s">
        <v>228</v>
      </c>
      <c r="C55" s="22" t="s">
        <v>13</v>
      </c>
      <c r="D55" s="22" t="s">
        <v>5</v>
      </c>
      <c r="E55" s="22" t="s">
        <v>233</v>
      </c>
      <c r="F55" s="22" t="s">
        <v>152</v>
      </c>
      <c r="G55" s="22" t="s">
        <v>1205</v>
      </c>
      <c r="H55" s="22" t="s">
        <v>1206</v>
      </c>
      <c r="K55" s="1" t="s">
        <v>310</v>
      </c>
      <c r="L55" s="1" t="s">
        <v>532</v>
      </c>
      <c r="M55" s="1" t="s">
        <v>533</v>
      </c>
      <c r="N55" s="1" t="s">
        <v>534</v>
      </c>
      <c r="O55" s="1" t="s">
        <v>535</v>
      </c>
      <c r="P55" s="1" t="s">
        <v>536</v>
      </c>
      <c r="Q55" s="1" t="s">
        <v>537</v>
      </c>
      <c r="R55" s="1" t="s">
        <v>538</v>
      </c>
      <c r="S55" s="1" t="s">
        <v>539</v>
      </c>
      <c r="T55" s="1" t="s">
        <v>540</v>
      </c>
      <c r="U55" s="1" t="s">
        <v>356</v>
      </c>
      <c r="V55" s="1" t="s">
        <v>541</v>
      </c>
      <c r="W55" s="1" t="s">
        <v>542</v>
      </c>
      <c r="X55" s="1" t="s">
        <v>23</v>
      </c>
      <c r="Y55" s="1" t="s">
        <v>543</v>
      </c>
      <c r="Z55" s="1" t="s">
        <v>544</v>
      </c>
      <c r="AA55" s="1" t="s">
        <v>545</v>
      </c>
      <c r="AB55" s="1" t="s">
        <v>546</v>
      </c>
      <c r="AC55" s="1" t="s">
        <v>547</v>
      </c>
      <c r="AD55" s="1" t="s">
        <v>548</v>
      </c>
      <c r="AK55" s="22" t="s">
        <v>1069</v>
      </c>
      <c r="AP55" s="22" t="s">
        <v>1123</v>
      </c>
      <c r="AQ55" s="22" t="s">
        <v>1203</v>
      </c>
      <c r="AR55" s="22" t="s">
        <v>148</v>
      </c>
      <c r="AS55" s="22">
        <v>20</v>
      </c>
      <c r="AT55" s="22" t="s">
        <v>1204</v>
      </c>
      <c r="AU55" s="22">
        <v>100</v>
      </c>
      <c r="AV55" s="22">
        <v>40</v>
      </c>
      <c r="AW55" s="22" t="s">
        <v>168</v>
      </c>
      <c r="AX55" s="129" t="s">
        <v>5615</v>
      </c>
      <c r="AZ55" s="22" t="s">
        <v>1128</v>
      </c>
    </row>
    <row r="56" spans="1:52" x14ac:dyDescent="0.2">
      <c r="A56" s="22" t="s">
        <v>1073</v>
      </c>
      <c r="B56" s="22" t="s">
        <v>1209</v>
      </c>
      <c r="C56" s="22" t="s">
        <v>233</v>
      </c>
      <c r="D56" s="22">
        <v>10</v>
      </c>
      <c r="E56" s="22" t="s">
        <v>1210</v>
      </c>
      <c r="F56" s="22">
        <v>50</v>
      </c>
      <c r="G56" s="22">
        <v>25</v>
      </c>
      <c r="H56" s="22">
        <v>10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v>1</v>
      </c>
      <c r="W56" s="22">
        <v>1</v>
      </c>
      <c r="X56" s="22">
        <v>1</v>
      </c>
      <c r="Y56" s="22">
        <v>1</v>
      </c>
      <c r="Z56" s="22">
        <v>1</v>
      </c>
      <c r="AA56" s="22">
        <v>1</v>
      </c>
      <c r="AB56" s="22">
        <v>0</v>
      </c>
      <c r="AC56" s="22">
        <v>1</v>
      </c>
      <c r="AD56" s="22">
        <v>1</v>
      </c>
      <c r="AK56" s="22" t="s">
        <v>1211</v>
      </c>
      <c r="AP56" s="22" t="s">
        <v>1190</v>
      </c>
      <c r="AQ56" s="22" t="s">
        <v>1207</v>
      </c>
      <c r="AR56" s="22" t="s">
        <v>1049</v>
      </c>
      <c r="AS56" s="22">
        <v>10</v>
      </c>
      <c r="AT56" s="22" t="s">
        <v>1208</v>
      </c>
      <c r="AU56" s="22">
        <v>50</v>
      </c>
      <c r="AV56" s="22">
        <v>20</v>
      </c>
      <c r="AW56" s="22" t="s">
        <v>989</v>
      </c>
      <c r="AZ56" s="22" t="s">
        <v>1132</v>
      </c>
    </row>
    <row r="57" spans="1:52" x14ac:dyDescent="0.2">
      <c r="A57" s="22" t="s">
        <v>1045</v>
      </c>
      <c r="B57" s="22" t="s">
        <v>1214</v>
      </c>
      <c r="C57" s="22" t="s">
        <v>1215</v>
      </c>
      <c r="D57" s="22">
        <v>10</v>
      </c>
      <c r="E57" s="22" t="s">
        <v>1216</v>
      </c>
      <c r="F57" s="22">
        <v>50</v>
      </c>
      <c r="G57" s="22">
        <v>25</v>
      </c>
      <c r="H57" s="22">
        <v>10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1</v>
      </c>
      <c r="AC57" s="22">
        <v>0</v>
      </c>
      <c r="AD57" s="22">
        <v>0</v>
      </c>
      <c r="AK57" s="22" t="s">
        <v>1217</v>
      </c>
      <c r="AP57" s="22" t="s">
        <v>1128</v>
      </c>
      <c r="AQ57" s="22" t="s">
        <v>1212</v>
      </c>
      <c r="AR57" s="22" t="s">
        <v>148</v>
      </c>
      <c r="AS57" s="22">
        <v>10</v>
      </c>
      <c r="AT57" s="22" t="s">
        <v>1213</v>
      </c>
      <c r="AU57" s="22">
        <v>50</v>
      </c>
      <c r="AV57" s="22">
        <v>20</v>
      </c>
      <c r="AW57" s="22" t="s">
        <v>989</v>
      </c>
      <c r="AZ57" s="22" t="s">
        <v>1136</v>
      </c>
    </row>
    <row r="58" spans="1:52" x14ac:dyDescent="0.2">
      <c r="A58" s="22" t="s">
        <v>1053</v>
      </c>
      <c r="B58" s="22" t="s">
        <v>1221</v>
      </c>
      <c r="C58" s="22" t="s">
        <v>1222</v>
      </c>
      <c r="D58" s="22">
        <v>10</v>
      </c>
      <c r="E58" s="22" t="s">
        <v>1223</v>
      </c>
      <c r="F58" s="22">
        <v>50</v>
      </c>
      <c r="G58" s="22">
        <v>25</v>
      </c>
      <c r="H58" s="22">
        <v>10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2">
        <v>1</v>
      </c>
      <c r="AA58" s="22">
        <v>1</v>
      </c>
      <c r="AB58" s="22">
        <v>0.5</v>
      </c>
      <c r="AC58" s="22">
        <v>1</v>
      </c>
      <c r="AD58" s="22">
        <v>1</v>
      </c>
      <c r="AK58" s="22" t="s">
        <v>1137</v>
      </c>
      <c r="AP58" s="22" t="s">
        <v>1211</v>
      </c>
      <c r="AQ58" s="22" t="s">
        <v>1218</v>
      </c>
      <c r="AR58" s="22" t="s">
        <v>1219</v>
      </c>
      <c r="AS58" s="22">
        <v>10</v>
      </c>
      <c r="AT58" s="22" t="s">
        <v>1220</v>
      </c>
      <c r="AU58" s="22">
        <v>50</v>
      </c>
      <c r="AV58" s="22">
        <v>20</v>
      </c>
      <c r="AW58" s="22" t="s">
        <v>989</v>
      </c>
      <c r="AZ58" s="22" t="s">
        <v>1141</v>
      </c>
    </row>
    <row r="59" spans="1:52" x14ac:dyDescent="0.2">
      <c r="A59" s="22" t="s">
        <v>1081</v>
      </c>
      <c r="B59" s="22" t="s">
        <v>1226</v>
      </c>
      <c r="C59" s="22" t="s">
        <v>1227</v>
      </c>
      <c r="D59" s="22">
        <v>10</v>
      </c>
      <c r="E59" s="22" t="s">
        <v>1228</v>
      </c>
      <c r="F59" s="22">
        <v>50</v>
      </c>
      <c r="G59" s="22">
        <v>25</v>
      </c>
      <c r="H59" s="22">
        <v>10</v>
      </c>
      <c r="AK59" s="22" t="s">
        <v>1229</v>
      </c>
      <c r="AP59" s="22" t="s">
        <v>984</v>
      </c>
      <c r="AQ59" s="22" t="s">
        <v>1224</v>
      </c>
      <c r="AR59" s="22" t="s">
        <v>148</v>
      </c>
      <c r="AS59" s="22">
        <v>10</v>
      </c>
      <c r="AT59" s="22" t="s">
        <v>1225</v>
      </c>
      <c r="AU59" s="22">
        <v>50</v>
      </c>
      <c r="AV59" s="22">
        <v>20</v>
      </c>
      <c r="AW59" s="22" t="s">
        <v>989</v>
      </c>
      <c r="AZ59" s="22" t="s">
        <v>1146</v>
      </c>
    </row>
    <row r="60" spans="1:52" x14ac:dyDescent="0.2">
      <c r="A60" s="22" t="s">
        <v>1085</v>
      </c>
      <c r="B60" s="22" t="s">
        <v>1232</v>
      </c>
      <c r="C60" s="22" t="s">
        <v>1233</v>
      </c>
      <c r="D60" s="22">
        <v>10</v>
      </c>
      <c r="E60" s="22" t="s">
        <v>1234</v>
      </c>
      <c r="F60" s="22">
        <v>50</v>
      </c>
      <c r="G60" s="22">
        <v>25</v>
      </c>
      <c r="H60" s="22">
        <v>10</v>
      </c>
      <c r="AK60" s="22" t="s">
        <v>1235</v>
      </c>
      <c r="AP60" s="22" t="s">
        <v>1154</v>
      </c>
      <c r="AQ60" s="22" t="s">
        <v>1230</v>
      </c>
      <c r="AR60" s="22" t="s">
        <v>148</v>
      </c>
      <c r="AS60" s="22">
        <v>10</v>
      </c>
      <c r="AT60" s="22" t="s">
        <v>1231</v>
      </c>
      <c r="AU60" s="22">
        <v>50</v>
      </c>
      <c r="AV60" s="22">
        <v>20</v>
      </c>
      <c r="AW60" s="22" t="s">
        <v>989</v>
      </c>
      <c r="AZ60" s="22" t="s">
        <v>1079</v>
      </c>
    </row>
    <row r="61" spans="1:52" x14ac:dyDescent="0.2">
      <c r="A61" s="22" t="s">
        <v>1036</v>
      </c>
      <c r="B61" s="22" t="s">
        <v>1238</v>
      </c>
      <c r="C61" s="22" t="s">
        <v>1239</v>
      </c>
      <c r="D61" s="22">
        <v>10</v>
      </c>
      <c r="E61" s="22" t="s">
        <v>1240</v>
      </c>
      <c r="F61" s="22">
        <v>50</v>
      </c>
      <c r="G61" s="22">
        <v>25</v>
      </c>
      <c r="H61" s="22">
        <v>10</v>
      </c>
      <c r="AM61" s="22" t="s">
        <v>573</v>
      </c>
      <c r="AN61" s="22" t="s">
        <v>573</v>
      </c>
      <c r="AO61" s="22" t="s">
        <v>573</v>
      </c>
      <c r="AP61" s="22" t="s">
        <v>1038</v>
      </c>
      <c r="AQ61" s="22" t="s">
        <v>1236</v>
      </c>
      <c r="AR61" s="22" t="s">
        <v>148</v>
      </c>
      <c r="AS61" s="22">
        <v>20</v>
      </c>
      <c r="AT61" s="22" t="s">
        <v>1237</v>
      </c>
      <c r="AU61" s="22">
        <v>100</v>
      </c>
      <c r="AV61" s="22">
        <v>40</v>
      </c>
      <c r="AW61" s="22" t="s">
        <v>168</v>
      </c>
      <c r="AX61" s="129" t="s">
        <v>5616</v>
      </c>
      <c r="AZ61" s="22" t="s">
        <v>1154</v>
      </c>
    </row>
    <row r="62" spans="1:52" x14ac:dyDescent="0.2">
      <c r="A62" s="22" t="s">
        <v>1029</v>
      </c>
      <c r="B62" s="22" t="s">
        <v>1244</v>
      </c>
      <c r="C62" s="22" t="s">
        <v>1245</v>
      </c>
      <c r="D62" s="22">
        <v>10</v>
      </c>
      <c r="E62" s="22" t="s">
        <v>1246</v>
      </c>
      <c r="F62" s="22">
        <v>50</v>
      </c>
      <c r="G62" s="22">
        <v>25</v>
      </c>
      <c r="H62" s="22">
        <v>10</v>
      </c>
      <c r="K62" s="22" t="s">
        <v>168</v>
      </c>
      <c r="L62" s="22">
        <v>0</v>
      </c>
      <c r="M62" s="22">
        <v>1</v>
      </c>
      <c r="AK62" s="22" t="s">
        <v>1247</v>
      </c>
      <c r="AP62" s="22" t="s">
        <v>1099</v>
      </c>
      <c r="AQ62" s="22" t="s">
        <v>1241</v>
      </c>
      <c r="AR62" s="22" t="s">
        <v>1219</v>
      </c>
      <c r="AS62" s="22">
        <v>10</v>
      </c>
      <c r="AT62" s="22" t="s">
        <v>1242</v>
      </c>
      <c r="AU62" s="22">
        <v>50</v>
      </c>
      <c r="AV62" s="22">
        <v>20</v>
      </c>
      <c r="AW62" s="22" t="s">
        <v>1243</v>
      </c>
      <c r="AZ62" s="22" t="s">
        <v>1158</v>
      </c>
    </row>
    <row r="63" spans="1:52" x14ac:dyDescent="0.2">
      <c r="A63" s="22" t="s">
        <v>1066</v>
      </c>
      <c r="B63" s="22" t="s">
        <v>1250</v>
      </c>
      <c r="C63" s="22" t="s">
        <v>1215</v>
      </c>
      <c r="D63" s="22">
        <v>10</v>
      </c>
      <c r="E63" s="22" t="s">
        <v>1251</v>
      </c>
      <c r="F63" s="22">
        <v>50</v>
      </c>
      <c r="G63" s="22">
        <v>25</v>
      </c>
      <c r="H63" s="22">
        <v>10</v>
      </c>
      <c r="K63" s="22" t="s">
        <v>1252</v>
      </c>
      <c r="L63" s="22">
        <v>1</v>
      </c>
      <c r="M63" s="22">
        <v>0</v>
      </c>
      <c r="AP63" s="22" t="s">
        <v>1068</v>
      </c>
      <c r="AQ63" s="22" t="s">
        <v>1248</v>
      </c>
      <c r="AR63" s="22" t="s">
        <v>148</v>
      </c>
      <c r="AS63" s="22">
        <v>20</v>
      </c>
      <c r="AT63" s="22" t="s">
        <v>1249</v>
      </c>
      <c r="AU63" s="22">
        <v>100</v>
      </c>
      <c r="AV63" s="22">
        <v>40</v>
      </c>
      <c r="AW63" s="22" t="s">
        <v>168</v>
      </c>
      <c r="AX63" s="129" t="s">
        <v>5619</v>
      </c>
      <c r="AZ63" s="22" t="s">
        <v>1032</v>
      </c>
    </row>
    <row r="64" spans="1:52" x14ac:dyDescent="0.2">
      <c r="A64" s="22" t="s">
        <v>1060</v>
      </c>
      <c r="B64" s="22" t="s">
        <v>1254</v>
      </c>
      <c r="C64" s="22" t="s">
        <v>1227</v>
      </c>
      <c r="D64" s="22">
        <v>10</v>
      </c>
      <c r="E64" s="22" t="s">
        <v>1255</v>
      </c>
      <c r="F64" s="22">
        <v>50</v>
      </c>
      <c r="G64" s="22">
        <v>25</v>
      </c>
      <c r="H64" s="22">
        <v>10</v>
      </c>
      <c r="AP64" s="22" t="s">
        <v>1074</v>
      </c>
      <c r="AQ64" s="22" t="s">
        <v>1195</v>
      </c>
      <c r="AR64" s="22" t="s">
        <v>148</v>
      </c>
      <c r="AS64" s="22">
        <v>10</v>
      </c>
      <c r="AT64" s="22" t="s">
        <v>148</v>
      </c>
      <c r="AU64" s="22">
        <v>50</v>
      </c>
      <c r="AV64" s="22">
        <v>20</v>
      </c>
      <c r="AW64" s="22" t="s">
        <v>1253</v>
      </c>
      <c r="AZ64" s="22" t="s">
        <v>1167</v>
      </c>
    </row>
    <row r="65" spans="1:52" x14ac:dyDescent="0.2">
      <c r="A65" s="22" t="s">
        <v>1076</v>
      </c>
      <c r="B65" s="22" t="s">
        <v>1258</v>
      </c>
      <c r="C65" s="22" t="s">
        <v>1227</v>
      </c>
      <c r="D65" s="22">
        <v>20</v>
      </c>
      <c r="E65" s="22" t="s">
        <v>1259</v>
      </c>
      <c r="F65" s="22">
        <v>50</v>
      </c>
      <c r="G65" s="22">
        <v>25</v>
      </c>
      <c r="H65" s="22">
        <v>10</v>
      </c>
      <c r="AM65" s="22" t="s">
        <v>962</v>
      </c>
      <c r="AP65" s="22" t="s">
        <v>1087</v>
      </c>
      <c r="AQ65" s="22" t="s">
        <v>1256</v>
      </c>
      <c r="AR65" s="22" t="s">
        <v>148</v>
      </c>
      <c r="AS65" s="22">
        <v>30</v>
      </c>
      <c r="AT65" s="22" t="s">
        <v>1257</v>
      </c>
      <c r="AU65" s="22">
        <v>100</v>
      </c>
      <c r="AV65" s="22">
        <v>40</v>
      </c>
      <c r="AW65" s="22" t="s">
        <v>168</v>
      </c>
      <c r="AX65" s="129" t="s">
        <v>5615</v>
      </c>
      <c r="AZ65" s="22" t="s">
        <v>1171</v>
      </c>
    </row>
    <row r="66" spans="1:52" x14ac:dyDescent="0.2">
      <c r="A66" s="22" t="s">
        <v>955</v>
      </c>
      <c r="B66" s="22" t="s">
        <v>1262</v>
      </c>
      <c r="C66" s="22" t="s">
        <v>1263</v>
      </c>
      <c r="D66" s="22">
        <v>10</v>
      </c>
      <c r="E66" s="22" t="s">
        <v>1264</v>
      </c>
      <c r="F66" s="22">
        <v>50</v>
      </c>
      <c r="G66" s="22">
        <v>25</v>
      </c>
      <c r="H66" s="22">
        <v>10</v>
      </c>
      <c r="AM66" s="22" t="s">
        <v>977</v>
      </c>
      <c r="AP66" s="22" t="s">
        <v>1007</v>
      </c>
      <c r="AQ66" s="22" t="s">
        <v>1260</v>
      </c>
      <c r="AR66" s="22" t="s">
        <v>148</v>
      </c>
      <c r="AS66" s="22">
        <v>10</v>
      </c>
      <c r="AT66" s="22" t="s">
        <v>1261</v>
      </c>
      <c r="AU66" s="22">
        <v>50</v>
      </c>
      <c r="AV66" s="22">
        <v>20</v>
      </c>
      <c r="AW66" s="22" t="s">
        <v>989</v>
      </c>
      <c r="AZ66" s="22" t="s">
        <v>1151</v>
      </c>
    </row>
    <row r="67" spans="1:52" x14ac:dyDescent="0.2">
      <c r="A67" s="22" t="s">
        <v>975</v>
      </c>
      <c r="B67" s="22" t="s">
        <v>1267</v>
      </c>
      <c r="C67" s="22" t="s">
        <v>1268</v>
      </c>
      <c r="D67" s="22">
        <v>10</v>
      </c>
      <c r="E67" s="22" t="s">
        <v>1269</v>
      </c>
      <c r="F67" s="22">
        <v>50</v>
      </c>
      <c r="G67" s="22">
        <v>25</v>
      </c>
      <c r="H67" s="22">
        <v>10</v>
      </c>
      <c r="AM67" s="22" t="s">
        <v>993</v>
      </c>
      <c r="AP67" s="22" t="s">
        <v>1142</v>
      </c>
      <c r="AQ67" s="22" t="s">
        <v>1265</v>
      </c>
      <c r="AR67" s="22" t="s">
        <v>148</v>
      </c>
      <c r="AS67" s="22">
        <v>30</v>
      </c>
      <c r="AT67" s="22" t="s">
        <v>1266</v>
      </c>
      <c r="AU67" s="22">
        <v>100</v>
      </c>
      <c r="AV67" s="22">
        <v>40</v>
      </c>
      <c r="AW67" s="22" t="s">
        <v>168</v>
      </c>
      <c r="AX67" s="129" t="s">
        <v>5616</v>
      </c>
      <c r="AZ67" s="22" t="s">
        <v>1179</v>
      </c>
    </row>
    <row r="68" spans="1:52" x14ac:dyDescent="0.2">
      <c r="A68" s="22" t="s">
        <v>967</v>
      </c>
      <c r="B68" s="22" t="s">
        <v>1272</v>
      </c>
      <c r="C68" s="22" t="s">
        <v>87</v>
      </c>
      <c r="D68" s="22">
        <v>10</v>
      </c>
      <c r="E68" s="22" t="s">
        <v>1273</v>
      </c>
      <c r="F68" s="22">
        <v>50</v>
      </c>
      <c r="G68" s="22">
        <v>25</v>
      </c>
      <c r="H68" s="22">
        <v>10</v>
      </c>
      <c r="AM68" s="22" t="s">
        <v>1008</v>
      </c>
      <c r="AP68" s="22" t="s">
        <v>1115</v>
      </c>
      <c r="AQ68" s="22" t="s">
        <v>1270</v>
      </c>
      <c r="AR68" s="22" t="s">
        <v>1219</v>
      </c>
      <c r="AS68" s="22">
        <v>10</v>
      </c>
      <c r="AT68" s="22" t="s">
        <v>1271</v>
      </c>
      <c r="AU68" s="22">
        <v>50</v>
      </c>
      <c r="AV68" s="22">
        <v>20</v>
      </c>
      <c r="AW68" s="22" t="s">
        <v>989</v>
      </c>
      <c r="AZ68" s="22" t="s">
        <v>1183</v>
      </c>
    </row>
    <row r="69" spans="1:52" x14ac:dyDescent="0.2">
      <c r="A69" s="22" t="s">
        <v>991</v>
      </c>
      <c r="B69" s="22" t="s">
        <v>87</v>
      </c>
      <c r="C69" s="22" t="s">
        <v>87</v>
      </c>
      <c r="D69" s="22">
        <v>10</v>
      </c>
      <c r="E69" s="22" t="s">
        <v>1276</v>
      </c>
      <c r="F69" s="22">
        <v>50</v>
      </c>
      <c r="G69" s="22">
        <v>25</v>
      </c>
      <c r="H69" s="22">
        <v>10</v>
      </c>
      <c r="AM69" s="22" t="s">
        <v>1023</v>
      </c>
      <c r="AP69" s="22" t="s">
        <v>977</v>
      </c>
      <c r="AQ69" s="22" t="s">
        <v>1274</v>
      </c>
      <c r="AR69" s="22" t="s">
        <v>148</v>
      </c>
      <c r="AS69" s="22">
        <v>20</v>
      </c>
      <c r="AT69" s="22" t="s">
        <v>1275</v>
      </c>
      <c r="AU69" s="22">
        <v>100</v>
      </c>
      <c r="AV69" s="22">
        <v>40</v>
      </c>
      <c r="AW69" s="22" t="s">
        <v>168</v>
      </c>
      <c r="AX69" s="129" t="s">
        <v>5616</v>
      </c>
      <c r="AZ69" s="22" t="s">
        <v>1056</v>
      </c>
    </row>
    <row r="70" spans="1:52" x14ac:dyDescent="0.2">
      <c r="A70" s="22" t="s">
        <v>983</v>
      </c>
      <c r="B70" s="22" t="s">
        <v>1279</v>
      </c>
      <c r="C70" s="22" t="s">
        <v>1280</v>
      </c>
      <c r="D70" s="22">
        <v>10</v>
      </c>
      <c r="E70" s="22" t="s">
        <v>1281</v>
      </c>
      <c r="F70" s="22">
        <v>50</v>
      </c>
      <c r="G70" s="22">
        <v>25</v>
      </c>
      <c r="H70" s="22">
        <v>10</v>
      </c>
      <c r="AM70" s="22" t="s">
        <v>1038</v>
      </c>
      <c r="AP70" s="22" t="s">
        <v>1055</v>
      </c>
      <c r="AQ70" s="22" t="s">
        <v>1277</v>
      </c>
      <c r="AR70" s="22" t="s">
        <v>148</v>
      </c>
      <c r="AS70" s="22">
        <v>20</v>
      </c>
      <c r="AT70" s="22" t="s">
        <v>1278</v>
      </c>
      <c r="AU70" s="22">
        <v>100</v>
      </c>
      <c r="AV70" s="22">
        <v>40</v>
      </c>
      <c r="AW70" s="22" t="s">
        <v>973</v>
      </c>
      <c r="AX70" s="129" t="s">
        <v>5615</v>
      </c>
      <c r="AZ70" s="22" t="s">
        <v>1190</v>
      </c>
    </row>
    <row r="71" spans="1:52" x14ac:dyDescent="0.2">
      <c r="A71" s="22" t="s">
        <v>999</v>
      </c>
      <c r="B71" s="22" t="s">
        <v>1272</v>
      </c>
      <c r="C71" s="22" t="s">
        <v>87</v>
      </c>
      <c r="D71" s="22">
        <v>10</v>
      </c>
      <c r="E71" s="22" t="s">
        <v>1284</v>
      </c>
      <c r="F71" s="22">
        <v>50</v>
      </c>
      <c r="G71" s="22">
        <v>25</v>
      </c>
      <c r="H71" s="22">
        <v>10</v>
      </c>
      <c r="AM71" s="22" t="s">
        <v>1055</v>
      </c>
      <c r="AP71" s="22" t="s">
        <v>1105</v>
      </c>
      <c r="AQ71" s="22" t="s">
        <v>1282</v>
      </c>
      <c r="AR71" s="22" t="s">
        <v>148</v>
      </c>
      <c r="AS71" s="22">
        <v>20</v>
      </c>
      <c r="AT71" s="22" t="s">
        <v>1283</v>
      </c>
      <c r="AU71" s="22">
        <v>100</v>
      </c>
      <c r="AV71" s="22">
        <v>40</v>
      </c>
      <c r="AW71" s="22" t="s">
        <v>168</v>
      </c>
      <c r="AX71" s="129" t="s">
        <v>5616</v>
      </c>
      <c r="AZ71" s="22" t="s">
        <v>1192</v>
      </c>
    </row>
    <row r="72" spans="1:52" x14ac:dyDescent="0.2">
      <c r="A72" s="22" t="s">
        <v>1006</v>
      </c>
      <c r="B72" s="22" t="s">
        <v>87</v>
      </c>
      <c r="C72" s="22" t="s">
        <v>1286</v>
      </c>
      <c r="D72" s="22">
        <v>10</v>
      </c>
      <c r="E72" s="22" t="s">
        <v>1287</v>
      </c>
      <c r="F72" s="22">
        <v>50</v>
      </c>
      <c r="G72" s="22">
        <v>25</v>
      </c>
      <c r="H72" s="22">
        <v>10</v>
      </c>
      <c r="AM72" s="22" t="s">
        <v>1068</v>
      </c>
      <c r="AP72" s="22" t="s">
        <v>1030</v>
      </c>
      <c r="AQ72" s="22" t="s">
        <v>1285</v>
      </c>
      <c r="AR72" s="22" t="s">
        <v>1134</v>
      </c>
      <c r="AS72" s="22">
        <v>10</v>
      </c>
      <c r="AT72" s="22" t="s">
        <v>148</v>
      </c>
      <c r="AU72" s="22">
        <v>50</v>
      </c>
      <c r="AV72" s="22">
        <v>20</v>
      </c>
      <c r="AW72" s="22" t="s">
        <v>1243</v>
      </c>
      <c r="AZ72" s="22" t="s">
        <v>1160</v>
      </c>
    </row>
    <row r="73" spans="1:52" x14ac:dyDescent="0.2">
      <c r="A73" s="22" t="s">
        <v>960</v>
      </c>
      <c r="B73" s="22" t="s">
        <v>87</v>
      </c>
      <c r="C73" s="22" t="s">
        <v>1290</v>
      </c>
      <c r="D73" s="22">
        <v>10</v>
      </c>
      <c r="E73" s="22" t="s">
        <v>1291</v>
      </c>
      <c r="F73" s="22">
        <v>50</v>
      </c>
      <c r="G73" s="22">
        <v>25</v>
      </c>
      <c r="H73" s="22">
        <v>10</v>
      </c>
      <c r="AM73" s="22" t="s">
        <v>1078</v>
      </c>
      <c r="AP73" s="22" t="s">
        <v>1229</v>
      </c>
      <c r="AQ73" s="22" t="s">
        <v>1288</v>
      </c>
      <c r="AR73" s="22" t="s">
        <v>1164</v>
      </c>
      <c r="AS73" s="22">
        <v>10</v>
      </c>
      <c r="AT73" s="22" t="s">
        <v>1289</v>
      </c>
      <c r="AU73" s="22">
        <v>50</v>
      </c>
      <c r="AV73" s="22">
        <v>20</v>
      </c>
      <c r="AW73" s="22" t="s">
        <v>989</v>
      </c>
      <c r="AZ73" s="22" t="s">
        <v>1197</v>
      </c>
    </row>
    <row r="74" spans="1:52" x14ac:dyDescent="0.2">
      <c r="A74" s="22" t="s">
        <v>1014</v>
      </c>
      <c r="B74" s="22" t="s">
        <v>87</v>
      </c>
      <c r="C74" s="22" t="s">
        <v>87</v>
      </c>
      <c r="D74" s="22">
        <v>10</v>
      </c>
      <c r="E74" s="22" t="s">
        <v>1295</v>
      </c>
      <c r="F74" s="22">
        <v>50</v>
      </c>
      <c r="G74" s="22">
        <v>25</v>
      </c>
      <c r="H74" s="22">
        <v>10</v>
      </c>
      <c r="AM74" s="22" t="s">
        <v>1087</v>
      </c>
      <c r="AP74" s="22" t="s">
        <v>993</v>
      </c>
      <c r="AQ74" s="22" t="s">
        <v>1292</v>
      </c>
      <c r="AR74" s="22" t="s">
        <v>148</v>
      </c>
      <c r="AS74" s="22">
        <v>35</v>
      </c>
      <c r="AT74" s="22" t="s">
        <v>1293</v>
      </c>
      <c r="AU74" s="22">
        <v>100</v>
      </c>
      <c r="AV74" s="22">
        <v>40</v>
      </c>
      <c r="AW74" s="22" t="s">
        <v>1294</v>
      </c>
      <c r="AX74" s="129" t="s">
        <v>5617</v>
      </c>
      <c r="AZ74" s="22" t="s">
        <v>1202</v>
      </c>
    </row>
    <row r="75" spans="1:52" x14ac:dyDescent="0.2">
      <c r="A75" s="22" t="s">
        <v>1021</v>
      </c>
      <c r="B75" s="22" t="s">
        <v>1298</v>
      </c>
      <c r="C75" s="22" t="s">
        <v>87</v>
      </c>
      <c r="D75" s="22">
        <v>30</v>
      </c>
      <c r="E75" s="22" t="s">
        <v>1299</v>
      </c>
      <c r="F75" s="22">
        <v>50</v>
      </c>
      <c r="G75" s="22">
        <v>25</v>
      </c>
      <c r="H75" s="22">
        <v>10</v>
      </c>
      <c r="AM75" s="22" t="s">
        <v>1096</v>
      </c>
      <c r="AP75" s="22" t="s">
        <v>1141</v>
      </c>
      <c r="AQ75" s="22" t="s">
        <v>1296</v>
      </c>
      <c r="AR75" s="22" t="s">
        <v>148</v>
      </c>
      <c r="AS75" s="22">
        <v>10</v>
      </c>
      <c r="AT75" s="22" t="s">
        <v>1297</v>
      </c>
      <c r="AU75" s="22">
        <v>50</v>
      </c>
      <c r="AV75" s="22">
        <v>20</v>
      </c>
      <c r="AW75" s="22" t="s">
        <v>989</v>
      </c>
      <c r="AZ75" s="22" t="s">
        <v>1069</v>
      </c>
    </row>
    <row r="76" spans="1:52" x14ac:dyDescent="0.2">
      <c r="A76" s="22" t="s">
        <v>148</v>
      </c>
      <c r="B76" s="22" t="s">
        <v>87</v>
      </c>
      <c r="C76" s="22" t="s">
        <v>87</v>
      </c>
      <c r="D76" s="22">
        <v>0</v>
      </c>
      <c r="E76" s="22" t="s">
        <v>148</v>
      </c>
      <c r="F76" s="22">
        <v>0</v>
      </c>
      <c r="G76" s="22">
        <v>0</v>
      </c>
      <c r="H76" s="22">
        <v>0</v>
      </c>
      <c r="AM76" s="22" t="s">
        <v>1105</v>
      </c>
      <c r="AP76" s="22" t="s">
        <v>1179</v>
      </c>
      <c r="AQ76" s="22" t="s">
        <v>1300</v>
      </c>
      <c r="AR76" s="22" t="s">
        <v>148</v>
      </c>
      <c r="AS76" s="22">
        <v>30</v>
      </c>
      <c r="AT76" s="22" t="s">
        <v>148</v>
      </c>
      <c r="AU76" s="22">
        <v>50</v>
      </c>
      <c r="AV76" s="22">
        <v>20</v>
      </c>
      <c r="AW76" s="22" t="s">
        <v>1301</v>
      </c>
      <c r="AZ76" s="22" t="s">
        <v>1211</v>
      </c>
    </row>
    <row r="77" spans="1:52" x14ac:dyDescent="0.2">
      <c r="AM77" s="22" t="s">
        <v>1116</v>
      </c>
      <c r="AP77" s="22" t="s">
        <v>1008</v>
      </c>
      <c r="AQ77" s="22" t="s">
        <v>1302</v>
      </c>
      <c r="AR77" s="22" t="s">
        <v>148</v>
      </c>
      <c r="AS77" s="22">
        <v>40</v>
      </c>
      <c r="AT77" s="22" t="s">
        <v>1303</v>
      </c>
      <c r="AU77" s="22">
        <v>100</v>
      </c>
      <c r="AV77" s="22">
        <v>40</v>
      </c>
      <c r="AW77" s="22" t="s">
        <v>168</v>
      </c>
      <c r="AX77" s="129" t="s">
        <v>5618</v>
      </c>
      <c r="AZ77" s="22" t="s">
        <v>1217</v>
      </c>
    </row>
    <row r="78" spans="1:52" x14ac:dyDescent="0.2">
      <c r="AM78" s="22" t="s">
        <v>1123</v>
      </c>
      <c r="AP78" s="22" t="s">
        <v>1197</v>
      </c>
      <c r="AQ78" s="22" t="s">
        <v>1304</v>
      </c>
      <c r="AR78" s="22" t="s">
        <v>148</v>
      </c>
      <c r="AS78" s="22">
        <v>10</v>
      </c>
      <c r="AT78" s="22" t="s">
        <v>1305</v>
      </c>
      <c r="AU78" s="22">
        <v>50</v>
      </c>
      <c r="AV78" s="22">
        <v>20</v>
      </c>
      <c r="AW78" s="22" t="s">
        <v>989</v>
      </c>
      <c r="AZ78" s="22" t="s">
        <v>1137</v>
      </c>
    </row>
    <row r="79" spans="1:52" x14ac:dyDescent="0.2">
      <c r="AM79" s="22" t="s">
        <v>1133</v>
      </c>
      <c r="AP79" s="22" t="s">
        <v>968</v>
      </c>
      <c r="AQ79" s="22" t="s">
        <v>1306</v>
      </c>
      <c r="AR79" s="22" t="s">
        <v>1164</v>
      </c>
      <c r="AS79" s="22">
        <v>20</v>
      </c>
      <c r="AT79" s="22" t="s">
        <v>1307</v>
      </c>
      <c r="AU79" s="22">
        <v>80</v>
      </c>
      <c r="AV79" s="22">
        <v>40</v>
      </c>
      <c r="AW79" s="22" t="s">
        <v>965</v>
      </c>
      <c r="AZ79" s="22" t="s">
        <v>1229</v>
      </c>
    </row>
    <row r="80" spans="1:52" x14ac:dyDescent="0.2">
      <c r="AM80" s="22" t="s">
        <v>1142</v>
      </c>
      <c r="AP80" s="22" t="s">
        <v>1061</v>
      </c>
      <c r="AQ80" s="22" t="s">
        <v>1308</v>
      </c>
      <c r="AR80" s="22" t="s">
        <v>1309</v>
      </c>
      <c r="AS80" s="22">
        <v>20</v>
      </c>
      <c r="AT80" s="22" t="s">
        <v>1173</v>
      </c>
      <c r="AU80" s="22">
        <v>80</v>
      </c>
      <c r="AV80" s="22">
        <v>40</v>
      </c>
      <c r="AW80" s="22" t="s">
        <v>1310</v>
      </c>
      <c r="AZ80" s="22" t="s">
        <v>1235</v>
      </c>
    </row>
    <row r="81" spans="1:52" x14ac:dyDescent="0.2">
      <c r="AM81" s="22" t="s">
        <v>1150</v>
      </c>
      <c r="AP81" s="22" t="s">
        <v>1091</v>
      </c>
      <c r="AQ81" s="22" t="s">
        <v>1311</v>
      </c>
      <c r="AR81" s="22" t="s">
        <v>1176</v>
      </c>
      <c r="AS81" s="22">
        <v>20</v>
      </c>
      <c r="AT81" s="22" t="s">
        <v>1312</v>
      </c>
      <c r="AU81" s="22">
        <v>80</v>
      </c>
      <c r="AV81" s="22">
        <v>40</v>
      </c>
      <c r="AW81" s="22" t="s">
        <v>989</v>
      </c>
      <c r="AZ81" s="22" t="s">
        <v>957</v>
      </c>
    </row>
    <row r="82" spans="1:52" x14ac:dyDescent="0.2">
      <c r="AP82" s="22" t="s">
        <v>1171</v>
      </c>
      <c r="AQ82" s="22" t="s">
        <v>1313</v>
      </c>
      <c r="AR82" s="22" t="s">
        <v>148</v>
      </c>
      <c r="AS82" s="22">
        <v>20</v>
      </c>
      <c r="AT82" s="22" t="s">
        <v>1314</v>
      </c>
      <c r="AU82" s="22">
        <v>80</v>
      </c>
      <c r="AV82" s="22">
        <v>40</v>
      </c>
      <c r="AW82" s="22" t="s">
        <v>989</v>
      </c>
      <c r="AZ82" s="22" t="s">
        <v>962</v>
      </c>
    </row>
    <row r="83" spans="1:52" x14ac:dyDescent="0.2">
      <c r="AP83" s="22" t="s">
        <v>1192</v>
      </c>
      <c r="AQ83" s="22" t="s">
        <v>1315</v>
      </c>
      <c r="AR83" s="22" t="s">
        <v>1049</v>
      </c>
      <c r="AS83" s="22">
        <v>20</v>
      </c>
      <c r="AT83" s="22" t="s">
        <v>1316</v>
      </c>
      <c r="AU83" s="22">
        <v>80</v>
      </c>
      <c r="AV83" s="22">
        <v>40</v>
      </c>
      <c r="AW83" s="22" t="s">
        <v>1243</v>
      </c>
      <c r="AZ83" s="22" t="s">
        <v>969</v>
      </c>
    </row>
    <row r="84" spans="1:52" x14ac:dyDescent="0.2">
      <c r="AP84" s="22" t="s">
        <v>1132</v>
      </c>
      <c r="AQ84" s="22" t="s">
        <v>1317</v>
      </c>
      <c r="AR84" s="22" t="s">
        <v>1318</v>
      </c>
      <c r="AS84" s="22">
        <v>20</v>
      </c>
      <c r="AT84" s="22" t="s">
        <v>1319</v>
      </c>
      <c r="AU84" s="22">
        <v>80</v>
      </c>
      <c r="AV84" s="22">
        <v>40</v>
      </c>
      <c r="AW84" s="22" t="s">
        <v>989</v>
      </c>
      <c r="AZ84" s="22" t="s">
        <v>977</v>
      </c>
    </row>
    <row r="85" spans="1:52" x14ac:dyDescent="0.2">
      <c r="A85" s="22" t="s">
        <v>1162</v>
      </c>
      <c r="B85" s="22">
        <f>LOOKUP(A85,C92:D191)</f>
        <v>10</v>
      </c>
      <c r="AP85" s="22" t="s">
        <v>1217</v>
      </c>
      <c r="AQ85" s="22" t="s">
        <v>1320</v>
      </c>
      <c r="AR85" s="22" t="s">
        <v>1219</v>
      </c>
      <c r="AS85" s="22">
        <v>20</v>
      </c>
      <c r="AT85" s="22" t="s">
        <v>1321</v>
      </c>
      <c r="AU85" s="22">
        <v>80</v>
      </c>
      <c r="AV85" s="22">
        <v>40</v>
      </c>
      <c r="AW85" s="22" t="s">
        <v>989</v>
      </c>
      <c r="AZ85" s="22" t="s">
        <v>985</v>
      </c>
    </row>
    <row r="86" spans="1:52" x14ac:dyDescent="0.2">
      <c r="AP86" s="22" t="s">
        <v>992</v>
      </c>
      <c r="AQ86" s="22" t="s">
        <v>1322</v>
      </c>
      <c r="AR86" s="22" t="s">
        <v>148</v>
      </c>
      <c r="AS86" s="22">
        <v>20</v>
      </c>
      <c r="AT86" s="22" t="s">
        <v>1323</v>
      </c>
      <c r="AU86" s="22">
        <v>80</v>
      </c>
      <c r="AV86" s="22">
        <v>40</v>
      </c>
      <c r="AW86" s="22" t="s">
        <v>989</v>
      </c>
      <c r="AZ86" s="22" t="s">
        <v>993</v>
      </c>
    </row>
    <row r="87" spans="1:52" x14ac:dyDescent="0.2">
      <c r="AP87" s="22" t="s">
        <v>1158</v>
      </c>
      <c r="AQ87" s="22" t="s">
        <v>1324</v>
      </c>
      <c r="AR87" s="22" t="s">
        <v>1164</v>
      </c>
      <c r="AS87" s="22">
        <v>20</v>
      </c>
      <c r="AT87" s="22" t="s">
        <v>1325</v>
      </c>
      <c r="AU87" s="22">
        <v>80</v>
      </c>
      <c r="AV87" s="22">
        <v>40</v>
      </c>
      <c r="AW87" s="22" t="s">
        <v>989</v>
      </c>
      <c r="AZ87" s="22" t="s">
        <v>1001</v>
      </c>
    </row>
    <row r="88" spans="1:52" x14ac:dyDescent="0.2">
      <c r="AP88" s="22" t="s">
        <v>1104</v>
      </c>
      <c r="AQ88" s="22" t="s">
        <v>1326</v>
      </c>
      <c r="AR88" s="22" t="s">
        <v>1219</v>
      </c>
      <c r="AS88" s="22">
        <v>20</v>
      </c>
      <c r="AT88" s="22" t="s">
        <v>1327</v>
      </c>
      <c r="AU88" s="22">
        <v>80</v>
      </c>
      <c r="AV88" s="22">
        <v>40</v>
      </c>
      <c r="AW88" s="22" t="s">
        <v>1328</v>
      </c>
      <c r="AZ88" s="22" t="s">
        <v>1008</v>
      </c>
    </row>
    <row r="89" spans="1:52" x14ac:dyDescent="0.2">
      <c r="AP89" s="22" t="s">
        <v>1077</v>
      </c>
      <c r="AQ89" s="22" t="s">
        <v>1329</v>
      </c>
      <c r="AR89" s="22" t="s">
        <v>148</v>
      </c>
      <c r="AS89" s="22">
        <v>20</v>
      </c>
      <c r="AT89" s="22" t="s">
        <v>1330</v>
      </c>
      <c r="AU89" s="22">
        <v>80</v>
      </c>
      <c r="AV89" s="22">
        <v>40</v>
      </c>
      <c r="AW89" s="22" t="s">
        <v>1331</v>
      </c>
      <c r="AZ89" s="22" t="s">
        <v>970</v>
      </c>
    </row>
    <row r="90" spans="1:52" x14ac:dyDescent="0.2">
      <c r="AP90" s="22" t="s">
        <v>1015</v>
      </c>
      <c r="AQ90" s="22" t="s">
        <v>1332</v>
      </c>
      <c r="AR90" s="22" t="s">
        <v>1049</v>
      </c>
      <c r="AS90" s="22">
        <v>20</v>
      </c>
      <c r="AT90" s="22" t="s">
        <v>1333</v>
      </c>
      <c r="AU90" s="22">
        <v>80</v>
      </c>
      <c r="AV90" s="22">
        <v>40</v>
      </c>
      <c r="AW90" s="22" t="s">
        <v>989</v>
      </c>
      <c r="AZ90" s="22" t="s">
        <v>1023</v>
      </c>
    </row>
    <row r="91" spans="1:52" x14ac:dyDescent="0.2">
      <c r="AP91" s="22" t="s">
        <v>1119</v>
      </c>
      <c r="AQ91" s="22" t="s">
        <v>1334</v>
      </c>
      <c r="AR91" s="22" t="s">
        <v>1219</v>
      </c>
      <c r="AS91" s="22">
        <v>20</v>
      </c>
      <c r="AT91" s="22" t="s">
        <v>5613</v>
      </c>
      <c r="AU91" s="22">
        <v>80</v>
      </c>
      <c r="AV91" s="22">
        <v>40</v>
      </c>
      <c r="AW91" s="22" t="s">
        <v>1243</v>
      </c>
      <c r="AZ91" s="22" t="s">
        <v>1031</v>
      </c>
    </row>
    <row r="92" spans="1:52" x14ac:dyDescent="0.2">
      <c r="A92" s="22">
        <v>0</v>
      </c>
      <c r="B92" s="22">
        <v>0</v>
      </c>
      <c r="C92" s="22">
        <v>0</v>
      </c>
      <c r="D92" s="22">
        <v>0</v>
      </c>
      <c r="AP92" s="22" t="s">
        <v>1037</v>
      </c>
      <c r="AQ92" s="22" t="s">
        <v>1317</v>
      </c>
      <c r="AR92" s="22" t="s">
        <v>1134</v>
      </c>
      <c r="AS92" s="22">
        <v>20</v>
      </c>
      <c r="AT92" s="22" t="s">
        <v>148</v>
      </c>
      <c r="AU92" s="22">
        <v>80</v>
      </c>
      <c r="AV92" s="22">
        <v>40</v>
      </c>
      <c r="AW92" s="22" t="s">
        <v>1335</v>
      </c>
      <c r="AZ92" s="22" t="s">
        <v>1038</v>
      </c>
    </row>
    <row r="93" spans="1:52" x14ac:dyDescent="0.2">
      <c r="A93" s="22" t="s">
        <v>1090</v>
      </c>
      <c r="B93" s="22">
        <v>40</v>
      </c>
      <c r="C93" s="22">
        <v>0</v>
      </c>
      <c r="D93" s="22">
        <v>0</v>
      </c>
      <c r="AP93" s="22" t="s">
        <v>1235</v>
      </c>
      <c r="AQ93" s="22" t="s">
        <v>1336</v>
      </c>
      <c r="AR93" s="22" t="s">
        <v>1164</v>
      </c>
      <c r="AS93" s="22">
        <v>20</v>
      </c>
      <c r="AT93" s="22" t="s">
        <v>1337</v>
      </c>
      <c r="AU93" s="22">
        <v>80</v>
      </c>
      <c r="AV93" s="22">
        <v>40</v>
      </c>
      <c r="AW93" s="22" t="s">
        <v>1243</v>
      </c>
      <c r="AZ93" s="22" t="s">
        <v>1046</v>
      </c>
    </row>
    <row r="94" spans="1:52" x14ac:dyDescent="0.2">
      <c r="A94" s="22" t="s">
        <v>1094</v>
      </c>
      <c r="B94" s="22">
        <v>30</v>
      </c>
      <c r="C94" s="22">
        <v>0</v>
      </c>
      <c r="D94" s="22">
        <v>0</v>
      </c>
      <c r="AP94" s="22" t="s">
        <v>1146</v>
      </c>
      <c r="AQ94" s="22" t="s">
        <v>1317</v>
      </c>
      <c r="AR94" s="22" t="s">
        <v>148</v>
      </c>
      <c r="AS94" s="22">
        <v>20</v>
      </c>
      <c r="AT94" s="22" t="s">
        <v>1338</v>
      </c>
      <c r="AU94" s="22">
        <v>80</v>
      </c>
      <c r="AV94" s="22">
        <v>40</v>
      </c>
      <c r="AW94" s="22" t="s">
        <v>989</v>
      </c>
      <c r="AZ94" s="22" t="s">
        <v>1055</v>
      </c>
    </row>
    <row r="95" spans="1:52" x14ac:dyDescent="0.2">
      <c r="A95" s="22" t="s">
        <v>1098</v>
      </c>
      <c r="B95" s="22">
        <v>20</v>
      </c>
      <c r="C95" s="22" t="s">
        <v>1090</v>
      </c>
      <c r="D95" s="22">
        <v>40</v>
      </c>
      <c r="AP95" s="22" t="s">
        <v>1183</v>
      </c>
      <c r="AQ95" s="22" t="s">
        <v>1339</v>
      </c>
      <c r="AR95" s="22" t="s">
        <v>148</v>
      </c>
      <c r="AS95" s="22">
        <v>60</v>
      </c>
      <c r="AT95" s="22" t="s">
        <v>148</v>
      </c>
      <c r="AU95" s="22">
        <v>80</v>
      </c>
      <c r="AV95" s="22">
        <v>40</v>
      </c>
      <c r="AW95" s="22" t="s">
        <v>1340</v>
      </c>
      <c r="AZ95" s="22" t="s">
        <v>1062</v>
      </c>
    </row>
    <row r="96" spans="1:52" x14ac:dyDescent="0.2">
      <c r="A96" s="22" t="s">
        <v>1103</v>
      </c>
      <c r="B96" s="22">
        <v>10</v>
      </c>
      <c r="C96" s="22" t="s">
        <v>1090</v>
      </c>
      <c r="D96" s="22">
        <v>40</v>
      </c>
      <c r="AP96" s="22" t="s">
        <v>1202</v>
      </c>
      <c r="AQ96" s="22" t="s">
        <v>1341</v>
      </c>
      <c r="AR96" s="22" t="s">
        <v>148</v>
      </c>
      <c r="AS96" s="22">
        <v>20</v>
      </c>
      <c r="AT96" s="22" t="s">
        <v>5612</v>
      </c>
      <c r="AU96" s="22">
        <v>80</v>
      </c>
      <c r="AV96" s="22">
        <v>40</v>
      </c>
      <c r="AW96" s="22" t="s">
        <v>1243</v>
      </c>
      <c r="AZ96" s="22" t="s">
        <v>1068</v>
      </c>
    </row>
    <row r="97" spans="1:52" x14ac:dyDescent="0.2">
      <c r="A97" s="22" t="s">
        <v>1108</v>
      </c>
      <c r="B97" s="22">
        <v>10</v>
      </c>
      <c r="C97" s="22" t="s">
        <v>1344</v>
      </c>
      <c r="D97" s="22">
        <v>70</v>
      </c>
      <c r="AP97" s="22" t="s">
        <v>1073</v>
      </c>
      <c r="AQ97" s="22" t="s">
        <v>1342</v>
      </c>
      <c r="AR97" s="22" t="s">
        <v>233</v>
      </c>
      <c r="AS97" s="22">
        <v>10</v>
      </c>
      <c r="AT97" s="22" t="s">
        <v>1343</v>
      </c>
      <c r="AU97" s="22">
        <v>50</v>
      </c>
      <c r="AV97" s="22">
        <v>25</v>
      </c>
      <c r="AW97" s="22" t="s">
        <v>168</v>
      </c>
      <c r="AZ97" s="22" t="s">
        <v>994</v>
      </c>
    </row>
    <row r="98" spans="1:52" x14ac:dyDescent="0.2">
      <c r="A98" s="22" t="s">
        <v>1114</v>
      </c>
      <c r="B98" s="22">
        <v>20</v>
      </c>
      <c r="C98" s="22" t="s">
        <v>1349</v>
      </c>
      <c r="D98" s="22">
        <v>40</v>
      </c>
      <c r="AP98" s="22" t="s">
        <v>1045</v>
      </c>
      <c r="AQ98" s="22" t="s">
        <v>1345</v>
      </c>
      <c r="AR98" s="22" t="s">
        <v>1346</v>
      </c>
      <c r="AS98" s="22">
        <v>10</v>
      </c>
      <c r="AT98" s="22" t="s">
        <v>1347</v>
      </c>
      <c r="AU98" s="22">
        <v>50</v>
      </c>
      <c r="AV98" s="22">
        <v>25</v>
      </c>
      <c r="AW98" s="22" t="s">
        <v>1348</v>
      </c>
      <c r="AZ98" s="22" t="s">
        <v>1078</v>
      </c>
    </row>
    <row r="99" spans="1:52" x14ac:dyDescent="0.2">
      <c r="A99" s="22" t="s">
        <v>1118</v>
      </c>
      <c r="B99" s="22">
        <v>10</v>
      </c>
      <c r="C99" s="22" t="s">
        <v>1352</v>
      </c>
      <c r="D99" s="22">
        <v>10</v>
      </c>
      <c r="AP99" s="22" t="s">
        <v>1053</v>
      </c>
      <c r="AQ99" s="22" t="s">
        <v>1350</v>
      </c>
      <c r="AR99" s="22" t="s">
        <v>1351</v>
      </c>
      <c r="AS99" s="22">
        <v>10</v>
      </c>
      <c r="AT99" s="22" t="s">
        <v>5611</v>
      </c>
      <c r="AU99" s="22">
        <v>50</v>
      </c>
      <c r="AV99" s="22">
        <v>25</v>
      </c>
      <c r="AW99" s="22" t="s">
        <v>168</v>
      </c>
      <c r="AZ99" s="22" t="s">
        <v>1082</v>
      </c>
    </row>
    <row r="100" spans="1:52" x14ac:dyDescent="0.2">
      <c r="A100" s="22" t="s">
        <v>1355</v>
      </c>
      <c r="B100" s="22">
        <v>20</v>
      </c>
      <c r="C100" s="22" t="s">
        <v>1356</v>
      </c>
      <c r="D100" s="22">
        <v>10</v>
      </c>
      <c r="AP100" s="22" t="s">
        <v>1081</v>
      </c>
      <c r="AQ100" s="22" t="s">
        <v>1353</v>
      </c>
      <c r="AR100" s="22" t="s">
        <v>1354</v>
      </c>
      <c r="AS100" s="22">
        <v>10</v>
      </c>
      <c r="AT100" s="22" t="s">
        <v>1228</v>
      </c>
      <c r="AU100" s="22">
        <v>50</v>
      </c>
      <c r="AV100" s="22">
        <v>25</v>
      </c>
      <c r="AW100" s="22" t="s">
        <v>168</v>
      </c>
      <c r="AZ100" s="22" t="s">
        <v>1087</v>
      </c>
    </row>
    <row r="101" spans="1:52" x14ac:dyDescent="0.2">
      <c r="A101" s="22" t="s">
        <v>1361</v>
      </c>
      <c r="B101" s="22">
        <v>20</v>
      </c>
      <c r="C101" s="22" t="s">
        <v>1362</v>
      </c>
      <c r="D101" s="22">
        <v>20</v>
      </c>
      <c r="AP101" s="22" t="s">
        <v>1085</v>
      </c>
      <c r="AQ101" s="22" t="s">
        <v>1357</v>
      </c>
      <c r="AR101" s="22" t="s">
        <v>1358</v>
      </c>
      <c r="AS101" s="22">
        <v>10</v>
      </c>
      <c r="AT101" s="22" t="s">
        <v>1359</v>
      </c>
      <c r="AU101" s="22">
        <v>50</v>
      </c>
      <c r="AV101" s="22">
        <v>25</v>
      </c>
      <c r="AW101" s="22" t="s">
        <v>1360</v>
      </c>
      <c r="AZ101" s="22" t="s">
        <v>1039</v>
      </c>
    </row>
    <row r="102" spans="1:52" x14ac:dyDescent="0.2">
      <c r="A102" s="22" t="s">
        <v>1126</v>
      </c>
      <c r="B102" s="22">
        <v>10</v>
      </c>
      <c r="C102" s="22" t="s">
        <v>1365</v>
      </c>
      <c r="D102" s="22">
        <v>30</v>
      </c>
      <c r="AP102" s="22" t="s">
        <v>1036</v>
      </c>
      <c r="AQ102" s="22" t="s">
        <v>1363</v>
      </c>
      <c r="AR102" s="22" t="s">
        <v>1364</v>
      </c>
      <c r="AS102" s="22">
        <v>10</v>
      </c>
      <c r="AT102" s="22" t="s">
        <v>1240</v>
      </c>
      <c r="AU102" s="22">
        <v>50</v>
      </c>
      <c r="AV102" s="22">
        <v>25</v>
      </c>
      <c r="AW102" s="22" t="s">
        <v>168</v>
      </c>
      <c r="AZ102" s="22" t="s">
        <v>1096</v>
      </c>
    </row>
    <row r="103" spans="1:52" x14ac:dyDescent="0.2">
      <c r="A103" s="22" t="s">
        <v>1131</v>
      </c>
      <c r="B103" s="22">
        <v>10</v>
      </c>
      <c r="C103" s="22" t="s">
        <v>1367</v>
      </c>
      <c r="D103" s="22">
        <v>40</v>
      </c>
      <c r="AP103" s="22" t="s">
        <v>1029</v>
      </c>
      <c r="AQ103" s="22" t="s">
        <v>1366</v>
      </c>
      <c r="AR103" s="22" t="s">
        <v>1354</v>
      </c>
      <c r="AS103" s="22">
        <v>10</v>
      </c>
      <c r="AT103" s="22" t="s">
        <v>1246</v>
      </c>
      <c r="AU103" s="22">
        <v>50</v>
      </c>
      <c r="AV103" s="22">
        <v>25</v>
      </c>
      <c r="AW103" s="22" t="s">
        <v>168</v>
      </c>
      <c r="AZ103" s="22" t="s">
        <v>1100</v>
      </c>
    </row>
    <row r="104" spans="1:52" x14ac:dyDescent="0.2">
      <c r="A104" s="22" t="s">
        <v>1370</v>
      </c>
      <c r="B104" s="22">
        <v>10</v>
      </c>
      <c r="C104" s="22" t="s">
        <v>1371</v>
      </c>
      <c r="D104" s="22">
        <v>20</v>
      </c>
      <c r="AP104" s="22" t="s">
        <v>1066</v>
      </c>
      <c r="AQ104" s="22" t="s">
        <v>1368</v>
      </c>
      <c r="AR104" s="22" t="s">
        <v>1346</v>
      </c>
      <c r="AS104" s="22">
        <v>10</v>
      </c>
      <c r="AT104" s="22" t="s">
        <v>1369</v>
      </c>
      <c r="AU104" s="22">
        <v>50</v>
      </c>
      <c r="AV104" s="22">
        <v>25</v>
      </c>
      <c r="AW104" s="22" t="s">
        <v>1348</v>
      </c>
      <c r="AZ104" s="22" t="s">
        <v>1105</v>
      </c>
    </row>
    <row r="105" spans="1:52" x14ac:dyDescent="0.2">
      <c r="A105" s="22" t="s">
        <v>1373</v>
      </c>
      <c r="B105" s="22">
        <v>10</v>
      </c>
      <c r="C105" s="22" t="s">
        <v>1374</v>
      </c>
      <c r="D105" s="22">
        <v>30</v>
      </c>
      <c r="AP105" s="22" t="s">
        <v>1060</v>
      </c>
      <c r="AQ105" s="22" t="s">
        <v>1372</v>
      </c>
      <c r="AR105" s="22" t="s">
        <v>1354</v>
      </c>
      <c r="AS105" s="22">
        <v>10</v>
      </c>
      <c r="AT105" s="22" t="s">
        <v>1255</v>
      </c>
      <c r="AU105" s="22">
        <v>50</v>
      </c>
      <c r="AV105" s="22">
        <v>25</v>
      </c>
      <c r="AW105" s="22" t="s">
        <v>168</v>
      </c>
      <c r="AZ105" s="22" t="s">
        <v>1009</v>
      </c>
    </row>
    <row r="106" spans="1:52" x14ac:dyDescent="0.2">
      <c r="A106" s="22" t="s">
        <v>1135</v>
      </c>
      <c r="B106" s="22">
        <v>10</v>
      </c>
      <c r="C106" s="22" t="s">
        <v>1376</v>
      </c>
      <c r="D106" s="22">
        <v>30</v>
      </c>
      <c r="AP106" s="22" t="s">
        <v>1076</v>
      </c>
      <c r="AQ106" s="22" t="s">
        <v>1375</v>
      </c>
      <c r="AR106" s="22" t="s">
        <v>1354</v>
      </c>
      <c r="AS106" s="22">
        <v>20</v>
      </c>
      <c r="AT106" s="22" t="s">
        <v>1259</v>
      </c>
      <c r="AU106" s="22">
        <v>50</v>
      </c>
      <c r="AV106" s="22">
        <v>25</v>
      </c>
      <c r="AW106" s="22" t="s">
        <v>168</v>
      </c>
      <c r="AZ106" s="22" t="s">
        <v>1116</v>
      </c>
    </row>
    <row r="107" spans="1:52" x14ac:dyDescent="0.2">
      <c r="A107" s="22" t="s">
        <v>1379</v>
      </c>
      <c r="B107" s="22">
        <v>10</v>
      </c>
      <c r="C107" s="22" t="s">
        <v>1380</v>
      </c>
      <c r="D107" s="22">
        <v>40</v>
      </c>
      <c r="AP107" s="22" t="s">
        <v>955</v>
      </c>
      <c r="AQ107" s="22" t="s">
        <v>1070</v>
      </c>
      <c r="AR107" s="22" t="s">
        <v>1377</v>
      </c>
      <c r="AS107" s="22">
        <v>10</v>
      </c>
      <c r="AT107" s="22" t="s">
        <v>1378</v>
      </c>
      <c r="AU107" s="22">
        <v>50</v>
      </c>
      <c r="AV107" s="22">
        <v>25</v>
      </c>
      <c r="AW107" s="22" t="s">
        <v>965</v>
      </c>
      <c r="AZ107" s="22" t="s">
        <v>1047</v>
      </c>
    </row>
    <row r="108" spans="1:52" x14ac:dyDescent="0.2">
      <c r="A108" s="22" t="s">
        <v>1383</v>
      </c>
      <c r="B108" s="22">
        <v>10</v>
      </c>
      <c r="C108" s="22" t="s">
        <v>1384</v>
      </c>
      <c r="D108" s="22">
        <v>30</v>
      </c>
      <c r="AP108" s="22" t="s">
        <v>975</v>
      </c>
      <c r="AQ108" s="22" t="s">
        <v>1267</v>
      </c>
      <c r="AR108" s="22" t="s">
        <v>1381</v>
      </c>
      <c r="AS108" s="22">
        <v>10</v>
      </c>
      <c r="AT108" s="22" t="s">
        <v>1382</v>
      </c>
      <c r="AU108" s="22">
        <v>50</v>
      </c>
      <c r="AV108" s="22">
        <v>25</v>
      </c>
      <c r="AW108" s="22" t="s">
        <v>989</v>
      </c>
      <c r="AZ108" s="22" t="s">
        <v>1123</v>
      </c>
    </row>
    <row r="109" spans="1:52" x14ac:dyDescent="0.2">
      <c r="A109" s="22" t="s">
        <v>1387</v>
      </c>
      <c r="B109" s="22">
        <v>10</v>
      </c>
      <c r="C109" s="22" t="s">
        <v>1388</v>
      </c>
      <c r="D109" s="22">
        <v>40</v>
      </c>
      <c r="AP109" s="22" t="s">
        <v>967</v>
      </c>
      <c r="AQ109" s="22" t="s">
        <v>1385</v>
      </c>
      <c r="AR109" s="22" t="s">
        <v>87</v>
      </c>
      <c r="AS109" s="22">
        <v>10</v>
      </c>
      <c r="AT109" s="22" t="s">
        <v>1386</v>
      </c>
      <c r="AU109" s="22">
        <v>50</v>
      </c>
      <c r="AV109" s="22">
        <v>25</v>
      </c>
      <c r="AW109" s="22" t="s">
        <v>989</v>
      </c>
      <c r="AZ109" s="22" t="s">
        <v>1024</v>
      </c>
    </row>
    <row r="110" spans="1:52" x14ac:dyDescent="0.2">
      <c r="A110" s="22" t="s">
        <v>1390</v>
      </c>
      <c r="B110" s="22">
        <v>10</v>
      </c>
      <c r="C110" s="22" t="s">
        <v>1391</v>
      </c>
      <c r="D110" s="22">
        <v>20</v>
      </c>
      <c r="AP110" s="22" t="s">
        <v>991</v>
      </c>
      <c r="AQ110" s="22" t="s">
        <v>87</v>
      </c>
      <c r="AR110" s="22" t="s">
        <v>87</v>
      </c>
      <c r="AS110" s="22">
        <v>10</v>
      </c>
      <c r="AT110" s="22" t="s">
        <v>1389</v>
      </c>
      <c r="AU110" s="22">
        <v>50</v>
      </c>
      <c r="AV110" s="22">
        <v>25</v>
      </c>
      <c r="AW110" s="22" t="s">
        <v>989</v>
      </c>
      <c r="AZ110" s="22" t="s">
        <v>1133</v>
      </c>
    </row>
    <row r="111" spans="1:52" x14ac:dyDescent="0.2">
      <c r="A111" s="22" t="s">
        <v>1140</v>
      </c>
      <c r="B111" s="22">
        <v>20</v>
      </c>
      <c r="C111" s="22" t="s">
        <v>1394</v>
      </c>
      <c r="D111" s="22">
        <v>50</v>
      </c>
      <c r="AP111" s="22" t="s">
        <v>983</v>
      </c>
      <c r="AQ111" s="22" t="s">
        <v>1392</v>
      </c>
      <c r="AR111" s="22" t="s">
        <v>87</v>
      </c>
      <c r="AS111" s="22">
        <v>10</v>
      </c>
      <c r="AT111" s="22" t="s">
        <v>1393</v>
      </c>
      <c r="AU111" s="22">
        <v>50</v>
      </c>
      <c r="AV111" s="22">
        <v>25</v>
      </c>
      <c r="AW111" s="22" t="s">
        <v>989</v>
      </c>
      <c r="AZ111" s="22" t="s">
        <v>1111</v>
      </c>
    </row>
    <row r="112" spans="1:52" x14ac:dyDescent="0.2">
      <c r="A112" s="22" t="s">
        <v>1395</v>
      </c>
      <c r="B112" s="22">
        <v>30</v>
      </c>
      <c r="C112" s="22" t="s">
        <v>1396</v>
      </c>
      <c r="D112" s="22">
        <v>30</v>
      </c>
      <c r="AP112" s="22" t="s">
        <v>999</v>
      </c>
      <c r="AQ112" s="22" t="s">
        <v>1385</v>
      </c>
      <c r="AR112" s="22" t="s">
        <v>87</v>
      </c>
      <c r="AS112" s="22">
        <v>10</v>
      </c>
      <c r="AT112" s="22" t="s">
        <v>148</v>
      </c>
      <c r="AU112" s="22">
        <v>50</v>
      </c>
      <c r="AV112" s="22">
        <v>25</v>
      </c>
      <c r="AW112" s="22" t="s">
        <v>1253</v>
      </c>
      <c r="AZ112" s="22" t="s">
        <v>1142</v>
      </c>
    </row>
    <row r="113" spans="1:52" x14ac:dyDescent="0.2">
      <c r="A113" s="22" t="s">
        <v>1399</v>
      </c>
      <c r="B113" s="22">
        <v>10</v>
      </c>
      <c r="C113" s="22" t="s">
        <v>1400</v>
      </c>
      <c r="D113" s="22">
        <v>50</v>
      </c>
      <c r="AP113" s="22" t="s">
        <v>1006</v>
      </c>
      <c r="AQ113" s="22" t="s">
        <v>87</v>
      </c>
      <c r="AR113" s="22" t="s">
        <v>1397</v>
      </c>
      <c r="AS113" s="22">
        <v>10</v>
      </c>
      <c r="AT113" s="22" t="s">
        <v>1398</v>
      </c>
      <c r="AU113" s="22">
        <v>50</v>
      </c>
      <c r="AV113" s="22">
        <v>25</v>
      </c>
      <c r="AW113" s="22" t="s">
        <v>989</v>
      </c>
      <c r="AZ113" s="22" t="s">
        <v>1016</v>
      </c>
    </row>
    <row r="114" spans="1:52" x14ac:dyDescent="0.2">
      <c r="A114" s="22" t="s">
        <v>1145</v>
      </c>
      <c r="B114" s="22">
        <v>10</v>
      </c>
      <c r="C114" s="22" t="s">
        <v>1402</v>
      </c>
      <c r="D114" s="22">
        <v>60</v>
      </c>
      <c r="AP114" s="22" t="s">
        <v>960</v>
      </c>
      <c r="AQ114" s="22" t="s">
        <v>87</v>
      </c>
      <c r="AR114" s="22" t="s">
        <v>1401</v>
      </c>
      <c r="AS114" s="22">
        <v>10</v>
      </c>
      <c r="AT114" s="22" t="s">
        <v>148</v>
      </c>
      <c r="AU114" s="22">
        <v>50</v>
      </c>
      <c r="AV114" s="22">
        <v>25</v>
      </c>
      <c r="AW114" s="22" t="s">
        <v>1243</v>
      </c>
      <c r="AZ114" s="22" t="s">
        <v>1150</v>
      </c>
    </row>
    <row r="115" spans="1:52" x14ac:dyDescent="0.2">
      <c r="A115" s="22" t="s">
        <v>1148</v>
      </c>
      <c r="B115" s="22">
        <v>10</v>
      </c>
      <c r="C115" s="22" t="s">
        <v>1094</v>
      </c>
      <c r="D115" s="22">
        <v>30</v>
      </c>
      <c r="AP115" s="22" t="s">
        <v>1014</v>
      </c>
      <c r="AQ115" s="22" t="s">
        <v>87</v>
      </c>
      <c r="AR115" s="22" t="s">
        <v>87</v>
      </c>
      <c r="AS115" s="22">
        <v>10</v>
      </c>
      <c r="AT115" s="22" t="s">
        <v>1403</v>
      </c>
      <c r="AU115" s="22">
        <v>50</v>
      </c>
      <c r="AV115" s="22">
        <v>25</v>
      </c>
      <c r="AW115" s="22" t="s">
        <v>989</v>
      </c>
    </row>
    <row r="116" spans="1:52" x14ac:dyDescent="0.2">
      <c r="A116" s="22" t="s">
        <v>1404</v>
      </c>
      <c r="B116" s="22">
        <v>10</v>
      </c>
      <c r="C116" s="22" t="s">
        <v>1094</v>
      </c>
      <c r="D116" s="22">
        <v>30</v>
      </c>
      <c r="AP116" s="22" t="s">
        <v>1021</v>
      </c>
      <c r="AQ116" s="22" t="s">
        <v>1298</v>
      </c>
      <c r="AR116" s="22" t="s">
        <v>87</v>
      </c>
      <c r="AS116" s="22">
        <v>30</v>
      </c>
      <c r="AT116" s="22" t="s">
        <v>148</v>
      </c>
      <c r="AU116" s="22">
        <v>50</v>
      </c>
      <c r="AV116" s="22">
        <v>25</v>
      </c>
      <c r="AW116" s="22" t="s">
        <v>1301</v>
      </c>
    </row>
    <row r="117" spans="1:52" x14ac:dyDescent="0.2">
      <c r="A117" s="22" t="s">
        <v>1405</v>
      </c>
      <c r="B117" s="22">
        <v>10</v>
      </c>
      <c r="C117" s="22" t="s">
        <v>1406</v>
      </c>
      <c r="D117" s="22">
        <v>30</v>
      </c>
    </row>
    <row r="118" spans="1:52" x14ac:dyDescent="0.2">
      <c r="A118" s="22" t="s">
        <v>1407</v>
      </c>
      <c r="B118" s="22">
        <v>10</v>
      </c>
      <c r="C118" s="22" t="s">
        <v>1408</v>
      </c>
      <c r="D118" s="22">
        <v>30</v>
      </c>
    </row>
    <row r="119" spans="1:52" x14ac:dyDescent="0.2">
      <c r="A119" s="22" t="s">
        <v>1153</v>
      </c>
      <c r="B119" s="22">
        <v>10</v>
      </c>
      <c r="C119" s="22" t="s">
        <v>1098</v>
      </c>
      <c r="D119" s="22">
        <v>20</v>
      </c>
    </row>
    <row r="120" spans="1:52" x14ac:dyDescent="0.2">
      <c r="A120" s="22" t="s">
        <v>1157</v>
      </c>
      <c r="B120" s="22">
        <v>10</v>
      </c>
      <c r="C120" s="22" t="s">
        <v>1098</v>
      </c>
      <c r="D120" s="22">
        <v>20</v>
      </c>
    </row>
    <row r="121" spans="1:52" x14ac:dyDescent="0.2">
      <c r="A121" s="22" t="s">
        <v>1162</v>
      </c>
      <c r="B121" s="22">
        <v>10</v>
      </c>
      <c r="C121" s="22" t="s">
        <v>1409</v>
      </c>
      <c r="D121" s="22">
        <v>20</v>
      </c>
    </row>
    <row r="122" spans="1:52" x14ac:dyDescent="0.2">
      <c r="A122" s="22" t="s">
        <v>1166</v>
      </c>
      <c r="B122" s="22">
        <v>10</v>
      </c>
      <c r="C122" s="22" t="s">
        <v>1103</v>
      </c>
      <c r="D122" s="22">
        <v>10</v>
      </c>
    </row>
    <row r="123" spans="1:52" x14ac:dyDescent="0.2">
      <c r="A123" s="22" t="s">
        <v>1410</v>
      </c>
      <c r="B123" s="22">
        <v>20</v>
      </c>
      <c r="C123" s="22" t="s">
        <v>1103</v>
      </c>
      <c r="D123" s="22">
        <v>10</v>
      </c>
    </row>
    <row r="124" spans="1:52" x14ac:dyDescent="0.2">
      <c r="A124" s="22" t="s">
        <v>1411</v>
      </c>
      <c r="B124" s="22">
        <v>20</v>
      </c>
      <c r="C124" s="22" t="s">
        <v>1412</v>
      </c>
      <c r="D124" s="22">
        <v>30</v>
      </c>
    </row>
    <row r="125" spans="1:52" x14ac:dyDescent="0.2">
      <c r="A125" s="22" t="s">
        <v>1413</v>
      </c>
      <c r="B125" s="22">
        <v>20</v>
      </c>
      <c r="C125" s="22" t="s">
        <v>1108</v>
      </c>
      <c r="D125" s="22">
        <v>10</v>
      </c>
    </row>
    <row r="126" spans="1:52" x14ac:dyDescent="0.2">
      <c r="A126" s="22" t="s">
        <v>1170</v>
      </c>
      <c r="B126" s="22">
        <v>20</v>
      </c>
      <c r="C126" s="22" t="s">
        <v>1108</v>
      </c>
      <c r="D126" s="22">
        <v>10</v>
      </c>
    </row>
    <row r="127" spans="1:52" x14ac:dyDescent="0.2">
      <c r="A127" s="22" t="s">
        <v>1174</v>
      </c>
      <c r="B127" s="22">
        <v>20</v>
      </c>
      <c r="C127" s="22" t="s">
        <v>1414</v>
      </c>
      <c r="D127" s="22">
        <v>20</v>
      </c>
    </row>
    <row r="128" spans="1:52" x14ac:dyDescent="0.2">
      <c r="A128" s="22" t="s">
        <v>1415</v>
      </c>
      <c r="B128" s="22">
        <v>10</v>
      </c>
      <c r="C128" s="22" t="s">
        <v>1114</v>
      </c>
      <c r="D128" s="22">
        <v>20</v>
      </c>
    </row>
    <row r="129" spans="1:4" x14ac:dyDescent="0.2">
      <c r="A129" s="22" t="s">
        <v>1178</v>
      </c>
      <c r="B129" s="22">
        <v>20</v>
      </c>
      <c r="C129" s="22" t="s">
        <v>1114</v>
      </c>
      <c r="D129" s="22">
        <v>20</v>
      </c>
    </row>
    <row r="130" spans="1:4" x14ac:dyDescent="0.2">
      <c r="A130" s="22" t="s">
        <v>1416</v>
      </c>
      <c r="B130" s="22">
        <v>20</v>
      </c>
      <c r="C130" s="22" t="s">
        <v>1118</v>
      </c>
      <c r="D130" s="22">
        <v>10</v>
      </c>
    </row>
    <row r="131" spans="1:4" x14ac:dyDescent="0.2">
      <c r="A131" s="22" t="s">
        <v>1417</v>
      </c>
      <c r="B131" s="22">
        <v>50</v>
      </c>
      <c r="C131" s="22" t="s">
        <v>1118</v>
      </c>
      <c r="D131" s="22">
        <v>10</v>
      </c>
    </row>
    <row r="132" spans="1:4" x14ac:dyDescent="0.2">
      <c r="A132" s="22" t="s">
        <v>1418</v>
      </c>
      <c r="B132" s="22">
        <v>20</v>
      </c>
      <c r="C132" s="22" t="s">
        <v>1355</v>
      </c>
      <c r="D132" s="22">
        <v>20</v>
      </c>
    </row>
    <row r="133" spans="1:4" x14ac:dyDescent="0.2">
      <c r="A133" s="22" t="s">
        <v>1349</v>
      </c>
      <c r="B133" s="22">
        <v>40</v>
      </c>
      <c r="C133" s="22" t="s">
        <v>1122</v>
      </c>
      <c r="D133" s="22">
        <v>20</v>
      </c>
    </row>
    <row r="134" spans="1:4" x14ac:dyDescent="0.2">
      <c r="A134" s="22" t="s">
        <v>1356</v>
      </c>
      <c r="B134" s="22">
        <v>10</v>
      </c>
      <c r="C134" s="22" t="s">
        <v>1361</v>
      </c>
      <c r="D134" s="22">
        <v>20</v>
      </c>
    </row>
    <row r="135" spans="1:4" x14ac:dyDescent="0.2">
      <c r="A135" s="22" t="s">
        <v>1365</v>
      </c>
      <c r="B135" s="22">
        <v>30</v>
      </c>
      <c r="C135" s="22" t="s">
        <v>1419</v>
      </c>
      <c r="D135" s="22">
        <v>30</v>
      </c>
    </row>
    <row r="136" spans="1:4" x14ac:dyDescent="0.2">
      <c r="A136" s="22" t="s">
        <v>1371</v>
      </c>
      <c r="B136" s="22">
        <v>20</v>
      </c>
      <c r="C136" s="22" t="s">
        <v>1126</v>
      </c>
      <c r="D136" s="22">
        <v>10</v>
      </c>
    </row>
    <row r="137" spans="1:4" x14ac:dyDescent="0.2">
      <c r="A137" s="22" t="s">
        <v>1374</v>
      </c>
      <c r="B137" s="22">
        <v>30</v>
      </c>
      <c r="C137" s="22" t="s">
        <v>1126</v>
      </c>
      <c r="D137" s="22">
        <v>10</v>
      </c>
    </row>
    <row r="138" spans="1:4" x14ac:dyDescent="0.2">
      <c r="A138" s="22" t="s">
        <v>1376</v>
      </c>
      <c r="B138" s="22">
        <v>30</v>
      </c>
      <c r="C138" s="22" t="s">
        <v>1420</v>
      </c>
      <c r="D138" s="22">
        <v>20</v>
      </c>
    </row>
    <row r="139" spans="1:4" x14ac:dyDescent="0.2">
      <c r="A139" s="22" t="s">
        <v>1380</v>
      </c>
      <c r="B139" s="22">
        <v>40</v>
      </c>
      <c r="C139" s="22" t="s">
        <v>1131</v>
      </c>
      <c r="D139" s="22">
        <v>10</v>
      </c>
    </row>
    <row r="140" spans="1:4" x14ac:dyDescent="0.2">
      <c r="A140" s="22" t="s">
        <v>1384</v>
      </c>
      <c r="B140" s="22">
        <v>30</v>
      </c>
      <c r="C140" s="22" t="s">
        <v>1131</v>
      </c>
      <c r="D140" s="22">
        <v>10</v>
      </c>
    </row>
    <row r="141" spans="1:4" x14ac:dyDescent="0.2">
      <c r="A141" s="22" t="s">
        <v>1388</v>
      </c>
      <c r="B141" s="22">
        <v>40</v>
      </c>
      <c r="C141" s="22" t="s">
        <v>1370</v>
      </c>
      <c r="D141" s="22">
        <v>10</v>
      </c>
    </row>
    <row r="142" spans="1:4" x14ac:dyDescent="0.2">
      <c r="A142" s="22" t="s">
        <v>1391</v>
      </c>
      <c r="B142" s="22">
        <v>20</v>
      </c>
      <c r="C142" s="22" t="s">
        <v>1373</v>
      </c>
      <c r="D142" s="22">
        <v>10</v>
      </c>
    </row>
    <row r="143" spans="1:4" x14ac:dyDescent="0.2">
      <c r="A143" s="22" t="s">
        <v>1394</v>
      </c>
      <c r="B143" s="22">
        <v>50</v>
      </c>
      <c r="C143" s="22" t="s">
        <v>1135</v>
      </c>
      <c r="D143" s="22">
        <v>10</v>
      </c>
    </row>
    <row r="144" spans="1:4" x14ac:dyDescent="0.2">
      <c r="A144" s="22" t="s">
        <v>1396</v>
      </c>
      <c r="B144" s="22">
        <v>30</v>
      </c>
      <c r="C144" s="22" t="s">
        <v>1135</v>
      </c>
      <c r="D144" s="22">
        <v>10</v>
      </c>
    </row>
    <row r="145" spans="1:4" x14ac:dyDescent="0.2">
      <c r="A145" s="22" t="s">
        <v>1400</v>
      </c>
      <c r="B145" s="22">
        <v>50</v>
      </c>
      <c r="C145" s="22" t="s">
        <v>1379</v>
      </c>
      <c r="D145" s="22">
        <v>10</v>
      </c>
    </row>
    <row r="146" spans="1:4" x14ac:dyDescent="0.2">
      <c r="C146" s="22" t="s">
        <v>1383</v>
      </c>
      <c r="D146" s="22">
        <v>10</v>
      </c>
    </row>
    <row r="147" spans="1:4" x14ac:dyDescent="0.2">
      <c r="A147" s="22">
        <v>0</v>
      </c>
      <c r="B147" s="22">
        <v>0</v>
      </c>
      <c r="C147" s="22" t="s">
        <v>1387</v>
      </c>
      <c r="D147" s="22">
        <v>10</v>
      </c>
    </row>
    <row r="148" spans="1:4" x14ac:dyDescent="0.2">
      <c r="A148" s="22" t="s">
        <v>1344</v>
      </c>
      <c r="B148" s="22">
        <v>70</v>
      </c>
      <c r="C148" s="22" t="s">
        <v>1390</v>
      </c>
      <c r="D148" s="22">
        <v>10</v>
      </c>
    </row>
    <row r="149" spans="1:4" x14ac:dyDescent="0.2">
      <c r="A149" s="22" t="s">
        <v>1402</v>
      </c>
      <c r="B149" s="22">
        <v>60</v>
      </c>
      <c r="C149" s="22" t="s">
        <v>1140</v>
      </c>
      <c r="D149" s="22">
        <v>20</v>
      </c>
    </row>
    <row r="150" spans="1:4" x14ac:dyDescent="0.2">
      <c r="A150" s="22" t="s">
        <v>1406</v>
      </c>
      <c r="B150" s="22">
        <v>30</v>
      </c>
      <c r="C150" s="22" t="s">
        <v>1140</v>
      </c>
      <c r="D150" s="22">
        <v>20</v>
      </c>
    </row>
    <row r="151" spans="1:4" x14ac:dyDescent="0.2">
      <c r="A151" s="22" t="s">
        <v>1408</v>
      </c>
      <c r="B151" s="22">
        <v>30</v>
      </c>
      <c r="C151" s="22" t="s">
        <v>1395</v>
      </c>
      <c r="D151" s="22">
        <v>30</v>
      </c>
    </row>
    <row r="152" spans="1:4" x14ac:dyDescent="0.2">
      <c r="A152" s="22" t="s">
        <v>1409</v>
      </c>
      <c r="B152" s="22">
        <v>20</v>
      </c>
      <c r="C152" s="22" t="s">
        <v>1399</v>
      </c>
      <c r="D152" s="22">
        <v>10</v>
      </c>
    </row>
    <row r="153" spans="1:4" x14ac:dyDescent="0.2">
      <c r="A153" s="22" t="s">
        <v>1412</v>
      </c>
      <c r="B153" s="22">
        <v>30</v>
      </c>
      <c r="C153" s="22" t="s">
        <v>1421</v>
      </c>
      <c r="D153" s="22">
        <v>20</v>
      </c>
    </row>
    <row r="154" spans="1:4" x14ac:dyDescent="0.2">
      <c r="A154" s="22" t="s">
        <v>1414</v>
      </c>
      <c r="B154" s="22">
        <v>20</v>
      </c>
      <c r="C154" s="22" t="s">
        <v>1145</v>
      </c>
      <c r="D154" s="22">
        <v>10</v>
      </c>
    </row>
    <row r="155" spans="1:4" x14ac:dyDescent="0.2">
      <c r="A155" s="22" t="s">
        <v>1419</v>
      </c>
      <c r="B155" s="22">
        <v>30</v>
      </c>
      <c r="C155" s="22" t="s">
        <v>1145</v>
      </c>
      <c r="D155" s="22">
        <v>10</v>
      </c>
    </row>
    <row r="156" spans="1:4" x14ac:dyDescent="0.2">
      <c r="A156" s="22" t="s">
        <v>1420</v>
      </c>
      <c r="B156" s="22">
        <v>20</v>
      </c>
      <c r="C156" s="22" t="s">
        <v>1148</v>
      </c>
      <c r="D156" s="22">
        <v>10</v>
      </c>
    </row>
    <row r="157" spans="1:4" x14ac:dyDescent="0.2">
      <c r="A157" s="22" t="s">
        <v>1421</v>
      </c>
      <c r="B157" s="22">
        <v>20</v>
      </c>
      <c r="C157" s="22" t="s">
        <v>1148</v>
      </c>
      <c r="D157" s="22">
        <v>10</v>
      </c>
    </row>
    <row r="158" spans="1:4" x14ac:dyDescent="0.2">
      <c r="A158" s="22" t="s">
        <v>1422</v>
      </c>
      <c r="B158" s="22">
        <v>30</v>
      </c>
      <c r="C158" s="22" t="s">
        <v>1404</v>
      </c>
      <c r="D158" s="22">
        <v>10</v>
      </c>
    </row>
    <row r="159" spans="1:4" x14ac:dyDescent="0.2">
      <c r="A159" s="22" t="s">
        <v>1423</v>
      </c>
      <c r="B159" s="22">
        <v>10</v>
      </c>
      <c r="C159" s="22" t="s">
        <v>1405</v>
      </c>
      <c r="D159" s="22">
        <v>10</v>
      </c>
    </row>
    <row r="160" spans="1:4" x14ac:dyDescent="0.2">
      <c r="A160" s="22" t="s">
        <v>1424</v>
      </c>
      <c r="B160" s="22">
        <v>10</v>
      </c>
      <c r="C160" s="22" t="s">
        <v>1407</v>
      </c>
      <c r="D160" s="22">
        <v>10</v>
      </c>
    </row>
    <row r="161" spans="1:4" x14ac:dyDescent="0.2">
      <c r="A161" s="22" t="s">
        <v>1425</v>
      </c>
      <c r="B161" s="22">
        <v>20</v>
      </c>
      <c r="C161" s="22" t="s">
        <v>1422</v>
      </c>
      <c r="D161" s="22">
        <v>30</v>
      </c>
    </row>
    <row r="162" spans="1:4" x14ac:dyDescent="0.2">
      <c r="A162" s="22" t="s">
        <v>1426</v>
      </c>
      <c r="B162" s="22">
        <v>30</v>
      </c>
      <c r="C162" s="22" t="s">
        <v>1153</v>
      </c>
      <c r="D162" s="22">
        <v>10</v>
      </c>
    </row>
    <row r="163" spans="1:4" x14ac:dyDescent="0.2">
      <c r="A163" s="22" t="s">
        <v>1427</v>
      </c>
      <c r="B163" s="22">
        <v>20</v>
      </c>
      <c r="C163" s="22" t="s">
        <v>1153</v>
      </c>
      <c r="D163" s="22">
        <v>10</v>
      </c>
    </row>
    <row r="164" spans="1:4" x14ac:dyDescent="0.2">
      <c r="A164" s="22" t="s">
        <v>1428</v>
      </c>
      <c r="B164" s="22">
        <v>40</v>
      </c>
      <c r="C164" s="22" t="s">
        <v>1157</v>
      </c>
      <c r="D164" s="22">
        <v>10</v>
      </c>
    </row>
    <row r="165" spans="1:4" x14ac:dyDescent="0.2">
      <c r="A165" s="22" t="s">
        <v>1429</v>
      </c>
      <c r="B165" s="22">
        <v>30</v>
      </c>
      <c r="C165" s="22" t="s">
        <v>1157</v>
      </c>
      <c r="D165" s="22">
        <v>10</v>
      </c>
    </row>
    <row r="166" spans="1:4" x14ac:dyDescent="0.2">
      <c r="A166" s="22" t="s">
        <v>1352</v>
      </c>
      <c r="B166" s="22">
        <v>10</v>
      </c>
      <c r="C166" s="22" t="s">
        <v>1162</v>
      </c>
      <c r="D166" s="22">
        <v>10</v>
      </c>
    </row>
    <row r="167" spans="1:4" x14ac:dyDescent="0.2">
      <c r="A167" s="22" t="s">
        <v>1362</v>
      </c>
      <c r="B167" s="22">
        <v>20</v>
      </c>
      <c r="C167" s="22" t="s">
        <v>1162</v>
      </c>
      <c r="D167" s="22">
        <v>10</v>
      </c>
    </row>
    <row r="168" spans="1:4" x14ac:dyDescent="0.2">
      <c r="A168" s="22" t="s">
        <v>1367</v>
      </c>
      <c r="B168" s="22">
        <v>40</v>
      </c>
      <c r="C168" s="22" t="s">
        <v>1166</v>
      </c>
      <c r="D168" s="22">
        <v>10</v>
      </c>
    </row>
    <row r="169" spans="1:4" x14ac:dyDescent="0.2">
      <c r="C169" s="22" t="s">
        <v>1166</v>
      </c>
      <c r="D169" s="22">
        <v>10</v>
      </c>
    </row>
    <row r="170" spans="1:4" x14ac:dyDescent="0.2">
      <c r="C170" s="22" t="s">
        <v>1410</v>
      </c>
      <c r="D170" s="22">
        <v>20</v>
      </c>
    </row>
    <row r="171" spans="1:4" x14ac:dyDescent="0.2">
      <c r="C171" s="22" t="s">
        <v>1411</v>
      </c>
      <c r="D171" s="22">
        <v>20</v>
      </c>
    </row>
    <row r="172" spans="1:4" x14ac:dyDescent="0.2">
      <c r="C172" s="22" t="s">
        <v>1413</v>
      </c>
      <c r="D172" s="22">
        <v>20</v>
      </c>
    </row>
    <row r="173" spans="1:4" x14ac:dyDescent="0.2">
      <c r="C173" s="22" t="s">
        <v>1170</v>
      </c>
      <c r="D173" s="22">
        <v>20</v>
      </c>
    </row>
    <row r="174" spans="1:4" x14ac:dyDescent="0.2">
      <c r="C174" s="22" t="s">
        <v>1170</v>
      </c>
      <c r="D174" s="22">
        <v>20</v>
      </c>
    </row>
    <row r="175" spans="1:4" x14ac:dyDescent="0.2">
      <c r="C175" s="22" t="s">
        <v>1174</v>
      </c>
      <c r="D175" s="22">
        <v>20</v>
      </c>
    </row>
    <row r="176" spans="1:4" x14ac:dyDescent="0.2">
      <c r="C176" s="22" t="s">
        <v>1174</v>
      </c>
      <c r="D176" s="22">
        <v>20</v>
      </c>
    </row>
    <row r="177" spans="3:4" x14ac:dyDescent="0.2">
      <c r="C177" s="22" t="s">
        <v>1415</v>
      </c>
      <c r="D177" s="22">
        <v>10</v>
      </c>
    </row>
    <row r="178" spans="3:4" x14ac:dyDescent="0.2">
      <c r="C178" s="22" t="s">
        <v>1178</v>
      </c>
      <c r="D178" s="22">
        <v>20</v>
      </c>
    </row>
    <row r="179" spans="3:4" x14ac:dyDescent="0.2">
      <c r="C179" s="22" t="s">
        <v>1178</v>
      </c>
      <c r="D179" s="22">
        <v>20</v>
      </c>
    </row>
    <row r="180" spans="3:4" x14ac:dyDescent="0.2">
      <c r="C180" s="22" t="s">
        <v>1416</v>
      </c>
      <c r="D180" s="22">
        <v>20</v>
      </c>
    </row>
    <row r="181" spans="3:4" x14ac:dyDescent="0.2">
      <c r="C181" s="22" t="s">
        <v>1423</v>
      </c>
      <c r="D181" s="22">
        <v>10</v>
      </c>
    </row>
    <row r="182" spans="3:4" x14ac:dyDescent="0.2">
      <c r="C182" s="22" t="s">
        <v>1182</v>
      </c>
      <c r="D182" s="22">
        <v>30</v>
      </c>
    </row>
    <row r="183" spans="3:4" x14ac:dyDescent="0.2">
      <c r="C183" s="22" t="s">
        <v>1417</v>
      </c>
      <c r="D183" s="22">
        <v>50</v>
      </c>
    </row>
    <row r="184" spans="3:4" x14ac:dyDescent="0.2">
      <c r="C184" s="22" t="s">
        <v>1424</v>
      </c>
      <c r="D184" s="22">
        <v>10</v>
      </c>
    </row>
    <row r="185" spans="3:4" x14ac:dyDescent="0.2">
      <c r="C185" s="22" t="s">
        <v>1187</v>
      </c>
      <c r="D185" s="22">
        <v>50</v>
      </c>
    </row>
    <row r="186" spans="3:4" x14ac:dyDescent="0.2">
      <c r="C186" s="22" t="s">
        <v>1425</v>
      </c>
      <c r="D186" s="22">
        <v>20</v>
      </c>
    </row>
    <row r="187" spans="3:4" x14ac:dyDescent="0.2">
      <c r="C187" s="22" t="s">
        <v>1426</v>
      </c>
      <c r="D187" s="22">
        <v>30</v>
      </c>
    </row>
    <row r="188" spans="3:4" x14ac:dyDescent="0.2">
      <c r="C188" s="22" t="s">
        <v>1427</v>
      </c>
      <c r="D188" s="22">
        <v>20</v>
      </c>
    </row>
    <row r="189" spans="3:4" x14ac:dyDescent="0.2">
      <c r="C189" s="22" t="s">
        <v>1428</v>
      </c>
      <c r="D189" s="22">
        <v>40</v>
      </c>
    </row>
    <row r="190" spans="3:4" x14ac:dyDescent="0.2">
      <c r="C190" s="22" t="s">
        <v>1429</v>
      </c>
      <c r="D190" s="22">
        <v>30</v>
      </c>
    </row>
    <row r="191" spans="3:4" x14ac:dyDescent="0.2">
      <c r="C191" s="22" t="s">
        <v>1418</v>
      </c>
      <c r="D191" s="22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J1" sqref="J1"/>
    </sheetView>
  </sheetViews>
  <sheetFormatPr baseColWidth="10" defaultColWidth="5.28515625" defaultRowHeight="8.25" x14ac:dyDescent="0.2"/>
  <cols>
    <col min="1" max="16384" width="5.28515625" style="97"/>
  </cols>
  <sheetData>
    <row r="1" spans="1:9" x14ac:dyDescent="0.2">
      <c r="A1" s="97" t="s">
        <v>1298</v>
      </c>
      <c r="I1" s="97">
        <v>40</v>
      </c>
    </row>
    <row r="2" spans="1:9" x14ac:dyDescent="0.2">
      <c r="B2" s="97" t="s">
        <v>5537</v>
      </c>
      <c r="I2" s="97">
        <v>30</v>
      </c>
    </row>
    <row r="3" spans="1:9" x14ac:dyDescent="0.2">
      <c r="C3" s="97" t="s">
        <v>5538</v>
      </c>
      <c r="I3" s="97">
        <v>20</v>
      </c>
    </row>
    <row r="4" spans="1:9" x14ac:dyDescent="0.2">
      <c r="D4" s="97" t="s">
        <v>5539</v>
      </c>
      <c r="I4" s="97">
        <v>10</v>
      </c>
    </row>
    <row r="5" spans="1:9" x14ac:dyDescent="0.2">
      <c r="C5" s="97" t="s">
        <v>5540</v>
      </c>
      <c r="I5" s="97">
        <v>10</v>
      </c>
    </row>
    <row r="6" spans="1:9" x14ac:dyDescent="0.2">
      <c r="D6" s="97" t="s">
        <v>2935</v>
      </c>
      <c r="I6" s="97">
        <v>20</v>
      </c>
    </row>
    <row r="7" spans="1:9" x14ac:dyDescent="0.2">
      <c r="E7" s="97" t="s">
        <v>5541</v>
      </c>
      <c r="I7" s="97">
        <v>10</v>
      </c>
    </row>
    <row r="8" spans="1:9" x14ac:dyDescent="0.2">
      <c r="E8" s="97" t="s">
        <v>5542</v>
      </c>
      <c r="I8" s="97">
        <v>20</v>
      </c>
    </row>
    <row r="9" spans="1:9" x14ac:dyDescent="0.2">
      <c r="E9" s="97" t="s">
        <v>2006</v>
      </c>
      <c r="I9" s="97">
        <v>20</v>
      </c>
    </row>
    <row r="10" spans="1:9" x14ac:dyDescent="0.2">
      <c r="B10" s="97" t="s">
        <v>5544</v>
      </c>
      <c r="I10" s="97">
        <v>10</v>
      </c>
    </row>
    <row r="11" spans="1:9" x14ac:dyDescent="0.2">
      <c r="C11" s="97" t="s">
        <v>5545</v>
      </c>
      <c r="I11" s="97">
        <v>10</v>
      </c>
    </row>
    <row r="12" spans="1:9" x14ac:dyDescent="0.2">
      <c r="D12" s="97" t="s">
        <v>5546</v>
      </c>
      <c r="I12" s="97">
        <v>10</v>
      </c>
    </row>
    <row r="13" spans="1:9" x14ac:dyDescent="0.2">
      <c r="E13" s="97" t="s">
        <v>5547</v>
      </c>
      <c r="I13" s="97">
        <v>10</v>
      </c>
    </row>
    <row r="14" spans="1:9" x14ac:dyDescent="0.2">
      <c r="C14" s="97" t="s">
        <v>5548</v>
      </c>
      <c r="I14" s="97">
        <v>10</v>
      </c>
    </row>
    <row r="15" spans="1:9" x14ac:dyDescent="0.2">
      <c r="D15" s="97" t="s">
        <v>5549</v>
      </c>
      <c r="I15" s="97">
        <v>10</v>
      </c>
    </row>
    <row r="16" spans="1:9" x14ac:dyDescent="0.2">
      <c r="D16" s="97" t="s">
        <v>5551</v>
      </c>
      <c r="I16" s="97">
        <v>10</v>
      </c>
    </row>
    <row r="17" spans="2:9" x14ac:dyDescent="0.2">
      <c r="D17" s="97" t="s">
        <v>5550</v>
      </c>
      <c r="I17" s="97">
        <v>10</v>
      </c>
    </row>
    <row r="18" spans="2:9" x14ac:dyDescent="0.2">
      <c r="D18" s="97" t="s">
        <v>5552</v>
      </c>
      <c r="I18" s="97">
        <v>10</v>
      </c>
    </row>
    <row r="19" spans="2:9" x14ac:dyDescent="0.2">
      <c r="C19" s="97" t="s">
        <v>5553</v>
      </c>
      <c r="I19" s="97">
        <v>20</v>
      </c>
    </row>
    <row r="20" spans="2:9" x14ac:dyDescent="0.2">
      <c r="C20" s="97" t="s">
        <v>5554</v>
      </c>
      <c r="I20" s="97">
        <v>30</v>
      </c>
    </row>
    <row r="21" spans="2:9" x14ac:dyDescent="0.2">
      <c r="C21" s="97" t="s">
        <v>5555</v>
      </c>
      <c r="I21" s="97">
        <v>10</v>
      </c>
    </row>
    <row r="22" spans="2:9" x14ac:dyDescent="0.2">
      <c r="B22" s="97" t="s">
        <v>5556</v>
      </c>
      <c r="I22" s="97">
        <v>10</v>
      </c>
    </row>
    <row r="23" spans="2:9" x14ac:dyDescent="0.2">
      <c r="C23" s="97" t="s">
        <v>5557</v>
      </c>
      <c r="I23" s="97">
        <v>10</v>
      </c>
    </row>
    <row r="24" spans="2:9" x14ac:dyDescent="0.2">
      <c r="D24" s="97" t="s">
        <v>5558</v>
      </c>
      <c r="I24" s="97">
        <v>10</v>
      </c>
    </row>
    <row r="25" spans="2:9" x14ac:dyDescent="0.2">
      <c r="D25" s="97" t="s">
        <v>5559</v>
      </c>
      <c r="I25" s="97">
        <v>10</v>
      </c>
    </row>
    <row r="26" spans="2:9" x14ac:dyDescent="0.2">
      <c r="C26" s="97" t="s">
        <v>5560</v>
      </c>
      <c r="I26" s="97">
        <v>10</v>
      </c>
    </row>
    <row r="27" spans="2:9" x14ac:dyDescent="0.2">
      <c r="B27" s="97" t="s">
        <v>5561</v>
      </c>
      <c r="I27" s="97">
        <v>10</v>
      </c>
    </row>
    <row r="28" spans="2:9" x14ac:dyDescent="0.2">
      <c r="C28" s="97" t="s">
        <v>5562</v>
      </c>
      <c r="I28" s="97">
        <v>10</v>
      </c>
    </row>
    <row r="29" spans="2:9" x14ac:dyDescent="0.2">
      <c r="D29" s="97" t="s">
        <v>5563</v>
      </c>
      <c r="I29" s="97">
        <v>10</v>
      </c>
    </row>
    <row r="30" spans="2:9" x14ac:dyDescent="0.2">
      <c r="D30" s="97" t="s">
        <v>5564</v>
      </c>
      <c r="I30" s="97">
        <v>10</v>
      </c>
    </row>
    <row r="31" spans="2:9" x14ac:dyDescent="0.2">
      <c r="C31" s="97" t="s">
        <v>5565</v>
      </c>
      <c r="I31" s="97">
        <v>10</v>
      </c>
    </row>
    <row r="32" spans="2:9" x14ac:dyDescent="0.2">
      <c r="D32" s="97" t="s">
        <v>5566</v>
      </c>
      <c r="I32" s="97">
        <v>20</v>
      </c>
    </row>
    <row r="33" spans="2:9" x14ac:dyDescent="0.2">
      <c r="D33" s="97" t="s">
        <v>5567</v>
      </c>
      <c r="I33" s="97">
        <v>20</v>
      </c>
    </row>
    <row r="34" spans="2:9" x14ac:dyDescent="0.2">
      <c r="D34" s="97" t="s">
        <v>5568</v>
      </c>
      <c r="I34" s="97">
        <v>20</v>
      </c>
    </row>
    <row r="35" spans="2:9" x14ac:dyDescent="0.2">
      <c r="C35" s="97" t="s">
        <v>5569</v>
      </c>
      <c r="I35" s="97">
        <v>20</v>
      </c>
    </row>
    <row r="36" spans="2:9" x14ac:dyDescent="0.2">
      <c r="D36" s="97" t="s">
        <v>5570</v>
      </c>
      <c r="I36" s="97">
        <v>20</v>
      </c>
    </row>
    <row r="37" spans="2:9" x14ac:dyDescent="0.2">
      <c r="D37" s="97" t="s">
        <v>5571</v>
      </c>
      <c r="I37" s="97">
        <v>10</v>
      </c>
    </row>
    <row r="38" spans="2:9" x14ac:dyDescent="0.2">
      <c r="C38" s="97" t="s">
        <v>5572</v>
      </c>
      <c r="I38" s="97">
        <v>20</v>
      </c>
    </row>
    <row r="39" spans="2:9" x14ac:dyDescent="0.2">
      <c r="D39" s="97" t="s">
        <v>5573</v>
      </c>
      <c r="I39" s="97">
        <v>20</v>
      </c>
    </row>
    <row r="40" spans="2:9" x14ac:dyDescent="0.2">
      <c r="B40" s="97" t="s">
        <v>5574</v>
      </c>
      <c r="I40" s="97">
        <v>50</v>
      </c>
    </row>
    <row r="41" spans="2:9" x14ac:dyDescent="0.2">
      <c r="B41" s="97" t="s">
        <v>5575</v>
      </c>
      <c r="I41" s="97">
        <v>20</v>
      </c>
    </row>
    <row r="42" spans="2:9" x14ac:dyDescent="0.2">
      <c r="B42" s="97" t="s">
        <v>5576</v>
      </c>
      <c r="I42" s="97">
        <v>40</v>
      </c>
    </row>
    <row r="43" spans="2:9" x14ac:dyDescent="0.2">
      <c r="B43" s="97" t="s">
        <v>5577</v>
      </c>
      <c r="I43" s="97">
        <v>10</v>
      </c>
    </row>
    <row r="44" spans="2:9" x14ac:dyDescent="0.2">
      <c r="C44" s="97" t="s">
        <v>5578</v>
      </c>
      <c r="I44" s="97">
        <v>30</v>
      </c>
    </row>
    <row r="45" spans="2:9" x14ac:dyDescent="0.2">
      <c r="C45" s="97" t="s">
        <v>5579</v>
      </c>
      <c r="I45" s="97">
        <v>20</v>
      </c>
    </row>
    <row r="46" spans="2:9" x14ac:dyDescent="0.2">
      <c r="B46" s="97" t="s">
        <v>5580</v>
      </c>
      <c r="I46" s="97">
        <v>30</v>
      </c>
    </row>
    <row r="47" spans="2:9" x14ac:dyDescent="0.2">
      <c r="C47" s="97" t="s">
        <v>5582</v>
      </c>
      <c r="I47" s="97">
        <v>30</v>
      </c>
    </row>
    <row r="48" spans="2:9" x14ac:dyDescent="0.2">
      <c r="D48" s="97" t="s">
        <v>5581</v>
      </c>
      <c r="I48" s="97">
        <v>40</v>
      </c>
    </row>
    <row r="49" spans="1:9" x14ac:dyDescent="0.2">
      <c r="C49" s="97" t="s">
        <v>5583</v>
      </c>
      <c r="I49" s="97">
        <v>30</v>
      </c>
    </row>
    <row r="50" spans="1:9" x14ac:dyDescent="0.2">
      <c r="D50" s="97" t="s">
        <v>5584</v>
      </c>
      <c r="I50" s="97">
        <v>40</v>
      </c>
    </row>
    <row r="51" spans="1:9" x14ac:dyDescent="0.2">
      <c r="C51" s="97" t="s">
        <v>5585</v>
      </c>
      <c r="I51" s="97">
        <v>20</v>
      </c>
    </row>
    <row r="52" spans="1:9" x14ac:dyDescent="0.2">
      <c r="B52" s="97" t="s">
        <v>5586</v>
      </c>
      <c r="I52" s="97">
        <v>50</v>
      </c>
    </row>
    <row r="53" spans="1:9" x14ac:dyDescent="0.2">
      <c r="B53" s="97" t="s">
        <v>3252</v>
      </c>
      <c r="I53" s="97">
        <v>30</v>
      </c>
    </row>
    <row r="54" spans="1:9" x14ac:dyDescent="0.2">
      <c r="C54" s="97" t="s">
        <v>5587</v>
      </c>
      <c r="I54" s="97">
        <v>50</v>
      </c>
    </row>
    <row r="56" spans="1:9" x14ac:dyDescent="0.2">
      <c r="A56" s="97" t="s">
        <v>5592</v>
      </c>
      <c r="I56" s="97">
        <v>70</v>
      </c>
    </row>
    <row r="57" spans="1:9" x14ac:dyDescent="0.2">
      <c r="A57" s="97" t="s">
        <v>5593</v>
      </c>
      <c r="I57" s="97">
        <v>60</v>
      </c>
    </row>
    <row r="58" spans="1:9" x14ac:dyDescent="0.2">
      <c r="B58" s="97" t="s">
        <v>5594</v>
      </c>
      <c r="I58" s="97">
        <v>30</v>
      </c>
    </row>
    <row r="59" spans="1:9" x14ac:dyDescent="0.2">
      <c r="A59" s="97" t="s">
        <v>5595</v>
      </c>
      <c r="I59" s="97">
        <v>30</v>
      </c>
    </row>
    <row r="60" spans="1:9" x14ac:dyDescent="0.2">
      <c r="B60" s="97" t="s">
        <v>5596</v>
      </c>
      <c r="I60" s="97">
        <v>20</v>
      </c>
    </row>
    <row r="61" spans="1:9" x14ac:dyDescent="0.2">
      <c r="A61" s="97" t="s">
        <v>1639</v>
      </c>
      <c r="I61" s="97">
        <v>30</v>
      </c>
    </row>
    <row r="62" spans="1:9" x14ac:dyDescent="0.2">
      <c r="B62" s="97" t="s">
        <v>5597</v>
      </c>
      <c r="I62" s="97">
        <v>20</v>
      </c>
    </row>
    <row r="63" spans="1:9" x14ac:dyDescent="0.2">
      <c r="A63" s="97" t="s">
        <v>5598</v>
      </c>
      <c r="I63" s="97">
        <v>30</v>
      </c>
    </row>
    <row r="64" spans="1:9" x14ac:dyDescent="0.2">
      <c r="B64" s="97" t="s">
        <v>5599</v>
      </c>
      <c r="I64" s="97">
        <v>20</v>
      </c>
    </row>
    <row r="65" spans="1:9" x14ac:dyDescent="0.2">
      <c r="A65" s="97" t="s">
        <v>5600</v>
      </c>
      <c r="I65" s="97">
        <v>30</v>
      </c>
    </row>
    <row r="66" spans="1:9" x14ac:dyDescent="0.2">
      <c r="A66" s="97" t="s">
        <v>5601</v>
      </c>
      <c r="I66" s="97">
        <v>30</v>
      </c>
    </row>
    <row r="67" spans="1:9" x14ac:dyDescent="0.2">
      <c r="A67" s="97" t="s">
        <v>5602</v>
      </c>
      <c r="I67" s="97">
        <v>10</v>
      </c>
    </row>
    <row r="68" spans="1:9" x14ac:dyDescent="0.2">
      <c r="B68" s="97" t="s">
        <v>5140</v>
      </c>
      <c r="I68" s="97">
        <v>10</v>
      </c>
    </row>
    <row r="69" spans="1:9" x14ac:dyDescent="0.2">
      <c r="B69" s="97" t="s">
        <v>5603</v>
      </c>
      <c r="I69" s="97">
        <v>20</v>
      </c>
    </row>
    <row r="70" spans="1:9" x14ac:dyDescent="0.2">
      <c r="B70" s="97" t="s">
        <v>5604</v>
      </c>
      <c r="I70" s="97">
        <v>30</v>
      </c>
    </row>
    <row r="71" spans="1:9" x14ac:dyDescent="0.2">
      <c r="B71" s="97" t="s">
        <v>5605</v>
      </c>
      <c r="I71" s="97">
        <v>20</v>
      </c>
    </row>
    <row r="72" spans="1:9" x14ac:dyDescent="0.2">
      <c r="C72" s="97" t="s">
        <v>5606</v>
      </c>
      <c r="I72" s="97">
        <v>40</v>
      </c>
    </row>
    <row r="73" spans="1:9" x14ac:dyDescent="0.2">
      <c r="A73" s="97" t="s">
        <v>2450</v>
      </c>
      <c r="I73" s="97">
        <v>30</v>
      </c>
    </row>
    <row r="74" spans="1:9" x14ac:dyDescent="0.2">
      <c r="A74" s="97" t="s">
        <v>4163</v>
      </c>
      <c r="I74" s="97">
        <v>10</v>
      </c>
    </row>
    <row r="75" spans="1:9" x14ac:dyDescent="0.2">
      <c r="A75" s="97" t="s">
        <v>3252</v>
      </c>
      <c r="I75" s="97">
        <v>20</v>
      </c>
    </row>
    <row r="76" spans="1:9" x14ac:dyDescent="0.2">
      <c r="B76" s="97" t="s">
        <v>5587</v>
      </c>
      <c r="I76" s="97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5"/>
  <sheetViews>
    <sheetView topLeftCell="B1" zoomScale="130" zoomScaleNormal="130" workbookViewId="0">
      <selection activeCell="B1" sqref="B1:P1"/>
    </sheetView>
  </sheetViews>
  <sheetFormatPr baseColWidth="10" defaultColWidth="11.42578125" defaultRowHeight="9.75" customHeight="1" x14ac:dyDescent="0.2"/>
  <cols>
    <col min="1" max="1" width="0" style="236" hidden="1" customWidth="1"/>
    <col min="2" max="4" width="11.42578125" style="236"/>
    <col min="5" max="7" width="21.42578125" style="236" customWidth="1"/>
    <col min="8" max="17" width="11.42578125" style="236"/>
    <col min="18" max="18" width="26.5703125" style="236" bestFit="1" customWidth="1"/>
    <col min="19" max="19" width="9.28515625" style="236" customWidth="1"/>
    <col min="20" max="20" width="9" style="236" customWidth="1"/>
    <col min="21" max="21" width="25.7109375" style="236" bestFit="1" customWidth="1"/>
    <col min="22" max="23" width="25.7109375" style="236" customWidth="1"/>
    <col min="24" max="24" width="20.42578125" style="236" bestFit="1" customWidth="1"/>
    <col min="25" max="25" width="21.5703125" style="236" bestFit="1" customWidth="1"/>
    <col min="26" max="26" width="6.28515625" style="236" customWidth="1"/>
    <col min="27" max="27" width="31.140625" style="236" bestFit="1" customWidth="1"/>
    <col min="28" max="28" width="21.42578125" style="236" bestFit="1" customWidth="1"/>
    <col min="29" max="29" width="22.28515625" style="236" bestFit="1" customWidth="1"/>
    <col min="30" max="30" width="22" style="236" bestFit="1" customWidth="1"/>
    <col min="31" max="31" width="27.140625" style="236" bestFit="1" customWidth="1"/>
    <col min="32" max="32" width="23.42578125" style="236" bestFit="1" customWidth="1"/>
    <col min="33" max="33" width="26.7109375" style="236" bestFit="1" customWidth="1"/>
    <col min="34" max="16384" width="11.42578125" style="236"/>
  </cols>
  <sheetData>
    <row r="1" spans="1:48" ht="18.75" x14ac:dyDescent="0.2">
      <c r="B1" s="519" t="s">
        <v>6755</v>
      </c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</row>
    <row r="3" spans="1:48" ht="9.75" customHeight="1" x14ac:dyDescent="0.2">
      <c r="A3" s="269" t="s">
        <v>5203</v>
      </c>
      <c r="B3" s="270" t="s">
        <v>5194</v>
      </c>
      <c r="C3" s="520" t="s">
        <v>0</v>
      </c>
      <c r="D3" s="520"/>
      <c r="E3" s="521" t="s">
        <v>164</v>
      </c>
      <c r="F3" s="521"/>
      <c r="G3" s="521"/>
      <c r="H3" s="520" t="s">
        <v>165</v>
      </c>
      <c r="I3" s="520"/>
      <c r="J3" s="520" t="s">
        <v>164</v>
      </c>
      <c r="K3" s="520"/>
      <c r="L3" s="520"/>
      <c r="M3" s="520"/>
      <c r="N3" s="270" t="s">
        <v>27</v>
      </c>
      <c r="O3" s="270" t="s">
        <v>69</v>
      </c>
      <c r="P3" s="270" t="s">
        <v>166</v>
      </c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2"/>
      <c r="AJ3" s="272"/>
      <c r="AK3" s="272"/>
      <c r="AL3" s="272"/>
      <c r="AM3" s="272"/>
      <c r="AN3" s="272"/>
      <c r="AO3" s="272"/>
      <c r="AP3" s="272"/>
      <c r="AQ3" s="272"/>
      <c r="AR3" s="272"/>
      <c r="AS3" s="272"/>
      <c r="AT3" s="272"/>
      <c r="AU3" s="272"/>
      <c r="AV3" s="272"/>
    </row>
    <row r="4" spans="1:48" ht="9.75" customHeight="1" x14ac:dyDescent="0.2">
      <c r="B4" s="524"/>
      <c r="C4" s="522"/>
      <c r="D4" s="522"/>
      <c r="E4" s="523" t="str">
        <f>LOOKUP(C4,HM!$V$15:$V$655,HM!$W$15:$W$655)</f>
        <v/>
      </c>
      <c r="F4" s="523"/>
      <c r="G4" s="523"/>
      <c r="H4" s="520" t="s">
        <v>2</v>
      </c>
      <c r="I4" s="520"/>
      <c r="J4" s="522" t="str">
        <f>LOOKUP(C4,HM!$V$15:$V$655,HM!$AA$15:$AA$655)</f>
        <v/>
      </c>
      <c r="K4" s="522"/>
      <c r="L4" s="522"/>
      <c r="M4" s="522"/>
      <c r="N4" s="273" t="str">
        <f>LOOKUP(C4,HM!$V$15:$V$655,HM!$AB$15:$AB$655)</f>
        <v/>
      </c>
      <c r="O4" s="273" t="str">
        <f>LOOKUP(C4,HM!$V$15:$V$655,HM!$AC$15:$AC$655)</f>
        <v/>
      </c>
      <c r="P4" s="273" t="str">
        <f>LOOKUP(C4,HM!$V$15:$V$655,HM!$AD$15:$AD$655)</f>
        <v/>
      </c>
      <c r="Q4" s="274"/>
      <c r="R4" s="271"/>
      <c r="S4" s="275"/>
      <c r="T4" s="271"/>
      <c r="U4" s="271"/>
      <c r="V4" s="275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</row>
    <row r="5" spans="1:48" ht="9.75" customHeight="1" x14ac:dyDescent="0.2">
      <c r="B5" s="524"/>
      <c r="C5" s="522"/>
      <c r="D5" s="522"/>
      <c r="E5" s="523"/>
      <c r="F5" s="523"/>
      <c r="G5" s="523"/>
      <c r="H5" s="520" t="s">
        <v>173</v>
      </c>
      <c r="I5" s="520"/>
      <c r="J5" s="522" t="str">
        <f>LOOKUP(C4,HM!$V$15:$V$655,HM!$AE$15:$AE$655)</f>
        <v/>
      </c>
      <c r="K5" s="522"/>
      <c r="L5" s="522"/>
      <c r="M5" s="522"/>
      <c r="N5" s="273" t="str">
        <f>LOOKUP(C4,HM!$V$15:$V$655,HM!$AF$15:$AF$655)</f>
        <v/>
      </c>
      <c r="O5" s="273" t="str">
        <f>LOOKUP(C4,HM!$V$15:$V$655,HM!$AG$15:$AG$655)</f>
        <v/>
      </c>
      <c r="P5" s="273" t="str">
        <f>LOOKUP(C4,HM!$V$15:$V$655,HM!$AH$15:$AH$655)</f>
        <v/>
      </c>
      <c r="Q5" s="274"/>
      <c r="R5" s="271"/>
      <c r="S5" s="275"/>
      <c r="T5" s="271"/>
      <c r="U5" s="271"/>
      <c r="V5" s="275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5"/>
      <c r="AJ5" s="275"/>
      <c r="AK5" s="275"/>
      <c r="AL5" s="275"/>
      <c r="AM5" s="275"/>
      <c r="AN5" s="275"/>
      <c r="AO5" s="275"/>
      <c r="AP5" s="275"/>
      <c r="AQ5" s="275"/>
      <c r="AR5" s="275"/>
      <c r="AS5" s="275"/>
      <c r="AT5" s="275"/>
      <c r="AU5" s="275"/>
      <c r="AV5" s="275"/>
    </row>
    <row r="6" spans="1:48" ht="9.75" customHeight="1" x14ac:dyDescent="0.2">
      <c r="B6" s="270" t="s">
        <v>14</v>
      </c>
      <c r="C6" s="270" t="s">
        <v>26</v>
      </c>
      <c r="D6" s="270" t="s">
        <v>175</v>
      </c>
      <c r="E6" s="523"/>
      <c r="F6" s="523"/>
      <c r="G6" s="523"/>
      <c r="H6" s="520" t="s">
        <v>176</v>
      </c>
      <c r="I6" s="520"/>
      <c r="J6" s="522" t="str">
        <f>LOOKUP(C4,HM!$V$15:$V$655,HM!$AI$15:$AI$655)</f>
        <v/>
      </c>
      <c r="K6" s="522"/>
      <c r="L6" s="522"/>
      <c r="M6" s="522"/>
      <c r="N6" s="273" t="str">
        <f>LOOKUP(C4,HM!$V$15:$V$655,HM!$AJ$15:$AJ$655)</f>
        <v/>
      </c>
      <c r="O6" s="273" t="str">
        <f>LOOKUP(C4,HM!$V$15:$V$655,HM!$AK$15:$AK$655)</f>
        <v/>
      </c>
      <c r="P6" s="273" t="str">
        <f>LOOKUP(C4,HM!$V$15:$V$655,HM!$AL$15:$AL$655)</f>
        <v/>
      </c>
      <c r="Q6" s="274"/>
      <c r="R6" s="271"/>
      <c r="S6" s="275"/>
      <c r="T6" s="271"/>
      <c r="U6" s="271"/>
      <c r="V6" s="275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</row>
    <row r="7" spans="1:48" ht="9.75" customHeight="1" x14ac:dyDescent="0.2">
      <c r="B7" s="273" t="str">
        <f>LOOKUP(C4,HM!$V$15:$V$655,HM!$X$15:$X$655)</f>
        <v/>
      </c>
      <c r="C7" s="273" t="str">
        <f>LOOKUP(C4,HM!$V$15:$V$655,HM!$Y$15:$Y$655)</f>
        <v/>
      </c>
      <c r="D7" s="273" t="str">
        <f>LOOKUP(C4,HM!$V$15:$V$655,HM!$Z$15:$Z$655)</f>
        <v/>
      </c>
      <c r="E7" s="523"/>
      <c r="F7" s="523"/>
      <c r="G7" s="523"/>
      <c r="H7" s="520" t="s">
        <v>179</v>
      </c>
      <c r="I7" s="520"/>
      <c r="J7" s="522" t="str">
        <f>LOOKUP(C4,HM!$V$15:$V$655,HM!$AM$15:$AM$655)</f>
        <v/>
      </c>
      <c r="K7" s="522"/>
      <c r="L7" s="522"/>
      <c r="M7" s="522"/>
      <c r="N7" s="273" t="str">
        <f>LOOKUP(C4,HM!$V$15:$V$655,HM!$AN$15:$AN$655)</f>
        <v/>
      </c>
      <c r="O7" s="273" t="str">
        <f>LOOKUP(C4,HM!$V$15:$V$655,HM!$AO$15:$AO$655)</f>
        <v/>
      </c>
      <c r="P7" s="273" t="str">
        <f>LOOKUP(C4,HM!$V$15:$V$655,HM!$AP$15:$AP$655)</f>
        <v/>
      </c>
      <c r="Q7" s="274"/>
      <c r="R7" s="271"/>
      <c r="S7" s="275"/>
      <c r="T7" s="271"/>
      <c r="U7" s="271"/>
      <c r="V7" s="275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5"/>
      <c r="AJ7" s="275"/>
      <c r="AK7" s="275"/>
      <c r="AL7" s="275"/>
      <c r="AM7" s="275"/>
      <c r="AN7" s="275"/>
      <c r="AO7" s="275"/>
      <c r="AP7" s="275"/>
      <c r="AQ7" s="275"/>
      <c r="AR7" s="275"/>
      <c r="AS7" s="275"/>
      <c r="AT7" s="275"/>
      <c r="AU7" s="275"/>
      <c r="AV7" s="275"/>
    </row>
    <row r="8" spans="1:48" ht="9.75" customHeight="1" x14ac:dyDescent="0.2">
      <c r="Q8" s="274"/>
      <c r="R8" s="271"/>
      <c r="S8" s="275"/>
      <c r="T8" s="271"/>
      <c r="U8" s="271"/>
      <c r="V8" s="275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</row>
    <row r="9" spans="1:48" ht="9.75" customHeight="1" x14ac:dyDescent="0.2">
      <c r="B9" s="270" t="s">
        <v>5194</v>
      </c>
      <c r="C9" s="520" t="s">
        <v>0</v>
      </c>
      <c r="D9" s="520"/>
      <c r="E9" s="521" t="s">
        <v>164</v>
      </c>
      <c r="F9" s="521"/>
      <c r="G9" s="521"/>
      <c r="H9" s="520" t="s">
        <v>165</v>
      </c>
      <c r="I9" s="520"/>
      <c r="J9" s="520" t="s">
        <v>164</v>
      </c>
      <c r="K9" s="520"/>
      <c r="L9" s="520"/>
      <c r="M9" s="520"/>
      <c r="N9" s="270" t="s">
        <v>27</v>
      </c>
      <c r="O9" s="270" t="s">
        <v>69</v>
      </c>
      <c r="P9" s="270" t="s">
        <v>166</v>
      </c>
      <c r="Q9" s="274"/>
      <c r="R9" s="271"/>
      <c r="S9" s="275"/>
      <c r="T9" s="271"/>
      <c r="U9" s="271"/>
      <c r="V9" s="275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</row>
    <row r="10" spans="1:48" ht="9.75" customHeight="1" x14ac:dyDescent="0.2">
      <c r="B10" s="524"/>
      <c r="C10" s="522"/>
      <c r="D10" s="522"/>
      <c r="E10" s="523" t="str">
        <f>LOOKUP(C10,HM!$V$15:$V$655,HM!$W$15:$W$655)</f>
        <v/>
      </c>
      <c r="F10" s="523"/>
      <c r="G10" s="523"/>
      <c r="H10" s="520" t="s">
        <v>2</v>
      </c>
      <c r="I10" s="520"/>
      <c r="J10" s="522" t="str">
        <f>LOOKUP(C10,HM!$V$15:$V$655,HM!$AA$15:$AA$655)</f>
        <v/>
      </c>
      <c r="K10" s="522"/>
      <c r="L10" s="522"/>
      <c r="M10" s="522"/>
      <c r="N10" s="273" t="str">
        <f>LOOKUP(C10,HM!$V$15:$V$655,HM!$AB$15:$AB$655)</f>
        <v/>
      </c>
      <c r="O10" s="273" t="str">
        <f>LOOKUP(C10,HM!$V$15:$V$655,HM!$AC$15:$AC$655)</f>
        <v/>
      </c>
      <c r="P10" s="273" t="str">
        <f>LOOKUP(C10,HM!$V$15:$V$655,HM!$AD$15:$AD$655)</f>
        <v/>
      </c>
      <c r="Q10" s="274"/>
      <c r="R10" s="271"/>
      <c r="S10" s="275"/>
      <c r="T10" s="271"/>
      <c r="U10" s="271"/>
      <c r="V10" s="275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</row>
    <row r="11" spans="1:48" ht="9.75" customHeight="1" x14ac:dyDescent="0.2">
      <c r="B11" s="524"/>
      <c r="C11" s="522"/>
      <c r="D11" s="522"/>
      <c r="E11" s="523"/>
      <c r="F11" s="523"/>
      <c r="G11" s="523"/>
      <c r="H11" s="520" t="s">
        <v>173</v>
      </c>
      <c r="I11" s="520"/>
      <c r="J11" s="522" t="str">
        <f>LOOKUP(C10,HM!$V$15:$V$655,HM!$AE$15:$AE$655)</f>
        <v/>
      </c>
      <c r="K11" s="522"/>
      <c r="L11" s="522"/>
      <c r="M11" s="522"/>
      <c r="N11" s="273" t="str">
        <f>LOOKUP(C10,HM!$V$15:$V$655,HM!$AF$15:$AF$655)</f>
        <v/>
      </c>
      <c r="O11" s="273" t="str">
        <f>LOOKUP(C10,HM!$V$15:$V$655,HM!$AG$15:$AG$655)</f>
        <v/>
      </c>
      <c r="P11" s="273" t="str">
        <f>LOOKUP(C10,HM!$V$15:$V$655,HM!$AH$15:$AH$655)</f>
        <v/>
      </c>
      <c r="Q11" s="274"/>
      <c r="R11" s="271"/>
      <c r="S11" s="275"/>
      <c r="T11" s="271"/>
      <c r="U11" s="271"/>
      <c r="V11" s="275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</row>
    <row r="12" spans="1:48" ht="9.75" customHeight="1" x14ac:dyDescent="0.2">
      <c r="B12" s="270" t="s">
        <v>14</v>
      </c>
      <c r="C12" s="270" t="s">
        <v>26</v>
      </c>
      <c r="D12" s="270" t="s">
        <v>175</v>
      </c>
      <c r="E12" s="523"/>
      <c r="F12" s="523"/>
      <c r="G12" s="523"/>
      <c r="H12" s="520" t="s">
        <v>176</v>
      </c>
      <c r="I12" s="520"/>
      <c r="J12" s="522" t="str">
        <f>LOOKUP(C10,HM!$V$15:$V$655,HM!$AI$15:$AI$655)</f>
        <v/>
      </c>
      <c r="K12" s="522"/>
      <c r="L12" s="522"/>
      <c r="M12" s="522"/>
      <c r="N12" s="273" t="str">
        <f>LOOKUP(C10,HM!$V$15:$V$655,HM!$AJ$15:$AJ$655)</f>
        <v/>
      </c>
      <c r="O12" s="273" t="str">
        <f>LOOKUP(C10,HM!$V$15:$V$655,HM!$AK$15:$AK$655)</f>
        <v/>
      </c>
      <c r="P12" s="273" t="str">
        <f>LOOKUP(C10,HM!$V$15:$V$655,HM!$AL$15:$AL$655)</f>
        <v/>
      </c>
      <c r="Q12" s="274"/>
      <c r="R12" s="271"/>
      <c r="S12" s="275"/>
      <c r="T12" s="271"/>
      <c r="U12" s="271"/>
      <c r="V12" s="275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</row>
    <row r="13" spans="1:48" ht="9.75" customHeight="1" x14ac:dyDescent="0.2">
      <c r="B13" s="273" t="str">
        <f>LOOKUP(C10,HM!$V$15:$V$655,HM!$X$15:$X$655)</f>
        <v/>
      </c>
      <c r="C13" s="273" t="str">
        <f>LOOKUP(C10,HM!$V$15:$V$655,HM!$Y$15:$Y$655)</f>
        <v/>
      </c>
      <c r="D13" s="273" t="str">
        <f>LOOKUP(C10,HM!$V$15:$V$655,HM!$Z$15:$Z$655)</f>
        <v/>
      </c>
      <c r="E13" s="523"/>
      <c r="F13" s="523"/>
      <c r="G13" s="523"/>
      <c r="H13" s="520" t="s">
        <v>179</v>
      </c>
      <c r="I13" s="520"/>
      <c r="J13" s="522" t="str">
        <f>LOOKUP(C10,HM!$V$15:$V$655,HM!$AM$15:$AM$655)</f>
        <v/>
      </c>
      <c r="K13" s="522"/>
      <c r="L13" s="522"/>
      <c r="M13" s="522"/>
      <c r="N13" s="273" t="str">
        <f>LOOKUP(C10,HM!$V$15:$V$655,HM!$AN$15:$AN$655)</f>
        <v/>
      </c>
      <c r="O13" s="273" t="str">
        <f>LOOKUP(C10,HM!$V$15:$V$655,HM!$AO$15:$AO$655)</f>
        <v/>
      </c>
      <c r="P13" s="273" t="str">
        <f>LOOKUP(C10,HM!$V$15:$V$655,HM!$AP$15:$AP$655)</f>
        <v/>
      </c>
      <c r="Q13" s="274"/>
      <c r="R13" s="271"/>
      <c r="S13" s="275"/>
      <c r="T13" s="271"/>
      <c r="U13" s="271"/>
      <c r="V13" s="275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</row>
    <row r="14" spans="1:48" ht="9.75" customHeight="1" x14ac:dyDescent="0.2">
      <c r="M14" s="276"/>
      <c r="N14" s="276"/>
      <c r="O14" s="276"/>
      <c r="P14" s="276"/>
      <c r="Q14" s="274"/>
      <c r="R14" s="271"/>
      <c r="S14" s="275"/>
      <c r="T14" s="271"/>
      <c r="U14" s="271"/>
      <c r="V14" s="275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</row>
    <row r="15" spans="1:48" ht="9.75" customHeight="1" x14ac:dyDescent="0.2">
      <c r="B15" s="270" t="s">
        <v>5194</v>
      </c>
      <c r="C15" s="520" t="s">
        <v>0</v>
      </c>
      <c r="D15" s="520"/>
      <c r="E15" s="521" t="s">
        <v>164</v>
      </c>
      <c r="F15" s="521"/>
      <c r="G15" s="521"/>
      <c r="H15" s="520" t="s">
        <v>165</v>
      </c>
      <c r="I15" s="520"/>
      <c r="J15" s="520" t="s">
        <v>164</v>
      </c>
      <c r="K15" s="520"/>
      <c r="L15" s="520"/>
      <c r="M15" s="520"/>
      <c r="N15" s="270" t="s">
        <v>27</v>
      </c>
      <c r="O15" s="270" t="s">
        <v>69</v>
      </c>
      <c r="P15" s="270" t="s">
        <v>166</v>
      </c>
      <c r="Q15" s="274"/>
      <c r="R15" s="271"/>
      <c r="S15" s="275"/>
      <c r="T15" s="271"/>
      <c r="U15" s="271"/>
      <c r="V15" s="275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</row>
    <row r="16" spans="1:48" ht="9.75" customHeight="1" x14ac:dyDescent="0.2">
      <c r="B16" s="524"/>
      <c r="C16" s="522"/>
      <c r="D16" s="522"/>
      <c r="E16" s="523" t="str">
        <f>LOOKUP(C16,HM!$V$15:$V$655,HM!$W$15:$W$655)</f>
        <v/>
      </c>
      <c r="F16" s="523"/>
      <c r="G16" s="523"/>
      <c r="H16" s="520" t="s">
        <v>2</v>
      </c>
      <c r="I16" s="520"/>
      <c r="J16" s="522" t="str">
        <f>LOOKUP(C16,HM!$V$15:$V$655,HM!$AA$15:$AA$655)</f>
        <v/>
      </c>
      <c r="K16" s="522"/>
      <c r="L16" s="522"/>
      <c r="M16" s="522"/>
      <c r="N16" s="273" t="str">
        <f>LOOKUP(C16,HM!$V$15:$V$655,HM!$AB$15:$AB$655)</f>
        <v/>
      </c>
      <c r="O16" s="273" t="str">
        <f>LOOKUP(C16,HM!$V$15:$V$655,HM!$AC$15:$AC$655)</f>
        <v/>
      </c>
      <c r="P16" s="273" t="str">
        <f>LOOKUP(C16,HM!$V$15:$V$655,HM!$AD$15:$AD$655)</f>
        <v/>
      </c>
      <c r="Q16" s="274"/>
      <c r="R16" s="271"/>
      <c r="S16" s="275"/>
      <c r="T16" s="271"/>
      <c r="U16" s="271"/>
      <c r="V16" s="275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</row>
    <row r="17" spans="2:48" ht="9.75" customHeight="1" x14ac:dyDescent="0.2">
      <c r="B17" s="524"/>
      <c r="C17" s="522"/>
      <c r="D17" s="522"/>
      <c r="E17" s="523"/>
      <c r="F17" s="523"/>
      <c r="G17" s="523"/>
      <c r="H17" s="520" t="s">
        <v>173</v>
      </c>
      <c r="I17" s="520"/>
      <c r="J17" s="522" t="str">
        <f>LOOKUP(C16,HM!$V$15:$V$655,HM!$AE$15:$AE$655)</f>
        <v/>
      </c>
      <c r="K17" s="522"/>
      <c r="L17" s="522"/>
      <c r="M17" s="522"/>
      <c r="N17" s="273" t="str">
        <f>LOOKUP(C16,HM!$V$15:$V$655,HM!$AF$15:$AF$655)</f>
        <v/>
      </c>
      <c r="O17" s="273" t="str">
        <f>LOOKUP(C16,HM!$V$15:$V$655,HM!$AG$15:$AG$655)</f>
        <v/>
      </c>
      <c r="P17" s="273" t="str">
        <f>LOOKUP(C16,HM!$V$15:$V$655,HM!$AH$15:$AH$655)</f>
        <v/>
      </c>
      <c r="Q17" s="274"/>
      <c r="R17" s="271"/>
      <c r="S17" s="275"/>
      <c r="T17" s="271"/>
      <c r="U17" s="271"/>
      <c r="V17" s="275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</row>
    <row r="18" spans="2:48" ht="9.75" customHeight="1" x14ac:dyDescent="0.2">
      <c r="B18" s="270" t="s">
        <v>14</v>
      </c>
      <c r="C18" s="270" t="s">
        <v>26</v>
      </c>
      <c r="D18" s="270" t="s">
        <v>175</v>
      </c>
      <c r="E18" s="523"/>
      <c r="F18" s="523"/>
      <c r="G18" s="523"/>
      <c r="H18" s="520" t="s">
        <v>176</v>
      </c>
      <c r="I18" s="520"/>
      <c r="J18" s="522" t="str">
        <f>LOOKUP(C16,HM!$V$15:$V$655,HM!$AI$15:$AI$655)</f>
        <v/>
      </c>
      <c r="K18" s="522"/>
      <c r="L18" s="522"/>
      <c r="M18" s="522"/>
      <c r="N18" s="273" t="str">
        <f>LOOKUP(C16,HM!$V$15:$V$655,HM!$AJ$15:$AJ$655)</f>
        <v/>
      </c>
      <c r="O18" s="273" t="str">
        <f>LOOKUP(C16,HM!$V$15:$V$655,HM!$AK$15:$AK$655)</f>
        <v/>
      </c>
      <c r="P18" s="273" t="str">
        <f>LOOKUP(C16,HM!$V$15:$V$655,HM!$AL$15:$AL$655)</f>
        <v/>
      </c>
      <c r="Q18" s="274"/>
      <c r="R18" s="271"/>
      <c r="S18" s="275"/>
      <c r="T18" s="271"/>
      <c r="U18" s="271"/>
      <c r="V18" s="275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</row>
    <row r="19" spans="2:48" ht="9.75" customHeight="1" x14ac:dyDescent="0.2">
      <c r="B19" s="273" t="str">
        <f>LOOKUP(C16,HM!$V$15:$V$655,HM!$X$15:$X$655)</f>
        <v/>
      </c>
      <c r="C19" s="273" t="str">
        <f>LOOKUP(C16,HM!$V$15:$V$655,HM!$Y$15:$Y$655)</f>
        <v/>
      </c>
      <c r="D19" s="273" t="str">
        <f>LOOKUP(C16,HM!$V$15:$V$655,HM!$Z$15:$Z$655)</f>
        <v/>
      </c>
      <c r="E19" s="523"/>
      <c r="F19" s="523"/>
      <c r="G19" s="523"/>
      <c r="H19" s="520" t="s">
        <v>179</v>
      </c>
      <c r="I19" s="520"/>
      <c r="J19" s="522" t="str">
        <f>LOOKUP(C16,HM!$V$15:$V$655,HM!$AM$15:$AM$655)</f>
        <v/>
      </c>
      <c r="K19" s="522"/>
      <c r="L19" s="522"/>
      <c r="M19" s="522"/>
      <c r="N19" s="273" t="str">
        <f>LOOKUP(C16,HM!$V$15:$V$655,HM!$AN$15:$AN$655)</f>
        <v/>
      </c>
      <c r="O19" s="273" t="str">
        <f>LOOKUP(C16,HM!$V$15:$V$655,HM!$AO$15:$AO$655)</f>
        <v/>
      </c>
      <c r="P19" s="273" t="str">
        <f>LOOKUP(C16,HM!$V$15:$V$655,HM!$AP$15:$AP$655)</f>
        <v/>
      </c>
      <c r="Q19" s="274"/>
      <c r="R19" s="271"/>
      <c r="S19" s="275"/>
      <c r="T19" s="271"/>
      <c r="U19" s="271"/>
      <c r="V19" s="275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</row>
    <row r="20" spans="2:48" ht="9.75" customHeight="1" x14ac:dyDescent="0.2">
      <c r="M20" s="276"/>
      <c r="N20" s="276"/>
      <c r="O20" s="276"/>
      <c r="P20" s="276"/>
      <c r="Q20" s="274"/>
      <c r="R20" s="271"/>
      <c r="S20" s="275"/>
      <c r="T20" s="271"/>
      <c r="U20" s="271"/>
      <c r="V20" s="275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</row>
    <row r="21" spans="2:48" ht="9.75" customHeight="1" x14ac:dyDescent="0.2">
      <c r="B21" s="270" t="s">
        <v>5194</v>
      </c>
      <c r="C21" s="520" t="s">
        <v>0</v>
      </c>
      <c r="D21" s="520"/>
      <c r="E21" s="521" t="s">
        <v>164</v>
      </c>
      <c r="F21" s="521"/>
      <c r="G21" s="521"/>
      <c r="H21" s="520" t="s">
        <v>165</v>
      </c>
      <c r="I21" s="520"/>
      <c r="J21" s="520" t="s">
        <v>164</v>
      </c>
      <c r="K21" s="520"/>
      <c r="L21" s="520"/>
      <c r="M21" s="520"/>
      <c r="N21" s="270" t="s">
        <v>27</v>
      </c>
      <c r="O21" s="270" t="s">
        <v>69</v>
      </c>
      <c r="P21" s="270" t="s">
        <v>166</v>
      </c>
      <c r="Q21" s="274"/>
      <c r="R21" s="271"/>
      <c r="S21" s="275"/>
      <c r="T21" s="271"/>
      <c r="U21" s="271"/>
      <c r="V21" s="275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</row>
    <row r="22" spans="2:48" ht="9.75" customHeight="1" x14ac:dyDescent="0.2">
      <c r="B22" s="524"/>
      <c r="C22" s="522"/>
      <c r="D22" s="522"/>
      <c r="E22" s="523" t="str">
        <f>LOOKUP(C22,HM!$V$15:$V$655,HM!$W$15:$W$655)</f>
        <v/>
      </c>
      <c r="F22" s="523"/>
      <c r="G22" s="523"/>
      <c r="H22" s="520" t="s">
        <v>2</v>
      </c>
      <c r="I22" s="520"/>
      <c r="J22" s="522" t="str">
        <f>LOOKUP(C22,HM!$V$15:$V$655,HM!$AA$15:$AA$655)</f>
        <v/>
      </c>
      <c r="K22" s="522"/>
      <c r="L22" s="522"/>
      <c r="M22" s="522"/>
      <c r="N22" s="273" t="str">
        <f>LOOKUP(C22,HM!$V$15:$V$655,HM!$AB$15:$AB$655)</f>
        <v/>
      </c>
      <c r="O22" s="273" t="str">
        <f>LOOKUP(C22,HM!$V$15:$V$655,HM!$AC$15:$AC$655)</f>
        <v/>
      </c>
      <c r="P22" s="273" t="str">
        <f>LOOKUP(C22,HM!$V$15:$V$655,HM!$AD$15:$AD$655)</f>
        <v/>
      </c>
      <c r="Q22" s="274"/>
      <c r="R22" s="271"/>
      <c r="S22" s="275"/>
      <c r="T22" s="271"/>
      <c r="U22" s="271"/>
      <c r="V22" s="275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</row>
    <row r="23" spans="2:48" ht="9.75" customHeight="1" x14ac:dyDescent="0.2">
      <c r="B23" s="524"/>
      <c r="C23" s="522"/>
      <c r="D23" s="522"/>
      <c r="E23" s="523"/>
      <c r="F23" s="523"/>
      <c r="G23" s="523"/>
      <c r="H23" s="520" t="s">
        <v>173</v>
      </c>
      <c r="I23" s="520"/>
      <c r="J23" s="522" t="str">
        <f>LOOKUP(C22,HM!$V$15:$V$655,HM!$AE$15:$AE$655)</f>
        <v/>
      </c>
      <c r="K23" s="522"/>
      <c r="L23" s="522"/>
      <c r="M23" s="522"/>
      <c r="N23" s="273" t="str">
        <f>LOOKUP(C22,HM!$V$15:$V$655,HM!$AF$15:$AF$655)</f>
        <v/>
      </c>
      <c r="O23" s="273" t="str">
        <f>LOOKUP(C22,HM!$V$15:$V$655,HM!$AG$15:$AG$655)</f>
        <v/>
      </c>
      <c r="P23" s="273" t="str">
        <f>LOOKUP(C22,HM!$V$15:$V$655,HM!$AH$15:$AH$655)</f>
        <v/>
      </c>
      <c r="Q23" s="274"/>
      <c r="R23" s="271"/>
      <c r="S23" s="275"/>
      <c r="T23" s="271"/>
      <c r="U23" s="271"/>
      <c r="V23" s="275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</row>
    <row r="24" spans="2:48" ht="9.75" customHeight="1" x14ac:dyDescent="0.2">
      <c r="B24" s="270" t="s">
        <v>14</v>
      </c>
      <c r="C24" s="270" t="s">
        <v>26</v>
      </c>
      <c r="D24" s="270" t="s">
        <v>175</v>
      </c>
      <c r="E24" s="523"/>
      <c r="F24" s="523"/>
      <c r="G24" s="523"/>
      <c r="H24" s="520" t="s">
        <v>176</v>
      </c>
      <c r="I24" s="520"/>
      <c r="J24" s="522" t="str">
        <f>LOOKUP(C22,HM!$V$15:$V$655,HM!$AI$15:$AI$655)</f>
        <v/>
      </c>
      <c r="K24" s="522"/>
      <c r="L24" s="522"/>
      <c r="M24" s="522"/>
      <c r="N24" s="273" t="str">
        <f>LOOKUP(C22,HM!$V$15:$V$655,HM!$AJ$15:$AJ$655)</f>
        <v/>
      </c>
      <c r="O24" s="273" t="str">
        <f>LOOKUP(C22,HM!$V$15:$V$655,HM!$AK$15:$AK$655)</f>
        <v/>
      </c>
      <c r="P24" s="273" t="str">
        <f>LOOKUP(C22,HM!$V$15:$V$655,HM!$AL$15:$AL$655)</f>
        <v/>
      </c>
      <c r="Q24" s="274"/>
      <c r="R24" s="271"/>
      <c r="S24" s="275"/>
      <c r="T24" s="271"/>
      <c r="U24" s="271"/>
      <c r="V24" s="275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</row>
    <row r="25" spans="2:48" ht="9.75" customHeight="1" x14ac:dyDescent="0.2">
      <c r="B25" s="273" t="str">
        <f>LOOKUP(C22,HM!$V$15:$V$655,HM!$X$15:$X$655)</f>
        <v/>
      </c>
      <c r="C25" s="273" t="str">
        <f>LOOKUP(C22,HM!$V$15:$V$655,HM!$Y$15:$Y$655)</f>
        <v/>
      </c>
      <c r="D25" s="273" t="str">
        <f>LOOKUP(C22,HM!$V$15:$V$655,HM!$Z$15:$Z$655)</f>
        <v/>
      </c>
      <c r="E25" s="523"/>
      <c r="F25" s="523"/>
      <c r="G25" s="523"/>
      <c r="H25" s="520" t="s">
        <v>179</v>
      </c>
      <c r="I25" s="520"/>
      <c r="J25" s="522" t="str">
        <f>LOOKUP(C22,HM!$V$15:$V$655,HM!$AM$15:$AM$655)</f>
        <v/>
      </c>
      <c r="K25" s="522"/>
      <c r="L25" s="522"/>
      <c r="M25" s="522"/>
      <c r="N25" s="273" t="str">
        <f>LOOKUP(C22,HM!$V$15:$V$655,HM!$AN$15:$AN$655)</f>
        <v/>
      </c>
      <c r="O25" s="273" t="str">
        <f>LOOKUP(C22,HM!$V$15:$V$655,HM!$AO$15:$AO$655)</f>
        <v/>
      </c>
      <c r="P25" s="273" t="str">
        <f>LOOKUP(C22,HM!$V$15:$V$655,HM!$AP$15:$AP$655)</f>
        <v/>
      </c>
      <c r="Q25" s="274"/>
      <c r="R25" s="271"/>
      <c r="S25" s="275"/>
      <c r="T25" s="271"/>
      <c r="U25" s="271"/>
      <c r="V25" s="275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</row>
    <row r="26" spans="2:48" ht="9.75" customHeight="1" x14ac:dyDescent="0.2">
      <c r="M26" s="276"/>
      <c r="N26" s="276"/>
      <c r="O26" s="276"/>
      <c r="P26" s="276"/>
      <c r="Q26" s="274"/>
      <c r="R26" s="271"/>
      <c r="S26" s="275"/>
      <c r="T26" s="271"/>
      <c r="U26" s="271"/>
      <c r="V26" s="275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</row>
    <row r="27" spans="2:48" ht="9.75" customHeight="1" x14ac:dyDescent="0.2">
      <c r="B27" s="270" t="s">
        <v>5194</v>
      </c>
      <c r="C27" s="520" t="s">
        <v>0</v>
      </c>
      <c r="D27" s="520"/>
      <c r="E27" s="521" t="s">
        <v>164</v>
      </c>
      <c r="F27" s="521"/>
      <c r="G27" s="521"/>
      <c r="H27" s="520" t="s">
        <v>165</v>
      </c>
      <c r="I27" s="520"/>
      <c r="J27" s="520" t="s">
        <v>164</v>
      </c>
      <c r="K27" s="520"/>
      <c r="L27" s="520"/>
      <c r="M27" s="520"/>
      <c r="N27" s="270" t="s">
        <v>27</v>
      </c>
      <c r="O27" s="270" t="s">
        <v>69</v>
      </c>
      <c r="P27" s="270" t="s">
        <v>166</v>
      </c>
      <c r="Q27" s="274"/>
      <c r="R27" s="271"/>
      <c r="S27" s="275"/>
      <c r="T27" s="271"/>
      <c r="U27" s="271"/>
      <c r="V27" s="275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</row>
    <row r="28" spans="2:48" ht="9.75" customHeight="1" x14ac:dyDescent="0.2">
      <c r="B28" s="524"/>
      <c r="C28" s="522"/>
      <c r="D28" s="522"/>
      <c r="E28" s="523" t="str">
        <f>LOOKUP(C28,HM!$V$15:$V$655,HM!$W$15:$W$655)</f>
        <v/>
      </c>
      <c r="F28" s="523"/>
      <c r="G28" s="523"/>
      <c r="H28" s="520" t="s">
        <v>2</v>
      </c>
      <c r="I28" s="520"/>
      <c r="J28" s="522" t="str">
        <f>LOOKUP(C28,HM!$V$15:$V$655,HM!$AA$15:$AA$655)</f>
        <v/>
      </c>
      <c r="K28" s="522"/>
      <c r="L28" s="522"/>
      <c r="M28" s="522"/>
      <c r="N28" s="273" t="str">
        <f>LOOKUP(C28,HM!$V$15:$V$655,HM!$AB$15:$AB$655)</f>
        <v/>
      </c>
      <c r="O28" s="273" t="str">
        <f>LOOKUP(C28,HM!$V$15:$V$655,HM!$AC$15:$AC$655)</f>
        <v/>
      </c>
      <c r="P28" s="273" t="str">
        <f>LOOKUP(C28,HM!$V$15:$V$655,HM!$AD$15:$AD$655)</f>
        <v/>
      </c>
      <c r="Q28" s="274"/>
      <c r="R28" s="271"/>
      <c r="S28" s="275"/>
      <c r="T28" s="271"/>
      <c r="U28" s="271"/>
      <c r="V28" s="275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</row>
    <row r="29" spans="2:48" ht="9.75" customHeight="1" x14ac:dyDescent="0.2">
      <c r="B29" s="524"/>
      <c r="C29" s="522"/>
      <c r="D29" s="522"/>
      <c r="E29" s="523"/>
      <c r="F29" s="523"/>
      <c r="G29" s="523"/>
      <c r="H29" s="520" t="s">
        <v>173</v>
      </c>
      <c r="I29" s="520"/>
      <c r="J29" s="522" t="str">
        <f>LOOKUP(C28,HM!$V$15:$V$655,HM!$AE$15:$AE$655)</f>
        <v/>
      </c>
      <c r="K29" s="522"/>
      <c r="L29" s="522"/>
      <c r="M29" s="522"/>
      <c r="N29" s="273" t="str">
        <f>LOOKUP(C28,HM!$V$15:$V$655,HM!$AF$15:$AF$655)</f>
        <v/>
      </c>
      <c r="O29" s="273" t="str">
        <f>LOOKUP(C28,HM!$V$15:$V$655,HM!$AG$15:$AG$655)</f>
        <v/>
      </c>
      <c r="P29" s="273" t="str">
        <f>LOOKUP(C28,HM!$V$15:$V$655,HM!$AH$15:$AH$655)</f>
        <v/>
      </c>
      <c r="Q29" s="274"/>
      <c r="R29" s="271"/>
      <c r="S29" s="275"/>
      <c r="T29" s="271"/>
      <c r="U29" s="271"/>
      <c r="V29" s="275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</row>
    <row r="30" spans="2:48" ht="9.75" customHeight="1" x14ac:dyDescent="0.2">
      <c r="B30" s="270" t="s">
        <v>14</v>
      </c>
      <c r="C30" s="270" t="s">
        <v>26</v>
      </c>
      <c r="D30" s="270" t="s">
        <v>175</v>
      </c>
      <c r="E30" s="523"/>
      <c r="F30" s="523"/>
      <c r="G30" s="523"/>
      <c r="H30" s="520" t="s">
        <v>176</v>
      </c>
      <c r="I30" s="520"/>
      <c r="J30" s="522" t="str">
        <f>LOOKUP(C28,HM!$V$15:$V$655,HM!$AI$15:$AI$655)</f>
        <v/>
      </c>
      <c r="K30" s="522"/>
      <c r="L30" s="522"/>
      <c r="M30" s="522"/>
      <c r="N30" s="273" t="str">
        <f>LOOKUP(C28,HM!$V$15:$V$655,HM!$AJ$15:$AJ$655)</f>
        <v/>
      </c>
      <c r="O30" s="273" t="str">
        <f>LOOKUP(C28,HM!$V$15:$V$655,HM!$AK$15:$AK$655)</f>
        <v/>
      </c>
      <c r="P30" s="273" t="str">
        <f>LOOKUP(C28,HM!$V$15:$V$655,HM!$AL$15:$AL$655)</f>
        <v/>
      </c>
      <c r="Q30" s="274"/>
      <c r="R30" s="271"/>
      <c r="S30" s="275"/>
      <c r="T30" s="271"/>
      <c r="U30" s="271"/>
      <c r="V30" s="275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</row>
    <row r="31" spans="2:48" ht="9.75" customHeight="1" x14ac:dyDescent="0.2">
      <c r="B31" s="273" t="str">
        <f>LOOKUP(C28,HM!$V$15:$V$655,HM!$X$15:$X$655)</f>
        <v/>
      </c>
      <c r="C31" s="273" t="str">
        <f>LOOKUP(C28,HM!$V$15:$V$655,HM!$Y$15:$Y$655)</f>
        <v/>
      </c>
      <c r="D31" s="273" t="str">
        <f>LOOKUP(C28,HM!$V$15:$V$655,HM!$Z$15:$Z$655)</f>
        <v/>
      </c>
      <c r="E31" s="523"/>
      <c r="F31" s="523"/>
      <c r="G31" s="523"/>
      <c r="H31" s="520" t="s">
        <v>179</v>
      </c>
      <c r="I31" s="520"/>
      <c r="J31" s="522" t="str">
        <f>LOOKUP(C28,HM!$V$15:$V$655,HM!$AM$15:$AM$655)</f>
        <v/>
      </c>
      <c r="K31" s="522"/>
      <c r="L31" s="522"/>
      <c r="M31" s="522"/>
      <c r="N31" s="273" t="str">
        <f>LOOKUP(C28,HM!$V$15:$V$655,HM!$AN$15:$AN$655)</f>
        <v/>
      </c>
      <c r="O31" s="273" t="str">
        <f>LOOKUP(C28,HM!$V$15:$V$655,HM!$AO$15:$AO$655)</f>
        <v/>
      </c>
      <c r="P31" s="273" t="str">
        <f>LOOKUP(C28,HM!$V$15:$V$655,HM!$AP$15:$AP$655)</f>
        <v/>
      </c>
      <c r="Q31" s="274"/>
      <c r="R31" s="271"/>
      <c r="S31" s="275"/>
      <c r="T31" s="271"/>
      <c r="U31" s="271"/>
      <c r="V31" s="275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</row>
    <row r="32" spans="2:48" ht="9.75" customHeight="1" x14ac:dyDescent="0.2">
      <c r="M32" s="276"/>
      <c r="N32" s="276"/>
      <c r="O32" s="276"/>
      <c r="P32" s="276"/>
      <c r="Q32" s="274"/>
      <c r="R32" s="271"/>
      <c r="S32" s="275"/>
      <c r="T32" s="271"/>
      <c r="U32" s="271"/>
      <c r="V32" s="275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</row>
    <row r="33" spans="2:48" ht="9.75" customHeight="1" x14ac:dyDescent="0.2">
      <c r="B33" s="270" t="s">
        <v>5194</v>
      </c>
      <c r="C33" s="520" t="s">
        <v>0</v>
      </c>
      <c r="D33" s="520"/>
      <c r="E33" s="521" t="s">
        <v>164</v>
      </c>
      <c r="F33" s="521"/>
      <c r="G33" s="521"/>
      <c r="H33" s="520" t="s">
        <v>165</v>
      </c>
      <c r="I33" s="520"/>
      <c r="J33" s="520" t="s">
        <v>164</v>
      </c>
      <c r="K33" s="520"/>
      <c r="L33" s="520"/>
      <c r="M33" s="520"/>
      <c r="N33" s="270" t="s">
        <v>27</v>
      </c>
      <c r="O33" s="270" t="s">
        <v>69</v>
      </c>
      <c r="P33" s="270" t="s">
        <v>166</v>
      </c>
      <c r="Q33" s="274"/>
      <c r="R33" s="271"/>
      <c r="S33" s="275"/>
      <c r="T33" s="271"/>
      <c r="U33" s="271"/>
      <c r="V33" s="275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V33" s="271"/>
    </row>
    <row r="34" spans="2:48" ht="9.75" customHeight="1" x14ac:dyDescent="0.2">
      <c r="B34" s="524"/>
      <c r="C34" s="522"/>
      <c r="D34" s="522"/>
      <c r="E34" s="523" t="str">
        <f>LOOKUP(C34,HM!$V$15:$V$655,HM!$W$15:$W$655)</f>
        <v/>
      </c>
      <c r="F34" s="523"/>
      <c r="G34" s="523"/>
      <c r="H34" s="520" t="s">
        <v>2</v>
      </c>
      <c r="I34" s="520"/>
      <c r="J34" s="522" t="str">
        <f>LOOKUP(C34,HM!$V$15:$V$655,HM!$AA$15:$AA$655)</f>
        <v/>
      </c>
      <c r="K34" s="522"/>
      <c r="L34" s="522"/>
      <c r="M34" s="522"/>
      <c r="N34" s="273" t="str">
        <f>LOOKUP(C34,HM!$V$15:$V$655,HM!$AB$15:$AB$655)</f>
        <v/>
      </c>
      <c r="O34" s="273" t="str">
        <f>LOOKUP(C34,HM!$V$15:$V$655,HM!$AC$15:$AC$655)</f>
        <v/>
      </c>
      <c r="P34" s="273" t="str">
        <f>LOOKUP(C34,HM!$V$15:$V$655,HM!$AD$15:$AD$655)</f>
        <v/>
      </c>
      <c r="Q34" s="274"/>
      <c r="R34" s="271"/>
      <c r="S34" s="275"/>
      <c r="T34" s="271"/>
      <c r="U34" s="271"/>
      <c r="V34" s="275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</row>
    <row r="35" spans="2:48" ht="9.75" customHeight="1" x14ac:dyDescent="0.2">
      <c r="B35" s="524"/>
      <c r="C35" s="522"/>
      <c r="D35" s="522"/>
      <c r="E35" s="523"/>
      <c r="F35" s="523"/>
      <c r="G35" s="523"/>
      <c r="H35" s="520" t="s">
        <v>173</v>
      </c>
      <c r="I35" s="520"/>
      <c r="J35" s="522" t="str">
        <f>LOOKUP(C34,HM!$V$15:$V$655,HM!$AE$15:$AE$655)</f>
        <v/>
      </c>
      <c r="K35" s="522"/>
      <c r="L35" s="522"/>
      <c r="M35" s="522"/>
      <c r="N35" s="273" t="str">
        <f>LOOKUP(C34,HM!$V$15:$V$655,HM!$AF$15:$AF$655)</f>
        <v/>
      </c>
      <c r="O35" s="273" t="str">
        <f>LOOKUP(C34,HM!$V$15:$V$655,HM!$AG$15:$AG$655)</f>
        <v/>
      </c>
      <c r="P35" s="273" t="str">
        <f>LOOKUP(C34,HM!$V$15:$V$655,HM!$AH$15:$AH$655)</f>
        <v/>
      </c>
      <c r="Q35" s="274"/>
      <c r="R35" s="271"/>
      <c r="S35" s="275"/>
      <c r="T35" s="271"/>
      <c r="U35" s="271"/>
      <c r="V35" s="275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</row>
    <row r="36" spans="2:48" ht="9.75" customHeight="1" x14ac:dyDescent="0.2">
      <c r="B36" s="270" t="s">
        <v>14</v>
      </c>
      <c r="C36" s="270" t="s">
        <v>26</v>
      </c>
      <c r="D36" s="270" t="s">
        <v>175</v>
      </c>
      <c r="E36" s="523"/>
      <c r="F36" s="523"/>
      <c r="G36" s="523"/>
      <c r="H36" s="520" t="s">
        <v>176</v>
      </c>
      <c r="I36" s="520"/>
      <c r="J36" s="522" t="str">
        <f>LOOKUP(C34,HM!$V$15:$V$655,HM!$AI$15:$AI$655)</f>
        <v/>
      </c>
      <c r="K36" s="522"/>
      <c r="L36" s="522"/>
      <c r="M36" s="522"/>
      <c r="N36" s="273" t="str">
        <f>LOOKUP(C34,HM!$V$15:$V$655,HM!$AJ$15:$AJ$655)</f>
        <v/>
      </c>
      <c r="O36" s="273" t="str">
        <f>LOOKUP(C34,HM!$V$15:$V$655,HM!$AK$15:$AK$655)</f>
        <v/>
      </c>
      <c r="P36" s="273" t="str">
        <f>LOOKUP(C34,HM!$V$15:$V$655,HM!$AL$15:$AL$655)</f>
        <v/>
      </c>
      <c r="Q36" s="274"/>
      <c r="R36" s="271"/>
      <c r="S36" s="275"/>
      <c r="T36" s="271"/>
      <c r="U36" s="271"/>
      <c r="V36" s="275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</row>
    <row r="37" spans="2:48" ht="9.75" customHeight="1" x14ac:dyDescent="0.2">
      <c r="B37" s="273" t="str">
        <f>LOOKUP(C34,HM!$V$15:$V$655,HM!$X$15:$X$655)</f>
        <v/>
      </c>
      <c r="C37" s="273" t="str">
        <f>LOOKUP(C34,HM!$V$15:$V$655,HM!$Y$15:$Y$655)</f>
        <v/>
      </c>
      <c r="D37" s="273" t="str">
        <f>LOOKUP(C34,HM!$V$15:$V$655,HM!$Z$15:$Z$655)</f>
        <v/>
      </c>
      <c r="E37" s="523"/>
      <c r="F37" s="523"/>
      <c r="G37" s="523"/>
      <c r="H37" s="520" t="s">
        <v>179</v>
      </c>
      <c r="I37" s="520"/>
      <c r="J37" s="522" t="str">
        <f>LOOKUP(C34,HM!$V$15:$V$655,HM!$AM$15:$AM$655)</f>
        <v/>
      </c>
      <c r="K37" s="522"/>
      <c r="L37" s="522"/>
      <c r="M37" s="522"/>
      <c r="N37" s="273" t="str">
        <f>LOOKUP(C34,HM!$V$15:$V$655,HM!$AN$15:$AN$655)</f>
        <v/>
      </c>
      <c r="O37" s="273" t="str">
        <f>LOOKUP(C34,HM!$V$15:$V$655,HM!$AO$15:$AO$655)</f>
        <v/>
      </c>
      <c r="P37" s="273" t="str">
        <f>LOOKUP(C34,HM!$V$15:$V$655,HM!$AP$15:$AP$655)</f>
        <v/>
      </c>
      <c r="Q37" s="274"/>
      <c r="R37" s="271"/>
      <c r="S37" s="275"/>
      <c r="T37" s="271"/>
      <c r="U37" s="271"/>
      <c r="V37" s="275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</row>
    <row r="38" spans="2:48" ht="9.75" customHeight="1" x14ac:dyDescent="0.2">
      <c r="M38" s="276"/>
      <c r="N38" s="276"/>
      <c r="O38" s="276"/>
      <c r="P38" s="276"/>
      <c r="Q38" s="274"/>
      <c r="R38" s="271"/>
      <c r="S38" s="275"/>
      <c r="T38" s="271"/>
      <c r="U38" s="271"/>
      <c r="V38" s="275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</row>
    <row r="39" spans="2:48" ht="9.75" customHeight="1" x14ac:dyDescent="0.2">
      <c r="B39" s="270" t="s">
        <v>5194</v>
      </c>
      <c r="C39" s="520" t="s">
        <v>0</v>
      </c>
      <c r="D39" s="520"/>
      <c r="E39" s="521" t="s">
        <v>164</v>
      </c>
      <c r="F39" s="521"/>
      <c r="G39" s="521"/>
      <c r="H39" s="520" t="s">
        <v>165</v>
      </c>
      <c r="I39" s="520"/>
      <c r="J39" s="520" t="s">
        <v>164</v>
      </c>
      <c r="K39" s="520"/>
      <c r="L39" s="520"/>
      <c r="M39" s="520"/>
      <c r="N39" s="270" t="s">
        <v>27</v>
      </c>
      <c r="O39" s="270" t="s">
        <v>69</v>
      </c>
      <c r="P39" s="270" t="s">
        <v>166</v>
      </c>
      <c r="Q39" s="274"/>
      <c r="R39" s="271"/>
      <c r="S39" s="275"/>
      <c r="T39" s="271"/>
      <c r="U39" s="271"/>
      <c r="V39" s="275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71"/>
      <c r="AO39" s="271"/>
      <c r="AP39" s="271"/>
      <c r="AQ39" s="271"/>
      <c r="AR39" s="271"/>
      <c r="AS39" s="271"/>
      <c r="AT39" s="271"/>
      <c r="AU39" s="271"/>
      <c r="AV39" s="271"/>
    </row>
    <row r="40" spans="2:48" ht="9.75" customHeight="1" x14ac:dyDescent="0.2">
      <c r="B40" s="524"/>
      <c r="C40" s="522"/>
      <c r="D40" s="522"/>
      <c r="E40" s="523" t="str">
        <f>LOOKUP(C40,HM!$V$15:$V$655,HM!$W$15:$W$655)</f>
        <v/>
      </c>
      <c r="F40" s="523"/>
      <c r="G40" s="523"/>
      <c r="H40" s="520" t="s">
        <v>2</v>
      </c>
      <c r="I40" s="520"/>
      <c r="J40" s="522" t="str">
        <f>LOOKUP(C40,HM!$V$15:$V$655,HM!$AA$15:$AA$655)</f>
        <v/>
      </c>
      <c r="K40" s="522"/>
      <c r="L40" s="522"/>
      <c r="M40" s="522"/>
      <c r="N40" s="273" t="str">
        <f>LOOKUP(C40,HM!$V$15:$V$655,HM!$AB$15:$AB$655)</f>
        <v/>
      </c>
      <c r="O40" s="273" t="str">
        <f>LOOKUP(C40,HM!$V$15:$V$655,HM!$AC$15:$AC$655)</f>
        <v/>
      </c>
      <c r="P40" s="273" t="str">
        <f>LOOKUP(C40,HM!$V$15:$V$655,HM!$AD$15:$AD$655)</f>
        <v/>
      </c>
      <c r="Q40" s="274"/>
      <c r="R40" s="271"/>
      <c r="S40" s="275"/>
      <c r="T40" s="271"/>
      <c r="U40" s="271"/>
      <c r="V40" s="275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271"/>
      <c r="AK40" s="271"/>
      <c r="AL40" s="271"/>
      <c r="AM40" s="271"/>
      <c r="AN40" s="271"/>
      <c r="AO40" s="271"/>
      <c r="AP40" s="271"/>
      <c r="AQ40" s="271"/>
      <c r="AR40" s="271"/>
      <c r="AS40" s="271"/>
      <c r="AT40" s="271"/>
      <c r="AU40" s="271"/>
      <c r="AV40" s="271"/>
    </row>
    <row r="41" spans="2:48" ht="9.75" customHeight="1" x14ac:dyDescent="0.2">
      <c r="B41" s="524"/>
      <c r="C41" s="522"/>
      <c r="D41" s="522"/>
      <c r="E41" s="523"/>
      <c r="F41" s="523"/>
      <c r="G41" s="523"/>
      <c r="H41" s="520" t="s">
        <v>173</v>
      </c>
      <c r="I41" s="520"/>
      <c r="J41" s="522" t="str">
        <f>LOOKUP(C40,HM!$V$15:$V$655,HM!$AE$15:$AE$655)</f>
        <v/>
      </c>
      <c r="K41" s="522"/>
      <c r="L41" s="522"/>
      <c r="M41" s="522"/>
      <c r="N41" s="273" t="str">
        <f>LOOKUP(C40,HM!$V$15:$V$655,HM!$AF$15:$AF$655)</f>
        <v/>
      </c>
      <c r="O41" s="273" t="str">
        <f>LOOKUP(C40,HM!$V$15:$V$655,HM!$AG$15:$AG$655)</f>
        <v/>
      </c>
      <c r="P41" s="273" t="str">
        <f>LOOKUP(C40,HM!$V$15:$V$655,HM!$AH$15:$AH$655)</f>
        <v/>
      </c>
      <c r="Q41" s="274"/>
      <c r="R41" s="271"/>
      <c r="S41" s="275"/>
      <c r="T41" s="271"/>
      <c r="U41" s="271"/>
      <c r="V41" s="275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1"/>
      <c r="AO41" s="271"/>
      <c r="AP41" s="271"/>
      <c r="AQ41" s="271"/>
      <c r="AR41" s="271"/>
      <c r="AS41" s="271"/>
      <c r="AT41" s="271"/>
      <c r="AU41" s="271"/>
      <c r="AV41" s="271"/>
    </row>
    <row r="42" spans="2:48" ht="9.75" customHeight="1" x14ac:dyDescent="0.2">
      <c r="B42" s="270" t="s">
        <v>14</v>
      </c>
      <c r="C42" s="270" t="s">
        <v>26</v>
      </c>
      <c r="D42" s="270" t="s">
        <v>175</v>
      </c>
      <c r="E42" s="523"/>
      <c r="F42" s="523"/>
      <c r="G42" s="523"/>
      <c r="H42" s="520" t="s">
        <v>176</v>
      </c>
      <c r="I42" s="520"/>
      <c r="J42" s="522" t="str">
        <f>LOOKUP(C40,HM!$V$15:$V$655,HM!$AI$15:$AI$655)</f>
        <v/>
      </c>
      <c r="K42" s="522"/>
      <c r="L42" s="522"/>
      <c r="M42" s="522"/>
      <c r="N42" s="273" t="str">
        <f>LOOKUP(C40,HM!$V$15:$V$655,HM!$AJ$15:$AJ$655)</f>
        <v/>
      </c>
      <c r="O42" s="273" t="str">
        <f>LOOKUP(C40,HM!$V$15:$V$655,HM!$AK$15:$AK$655)</f>
        <v/>
      </c>
      <c r="P42" s="273" t="str">
        <f>LOOKUP(C40,HM!$V$15:$V$655,HM!$AL$15:$AL$655)</f>
        <v/>
      </c>
      <c r="Q42" s="274"/>
      <c r="R42" s="271"/>
      <c r="S42" s="275"/>
      <c r="T42" s="271"/>
      <c r="U42" s="271"/>
      <c r="V42" s="275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</row>
    <row r="43" spans="2:48" ht="9.75" customHeight="1" x14ac:dyDescent="0.2">
      <c r="B43" s="273" t="str">
        <f>LOOKUP(C40,HM!$V$15:$V$655,HM!$X$15:$X$655)</f>
        <v/>
      </c>
      <c r="C43" s="273" t="str">
        <f>LOOKUP(C40,HM!$V$15:$V$655,HM!$Y$15:$Y$655)</f>
        <v/>
      </c>
      <c r="D43" s="273" t="str">
        <f>LOOKUP(C40,HM!$V$15:$V$655,HM!$Z$15:$Z$655)</f>
        <v/>
      </c>
      <c r="E43" s="523"/>
      <c r="F43" s="523"/>
      <c r="G43" s="523"/>
      <c r="H43" s="520" t="s">
        <v>179</v>
      </c>
      <c r="I43" s="520"/>
      <c r="J43" s="522" t="str">
        <f>LOOKUP(C40,HM!$V$15:$V$655,HM!$AM$15:$AM$655)</f>
        <v/>
      </c>
      <c r="K43" s="522"/>
      <c r="L43" s="522"/>
      <c r="M43" s="522"/>
      <c r="N43" s="273" t="str">
        <f>LOOKUP(C40,HM!$V$15:$V$655,HM!$AN$15:$AN$655)</f>
        <v/>
      </c>
      <c r="O43" s="273" t="str">
        <f>LOOKUP(C40,HM!$V$15:$V$655,HM!$AO$15:$AO$655)</f>
        <v/>
      </c>
      <c r="P43" s="273" t="str">
        <f>LOOKUP(C40,HM!$V$15:$V$655,HM!$AP$15:$AP$655)</f>
        <v/>
      </c>
      <c r="Q43" s="271"/>
      <c r="R43" s="271"/>
      <c r="S43" s="275"/>
      <c r="T43" s="271"/>
      <c r="U43" s="271"/>
      <c r="V43" s="275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71"/>
      <c r="AO43" s="271"/>
      <c r="AP43" s="271"/>
      <c r="AQ43" s="271"/>
      <c r="AR43" s="271"/>
      <c r="AS43" s="271"/>
      <c r="AT43" s="271"/>
      <c r="AU43" s="271"/>
      <c r="AV43" s="271"/>
    </row>
    <row r="44" spans="2:48" ht="9.75" customHeight="1" x14ac:dyDescent="0.2">
      <c r="M44" s="276"/>
      <c r="N44" s="276"/>
      <c r="O44" s="276"/>
      <c r="P44" s="276"/>
      <c r="Q44" s="274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1"/>
      <c r="AT44" s="271"/>
      <c r="AU44" s="271"/>
      <c r="AV44" s="271"/>
    </row>
    <row r="45" spans="2:48" ht="9.75" customHeight="1" x14ac:dyDescent="0.2">
      <c r="B45" s="270" t="s">
        <v>5194</v>
      </c>
      <c r="C45" s="520" t="s">
        <v>0</v>
      </c>
      <c r="D45" s="520"/>
      <c r="E45" s="521" t="s">
        <v>164</v>
      </c>
      <c r="F45" s="521"/>
      <c r="G45" s="521"/>
      <c r="H45" s="520" t="s">
        <v>165</v>
      </c>
      <c r="I45" s="520"/>
      <c r="J45" s="520" t="s">
        <v>164</v>
      </c>
      <c r="K45" s="520"/>
      <c r="L45" s="520"/>
      <c r="M45" s="520"/>
      <c r="N45" s="270" t="s">
        <v>27</v>
      </c>
      <c r="O45" s="270" t="s">
        <v>69</v>
      </c>
      <c r="P45" s="270" t="s">
        <v>166</v>
      </c>
      <c r="Q45" s="274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1"/>
      <c r="AO45" s="271"/>
      <c r="AP45" s="271"/>
      <c r="AQ45" s="271"/>
      <c r="AR45" s="271"/>
      <c r="AS45" s="271"/>
      <c r="AT45" s="271"/>
      <c r="AU45" s="271"/>
      <c r="AV45" s="271"/>
    </row>
    <row r="46" spans="2:48" ht="9.75" customHeight="1" x14ac:dyDescent="0.2">
      <c r="B46" s="524"/>
      <c r="C46" s="522"/>
      <c r="D46" s="522"/>
      <c r="E46" s="523" t="str">
        <f>LOOKUP(C46,HM!$V$15:$V$655,HM!$W$15:$W$655)</f>
        <v/>
      </c>
      <c r="F46" s="523"/>
      <c r="G46" s="523"/>
      <c r="H46" s="520" t="s">
        <v>2</v>
      </c>
      <c r="I46" s="520"/>
      <c r="J46" s="522" t="str">
        <f>LOOKUP(C46,HM!$V$15:$V$655,HM!$AA$15:$AA$655)</f>
        <v/>
      </c>
      <c r="K46" s="522"/>
      <c r="L46" s="522"/>
      <c r="M46" s="522"/>
      <c r="N46" s="273" t="str">
        <f>LOOKUP(C46,HM!$V$15:$V$655,HM!$AB$15:$AB$655)</f>
        <v/>
      </c>
      <c r="O46" s="273" t="str">
        <f>LOOKUP(C46,HM!$V$15:$V$655,HM!$AC$15:$AC$655)</f>
        <v/>
      </c>
      <c r="P46" s="273" t="str">
        <f>LOOKUP(C46,HM!$V$15:$V$655,HM!$AD$15:$AD$655)</f>
        <v/>
      </c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1"/>
      <c r="AH46" s="271"/>
      <c r="AI46" s="271"/>
      <c r="AJ46" s="271"/>
      <c r="AK46" s="271"/>
      <c r="AL46" s="271"/>
      <c r="AM46" s="271"/>
      <c r="AN46" s="271"/>
      <c r="AO46" s="271"/>
      <c r="AP46" s="271"/>
      <c r="AQ46" s="271"/>
      <c r="AR46" s="271"/>
      <c r="AS46" s="271"/>
      <c r="AT46" s="271"/>
      <c r="AU46" s="271"/>
      <c r="AV46" s="271"/>
    </row>
    <row r="47" spans="2:48" ht="9.75" customHeight="1" x14ac:dyDescent="0.2">
      <c r="B47" s="524"/>
      <c r="C47" s="522"/>
      <c r="D47" s="522"/>
      <c r="E47" s="523"/>
      <c r="F47" s="523"/>
      <c r="G47" s="523"/>
      <c r="H47" s="520" t="s">
        <v>173</v>
      </c>
      <c r="I47" s="520"/>
      <c r="J47" s="522" t="str">
        <f>LOOKUP(C46,HM!$V$15:$V$655,HM!$AE$15:$AE$655)</f>
        <v/>
      </c>
      <c r="K47" s="522"/>
      <c r="L47" s="522"/>
      <c r="M47" s="522"/>
      <c r="N47" s="273" t="str">
        <f>LOOKUP(C46,HM!$V$15:$V$655,HM!$AF$15:$AF$655)</f>
        <v/>
      </c>
      <c r="O47" s="273" t="str">
        <f>LOOKUP(C46,HM!$V$15:$V$655,HM!$AG$15:$AG$655)</f>
        <v/>
      </c>
      <c r="P47" s="273" t="str">
        <f>LOOKUP(C46,HM!$V$15:$V$655,HM!$AH$15:$AH$655)</f>
        <v/>
      </c>
    </row>
    <row r="48" spans="2:48" ht="9.75" customHeight="1" x14ac:dyDescent="0.2">
      <c r="B48" s="270" t="s">
        <v>14</v>
      </c>
      <c r="C48" s="270" t="s">
        <v>26</v>
      </c>
      <c r="D48" s="270" t="s">
        <v>175</v>
      </c>
      <c r="E48" s="523"/>
      <c r="F48" s="523"/>
      <c r="G48" s="523"/>
      <c r="H48" s="520" t="s">
        <v>176</v>
      </c>
      <c r="I48" s="520"/>
      <c r="J48" s="522" t="str">
        <f>LOOKUP(C46,HM!$V$15:$V$655,HM!$AI$15:$AI$655)</f>
        <v/>
      </c>
      <c r="K48" s="522"/>
      <c r="L48" s="522"/>
      <c r="M48" s="522"/>
      <c r="N48" s="273" t="str">
        <f>LOOKUP(C46,HM!$V$15:$V$655,HM!$AJ$15:$AJ$655)</f>
        <v/>
      </c>
      <c r="O48" s="273" t="str">
        <f>LOOKUP(C46,HM!$V$15:$V$655,HM!$AK$15:$AK$655)</f>
        <v/>
      </c>
      <c r="P48" s="273" t="str">
        <f>LOOKUP(C46,HM!$V$15:$V$655,HM!$AL$15:$AL$655)</f>
        <v/>
      </c>
    </row>
    <row r="49" spans="2:16" ht="9.75" customHeight="1" x14ac:dyDescent="0.2">
      <c r="B49" s="273" t="str">
        <f>LOOKUP(C46,HM!$V$15:$V$655,HM!$X$15:$X$655)</f>
        <v/>
      </c>
      <c r="C49" s="273" t="str">
        <f>LOOKUP(C46,HM!$V$15:$V$655,HM!$Y$15:$Y$655)</f>
        <v/>
      </c>
      <c r="D49" s="273" t="str">
        <f>LOOKUP(C46,HM!$V$15:$V$655,HM!$Z$15:$Z$655)</f>
        <v/>
      </c>
      <c r="E49" s="523"/>
      <c r="F49" s="523"/>
      <c r="G49" s="523"/>
      <c r="H49" s="520" t="s">
        <v>179</v>
      </c>
      <c r="I49" s="520"/>
      <c r="J49" s="522" t="str">
        <f>LOOKUP(C46,HM!$V$15:$V$655,HM!$AM$15:$AM$655)</f>
        <v/>
      </c>
      <c r="K49" s="522"/>
      <c r="L49" s="522"/>
      <c r="M49" s="522"/>
      <c r="N49" s="273" t="str">
        <f>LOOKUP(C46,HM!$V$15:$V$655,HM!$AN$15:$AN$655)</f>
        <v/>
      </c>
      <c r="O49" s="273" t="str">
        <f>LOOKUP(C46,HM!$V$15:$V$655,HM!$AO$15:$AO$655)</f>
        <v/>
      </c>
      <c r="P49" s="273" t="str">
        <f>LOOKUP(C46,HM!$V$15:$V$655,HM!$AP$15:$AP$655)</f>
        <v/>
      </c>
    </row>
    <row r="51" spans="2:16" ht="9.75" customHeight="1" x14ac:dyDescent="0.2">
      <c r="B51" s="270" t="s">
        <v>5194</v>
      </c>
      <c r="C51" s="520" t="s">
        <v>0</v>
      </c>
      <c r="D51" s="520"/>
      <c r="E51" s="521" t="s">
        <v>164</v>
      </c>
      <c r="F51" s="521"/>
      <c r="G51" s="521"/>
      <c r="H51" s="520" t="s">
        <v>165</v>
      </c>
      <c r="I51" s="520"/>
      <c r="J51" s="520" t="s">
        <v>164</v>
      </c>
      <c r="K51" s="520"/>
      <c r="L51" s="520"/>
      <c r="M51" s="520"/>
      <c r="N51" s="270" t="s">
        <v>27</v>
      </c>
      <c r="O51" s="270" t="s">
        <v>69</v>
      </c>
      <c r="P51" s="270" t="s">
        <v>166</v>
      </c>
    </row>
    <row r="52" spans="2:16" ht="9.75" customHeight="1" x14ac:dyDescent="0.2">
      <c r="B52" s="524"/>
      <c r="C52" s="522"/>
      <c r="D52" s="522"/>
      <c r="E52" s="523" t="str">
        <f>LOOKUP(C52,HM!$V$15:$V$655,HM!$W$15:$W$655)</f>
        <v/>
      </c>
      <c r="F52" s="523"/>
      <c r="G52" s="523"/>
      <c r="H52" s="520" t="s">
        <v>2</v>
      </c>
      <c r="I52" s="520"/>
      <c r="J52" s="522" t="str">
        <f>LOOKUP(C52,HM!$V$15:$V$655,HM!$AA$15:$AA$655)</f>
        <v/>
      </c>
      <c r="K52" s="522"/>
      <c r="L52" s="522"/>
      <c r="M52" s="522"/>
      <c r="N52" s="273" t="str">
        <f>LOOKUP(C52,HM!$V$15:$V$655,HM!$AB$15:$AB$655)</f>
        <v/>
      </c>
      <c r="O52" s="273" t="str">
        <f>LOOKUP(C52,HM!$V$15:$V$655,HM!$AC$15:$AC$655)</f>
        <v/>
      </c>
      <c r="P52" s="273" t="str">
        <f>LOOKUP(C52,HM!$V$15:$V$655,HM!$AD$15:$AD$655)</f>
        <v/>
      </c>
    </row>
    <row r="53" spans="2:16" ht="9.75" customHeight="1" x14ac:dyDescent="0.2">
      <c r="B53" s="524"/>
      <c r="C53" s="522"/>
      <c r="D53" s="522"/>
      <c r="E53" s="523"/>
      <c r="F53" s="523"/>
      <c r="G53" s="523"/>
      <c r="H53" s="520" t="s">
        <v>173</v>
      </c>
      <c r="I53" s="520"/>
      <c r="J53" s="522" t="str">
        <f>LOOKUP(C52,HM!$V$15:$V$655,HM!$AE$15:$AE$655)</f>
        <v/>
      </c>
      <c r="K53" s="522"/>
      <c r="L53" s="522"/>
      <c r="M53" s="522"/>
      <c r="N53" s="273" t="str">
        <f>LOOKUP(C52,HM!$V$15:$V$655,HM!$AF$15:$AF$655)</f>
        <v/>
      </c>
      <c r="O53" s="273" t="str">
        <f>LOOKUP(C52,HM!$V$15:$V$655,HM!$AG$15:$AG$655)</f>
        <v/>
      </c>
      <c r="P53" s="273" t="str">
        <f>LOOKUP(C52,HM!$V$15:$V$655,HM!$AH$15:$AH$655)</f>
        <v/>
      </c>
    </row>
    <row r="54" spans="2:16" ht="9.75" customHeight="1" x14ac:dyDescent="0.2">
      <c r="B54" s="270" t="s">
        <v>14</v>
      </c>
      <c r="C54" s="270" t="s">
        <v>26</v>
      </c>
      <c r="D54" s="270" t="s">
        <v>175</v>
      </c>
      <c r="E54" s="523"/>
      <c r="F54" s="523"/>
      <c r="G54" s="523"/>
      <c r="H54" s="520" t="s">
        <v>176</v>
      </c>
      <c r="I54" s="520"/>
      <c r="J54" s="522" t="str">
        <f>LOOKUP(C52,HM!$V$15:$V$655,HM!$AI$15:$AI$655)</f>
        <v/>
      </c>
      <c r="K54" s="522"/>
      <c r="L54" s="522"/>
      <c r="M54" s="522"/>
      <c r="N54" s="273" t="str">
        <f>LOOKUP(C52,HM!$V$15:$V$655,HM!$AJ$15:$AJ$655)</f>
        <v/>
      </c>
      <c r="O54" s="273" t="str">
        <f>LOOKUP(C52,HM!$V$15:$V$655,HM!$AK$15:$AK$655)</f>
        <v/>
      </c>
      <c r="P54" s="273" t="str">
        <f>LOOKUP(C52,HM!$V$15:$V$655,HM!$AL$15:$AL$655)</f>
        <v/>
      </c>
    </row>
    <row r="55" spans="2:16" ht="9.75" customHeight="1" x14ac:dyDescent="0.2">
      <c r="B55" s="273" t="str">
        <f>LOOKUP(C52,HM!$V$15:$V$655,HM!$X$15:$X$655)</f>
        <v/>
      </c>
      <c r="C55" s="273" t="str">
        <f>LOOKUP(C52,HM!$V$15:$V$655,HM!$Y$15:$Y$655)</f>
        <v/>
      </c>
      <c r="D55" s="273" t="str">
        <f>LOOKUP(C52,HM!$V$15:$V$655,HM!$Z$15:$Z$655)</f>
        <v/>
      </c>
      <c r="E55" s="523"/>
      <c r="F55" s="523"/>
      <c r="G55" s="523"/>
      <c r="H55" s="520" t="s">
        <v>179</v>
      </c>
      <c r="I55" s="520"/>
      <c r="J55" s="522" t="str">
        <f>LOOKUP(C52,HM!$V$15:$V$655,HM!$AM$15:$AM$655)</f>
        <v/>
      </c>
      <c r="K55" s="522"/>
      <c r="L55" s="522"/>
      <c r="M55" s="522"/>
      <c r="N55" s="273" t="str">
        <f>LOOKUP(C52,HM!$V$15:$V$655,HM!$AN$15:$AN$655)</f>
        <v/>
      </c>
      <c r="O55" s="273" t="str">
        <f>LOOKUP(C52,HM!$V$15:$V$655,HM!$AO$15:$AO$655)</f>
        <v/>
      </c>
      <c r="P55" s="273" t="str">
        <f>LOOKUP(C52,HM!$V$15:$V$655,HM!$AP$15:$AP$655)</f>
        <v/>
      </c>
    </row>
    <row r="57" spans="2:16" ht="9.75" customHeight="1" x14ac:dyDescent="0.2">
      <c r="B57" s="270" t="s">
        <v>5194</v>
      </c>
      <c r="C57" s="520" t="s">
        <v>0</v>
      </c>
      <c r="D57" s="520"/>
      <c r="E57" s="521" t="s">
        <v>164</v>
      </c>
      <c r="F57" s="521"/>
      <c r="G57" s="521"/>
      <c r="H57" s="520" t="s">
        <v>165</v>
      </c>
      <c r="I57" s="520"/>
      <c r="J57" s="520" t="s">
        <v>164</v>
      </c>
      <c r="K57" s="520"/>
      <c r="L57" s="520"/>
      <c r="M57" s="520"/>
      <c r="N57" s="270" t="s">
        <v>27</v>
      </c>
      <c r="O57" s="270" t="s">
        <v>69</v>
      </c>
      <c r="P57" s="270" t="s">
        <v>166</v>
      </c>
    </row>
    <row r="58" spans="2:16" ht="9.75" customHeight="1" x14ac:dyDescent="0.2">
      <c r="B58" s="524"/>
      <c r="C58" s="522"/>
      <c r="D58" s="522"/>
      <c r="E58" s="523" t="str">
        <f>LOOKUP(C58,HM!$V$15:$V$655,HM!$W$15:$W$655)</f>
        <v/>
      </c>
      <c r="F58" s="523"/>
      <c r="G58" s="523"/>
      <c r="H58" s="520" t="s">
        <v>2</v>
      </c>
      <c r="I58" s="520"/>
      <c r="J58" s="522" t="str">
        <f>LOOKUP(C58,HM!$V$15:$V$655,HM!$AA$15:$AA$655)</f>
        <v/>
      </c>
      <c r="K58" s="522"/>
      <c r="L58" s="522"/>
      <c r="M58" s="522"/>
      <c r="N58" s="273" t="str">
        <f>LOOKUP(C58,HM!$V$15:$V$655,HM!$AB$15:$AB$655)</f>
        <v/>
      </c>
      <c r="O58" s="273" t="str">
        <f>LOOKUP(C58,HM!$V$15:$V$655,HM!$AC$15:$AC$655)</f>
        <v/>
      </c>
      <c r="P58" s="273" t="str">
        <f>LOOKUP(C58,HM!$V$15:$V$655,HM!$AD$15:$AD$655)</f>
        <v/>
      </c>
    </row>
    <row r="59" spans="2:16" ht="9.75" customHeight="1" x14ac:dyDescent="0.2">
      <c r="B59" s="524"/>
      <c r="C59" s="522"/>
      <c r="D59" s="522"/>
      <c r="E59" s="523"/>
      <c r="F59" s="523"/>
      <c r="G59" s="523"/>
      <c r="H59" s="520" t="s">
        <v>173</v>
      </c>
      <c r="I59" s="520"/>
      <c r="J59" s="522" t="str">
        <f>LOOKUP(C58,HM!$V$15:$V$655,HM!$AE$15:$AE$655)</f>
        <v/>
      </c>
      <c r="K59" s="522"/>
      <c r="L59" s="522"/>
      <c r="M59" s="522"/>
      <c r="N59" s="273" t="str">
        <f>LOOKUP(C58,HM!$V$15:$V$655,HM!$AF$15:$AF$655)</f>
        <v/>
      </c>
      <c r="O59" s="273" t="str">
        <f>LOOKUP(C58,HM!$V$15:$V$655,HM!$AG$15:$AG$655)</f>
        <v/>
      </c>
      <c r="P59" s="273" t="str">
        <f>LOOKUP(C58,HM!$V$15:$V$655,HM!$AH$15:$AH$655)</f>
        <v/>
      </c>
    </row>
    <row r="60" spans="2:16" ht="9.75" customHeight="1" x14ac:dyDescent="0.2">
      <c r="B60" s="270" t="s">
        <v>14</v>
      </c>
      <c r="C60" s="270" t="s">
        <v>26</v>
      </c>
      <c r="D60" s="270" t="s">
        <v>175</v>
      </c>
      <c r="E60" s="523"/>
      <c r="F60" s="523"/>
      <c r="G60" s="523"/>
      <c r="H60" s="520" t="s">
        <v>176</v>
      </c>
      <c r="I60" s="520"/>
      <c r="J60" s="522" t="str">
        <f>LOOKUP(C58,HM!$V$15:$V$655,HM!$AI$15:$AI$655)</f>
        <v/>
      </c>
      <c r="K60" s="522"/>
      <c r="L60" s="522"/>
      <c r="M60" s="522"/>
      <c r="N60" s="273" t="str">
        <f>LOOKUP(C58,HM!$V$15:$V$655,HM!$AJ$15:$AJ$655)</f>
        <v/>
      </c>
      <c r="O60" s="273" t="str">
        <f>LOOKUP(C58,HM!$V$15:$V$655,HM!$AK$15:$AK$655)</f>
        <v/>
      </c>
      <c r="P60" s="273" t="str">
        <f>LOOKUP(C58,HM!$V$15:$V$655,HM!$AL$15:$AL$655)</f>
        <v/>
      </c>
    </row>
    <row r="61" spans="2:16" ht="9.75" customHeight="1" x14ac:dyDescent="0.2">
      <c r="B61" s="273" t="str">
        <f>LOOKUP(C58,HM!$V$15:$V$655,HM!$X$15:$X$655)</f>
        <v/>
      </c>
      <c r="C61" s="273" t="str">
        <f>LOOKUP(C58,HM!$V$15:$V$655,HM!$Y$15:$Y$655)</f>
        <v/>
      </c>
      <c r="D61" s="273" t="str">
        <f>LOOKUP(C58,HM!$V$15:$V$655,HM!$Z$15:$Z$655)</f>
        <v/>
      </c>
      <c r="E61" s="523"/>
      <c r="F61" s="523"/>
      <c r="G61" s="523"/>
      <c r="H61" s="520" t="s">
        <v>179</v>
      </c>
      <c r="I61" s="520"/>
      <c r="J61" s="522" t="str">
        <f>LOOKUP(C58,HM!$V$15:$V$655,HM!$AM$15:$AM$655)</f>
        <v/>
      </c>
      <c r="K61" s="522"/>
      <c r="L61" s="522"/>
      <c r="M61" s="522"/>
      <c r="N61" s="273" t="str">
        <f>LOOKUP(C58,HM!$V$15:$V$655,HM!$AN$15:$AN$655)</f>
        <v/>
      </c>
      <c r="O61" s="273" t="str">
        <f>LOOKUP(C58,HM!$V$15:$V$655,HM!$AO$15:$AO$655)</f>
        <v/>
      </c>
      <c r="P61" s="273" t="str">
        <f>LOOKUP(C58,HM!$V$15:$V$655,HM!$AP$15:$AP$655)</f>
        <v/>
      </c>
    </row>
    <row r="63" spans="2:16" ht="9.75" customHeight="1" x14ac:dyDescent="0.2">
      <c r="B63" s="270" t="s">
        <v>5194</v>
      </c>
      <c r="C63" s="520" t="s">
        <v>0</v>
      </c>
      <c r="D63" s="520"/>
      <c r="E63" s="521" t="s">
        <v>164</v>
      </c>
      <c r="F63" s="521"/>
      <c r="G63" s="521"/>
      <c r="H63" s="520" t="s">
        <v>165</v>
      </c>
      <c r="I63" s="520"/>
      <c r="J63" s="520" t="s">
        <v>164</v>
      </c>
      <c r="K63" s="520"/>
      <c r="L63" s="520"/>
      <c r="M63" s="520"/>
      <c r="N63" s="270" t="s">
        <v>27</v>
      </c>
      <c r="O63" s="270" t="s">
        <v>69</v>
      </c>
      <c r="P63" s="270" t="s">
        <v>166</v>
      </c>
    </row>
    <row r="64" spans="2:16" ht="9.75" customHeight="1" x14ac:dyDescent="0.2">
      <c r="B64" s="524"/>
      <c r="C64" s="522"/>
      <c r="D64" s="522"/>
      <c r="E64" s="523" t="str">
        <f>LOOKUP(C64,HM!$V$15:$V$655,HM!$W$15:$W$655)</f>
        <v/>
      </c>
      <c r="F64" s="523"/>
      <c r="G64" s="523"/>
      <c r="H64" s="520" t="s">
        <v>2</v>
      </c>
      <c r="I64" s="520"/>
      <c r="J64" s="522" t="str">
        <f>LOOKUP(C64,HM!$V$15:$V$655,HM!$AA$15:$AA$655)</f>
        <v/>
      </c>
      <c r="K64" s="522"/>
      <c r="L64" s="522"/>
      <c r="M64" s="522"/>
      <c r="N64" s="273" t="str">
        <f>LOOKUP(C64,HM!$V$15:$V$655,HM!$AB$15:$AB$655)</f>
        <v/>
      </c>
      <c r="O64" s="273" t="str">
        <f>LOOKUP(C64,HM!$V$15:$V$655,HM!$AC$15:$AC$655)</f>
        <v/>
      </c>
      <c r="P64" s="273" t="str">
        <f>LOOKUP(C64,HM!$V$15:$V$655,HM!$AD$15:$AD$655)</f>
        <v/>
      </c>
    </row>
    <row r="65" spans="2:16" ht="9.75" customHeight="1" x14ac:dyDescent="0.2">
      <c r="B65" s="524"/>
      <c r="C65" s="522"/>
      <c r="D65" s="522"/>
      <c r="E65" s="523"/>
      <c r="F65" s="523"/>
      <c r="G65" s="523"/>
      <c r="H65" s="520" t="s">
        <v>173</v>
      </c>
      <c r="I65" s="520"/>
      <c r="J65" s="522" t="str">
        <f>LOOKUP(C64,HM!$V$15:$V$655,HM!$AE$15:$AE$655)</f>
        <v/>
      </c>
      <c r="K65" s="522"/>
      <c r="L65" s="522"/>
      <c r="M65" s="522"/>
      <c r="N65" s="273" t="str">
        <f>LOOKUP(C64,HM!$V$15:$V$655,HM!$AF$15:$AF$655)</f>
        <v/>
      </c>
      <c r="O65" s="273" t="str">
        <f>LOOKUP(C64,HM!$V$15:$V$655,HM!$AG$15:$AG$655)</f>
        <v/>
      </c>
      <c r="P65" s="273" t="str">
        <f>LOOKUP(C64,HM!$V$15:$V$655,HM!$AH$15:$AH$655)</f>
        <v/>
      </c>
    </row>
    <row r="66" spans="2:16" ht="9.75" customHeight="1" x14ac:dyDescent="0.2">
      <c r="B66" s="270" t="s">
        <v>14</v>
      </c>
      <c r="C66" s="270" t="s">
        <v>26</v>
      </c>
      <c r="D66" s="270" t="s">
        <v>175</v>
      </c>
      <c r="E66" s="523"/>
      <c r="F66" s="523"/>
      <c r="G66" s="523"/>
      <c r="H66" s="520" t="s">
        <v>176</v>
      </c>
      <c r="I66" s="520"/>
      <c r="J66" s="522" t="str">
        <f>LOOKUP(C64,HM!$V$15:$V$655,HM!$AI$15:$AI$655)</f>
        <v/>
      </c>
      <c r="K66" s="522"/>
      <c r="L66" s="522"/>
      <c r="M66" s="522"/>
      <c r="N66" s="273" t="str">
        <f>LOOKUP(C64,HM!$V$15:$V$655,HM!$AJ$15:$AJ$655)</f>
        <v/>
      </c>
      <c r="O66" s="273" t="str">
        <f>LOOKUP(C64,HM!$V$15:$V$655,HM!$AK$15:$AK$655)</f>
        <v/>
      </c>
      <c r="P66" s="273" t="str">
        <f>LOOKUP(C64,HM!$V$15:$V$655,HM!$AL$15:$AL$655)</f>
        <v/>
      </c>
    </row>
    <row r="67" spans="2:16" ht="9.75" customHeight="1" x14ac:dyDescent="0.2">
      <c r="B67" s="273" t="str">
        <f>LOOKUP(C64,HM!$V$15:$V$655,HM!$X$15:$X$655)</f>
        <v/>
      </c>
      <c r="C67" s="273" t="str">
        <f>LOOKUP(C64,HM!$V$15:$V$655,HM!$Y$15:$Y$655)</f>
        <v/>
      </c>
      <c r="D67" s="273" t="str">
        <f>LOOKUP(C64,HM!$V$15:$V$655,HM!$Z$15:$Z$655)</f>
        <v/>
      </c>
      <c r="E67" s="523"/>
      <c r="F67" s="523"/>
      <c r="G67" s="523"/>
      <c r="H67" s="520" t="s">
        <v>179</v>
      </c>
      <c r="I67" s="520"/>
      <c r="J67" s="522" t="str">
        <f>LOOKUP(C64,HM!$V$15:$V$655,HM!$AM$15:$AM$655)</f>
        <v/>
      </c>
      <c r="K67" s="522"/>
      <c r="L67" s="522"/>
      <c r="M67" s="522"/>
      <c r="N67" s="273" t="str">
        <f>LOOKUP(C64,HM!$V$15:$V$655,HM!$AN$15:$AN$655)</f>
        <v/>
      </c>
      <c r="O67" s="273" t="str">
        <f>LOOKUP(C64,HM!$V$15:$V$655,HM!$AO$15:$AO$655)</f>
        <v/>
      </c>
      <c r="P67" s="273" t="str">
        <f>LOOKUP(C64,HM!$V$15:$V$655,HM!$AP$15:$AP$655)</f>
        <v/>
      </c>
    </row>
    <row r="69" spans="2:16" ht="9.75" customHeight="1" x14ac:dyDescent="0.2">
      <c r="B69" s="270" t="s">
        <v>5194</v>
      </c>
      <c r="C69" s="520" t="s">
        <v>0</v>
      </c>
      <c r="D69" s="520"/>
      <c r="E69" s="521" t="s">
        <v>164</v>
      </c>
      <c r="F69" s="521"/>
      <c r="G69" s="521"/>
      <c r="H69" s="520" t="s">
        <v>165</v>
      </c>
      <c r="I69" s="520"/>
      <c r="J69" s="520" t="s">
        <v>164</v>
      </c>
      <c r="K69" s="520"/>
      <c r="L69" s="520"/>
      <c r="M69" s="520"/>
      <c r="N69" s="270" t="s">
        <v>27</v>
      </c>
      <c r="O69" s="270" t="s">
        <v>69</v>
      </c>
      <c r="P69" s="270" t="s">
        <v>166</v>
      </c>
    </row>
    <row r="70" spans="2:16" ht="9.75" customHeight="1" x14ac:dyDescent="0.2">
      <c r="B70" s="524"/>
      <c r="C70" s="522"/>
      <c r="D70" s="522"/>
      <c r="E70" s="523" t="str">
        <f>LOOKUP(C70,HM!$V$15:$V$655,HM!$W$15:$W$655)</f>
        <v/>
      </c>
      <c r="F70" s="523"/>
      <c r="G70" s="523"/>
      <c r="H70" s="520" t="s">
        <v>2</v>
      </c>
      <c r="I70" s="520"/>
      <c r="J70" s="522" t="str">
        <f>LOOKUP(C70,HM!$V$15:$V$655,HM!$AA$15:$AA$655)</f>
        <v/>
      </c>
      <c r="K70" s="522"/>
      <c r="L70" s="522"/>
      <c r="M70" s="522"/>
      <c r="N70" s="273" t="str">
        <f>LOOKUP(C70,HM!$V$15:$V$655,HM!$AB$15:$AB$655)</f>
        <v/>
      </c>
      <c r="O70" s="273" t="str">
        <f>LOOKUP(C70,HM!$V$15:$V$655,HM!$AC$15:$AC$655)</f>
        <v/>
      </c>
      <c r="P70" s="273" t="str">
        <f>LOOKUP(C70,HM!$V$15:$V$655,HM!$AD$15:$AD$655)</f>
        <v/>
      </c>
    </row>
    <row r="71" spans="2:16" ht="9.75" customHeight="1" x14ac:dyDescent="0.2">
      <c r="B71" s="524"/>
      <c r="C71" s="522"/>
      <c r="D71" s="522"/>
      <c r="E71" s="523"/>
      <c r="F71" s="523"/>
      <c r="G71" s="523"/>
      <c r="H71" s="520" t="s">
        <v>173</v>
      </c>
      <c r="I71" s="520"/>
      <c r="J71" s="522" t="str">
        <f>LOOKUP(C70,HM!$V$15:$V$655,HM!$AE$15:$AE$655)</f>
        <v/>
      </c>
      <c r="K71" s="522"/>
      <c r="L71" s="522"/>
      <c r="M71" s="522"/>
      <c r="N71" s="273" t="str">
        <f>LOOKUP(C70,HM!$V$15:$V$655,HM!$AF$15:$AF$655)</f>
        <v/>
      </c>
      <c r="O71" s="273" t="str">
        <f>LOOKUP(C70,HM!$V$15:$V$655,HM!$AG$15:$AG$655)</f>
        <v/>
      </c>
      <c r="P71" s="273" t="str">
        <f>LOOKUP(C70,HM!$V$15:$V$655,HM!$AH$15:$AH$655)</f>
        <v/>
      </c>
    </row>
    <row r="72" spans="2:16" ht="9.75" customHeight="1" x14ac:dyDescent="0.2">
      <c r="B72" s="270" t="s">
        <v>14</v>
      </c>
      <c r="C72" s="270" t="s">
        <v>26</v>
      </c>
      <c r="D72" s="270" t="s">
        <v>175</v>
      </c>
      <c r="E72" s="523"/>
      <c r="F72" s="523"/>
      <c r="G72" s="523"/>
      <c r="H72" s="520" t="s">
        <v>176</v>
      </c>
      <c r="I72" s="520"/>
      <c r="J72" s="522" t="str">
        <f>LOOKUP(C70,HM!$V$15:$V$655,HM!$AI$15:$AI$655)</f>
        <v/>
      </c>
      <c r="K72" s="522"/>
      <c r="L72" s="522"/>
      <c r="M72" s="522"/>
      <c r="N72" s="273" t="str">
        <f>LOOKUP(C70,HM!$V$15:$V$655,HM!$AJ$15:$AJ$655)</f>
        <v/>
      </c>
      <c r="O72" s="273" t="str">
        <f>LOOKUP(C70,HM!$V$15:$V$655,HM!$AK$15:$AK$655)</f>
        <v/>
      </c>
      <c r="P72" s="273" t="str">
        <f>LOOKUP(C70,HM!$V$15:$V$655,HM!$AL$15:$AL$655)</f>
        <v/>
      </c>
    </row>
    <row r="73" spans="2:16" ht="9.75" customHeight="1" x14ac:dyDescent="0.2">
      <c r="B73" s="273" t="str">
        <f>LOOKUP(C70,HM!$V$15:$V$655,HM!$X$15:$X$655)</f>
        <v/>
      </c>
      <c r="C73" s="273" t="str">
        <f>LOOKUP(C70,HM!$V$15:$V$655,HM!$Y$15:$Y$655)</f>
        <v/>
      </c>
      <c r="D73" s="273" t="str">
        <f>LOOKUP(C70,HM!$V$15:$V$655,HM!$Z$15:$Z$655)</f>
        <v/>
      </c>
      <c r="E73" s="523"/>
      <c r="F73" s="523"/>
      <c r="G73" s="523"/>
      <c r="H73" s="520" t="s">
        <v>179</v>
      </c>
      <c r="I73" s="520"/>
      <c r="J73" s="522" t="str">
        <f>LOOKUP(C70,HM!$V$15:$V$655,HM!$AM$15:$AM$655)</f>
        <v/>
      </c>
      <c r="K73" s="522"/>
      <c r="L73" s="522"/>
      <c r="M73" s="522"/>
      <c r="N73" s="273" t="str">
        <f>LOOKUP(C70,HM!$V$15:$V$655,HM!$AN$15:$AN$655)</f>
        <v/>
      </c>
      <c r="O73" s="273" t="str">
        <f>LOOKUP(C70,HM!$V$15:$V$655,HM!$AO$15:$AO$655)</f>
        <v/>
      </c>
      <c r="P73" s="273" t="str">
        <f>LOOKUP(C70,HM!$V$15:$V$655,HM!$AP$15:$AP$655)</f>
        <v/>
      </c>
    </row>
    <row r="75" spans="2:16" ht="9.75" customHeight="1" x14ac:dyDescent="0.2">
      <c r="B75" s="270" t="s">
        <v>5194</v>
      </c>
      <c r="C75" s="520" t="s">
        <v>0</v>
      </c>
      <c r="D75" s="520"/>
      <c r="E75" s="521" t="s">
        <v>164</v>
      </c>
      <c r="F75" s="521"/>
      <c r="G75" s="521"/>
      <c r="H75" s="520" t="s">
        <v>165</v>
      </c>
      <c r="I75" s="520"/>
      <c r="J75" s="520" t="s">
        <v>164</v>
      </c>
      <c r="K75" s="520"/>
      <c r="L75" s="520"/>
      <c r="M75" s="520"/>
      <c r="N75" s="270" t="s">
        <v>27</v>
      </c>
      <c r="O75" s="270" t="s">
        <v>69</v>
      </c>
      <c r="P75" s="270" t="s">
        <v>166</v>
      </c>
    </row>
    <row r="76" spans="2:16" ht="9.75" customHeight="1" x14ac:dyDescent="0.2">
      <c r="B76" s="524"/>
      <c r="C76" s="522"/>
      <c r="D76" s="522"/>
      <c r="E76" s="523" t="str">
        <f>LOOKUP(C76,HM!$V$15:$V$655,HM!$W$15:$W$655)</f>
        <v/>
      </c>
      <c r="F76" s="523"/>
      <c r="G76" s="523"/>
      <c r="H76" s="520" t="s">
        <v>2</v>
      </c>
      <c r="I76" s="520"/>
      <c r="J76" s="522" t="str">
        <f>LOOKUP(C76,HM!$V$15:$V$655,HM!$AA$15:$AA$655)</f>
        <v/>
      </c>
      <c r="K76" s="522"/>
      <c r="L76" s="522"/>
      <c r="M76" s="522"/>
      <c r="N76" s="273" t="str">
        <f>LOOKUP(C76,HM!$V$15:$V$655,HM!$AB$15:$AB$655)</f>
        <v/>
      </c>
      <c r="O76" s="273" t="str">
        <f>LOOKUP(C76,HM!$V$15:$V$655,HM!$AC$15:$AC$655)</f>
        <v/>
      </c>
      <c r="P76" s="273" t="str">
        <f>LOOKUP(C76,HM!$V$15:$V$655,HM!$AD$15:$AD$655)</f>
        <v/>
      </c>
    </row>
    <row r="77" spans="2:16" ht="9.75" customHeight="1" x14ac:dyDescent="0.2">
      <c r="B77" s="524"/>
      <c r="C77" s="522"/>
      <c r="D77" s="522"/>
      <c r="E77" s="523"/>
      <c r="F77" s="523"/>
      <c r="G77" s="523"/>
      <c r="H77" s="520" t="s">
        <v>173</v>
      </c>
      <c r="I77" s="520"/>
      <c r="J77" s="522" t="str">
        <f>LOOKUP(C76,HM!$V$15:$V$655,HM!$AE$15:$AE$655)</f>
        <v/>
      </c>
      <c r="K77" s="522"/>
      <c r="L77" s="522"/>
      <c r="M77" s="522"/>
      <c r="N77" s="273" t="str">
        <f>LOOKUP(C76,HM!$V$15:$V$655,HM!$AF$15:$AF$655)</f>
        <v/>
      </c>
      <c r="O77" s="273" t="str">
        <f>LOOKUP(C76,HM!$V$15:$V$655,HM!$AG$15:$AG$655)</f>
        <v/>
      </c>
      <c r="P77" s="273" t="str">
        <f>LOOKUP(C76,HM!$V$15:$V$655,HM!$AH$15:$AH$655)</f>
        <v/>
      </c>
    </row>
    <row r="78" spans="2:16" ht="9.75" customHeight="1" x14ac:dyDescent="0.2">
      <c r="B78" s="270" t="s">
        <v>14</v>
      </c>
      <c r="C78" s="270" t="s">
        <v>26</v>
      </c>
      <c r="D78" s="270" t="s">
        <v>175</v>
      </c>
      <c r="E78" s="523"/>
      <c r="F78" s="523"/>
      <c r="G78" s="523"/>
      <c r="H78" s="520" t="s">
        <v>176</v>
      </c>
      <c r="I78" s="520"/>
      <c r="J78" s="522" t="str">
        <f>LOOKUP(C76,HM!$V$15:$V$655,HM!$AI$15:$AI$655)</f>
        <v/>
      </c>
      <c r="K78" s="522"/>
      <c r="L78" s="522"/>
      <c r="M78" s="522"/>
      <c r="N78" s="273" t="str">
        <f>LOOKUP(C76,HM!$V$15:$V$655,HM!$AJ$15:$AJ$655)</f>
        <v/>
      </c>
      <c r="O78" s="273" t="str">
        <f>LOOKUP(C76,HM!$V$15:$V$655,HM!$AK$15:$AK$655)</f>
        <v/>
      </c>
      <c r="P78" s="273" t="str">
        <f>LOOKUP(C76,HM!$V$15:$V$655,HM!$AL$15:$AL$655)</f>
        <v/>
      </c>
    </row>
    <row r="79" spans="2:16" ht="9.75" customHeight="1" x14ac:dyDescent="0.2">
      <c r="B79" s="273" t="str">
        <f>LOOKUP(C76,HM!$V$15:$V$655,HM!$X$15:$X$655)</f>
        <v/>
      </c>
      <c r="C79" s="273" t="str">
        <f>LOOKUP(C76,HM!$V$15:$V$655,HM!$Y$15:$Y$655)</f>
        <v/>
      </c>
      <c r="D79" s="273" t="str">
        <f>LOOKUP(C76,HM!$V$15:$V$655,HM!$Z$15:$Z$655)</f>
        <v/>
      </c>
      <c r="E79" s="523"/>
      <c r="F79" s="523"/>
      <c r="G79" s="523"/>
      <c r="H79" s="520" t="s">
        <v>179</v>
      </c>
      <c r="I79" s="520"/>
      <c r="J79" s="522" t="str">
        <f>LOOKUP(C76,HM!$V$15:$V$655,HM!$AM$15:$AM$655)</f>
        <v/>
      </c>
      <c r="K79" s="522"/>
      <c r="L79" s="522"/>
      <c r="M79" s="522"/>
      <c r="N79" s="273" t="str">
        <f>LOOKUP(C76,HM!$V$15:$V$655,HM!$AN$15:$AN$655)</f>
        <v/>
      </c>
      <c r="O79" s="273" t="str">
        <f>LOOKUP(C76,HM!$V$15:$V$655,HM!$AO$15:$AO$655)</f>
        <v/>
      </c>
      <c r="P79" s="273" t="str">
        <f>LOOKUP(C76,HM!$V$15:$V$655,HM!$AP$15:$AP$655)</f>
        <v/>
      </c>
    </row>
    <row r="81" spans="2:16" ht="9.75" customHeight="1" x14ac:dyDescent="0.2">
      <c r="B81" s="270" t="s">
        <v>5194</v>
      </c>
      <c r="C81" s="520" t="s">
        <v>0</v>
      </c>
      <c r="D81" s="520"/>
      <c r="E81" s="521" t="s">
        <v>164</v>
      </c>
      <c r="F81" s="521"/>
      <c r="G81" s="521"/>
      <c r="H81" s="520" t="s">
        <v>165</v>
      </c>
      <c r="I81" s="520"/>
      <c r="J81" s="520" t="s">
        <v>164</v>
      </c>
      <c r="K81" s="520"/>
      <c r="L81" s="520"/>
      <c r="M81" s="520"/>
      <c r="N81" s="270" t="s">
        <v>27</v>
      </c>
      <c r="O81" s="270" t="s">
        <v>69</v>
      </c>
      <c r="P81" s="270" t="s">
        <v>166</v>
      </c>
    </row>
    <row r="82" spans="2:16" ht="9.75" customHeight="1" x14ac:dyDescent="0.2">
      <c r="B82" s="524"/>
      <c r="C82" s="522"/>
      <c r="D82" s="522"/>
      <c r="E82" s="523" t="str">
        <f>LOOKUP(C82,HM!$V$15:$V$655,HM!$W$15:$W$655)</f>
        <v/>
      </c>
      <c r="F82" s="523"/>
      <c r="G82" s="523"/>
      <c r="H82" s="520" t="s">
        <v>2</v>
      </c>
      <c r="I82" s="520"/>
      <c r="J82" s="522" t="str">
        <f>LOOKUP(C82,HM!$V$15:$V$655,HM!$AA$15:$AA$655)</f>
        <v/>
      </c>
      <c r="K82" s="522"/>
      <c r="L82" s="522"/>
      <c r="M82" s="522"/>
      <c r="N82" s="273" t="str">
        <f>LOOKUP(C82,HM!$V$15:$V$655,HM!$AB$15:$AB$655)</f>
        <v/>
      </c>
      <c r="O82" s="273" t="str">
        <f>LOOKUP(C82,HM!$V$15:$V$655,HM!$AC$15:$AC$655)</f>
        <v/>
      </c>
      <c r="P82" s="273" t="str">
        <f>LOOKUP(C82,HM!$V$15:$V$655,HM!$AD$15:$AD$655)</f>
        <v/>
      </c>
    </row>
    <row r="83" spans="2:16" ht="9.75" customHeight="1" x14ac:dyDescent="0.2">
      <c r="B83" s="524"/>
      <c r="C83" s="522"/>
      <c r="D83" s="522"/>
      <c r="E83" s="523"/>
      <c r="F83" s="523"/>
      <c r="G83" s="523"/>
      <c r="H83" s="520" t="s">
        <v>173</v>
      </c>
      <c r="I83" s="520"/>
      <c r="J83" s="522" t="str">
        <f>LOOKUP(C82,HM!$V$15:$V$655,HM!$AE$15:$AE$655)</f>
        <v/>
      </c>
      <c r="K83" s="522"/>
      <c r="L83" s="522"/>
      <c r="M83" s="522"/>
      <c r="N83" s="273" t="str">
        <f>LOOKUP(C82,HM!$V$15:$V$655,HM!$AF$15:$AF$655)</f>
        <v/>
      </c>
      <c r="O83" s="273" t="str">
        <f>LOOKUP(C82,HM!$V$15:$V$655,HM!$AG$15:$AG$655)</f>
        <v/>
      </c>
      <c r="P83" s="273" t="str">
        <f>LOOKUP(C82,HM!$V$15:$V$655,HM!$AH$15:$AH$655)</f>
        <v/>
      </c>
    </row>
    <row r="84" spans="2:16" ht="9.75" customHeight="1" x14ac:dyDescent="0.2">
      <c r="B84" s="270" t="s">
        <v>14</v>
      </c>
      <c r="C84" s="270" t="s">
        <v>26</v>
      </c>
      <c r="D84" s="270" t="s">
        <v>175</v>
      </c>
      <c r="E84" s="523"/>
      <c r="F84" s="523"/>
      <c r="G84" s="523"/>
      <c r="H84" s="520" t="s">
        <v>176</v>
      </c>
      <c r="I84" s="520"/>
      <c r="J84" s="522" t="str">
        <f>LOOKUP(C82,HM!$V$15:$V$655,HM!$AI$15:$AI$655)</f>
        <v/>
      </c>
      <c r="K84" s="522"/>
      <c r="L84" s="522"/>
      <c r="M84" s="522"/>
      <c r="N84" s="273" t="str">
        <f>LOOKUP(C82,HM!$V$15:$V$655,HM!$AJ$15:$AJ$655)</f>
        <v/>
      </c>
      <c r="O84" s="273" t="str">
        <f>LOOKUP(C82,HM!$V$15:$V$655,HM!$AK$15:$AK$655)</f>
        <v/>
      </c>
      <c r="P84" s="273" t="str">
        <f>LOOKUP(C82,HM!$V$15:$V$655,HM!$AL$15:$AL$655)</f>
        <v/>
      </c>
    </row>
    <row r="85" spans="2:16" ht="9.75" customHeight="1" x14ac:dyDescent="0.2">
      <c r="B85" s="273" t="str">
        <f>LOOKUP(C82,HM!$V$15:$V$655,HM!$X$15:$X$655)</f>
        <v/>
      </c>
      <c r="C85" s="273" t="str">
        <f>LOOKUP(C82,HM!$V$15:$V$655,HM!$Y$15:$Y$655)</f>
        <v/>
      </c>
      <c r="D85" s="273" t="str">
        <f>LOOKUP(C82,HM!$V$15:$V$655,HM!$Z$15:$Z$655)</f>
        <v/>
      </c>
      <c r="E85" s="523"/>
      <c r="F85" s="523"/>
      <c r="G85" s="523"/>
      <c r="H85" s="520" t="s">
        <v>179</v>
      </c>
      <c r="I85" s="520"/>
      <c r="J85" s="522" t="str">
        <f>LOOKUP(C82,HM!$V$15:$V$655,HM!$AM$15:$AM$655)</f>
        <v/>
      </c>
      <c r="K85" s="522"/>
      <c r="L85" s="522"/>
      <c r="M85" s="522"/>
      <c r="N85" s="273" t="str">
        <f>LOOKUP(C82,HM!$V$15:$V$655,HM!$AN$15:$AN$655)</f>
        <v/>
      </c>
      <c r="O85" s="273" t="str">
        <f>LOOKUP(C82,HM!$V$15:$V$655,HM!$AO$15:$AO$655)</f>
        <v/>
      </c>
      <c r="P85" s="273" t="str">
        <f>LOOKUP(C82,HM!$V$15:$V$655,HM!$AP$15:$AP$655)</f>
        <v/>
      </c>
    </row>
    <row r="87" spans="2:16" ht="9.75" customHeight="1" x14ac:dyDescent="0.2">
      <c r="B87" s="270" t="s">
        <v>5194</v>
      </c>
      <c r="C87" s="520" t="s">
        <v>0</v>
      </c>
      <c r="D87" s="520"/>
      <c r="E87" s="521" t="s">
        <v>164</v>
      </c>
      <c r="F87" s="521"/>
      <c r="G87" s="521"/>
      <c r="H87" s="520" t="s">
        <v>165</v>
      </c>
      <c r="I87" s="520"/>
      <c r="J87" s="520" t="s">
        <v>164</v>
      </c>
      <c r="K87" s="520"/>
      <c r="L87" s="520"/>
      <c r="M87" s="520"/>
      <c r="N87" s="270" t="s">
        <v>27</v>
      </c>
      <c r="O87" s="270" t="s">
        <v>69</v>
      </c>
      <c r="P87" s="270" t="s">
        <v>166</v>
      </c>
    </row>
    <row r="88" spans="2:16" ht="9.75" customHeight="1" x14ac:dyDescent="0.2">
      <c r="B88" s="524"/>
      <c r="C88" s="522"/>
      <c r="D88" s="522"/>
      <c r="E88" s="523" t="str">
        <f>LOOKUP(C88,HM!$V$15:$V$655,HM!$W$15:$W$655)</f>
        <v/>
      </c>
      <c r="F88" s="523"/>
      <c r="G88" s="523"/>
      <c r="H88" s="520" t="s">
        <v>2</v>
      </c>
      <c r="I88" s="520"/>
      <c r="J88" s="522" t="str">
        <f>LOOKUP(C88,HM!$V$15:$V$655,HM!$AA$15:$AA$655)</f>
        <v/>
      </c>
      <c r="K88" s="522"/>
      <c r="L88" s="522"/>
      <c r="M88" s="522"/>
      <c r="N88" s="273" t="str">
        <f>LOOKUP(C88,HM!$V$15:$V$655,HM!$AB$15:$AB$655)</f>
        <v/>
      </c>
      <c r="O88" s="273" t="str">
        <f>LOOKUP(C88,HM!$V$15:$V$655,HM!$AC$15:$AC$655)</f>
        <v/>
      </c>
      <c r="P88" s="273" t="str">
        <f>LOOKUP(C88,HM!$V$15:$V$655,HM!$AD$15:$AD$655)</f>
        <v/>
      </c>
    </row>
    <row r="89" spans="2:16" ht="9.75" customHeight="1" x14ac:dyDescent="0.2">
      <c r="B89" s="524"/>
      <c r="C89" s="522"/>
      <c r="D89" s="522"/>
      <c r="E89" s="523"/>
      <c r="F89" s="523"/>
      <c r="G89" s="523"/>
      <c r="H89" s="520" t="s">
        <v>173</v>
      </c>
      <c r="I89" s="520"/>
      <c r="J89" s="522" t="str">
        <f>LOOKUP(C88,HM!$V$15:$V$655,HM!$AE$15:$AE$655)</f>
        <v/>
      </c>
      <c r="K89" s="522"/>
      <c r="L89" s="522"/>
      <c r="M89" s="522"/>
      <c r="N89" s="273" t="str">
        <f>LOOKUP(C88,HM!$V$15:$V$655,HM!$AF$15:$AF$655)</f>
        <v/>
      </c>
      <c r="O89" s="273" t="str">
        <f>LOOKUP(C88,HM!$V$15:$V$655,HM!$AG$15:$AG$655)</f>
        <v/>
      </c>
      <c r="P89" s="273" t="str">
        <f>LOOKUP(C88,HM!$V$15:$V$655,HM!$AH$15:$AH$655)</f>
        <v/>
      </c>
    </row>
    <row r="90" spans="2:16" ht="9.75" customHeight="1" x14ac:dyDescent="0.2">
      <c r="B90" s="270" t="s">
        <v>14</v>
      </c>
      <c r="C90" s="270" t="s">
        <v>26</v>
      </c>
      <c r="D90" s="270" t="s">
        <v>175</v>
      </c>
      <c r="E90" s="523"/>
      <c r="F90" s="523"/>
      <c r="G90" s="523"/>
      <c r="H90" s="520" t="s">
        <v>176</v>
      </c>
      <c r="I90" s="520"/>
      <c r="J90" s="522" t="str">
        <f>LOOKUP(C88,HM!$V$15:$V$655,HM!$AI$15:$AI$655)</f>
        <v/>
      </c>
      <c r="K90" s="522"/>
      <c r="L90" s="522"/>
      <c r="M90" s="522"/>
      <c r="N90" s="273" t="str">
        <f>LOOKUP(C88,HM!$V$15:$V$655,HM!$AJ$15:$AJ$655)</f>
        <v/>
      </c>
      <c r="O90" s="273" t="str">
        <f>LOOKUP(C88,HM!$V$15:$V$655,HM!$AK$15:$AK$655)</f>
        <v/>
      </c>
      <c r="P90" s="273" t="str">
        <f>LOOKUP(C88,HM!$V$15:$V$655,HM!$AL$15:$AL$655)</f>
        <v/>
      </c>
    </row>
    <row r="91" spans="2:16" ht="9.75" customHeight="1" x14ac:dyDescent="0.2">
      <c r="B91" s="273" t="str">
        <f>LOOKUP(C88,HM!$V$15:$V$655,HM!$X$15:$X$655)</f>
        <v/>
      </c>
      <c r="C91" s="273" t="str">
        <f>LOOKUP(C88,HM!$V$15:$V$655,HM!$Y$15:$Y$655)</f>
        <v/>
      </c>
      <c r="D91" s="273" t="str">
        <f>LOOKUP(C88,HM!$V$15:$V$655,HM!$Z$15:$Z$655)</f>
        <v/>
      </c>
      <c r="E91" s="523"/>
      <c r="F91" s="523"/>
      <c r="G91" s="523"/>
      <c r="H91" s="520" t="s">
        <v>179</v>
      </c>
      <c r="I91" s="520"/>
      <c r="J91" s="522" t="str">
        <f>LOOKUP(C88,HM!$V$15:$V$655,HM!$AM$15:$AM$655)</f>
        <v/>
      </c>
      <c r="K91" s="522"/>
      <c r="L91" s="522"/>
      <c r="M91" s="522"/>
      <c r="N91" s="273" t="str">
        <f>LOOKUP(C88,HM!$V$15:$V$655,HM!$AN$15:$AN$655)</f>
        <v/>
      </c>
      <c r="O91" s="273" t="str">
        <f>LOOKUP(C88,HM!$V$15:$V$655,HM!$AO$15:$AO$655)</f>
        <v/>
      </c>
      <c r="P91" s="273" t="str">
        <f>LOOKUP(C88,HM!$V$15:$V$655,HM!$AP$15:$AP$655)</f>
        <v/>
      </c>
    </row>
    <row r="93" spans="2:16" ht="9.75" customHeight="1" x14ac:dyDescent="0.2">
      <c r="B93" s="270" t="s">
        <v>5194</v>
      </c>
      <c r="C93" s="520" t="s">
        <v>0</v>
      </c>
      <c r="D93" s="520"/>
      <c r="E93" s="521" t="s">
        <v>164</v>
      </c>
      <c r="F93" s="521"/>
      <c r="G93" s="521"/>
      <c r="H93" s="520" t="s">
        <v>165</v>
      </c>
      <c r="I93" s="520"/>
      <c r="J93" s="520" t="s">
        <v>164</v>
      </c>
      <c r="K93" s="520"/>
      <c r="L93" s="520"/>
      <c r="M93" s="520"/>
      <c r="N93" s="270" t="s">
        <v>27</v>
      </c>
      <c r="O93" s="270" t="s">
        <v>69</v>
      </c>
      <c r="P93" s="270" t="s">
        <v>166</v>
      </c>
    </row>
    <row r="94" spans="2:16" ht="9.75" customHeight="1" x14ac:dyDescent="0.2">
      <c r="B94" s="524"/>
      <c r="C94" s="522"/>
      <c r="D94" s="522"/>
      <c r="E94" s="523" t="str">
        <f>LOOKUP(C94,HM!$V$15:$V$655,HM!$W$15:$W$655)</f>
        <v/>
      </c>
      <c r="F94" s="523"/>
      <c r="G94" s="523"/>
      <c r="H94" s="520" t="s">
        <v>2</v>
      </c>
      <c r="I94" s="520"/>
      <c r="J94" s="522" t="str">
        <f>LOOKUP(C94,HM!$V$15:$V$655,HM!$AA$15:$AA$655)</f>
        <v/>
      </c>
      <c r="K94" s="522"/>
      <c r="L94" s="522"/>
      <c r="M94" s="522"/>
      <c r="N94" s="273" t="str">
        <f>LOOKUP(C94,HM!$V$15:$V$655,HM!$AB$15:$AB$655)</f>
        <v/>
      </c>
      <c r="O94" s="273" t="str">
        <f>LOOKUP(C94,HM!$V$15:$V$655,HM!$AC$15:$AC$655)</f>
        <v/>
      </c>
      <c r="P94" s="273" t="str">
        <f>LOOKUP(C94,HM!$V$15:$V$655,HM!$AD$15:$AD$655)</f>
        <v/>
      </c>
    </row>
    <row r="95" spans="2:16" ht="9.75" customHeight="1" x14ac:dyDescent="0.2">
      <c r="B95" s="524"/>
      <c r="C95" s="522"/>
      <c r="D95" s="522"/>
      <c r="E95" s="523"/>
      <c r="F95" s="523"/>
      <c r="G95" s="523"/>
      <c r="H95" s="520" t="s">
        <v>173</v>
      </c>
      <c r="I95" s="520"/>
      <c r="J95" s="522" t="str">
        <f>LOOKUP(C94,HM!$V$15:$V$655,HM!$AE$15:$AE$655)</f>
        <v/>
      </c>
      <c r="K95" s="522"/>
      <c r="L95" s="522"/>
      <c r="M95" s="522"/>
      <c r="N95" s="273" t="str">
        <f>LOOKUP(C94,HM!$V$15:$V$655,HM!$AF$15:$AF$655)</f>
        <v/>
      </c>
      <c r="O95" s="273" t="str">
        <f>LOOKUP(C94,HM!$V$15:$V$655,HM!$AG$15:$AG$655)</f>
        <v/>
      </c>
      <c r="P95" s="273" t="str">
        <f>LOOKUP(C94,HM!$V$15:$V$655,HM!$AH$15:$AH$655)</f>
        <v/>
      </c>
    </row>
    <row r="96" spans="2:16" ht="9.75" customHeight="1" x14ac:dyDescent="0.2">
      <c r="B96" s="270" t="s">
        <v>14</v>
      </c>
      <c r="C96" s="270" t="s">
        <v>26</v>
      </c>
      <c r="D96" s="270" t="s">
        <v>175</v>
      </c>
      <c r="E96" s="523"/>
      <c r="F96" s="523"/>
      <c r="G96" s="523"/>
      <c r="H96" s="520" t="s">
        <v>176</v>
      </c>
      <c r="I96" s="520"/>
      <c r="J96" s="522" t="str">
        <f>LOOKUP(C94,HM!$V$15:$V$655,HM!$AI$15:$AI$655)</f>
        <v/>
      </c>
      <c r="K96" s="522"/>
      <c r="L96" s="522"/>
      <c r="M96" s="522"/>
      <c r="N96" s="273" t="str">
        <f>LOOKUP(C94,HM!$V$15:$V$655,HM!$AJ$15:$AJ$655)</f>
        <v/>
      </c>
      <c r="O96" s="273" t="str">
        <f>LOOKUP(C94,HM!$V$15:$V$655,HM!$AK$15:$AK$655)</f>
        <v/>
      </c>
      <c r="P96" s="273" t="str">
        <f>LOOKUP(C94,HM!$V$15:$V$655,HM!$AL$15:$AL$655)</f>
        <v/>
      </c>
    </row>
    <row r="97" spans="2:16" ht="9.75" customHeight="1" x14ac:dyDescent="0.2">
      <c r="B97" s="273" t="str">
        <f>LOOKUP(C94,HM!$V$15:$V$655,HM!$X$15:$X$655)</f>
        <v/>
      </c>
      <c r="C97" s="273" t="str">
        <f>LOOKUP(C94,HM!$V$15:$V$655,HM!$Y$15:$Y$655)</f>
        <v/>
      </c>
      <c r="D97" s="273" t="str">
        <f>LOOKUP(C94,HM!$V$15:$V$655,HM!$Z$15:$Z$655)</f>
        <v/>
      </c>
      <c r="E97" s="523"/>
      <c r="F97" s="523"/>
      <c r="G97" s="523"/>
      <c r="H97" s="520" t="s">
        <v>179</v>
      </c>
      <c r="I97" s="520"/>
      <c r="J97" s="522" t="str">
        <f>LOOKUP(C94,HM!$V$15:$V$655,HM!$AM$15:$AM$655)</f>
        <v/>
      </c>
      <c r="K97" s="522"/>
      <c r="L97" s="522"/>
      <c r="M97" s="522"/>
      <c r="N97" s="273" t="str">
        <f>LOOKUP(C94,HM!$V$15:$V$655,HM!$AN$15:$AN$655)</f>
        <v/>
      </c>
      <c r="O97" s="273" t="str">
        <f>LOOKUP(C94,HM!$V$15:$V$655,HM!$AO$15:$AO$655)</f>
        <v/>
      </c>
      <c r="P97" s="273" t="str">
        <f>LOOKUP(C94,HM!$V$15:$V$655,HM!$AP$15:$AP$655)</f>
        <v/>
      </c>
    </row>
    <row r="99" spans="2:16" ht="9.75" customHeight="1" x14ac:dyDescent="0.2">
      <c r="B99" s="270" t="s">
        <v>5194</v>
      </c>
      <c r="C99" s="520" t="s">
        <v>0</v>
      </c>
      <c r="D99" s="520"/>
      <c r="E99" s="521" t="s">
        <v>164</v>
      </c>
      <c r="F99" s="521"/>
      <c r="G99" s="521"/>
      <c r="H99" s="520" t="s">
        <v>165</v>
      </c>
      <c r="I99" s="520"/>
      <c r="J99" s="520" t="s">
        <v>164</v>
      </c>
      <c r="K99" s="520"/>
      <c r="L99" s="520"/>
      <c r="M99" s="520"/>
      <c r="N99" s="270" t="s">
        <v>27</v>
      </c>
      <c r="O99" s="270" t="s">
        <v>69</v>
      </c>
      <c r="P99" s="270" t="s">
        <v>166</v>
      </c>
    </row>
    <row r="100" spans="2:16" ht="9.75" customHeight="1" x14ac:dyDescent="0.2">
      <c r="B100" s="524"/>
      <c r="C100" s="522"/>
      <c r="D100" s="522"/>
      <c r="E100" s="523" t="str">
        <f>LOOKUP(C100,HM!$V$15:$V$655,HM!$W$15:$W$655)</f>
        <v/>
      </c>
      <c r="F100" s="523"/>
      <c r="G100" s="523"/>
      <c r="H100" s="520" t="s">
        <v>2</v>
      </c>
      <c r="I100" s="520"/>
      <c r="J100" s="522" t="str">
        <f>LOOKUP(C100,HM!$V$15:$V$655,HM!$AA$15:$AA$655)</f>
        <v/>
      </c>
      <c r="K100" s="522"/>
      <c r="L100" s="522"/>
      <c r="M100" s="522"/>
      <c r="N100" s="273" t="str">
        <f>LOOKUP(C100,HM!$V$15:$V$655,HM!$AB$15:$AB$655)</f>
        <v/>
      </c>
      <c r="O100" s="273" t="str">
        <f>LOOKUP(C100,HM!$V$15:$V$655,HM!$AC$15:$AC$655)</f>
        <v/>
      </c>
      <c r="P100" s="273" t="str">
        <f>LOOKUP(C100,HM!$V$15:$V$655,HM!$AD$15:$AD$655)</f>
        <v/>
      </c>
    </row>
    <row r="101" spans="2:16" ht="9.75" customHeight="1" x14ac:dyDescent="0.2">
      <c r="B101" s="524"/>
      <c r="C101" s="522"/>
      <c r="D101" s="522"/>
      <c r="E101" s="523"/>
      <c r="F101" s="523"/>
      <c r="G101" s="523"/>
      <c r="H101" s="520" t="s">
        <v>173</v>
      </c>
      <c r="I101" s="520"/>
      <c r="J101" s="522" t="str">
        <f>LOOKUP(C100,HM!$V$15:$V$655,HM!$AE$15:$AE$655)</f>
        <v/>
      </c>
      <c r="K101" s="522"/>
      <c r="L101" s="522"/>
      <c r="M101" s="522"/>
      <c r="N101" s="273" t="str">
        <f>LOOKUP(C100,HM!$V$15:$V$655,HM!$AF$15:$AF$655)</f>
        <v/>
      </c>
      <c r="O101" s="273" t="str">
        <f>LOOKUP(C100,HM!$V$15:$V$655,HM!$AG$15:$AG$655)</f>
        <v/>
      </c>
      <c r="P101" s="273" t="str">
        <f>LOOKUP(C100,HM!$V$15:$V$655,HM!$AH$15:$AH$655)</f>
        <v/>
      </c>
    </row>
    <row r="102" spans="2:16" ht="9.75" customHeight="1" x14ac:dyDescent="0.2">
      <c r="B102" s="270" t="s">
        <v>14</v>
      </c>
      <c r="C102" s="270" t="s">
        <v>26</v>
      </c>
      <c r="D102" s="270" t="s">
        <v>175</v>
      </c>
      <c r="E102" s="523"/>
      <c r="F102" s="523"/>
      <c r="G102" s="523"/>
      <c r="H102" s="520" t="s">
        <v>176</v>
      </c>
      <c r="I102" s="520"/>
      <c r="J102" s="522" t="str">
        <f>LOOKUP(C100,HM!$V$15:$V$655,HM!$AI$15:$AI$655)</f>
        <v/>
      </c>
      <c r="K102" s="522"/>
      <c r="L102" s="522"/>
      <c r="M102" s="522"/>
      <c r="N102" s="273" t="str">
        <f>LOOKUP(C100,HM!$V$15:$V$655,HM!$AJ$15:$AJ$655)</f>
        <v/>
      </c>
      <c r="O102" s="273" t="str">
        <f>LOOKUP(C100,HM!$V$15:$V$655,HM!$AK$15:$AK$655)</f>
        <v/>
      </c>
      <c r="P102" s="273" t="str">
        <f>LOOKUP(C100,HM!$V$15:$V$655,HM!$AL$15:$AL$655)</f>
        <v/>
      </c>
    </row>
    <row r="103" spans="2:16" ht="9.75" customHeight="1" x14ac:dyDescent="0.2">
      <c r="B103" s="273" t="str">
        <f>LOOKUP(C100,HM!$V$15:$V$655,HM!$X$15:$X$655)</f>
        <v/>
      </c>
      <c r="C103" s="273" t="str">
        <f>LOOKUP(C100,HM!$V$15:$V$655,HM!$Y$15:$Y$655)</f>
        <v/>
      </c>
      <c r="D103" s="273" t="str">
        <f>LOOKUP(C100,HM!$V$15:$V$655,HM!$Z$15:$Z$655)</f>
        <v/>
      </c>
      <c r="E103" s="523"/>
      <c r="F103" s="523"/>
      <c r="G103" s="523"/>
      <c r="H103" s="520" t="s">
        <v>179</v>
      </c>
      <c r="I103" s="520"/>
      <c r="J103" s="522" t="str">
        <f>LOOKUP(C100,HM!$V$15:$V$655,HM!$AM$15:$AM$655)</f>
        <v/>
      </c>
      <c r="K103" s="522"/>
      <c r="L103" s="522"/>
      <c r="M103" s="522"/>
      <c r="N103" s="273" t="str">
        <f>LOOKUP(C100,HM!$V$15:$V$655,HM!$AN$15:$AN$655)</f>
        <v/>
      </c>
      <c r="O103" s="273" t="str">
        <f>LOOKUP(C100,HM!$V$15:$V$655,HM!$AO$15:$AO$655)</f>
        <v/>
      </c>
      <c r="P103" s="273" t="str">
        <f>LOOKUP(C100,HM!$V$15:$V$655,HM!$AP$15:$AP$655)</f>
        <v/>
      </c>
    </row>
    <row r="105" spans="2:16" ht="9.75" customHeight="1" x14ac:dyDescent="0.2">
      <c r="B105" s="270" t="s">
        <v>5194</v>
      </c>
      <c r="C105" s="520" t="s">
        <v>0</v>
      </c>
      <c r="D105" s="520"/>
      <c r="E105" s="521" t="s">
        <v>164</v>
      </c>
      <c r="F105" s="521"/>
      <c r="G105" s="521"/>
      <c r="H105" s="520" t="s">
        <v>165</v>
      </c>
      <c r="I105" s="520"/>
      <c r="J105" s="520" t="s">
        <v>164</v>
      </c>
      <c r="K105" s="520"/>
      <c r="L105" s="520"/>
      <c r="M105" s="520"/>
      <c r="N105" s="270" t="s">
        <v>27</v>
      </c>
      <c r="O105" s="270" t="s">
        <v>69</v>
      </c>
      <c r="P105" s="270" t="s">
        <v>166</v>
      </c>
    </row>
    <row r="106" spans="2:16" ht="9.75" customHeight="1" x14ac:dyDescent="0.2">
      <c r="B106" s="524"/>
      <c r="C106" s="522"/>
      <c r="D106" s="522"/>
      <c r="E106" s="523" t="str">
        <f>LOOKUP(C106,HM!$V$15:$V$655,HM!$W$15:$W$655)</f>
        <v/>
      </c>
      <c r="F106" s="523"/>
      <c r="G106" s="523"/>
      <c r="H106" s="520" t="s">
        <v>2</v>
      </c>
      <c r="I106" s="520"/>
      <c r="J106" s="522" t="str">
        <f>LOOKUP(C106,HM!$V$15:$V$655,HM!$AA$15:$AA$655)</f>
        <v/>
      </c>
      <c r="K106" s="522"/>
      <c r="L106" s="522"/>
      <c r="M106" s="522"/>
      <c r="N106" s="273" t="str">
        <f>LOOKUP(C106,HM!$V$15:$V$655,HM!$AB$15:$AB$655)</f>
        <v/>
      </c>
      <c r="O106" s="273" t="str">
        <f>LOOKUP(C106,HM!$V$15:$V$655,HM!$AC$15:$AC$655)</f>
        <v/>
      </c>
      <c r="P106" s="273" t="str">
        <f>LOOKUP(C106,HM!$V$15:$V$655,HM!$AD$15:$AD$655)</f>
        <v/>
      </c>
    </row>
    <row r="107" spans="2:16" ht="9.75" customHeight="1" x14ac:dyDescent="0.2">
      <c r="B107" s="524"/>
      <c r="C107" s="522"/>
      <c r="D107" s="522"/>
      <c r="E107" s="523"/>
      <c r="F107" s="523"/>
      <c r="G107" s="523"/>
      <c r="H107" s="520" t="s">
        <v>173</v>
      </c>
      <c r="I107" s="520"/>
      <c r="J107" s="522" t="str">
        <f>LOOKUP(C106,HM!$V$15:$V$655,HM!$AE$15:$AE$655)</f>
        <v/>
      </c>
      <c r="K107" s="522"/>
      <c r="L107" s="522"/>
      <c r="M107" s="522"/>
      <c r="N107" s="273" t="str">
        <f>LOOKUP(C106,HM!$V$15:$V$655,HM!$AF$15:$AF$655)</f>
        <v/>
      </c>
      <c r="O107" s="273" t="str">
        <f>LOOKUP(C106,HM!$V$15:$V$655,HM!$AG$15:$AG$655)</f>
        <v/>
      </c>
      <c r="P107" s="273" t="str">
        <f>LOOKUP(C106,HM!$V$15:$V$655,HM!$AH$15:$AH$655)</f>
        <v/>
      </c>
    </row>
    <row r="108" spans="2:16" ht="9.75" customHeight="1" x14ac:dyDescent="0.2">
      <c r="B108" s="270" t="s">
        <v>14</v>
      </c>
      <c r="C108" s="270" t="s">
        <v>26</v>
      </c>
      <c r="D108" s="270" t="s">
        <v>175</v>
      </c>
      <c r="E108" s="523"/>
      <c r="F108" s="523"/>
      <c r="G108" s="523"/>
      <c r="H108" s="520" t="s">
        <v>176</v>
      </c>
      <c r="I108" s="520"/>
      <c r="J108" s="522" t="str">
        <f>LOOKUP(C106,HM!$V$15:$V$655,HM!$AI$15:$AI$655)</f>
        <v/>
      </c>
      <c r="K108" s="522"/>
      <c r="L108" s="522"/>
      <c r="M108" s="522"/>
      <c r="N108" s="273" t="str">
        <f>LOOKUP(C106,HM!$V$15:$V$655,HM!$AJ$15:$AJ$655)</f>
        <v/>
      </c>
      <c r="O108" s="273" t="str">
        <f>LOOKUP(C106,HM!$V$15:$V$655,HM!$AK$15:$AK$655)</f>
        <v/>
      </c>
      <c r="P108" s="273" t="str">
        <f>LOOKUP(C106,HM!$V$15:$V$655,HM!$AL$15:$AL$655)</f>
        <v/>
      </c>
    </row>
    <row r="109" spans="2:16" ht="9.75" customHeight="1" x14ac:dyDescent="0.2">
      <c r="B109" s="273" t="str">
        <f>LOOKUP(C106,HM!$V$15:$V$655,HM!$X$15:$X$655)</f>
        <v/>
      </c>
      <c r="C109" s="273" t="str">
        <f>LOOKUP(C106,HM!$V$15:$V$655,HM!$Y$15:$Y$655)</f>
        <v/>
      </c>
      <c r="D109" s="273" t="str">
        <f>LOOKUP(C106,HM!$V$15:$V$655,HM!$Z$15:$Z$655)</f>
        <v/>
      </c>
      <c r="E109" s="523"/>
      <c r="F109" s="523"/>
      <c r="G109" s="523"/>
      <c r="H109" s="520" t="s">
        <v>179</v>
      </c>
      <c r="I109" s="520"/>
      <c r="J109" s="522" t="str">
        <f>LOOKUP(C106,HM!$V$15:$V$655,HM!$AM$15:$AM$655)</f>
        <v/>
      </c>
      <c r="K109" s="522"/>
      <c r="L109" s="522"/>
      <c r="M109" s="522"/>
      <c r="N109" s="273" t="str">
        <f>LOOKUP(C106,HM!$V$15:$V$655,HM!$AN$15:$AN$655)</f>
        <v/>
      </c>
      <c r="O109" s="273" t="str">
        <f>LOOKUP(C106,HM!$V$15:$V$655,HM!$AO$15:$AO$655)</f>
        <v/>
      </c>
      <c r="P109" s="273" t="str">
        <f>LOOKUP(C106,HM!$V$15:$V$655,HM!$AP$15:$AP$655)</f>
        <v/>
      </c>
    </row>
    <row r="111" spans="2:16" ht="9.75" customHeight="1" x14ac:dyDescent="0.2">
      <c r="B111" s="270" t="s">
        <v>5194</v>
      </c>
      <c r="C111" s="520" t="s">
        <v>0</v>
      </c>
      <c r="D111" s="520"/>
      <c r="E111" s="521" t="s">
        <v>164</v>
      </c>
      <c r="F111" s="521"/>
      <c r="G111" s="521"/>
      <c r="H111" s="520" t="s">
        <v>165</v>
      </c>
      <c r="I111" s="520"/>
      <c r="J111" s="520" t="s">
        <v>164</v>
      </c>
      <c r="K111" s="520"/>
      <c r="L111" s="520"/>
      <c r="M111" s="520"/>
      <c r="N111" s="270" t="s">
        <v>27</v>
      </c>
      <c r="O111" s="270" t="s">
        <v>69</v>
      </c>
      <c r="P111" s="270" t="s">
        <v>166</v>
      </c>
    </row>
    <row r="112" spans="2:16" ht="9.75" customHeight="1" x14ac:dyDescent="0.2">
      <c r="B112" s="524"/>
      <c r="C112" s="522"/>
      <c r="D112" s="522"/>
      <c r="E112" s="523" t="str">
        <f>LOOKUP(C112,HM!$V$15:$V$655,HM!$W$15:$W$655)</f>
        <v/>
      </c>
      <c r="F112" s="523"/>
      <c r="G112" s="523"/>
      <c r="H112" s="520" t="s">
        <v>2</v>
      </c>
      <c r="I112" s="520"/>
      <c r="J112" s="522" t="str">
        <f>LOOKUP(C112,HM!$V$15:$V$655,HM!$AA$15:$AA$655)</f>
        <v/>
      </c>
      <c r="K112" s="522"/>
      <c r="L112" s="522"/>
      <c r="M112" s="522"/>
      <c r="N112" s="273" t="str">
        <f>LOOKUP(C112,HM!$V$15:$V$655,HM!$AB$15:$AB$655)</f>
        <v/>
      </c>
      <c r="O112" s="273" t="str">
        <f>LOOKUP(C112,HM!$V$15:$V$655,HM!$AC$15:$AC$655)</f>
        <v/>
      </c>
      <c r="P112" s="273" t="str">
        <f>LOOKUP(C112,HM!$V$15:$V$655,HM!$AD$15:$AD$655)</f>
        <v/>
      </c>
    </row>
    <row r="113" spans="2:16" ht="9.75" customHeight="1" x14ac:dyDescent="0.2">
      <c r="B113" s="524"/>
      <c r="C113" s="522"/>
      <c r="D113" s="522"/>
      <c r="E113" s="523"/>
      <c r="F113" s="523"/>
      <c r="G113" s="523"/>
      <c r="H113" s="520" t="s">
        <v>173</v>
      </c>
      <c r="I113" s="520"/>
      <c r="J113" s="522" t="str">
        <f>LOOKUP(C112,HM!$V$15:$V$655,HM!$AE$15:$AE$655)</f>
        <v/>
      </c>
      <c r="K113" s="522"/>
      <c r="L113" s="522"/>
      <c r="M113" s="522"/>
      <c r="N113" s="273" t="str">
        <f>LOOKUP(C112,HM!$V$15:$V$655,HM!$AF$15:$AF$655)</f>
        <v/>
      </c>
      <c r="O113" s="273" t="str">
        <f>LOOKUP(C112,HM!$V$15:$V$655,HM!$AG$15:$AG$655)</f>
        <v/>
      </c>
      <c r="P113" s="273" t="str">
        <f>LOOKUP(C112,HM!$V$15:$V$655,HM!$AH$15:$AH$655)</f>
        <v/>
      </c>
    </row>
    <row r="114" spans="2:16" ht="9.75" customHeight="1" x14ac:dyDescent="0.2">
      <c r="B114" s="270" t="s">
        <v>14</v>
      </c>
      <c r="C114" s="270" t="s">
        <v>26</v>
      </c>
      <c r="D114" s="270" t="s">
        <v>175</v>
      </c>
      <c r="E114" s="523"/>
      <c r="F114" s="523"/>
      <c r="G114" s="523"/>
      <c r="H114" s="520" t="s">
        <v>176</v>
      </c>
      <c r="I114" s="520"/>
      <c r="J114" s="522" t="str">
        <f>LOOKUP(C112,HM!$V$15:$V$655,HM!$AI$15:$AI$655)</f>
        <v/>
      </c>
      <c r="K114" s="522"/>
      <c r="L114" s="522"/>
      <c r="M114" s="522"/>
      <c r="N114" s="273" t="str">
        <f>LOOKUP(C112,HM!$V$15:$V$655,HM!$AJ$15:$AJ$655)</f>
        <v/>
      </c>
      <c r="O114" s="273" t="str">
        <f>LOOKUP(C112,HM!$V$15:$V$655,HM!$AK$15:$AK$655)</f>
        <v/>
      </c>
      <c r="P114" s="273" t="str">
        <f>LOOKUP(C112,HM!$V$15:$V$655,HM!$AL$15:$AL$655)</f>
        <v/>
      </c>
    </row>
    <row r="115" spans="2:16" ht="9.75" customHeight="1" x14ac:dyDescent="0.2">
      <c r="B115" s="273" t="str">
        <f>LOOKUP(C112,HM!$V$15:$V$655,HM!$X$15:$X$655)</f>
        <v/>
      </c>
      <c r="C115" s="273" t="str">
        <f>LOOKUP(C112,HM!$V$15:$V$655,HM!$Y$15:$Y$655)</f>
        <v/>
      </c>
      <c r="D115" s="273" t="str">
        <f>LOOKUP(C112,HM!$V$15:$V$655,HM!$Z$15:$Z$655)</f>
        <v/>
      </c>
      <c r="E115" s="523"/>
      <c r="F115" s="523"/>
      <c r="G115" s="523"/>
      <c r="H115" s="520" t="s">
        <v>179</v>
      </c>
      <c r="I115" s="520"/>
      <c r="J115" s="522" t="str">
        <f>LOOKUP(C112,HM!$V$15:$V$655,HM!$AM$15:$AM$655)</f>
        <v/>
      </c>
      <c r="K115" s="522"/>
      <c r="L115" s="522"/>
      <c r="M115" s="522"/>
      <c r="N115" s="273" t="str">
        <f>LOOKUP(C112,HM!$V$15:$V$655,HM!$AN$15:$AN$655)</f>
        <v/>
      </c>
      <c r="O115" s="273" t="str">
        <f>LOOKUP(C112,HM!$V$15:$V$655,HM!$AO$15:$AO$655)</f>
        <v/>
      </c>
      <c r="P115" s="273" t="str">
        <f>LOOKUP(C112,HM!$V$15:$V$655,HM!$AP$15:$AP$655)</f>
        <v/>
      </c>
    </row>
    <row r="117" spans="2:16" ht="9.75" customHeight="1" x14ac:dyDescent="0.2">
      <c r="B117" s="270" t="s">
        <v>5194</v>
      </c>
      <c r="C117" s="520" t="s">
        <v>0</v>
      </c>
      <c r="D117" s="520"/>
      <c r="E117" s="521" t="s">
        <v>164</v>
      </c>
      <c r="F117" s="521"/>
      <c r="G117" s="521"/>
      <c r="H117" s="520" t="s">
        <v>165</v>
      </c>
      <c r="I117" s="520"/>
      <c r="J117" s="520" t="s">
        <v>164</v>
      </c>
      <c r="K117" s="520"/>
      <c r="L117" s="520"/>
      <c r="M117" s="520"/>
      <c r="N117" s="270" t="s">
        <v>27</v>
      </c>
      <c r="O117" s="270" t="s">
        <v>69</v>
      </c>
      <c r="P117" s="270" t="s">
        <v>166</v>
      </c>
    </row>
    <row r="118" spans="2:16" ht="9.75" customHeight="1" x14ac:dyDescent="0.2">
      <c r="B118" s="524"/>
      <c r="C118" s="522"/>
      <c r="D118" s="522"/>
      <c r="E118" s="523" t="str">
        <f>LOOKUP(C118,HM!$V$15:$V$655,HM!$W$15:$W$655)</f>
        <v/>
      </c>
      <c r="F118" s="523"/>
      <c r="G118" s="523"/>
      <c r="H118" s="520" t="s">
        <v>2</v>
      </c>
      <c r="I118" s="520"/>
      <c r="J118" s="522" t="str">
        <f>LOOKUP(C118,HM!$V$15:$V$655,HM!$AA$15:$AA$655)</f>
        <v/>
      </c>
      <c r="K118" s="522"/>
      <c r="L118" s="522"/>
      <c r="M118" s="522"/>
      <c r="N118" s="273" t="str">
        <f>LOOKUP(C118,HM!$V$15:$V$655,HM!$AB$15:$AB$655)</f>
        <v/>
      </c>
      <c r="O118" s="273" t="str">
        <f>LOOKUP(C118,HM!$V$15:$V$655,HM!$AC$15:$AC$655)</f>
        <v/>
      </c>
      <c r="P118" s="273" t="str">
        <f>LOOKUP(C118,HM!$V$15:$V$655,HM!$AD$15:$AD$655)</f>
        <v/>
      </c>
    </row>
    <row r="119" spans="2:16" ht="9.75" customHeight="1" x14ac:dyDescent="0.2">
      <c r="B119" s="524"/>
      <c r="C119" s="522"/>
      <c r="D119" s="522"/>
      <c r="E119" s="523"/>
      <c r="F119" s="523"/>
      <c r="G119" s="523"/>
      <c r="H119" s="520" t="s">
        <v>173</v>
      </c>
      <c r="I119" s="520"/>
      <c r="J119" s="522" t="str">
        <f>LOOKUP(C118,HM!$V$15:$V$655,HM!$AE$15:$AE$655)</f>
        <v/>
      </c>
      <c r="K119" s="522"/>
      <c r="L119" s="522"/>
      <c r="M119" s="522"/>
      <c r="N119" s="273" t="str">
        <f>LOOKUP(C118,HM!$V$15:$V$655,HM!$AF$15:$AF$655)</f>
        <v/>
      </c>
      <c r="O119" s="273" t="str">
        <f>LOOKUP(C118,HM!$V$15:$V$655,HM!$AG$15:$AG$655)</f>
        <v/>
      </c>
      <c r="P119" s="273" t="str">
        <f>LOOKUP(C118,HM!$V$15:$V$655,HM!$AH$15:$AH$655)</f>
        <v/>
      </c>
    </row>
    <row r="120" spans="2:16" ht="9.75" customHeight="1" x14ac:dyDescent="0.2">
      <c r="B120" s="270" t="s">
        <v>14</v>
      </c>
      <c r="C120" s="270" t="s">
        <v>26</v>
      </c>
      <c r="D120" s="270" t="s">
        <v>175</v>
      </c>
      <c r="E120" s="523"/>
      <c r="F120" s="523"/>
      <c r="G120" s="523"/>
      <c r="H120" s="520" t="s">
        <v>176</v>
      </c>
      <c r="I120" s="520"/>
      <c r="J120" s="522" t="str">
        <f>LOOKUP(C118,HM!$V$15:$V$655,HM!$AI$15:$AI$655)</f>
        <v/>
      </c>
      <c r="K120" s="522"/>
      <c r="L120" s="522"/>
      <c r="M120" s="522"/>
      <c r="N120" s="273" t="str">
        <f>LOOKUP(C118,HM!$V$15:$V$655,HM!$AJ$15:$AJ$655)</f>
        <v/>
      </c>
      <c r="O120" s="273" t="str">
        <f>LOOKUP(C118,HM!$V$15:$V$655,HM!$AK$15:$AK$655)</f>
        <v/>
      </c>
      <c r="P120" s="273" t="str">
        <f>LOOKUP(C118,HM!$V$15:$V$655,HM!$AL$15:$AL$655)</f>
        <v/>
      </c>
    </row>
    <row r="121" spans="2:16" ht="9.75" customHeight="1" x14ac:dyDescent="0.2">
      <c r="B121" s="273" t="str">
        <f>LOOKUP(C118,HM!$V$15:$V$655,HM!$X$15:$X$655)</f>
        <v/>
      </c>
      <c r="C121" s="273" t="str">
        <f>LOOKUP(C118,HM!$V$15:$V$655,HM!$Y$15:$Y$655)</f>
        <v/>
      </c>
      <c r="D121" s="273" t="str">
        <f>LOOKUP(C118,HM!$V$15:$V$655,HM!$Z$15:$Z$655)</f>
        <v/>
      </c>
      <c r="E121" s="523"/>
      <c r="F121" s="523"/>
      <c r="G121" s="523"/>
      <c r="H121" s="520" t="s">
        <v>179</v>
      </c>
      <c r="I121" s="520"/>
      <c r="J121" s="522" t="str">
        <f>LOOKUP(C118,HM!$V$15:$V$655,HM!$AM$15:$AM$655)</f>
        <v/>
      </c>
      <c r="K121" s="522"/>
      <c r="L121" s="522"/>
      <c r="M121" s="522"/>
      <c r="N121" s="273" t="str">
        <f>LOOKUP(C118,HM!$V$15:$V$655,HM!$AN$15:$AN$655)</f>
        <v/>
      </c>
      <c r="O121" s="273" t="str">
        <f>LOOKUP(C118,HM!$V$15:$V$655,HM!$AO$15:$AO$655)</f>
        <v/>
      </c>
      <c r="P121" s="273" t="str">
        <f>LOOKUP(C118,HM!$V$15:$V$655,HM!$AP$15:$AP$655)</f>
        <v/>
      </c>
    </row>
    <row r="123" spans="2:16" ht="9.75" customHeight="1" x14ac:dyDescent="0.2">
      <c r="B123" s="270" t="s">
        <v>5194</v>
      </c>
      <c r="C123" s="520" t="s">
        <v>0</v>
      </c>
      <c r="D123" s="520"/>
      <c r="E123" s="521" t="s">
        <v>164</v>
      </c>
      <c r="F123" s="521"/>
      <c r="G123" s="521"/>
      <c r="H123" s="520" t="s">
        <v>165</v>
      </c>
      <c r="I123" s="520"/>
      <c r="J123" s="520" t="s">
        <v>164</v>
      </c>
      <c r="K123" s="520"/>
      <c r="L123" s="520"/>
      <c r="M123" s="520"/>
      <c r="N123" s="270" t="s">
        <v>27</v>
      </c>
      <c r="O123" s="270" t="s">
        <v>69</v>
      </c>
      <c r="P123" s="270" t="s">
        <v>166</v>
      </c>
    </row>
    <row r="124" spans="2:16" ht="9.75" customHeight="1" x14ac:dyDescent="0.2">
      <c r="B124" s="524"/>
      <c r="C124" s="522"/>
      <c r="D124" s="522"/>
      <c r="E124" s="523" t="str">
        <f>LOOKUP(C124,HM!$V$15:$V$655,HM!$W$15:$W$655)</f>
        <v/>
      </c>
      <c r="F124" s="523"/>
      <c r="G124" s="523"/>
      <c r="H124" s="520" t="s">
        <v>2</v>
      </c>
      <c r="I124" s="520"/>
      <c r="J124" s="522" t="str">
        <f>LOOKUP(C124,HM!$V$15:$V$655,HM!$AA$15:$AA$655)</f>
        <v/>
      </c>
      <c r="K124" s="522"/>
      <c r="L124" s="522"/>
      <c r="M124" s="522"/>
      <c r="N124" s="273" t="str">
        <f>LOOKUP(C124,HM!$V$15:$V$655,HM!$AB$15:$AB$655)</f>
        <v/>
      </c>
      <c r="O124" s="273" t="str">
        <f>LOOKUP(C124,HM!$V$15:$V$655,HM!$AC$15:$AC$655)</f>
        <v/>
      </c>
      <c r="P124" s="273" t="str">
        <f>LOOKUP(C124,HM!$V$15:$V$655,HM!$AD$15:$AD$655)</f>
        <v/>
      </c>
    </row>
    <row r="125" spans="2:16" ht="9.75" customHeight="1" x14ac:dyDescent="0.2">
      <c r="B125" s="524"/>
      <c r="C125" s="522"/>
      <c r="D125" s="522"/>
      <c r="E125" s="523"/>
      <c r="F125" s="523"/>
      <c r="G125" s="523"/>
      <c r="H125" s="520" t="s">
        <v>173</v>
      </c>
      <c r="I125" s="520"/>
      <c r="J125" s="522" t="str">
        <f>LOOKUP(C124,HM!$V$15:$V$655,HM!$AE$15:$AE$655)</f>
        <v/>
      </c>
      <c r="K125" s="522"/>
      <c r="L125" s="522"/>
      <c r="M125" s="522"/>
      <c r="N125" s="273" t="str">
        <f>LOOKUP(C124,HM!$V$15:$V$655,HM!$AF$15:$AF$655)</f>
        <v/>
      </c>
      <c r="O125" s="273" t="str">
        <f>LOOKUP(C124,HM!$V$15:$V$655,HM!$AG$15:$AG$655)</f>
        <v/>
      </c>
      <c r="P125" s="273" t="str">
        <f>LOOKUP(C124,HM!$V$15:$V$655,HM!$AH$15:$AH$655)</f>
        <v/>
      </c>
    </row>
    <row r="126" spans="2:16" ht="9.75" customHeight="1" x14ac:dyDescent="0.2">
      <c r="B126" s="270" t="s">
        <v>14</v>
      </c>
      <c r="C126" s="270" t="s">
        <v>26</v>
      </c>
      <c r="D126" s="270" t="s">
        <v>175</v>
      </c>
      <c r="E126" s="523"/>
      <c r="F126" s="523"/>
      <c r="G126" s="523"/>
      <c r="H126" s="520" t="s">
        <v>176</v>
      </c>
      <c r="I126" s="520"/>
      <c r="J126" s="522" t="str">
        <f>LOOKUP(C124,HM!$V$15:$V$655,HM!$AI$15:$AI$655)</f>
        <v/>
      </c>
      <c r="K126" s="522"/>
      <c r="L126" s="522"/>
      <c r="M126" s="522"/>
      <c r="N126" s="273" t="str">
        <f>LOOKUP(C124,HM!$V$15:$V$655,HM!$AJ$15:$AJ$655)</f>
        <v/>
      </c>
      <c r="O126" s="273" t="str">
        <f>LOOKUP(C124,HM!$V$15:$V$655,HM!$AK$15:$AK$655)</f>
        <v/>
      </c>
      <c r="P126" s="273" t="str">
        <f>LOOKUP(C124,HM!$V$15:$V$655,HM!$AL$15:$AL$655)</f>
        <v/>
      </c>
    </row>
    <row r="127" spans="2:16" ht="9.75" customHeight="1" x14ac:dyDescent="0.2">
      <c r="B127" s="273" t="str">
        <f>LOOKUP(C124,HM!$V$15:$V$655,HM!$X$15:$X$655)</f>
        <v/>
      </c>
      <c r="C127" s="273" t="str">
        <f>LOOKUP(C124,HM!$V$15:$V$655,HM!$Y$15:$Y$655)</f>
        <v/>
      </c>
      <c r="D127" s="273" t="str">
        <f>LOOKUP(C124,HM!$V$15:$V$655,HM!$Z$15:$Z$655)</f>
        <v/>
      </c>
      <c r="E127" s="523"/>
      <c r="F127" s="523"/>
      <c r="G127" s="523"/>
      <c r="H127" s="520" t="s">
        <v>179</v>
      </c>
      <c r="I127" s="520"/>
      <c r="J127" s="522" t="str">
        <f>LOOKUP(C124,HM!$V$15:$V$655,HM!$AM$15:$AM$655)</f>
        <v/>
      </c>
      <c r="K127" s="522"/>
      <c r="L127" s="522"/>
      <c r="M127" s="522"/>
      <c r="N127" s="273" t="str">
        <f>LOOKUP(C124,HM!$V$15:$V$655,HM!$AN$15:$AN$655)</f>
        <v/>
      </c>
      <c r="O127" s="273" t="str">
        <f>LOOKUP(C124,HM!$V$15:$V$655,HM!$AO$15:$AO$655)</f>
        <v/>
      </c>
      <c r="P127" s="273" t="str">
        <f>LOOKUP(C124,HM!$V$15:$V$655,HM!$AP$15:$AP$655)</f>
        <v/>
      </c>
    </row>
    <row r="129" spans="2:16" ht="9.75" customHeight="1" x14ac:dyDescent="0.2">
      <c r="B129" s="270" t="s">
        <v>5194</v>
      </c>
      <c r="C129" s="520" t="s">
        <v>0</v>
      </c>
      <c r="D129" s="520"/>
      <c r="E129" s="521" t="s">
        <v>164</v>
      </c>
      <c r="F129" s="521"/>
      <c r="G129" s="521"/>
      <c r="H129" s="520" t="s">
        <v>165</v>
      </c>
      <c r="I129" s="520"/>
      <c r="J129" s="520" t="s">
        <v>164</v>
      </c>
      <c r="K129" s="520"/>
      <c r="L129" s="520"/>
      <c r="M129" s="520"/>
      <c r="N129" s="270" t="s">
        <v>27</v>
      </c>
      <c r="O129" s="270" t="s">
        <v>69</v>
      </c>
      <c r="P129" s="270" t="s">
        <v>166</v>
      </c>
    </row>
    <row r="130" spans="2:16" ht="9.75" customHeight="1" x14ac:dyDescent="0.2">
      <c r="B130" s="524"/>
      <c r="C130" s="522"/>
      <c r="D130" s="522"/>
      <c r="E130" s="523" t="str">
        <f>LOOKUP(C130,HM!$V$15:$V$655,HM!$W$15:$W$655)</f>
        <v/>
      </c>
      <c r="F130" s="523"/>
      <c r="G130" s="523"/>
      <c r="H130" s="520" t="s">
        <v>2</v>
      </c>
      <c r="I130" s="520"/>
      <c r="J130" s="522" t="str">
        <f>LOOKUP(C130,HM!$V$15:$V$655,HM!$AA$15:$AA$655)</f>
        <v/>
      </c>
      <c r="K130" s="522"/>
      <c r="L130" s="522"/>
      <c r="M130" s="522"/>
      <c r="N130" s="273" t="str">
        <f>LOOKUP(C130,HM!$V$15:$V$655,HM!$AB$15:$AB$655)</f>
        <v/>
      </c>
      <c r="O130" s="273" t="str">
        <f>LOOKUP(C130,HM!$V$15:$V$655,HM!$AC$15:$AC$655)</f>
        <v/>
      </c>
      <c r="P130" s="273" t="str">
        <f>LOOKUP(C130,HM!$V$15:$V$655,HM!$AD$15:$AD$655)</f>
        <v/>
      </c>
    </row>
    <row r="131" spans="2:16" ht="9.75" customHeight="1" x14ac:dyDescent="0.2">
      <c r="B131" s="524"/>
      <c r="C131" s="522"/>
      <c r="D131" s="522"/>
      <c r="E131" s="523"/>
      <c r="F131" s="523"/>
      <c r="G131" s="523"/>
      <c r="H131" s="520" t="s">
        <v>173</v>
      </c>
      <c r="I131" s="520"/>
      <c r="J131" s="522" t="str">
        <f>LOOKUP(C130,HM!$V$15:$V$655,HM!$AE$15:$AE$655)</f>
        <v/>
      </c>
      <c r="K131" s="522"/>
      <c r="L131" s="522"/>
      <c r="M131" s="522"/>
      <c r="N131" s="273" t="str">
        <f>LOOKUP(C130,HM!$V$15:$V$655,HM!$AF$15:$AF$655)</f>
        <v/>
      </c>
      <c r="O131" s="273" t="str">
        <f>LOOKUP(C130,HM!$V$15:$V$655,HM!$AG$15:$AG$655)</f>
        <v/>
      </c>
      <c r="P131" s="273" t="str">
        <f>LOOKUP(C130,HM!$V$15:$V$655,HM!$AH$15:$AH$655)</f>
        <v/>
      </c>
    </row>
    <row r="132" spans="2:16" ht="9.75" customHeight="1" x14ac:dyDescent="0.2">
      <c r="B132" s="270" t="s">
        <v>14</v>
      </c>
      <c r="C132" s="270" t="s">
        <v>26</v>
      </c>
      <c r="D132" s="270" t="s">
        <v>175</v>
      </c>
      <c r="E132" s="523"/>
      <c r="F132" s="523"/>
      <c r="G132" s="523"/>
      <c r="H132" s="520" t="s">
        <v>176</v>
      </c>
      <c r="I132" s="520"/>
      <c r="J132" s="522" t="str">
        <f>LOOKUP(C130,HM!$V$15:$V$655,HM!$AI$15:$AI$655)</f>
        <v/>
      </c>
      <c r="K132" s="522"/>
      <c r="L132" s="522"/>
      <c r="M132" s="522"/>
      <c r="N132" s="273" t="str">
        <f>LOOKUP(C130,HM!$V$15:$V$655,HM!$AJ$15:$AJ$655)</f>
        <v/>
      </c>
      <c r="O132" s="273" t="str">
        <f>LOOKUP(C130,HM!$V$15:$V$655,HM!$AK$15:$AK$655)</f>
        <v/>
      </c>
      <c r="P132" s="273" t="str">
        <f>LOOKUP(C130,HM!$V$15:$V$655,HM!$AL$15:$AL$655)</f>
        <v/>
      </c>
    </row>
    <row r="133" spans="2:16" ht="9.75" customHeight="1" x14ac:dyDescent="0.2">
      <c r="B133" s="273" t="str">
        <f>LOOKUP(C130,HM!$V$15:$V$655,HM!$X$15:$X$655)</f>
        <v/>
      </c>
      <c r="C133" s="273" t="str">
        <f>LOOKUP(C130,HM!$V$15:$V$655,HM!$Y$15:$Y$655)</f>
        <v/>
      </c>
      <c r="D133" s="273" t="str">
        <f>LOOKUP(C130,HM!$V$15:$V$655,HM!$Z$15:$Z$655)</f>
        <v/>
      </c>
      <c r="E133" s="523"/>
      <c r="F133" s="523"/>
      <c r="G133" s="523"/>
      <c r="H133" s="520" t="s">
        <v>179</v>
      </c>
      <c r="I133" s="520"/>
      <c r="J133" s="522" t="str">
        <f>LOOKUP(C130,HM!$V$15:$V$655,HM!$AM$15:$AM$655)</f>
        <v/>
      </c>
      <c r="K133" s="522"/>
      <c r="L133" s="522"/>
      <c r="M133" s="522"/>
      <c r="N133" s="273" t="str">
        <f>LOOKUP(C130,HM!$V$15:$V$655,HM!$AN$15:$AN$655)</f>
        <v/>
      </c>
      <c r="O133" s="273" t="str">
        <f>LOOKUP(C130,HM!$V$15:$V$655,HM!$AO$15:$AO$655)</f>
        <v/>
      </c>
      <c r="P133" s="273" t="str">
        <f>LOOKUP(C130,HM!$V$15:$V$655,HM!$AP$15:$AP$655)</f>
        <v/>
      </c>
    </row>
    <row r="135" spans="2:16" ht="9.75" customHeight="1" x14ac:dyDescent="0.2">
      <c r="B135" s="270" t="s">
        <v>5194</v>
      </c>
      <c r="C135" s="520" t="s">
        <v>0</v>
      </c>
      <c r="D135" s="520"/>
      <c r="E135" s="521" t="s">
        <v>164</v>
      </c>
      <c r="F135" s="521"/>
      <c r="G135" s="521"/>
      <c r="H135" s="520" t="s">
        <v>165</v>
      </c>
      <c r="I135" s="520"/>
      <c r="J135" s="520" t="s">
        <v>164</v>
      </c>
      <c r="K135" s="520"/>
      <c r="L135" s="520"/>
      <c r="M135" s="520"/>
      <c r="N135" s="270" t="s">
        <v>27</v>
      </c>
      <c r="O135" s="270" t="s">
        <v>69</v>
      </c>
      <c r="P135" s="270" t="s">
        <v>166</v>
      </c>
    </row>
    <row r="136" spans="2:16" ht="9.75" customHeight="1" x14ac:dyDescent="0.2">
      <c r="B136" s="524"/>
      <c r="C136" s="522"/>
      <c r="D136" s="522"/>
      <c r="E136" s="523" t="str">
        <f>LOOKUP(C136,HM!$V$15:$V$655,HM!$W$15:$W$655)</f>
        <v/>
      </c>
      <c r="F136" s="523"/>
      <c r="G136" s="523"/>
      <c r="H136" s="520" t="s">
        <v>2</v>
      </c>
      <c r="I136" s="520"/>
      <c r="J136" s="522" t="str">
        <f>LOOKUP(C136,HM!$V$15:$V$655,HM!$AA$15:$AA$655)</f>
        <v/>
      </c>
      <c r="K136" s="522"/>
      <c r="L136" s="522"/>
      <c r="M136" s="522"/>
      <c r="N136" s="273" t="str">
        <f>LOOKUP(C136,HM!$V$15:$V$655,HM!$AB$15:$AB$655)</f>
        <v/>
      </c>
      <c r="O136" s="273" t="str">
        <f>LOOKUP(C136,HM!$V$15:$V$655,HM!$AC$15:$AC$655)</f>
        <v/>
      </c>
      <c r="P136" s="273" t="str">
        <f>LOOKUP(C136,HM!$V$15:$V$655,HM!$AD$15:$AD$655)</f>
        <v/>
      </c>
    </row>
    <row r="137" spans="2:16" ht="9.75" customHeight="1" x14ac:dyDescent="0.2">
      <c r="B137" s="524"/>
      <c r="C137" s="522"/>
      <c r="D137" s="522"/>
      <c r="E137" s="523"/>
      <c r="F137" s="523"/>
      <c r="G137" s="523"/>
      <c r="H137" s="520" t="s">
        <v>173</v>
      </c>
      <c r="I137" s="520"/>
      <c r="J137" s="522" t="str">
        <f>LOOKUP(C136,HM!$V$15:$V$655,HM!$AE$15:$AE$655)</f>
        <v/>
      </c>
      <c r="K137" s="522"/>
      <c r="L137" s="522"/>
      <c r="M137" s="522"/>
      <c r="N137" s="273" t="str">
        <f>LOOKUP(C136,HM!$V$15:$V$655,HM!$AF$15:$AF$655)</f>
        <v/>
      </c>
      <c r="O137" s="273" t="str">
        <f>LOOKUP(C136,HM!$V$15:$V$655,HM!$AG$15:$AG$655)</f>
        <v/>
      </c>
      <c r="P137" s="273" t="str">
        <f>LOOKUP(C136,HM!$V$15:$V$655,HM!$AH$15:$AH$655)</f>
        <v/>
      </c>
    </row>
    <row r="138" spans="2:16" ht="9.75" customHeight="1" x14ac:dyDescent="0.2">
      <c r="B138" s="270" t="s">
        <v>14</v>
      </c>
      <c r="C138" s="270" t="s">
        <v>26</v>
      </c>
      <c r="D138" s="270" t="s">
        <v>175</v>
      </c>
      <c r="E138" s="523"/>
      <c r="F138" s="523"/>
      <c r="G138" s="523"/>
      <c r="H138" s="520" t="s">
        <v>176</v>
      </c>
      <c r="I138" s="520"/>
      <c r="J138" s="522" t="str">
        <f>LOOKUP(C136,HM!$V$15:$V$655,HM!$AI$15:$AI$655)</f>
        <v/>
      </c>
      <c r="K138" s="522"/>
      <c r="L138" s="522"/>
      <c r="M138" s="522"/>
      <c r="N138" s="273" t="str">
        <f>LOOKUP(C136,HM!$V$15:$V$655,HM!$AJ$15:$AJ$655)</f>
        <v/>
      </c>
      <c r="O138" s="273" t="str">
        <f>LOOKUP(C136,HM!$V$15:$V$655,HM!$AK$15:$AK$655)</f>
        <v/>
      </c>
      <c r="P138" s="273" t="str">
        <f>LOOKUP(C136,HM!$V$15:$V$655,HM!$AL$15:$AL$655)</f>
        <v/>
      </c>
    </row>
    <row r="139" spans="2:16" ht="9.75" customHeight="1" x14ac:dyDescent="0.2">
      <c r="B139" s="273" t="str">
        <f>LOOKUP(C136,HM!$V$15:$V$655,HM!$X$15:$X$655)</f>
        <v/>
      </c>
      <c r="C139" s="273" t="str">
        <f>LOOKUP(C136,HM!$V$15:$V$655,HM!$Y$15:$Y$655)</f>
        <v/>
      </c>
      <c r="D139" s="273" t="str">
        <f>LOOKUP(C136,HM!$V$15:$V$655,HM!$Z$15:$Z$655)</f>
        <v/>
      </c>
      <c r="E139" s="523"/>
      <c r="F139" s="523"/>
      <c r="G139" s="523"/>
      <c r="H139" s="520" t="s">
        <v>179</v>
      </c>
      <c r="I139" s="520"/>
      <c r="J139" s="522" t="str">
        <f>LOOKUP(C136,HM!$V$15:$V$655,HM!$AM$15:$AM$655)</f>
        <v/>
      </c>
      <c r="K139" s="522"/>
      <c r="L139" s="522"/>
      <c r="M139" s="522"/>
      <c r="N139" s="273" t="str">
        <f>LOOKUP(C136,HM!$V$15:$V$655,HM!$AN$15:$AN$655)</f>
        <v/>
      </c>
      <c r="O139" s="273" t="str">
        <f>LOOKUP(C136,HM!$V$15:$V$655,HM!$AO$15:$AO$655)</f>
        <v/>
      </c>
      <c r="P139" s="273" t="str">
        <f>LOOKUP(C136,HM!$V$15:$V$655,HM!$AP$15:$AP$655)</f>
        <v/>
      </c>
    </row>
    <row r="141" spans="2:16" ht="9.75" customHeight="1" x14ac:dyDescent="0.2">
      <c r="B141" s="270" t="s">
        <v>5194</v>
      </c>
      <c r="C141" s="520" t="s">
        <v>0</v>
      </c>
      <c r="D141" s="520"/>
      <c r="E141" s="521" t="s">
        <v>164</v>
      </c>
      <c r="F141" s="521"/>
      <c r="G141" s="521"/>
      <c r="H141" s="520" t="s">
        <v>165</v>
      </c>
      <c r="I141" s="520"/>
      <c r="J141" s="520" t="s">
        <v>164</v>
      </c>
      <c r="K141" s="520"/>
      <c r="L141" s="520"/>
      <c r="M141" s="520"/>
      <c r="N141" s="270" t="s">
        <v>27</v>
      </c>
      <c r="O141" s="270" t="s">
        <v>69</v>
      </c>
      <c r="P141" s="270" t="s">
        <v>166</v>
      </c>
    </row>
    <row r="142" spans="2:16" ht="9.75" customHeight="1" x14ac:dyDescent="0.2">
      <c r="B142" s="524"/>
      <c r="C142" s="522"/>
      <c r="D142" s="522"/>
      <c r="E142" s="523" t="str">
        <f>LOOKUP(C142,HM!$V$15:$V$655,HM!$W$15:$W$655)</f>
        <v/>
      </c>
      <c r="F142" s="523"/>
      <c r="G142" s="523"/>
      <c r="H142" s="520" t="s">
        <v>2</v>
      </c>
      <c r="I142" s="520"/>
      <c r="J142" s="522" t="str">
        <f>LOOKUP(C142,HM!$V$15:$V$655,HM!$AA$15:$AA$655)</f>
        <v/>
      </c>
      <c r="K142" s="522"/>
      <c r="L142" s="522"/>
      <c r="M142" s="522"/>
      <c r="N142" s="273" t="str">
        <f>LOOKUP(C142,HM!$V$15:$V$655,HM!$AB$15:$AB$655)</f>
        <v/>
      </c>
      <c r="O142" s="273" t="str">
        <f>LOOKUP(C142,HM!$V$15:$V$655,HM!$AC$15:$AC$655)</f>
        <v/>
      </c>
      <c r="P142" s="273" t="str">
        <f>LOOKUP(C142,HM!$V$15:$V$655,HM!$AD$15:$AD$655)</f>
        <v/>
      </c>
    </row>
    <row r="143" spans="2:16" ht="9.75" customHeight="1" x14ac:dyDescent="0.2">
      <c r="B143" s="524"/>
      <c r="C143" s="522"/>
      <c r="D143" s="522"/>
      <c r="E143" s="523"/>
      <c r="F143" s="523"/>
      <c r="G143" s="523"/>
      <c r="H143" s="520" t="s">
        <v>173</v>
      </c>
      <c r="I143" s="520"/>
      <c r="J143" s="522" t="str">
        <f>LOOKUP(C142,HM!$V$15:$V$655,HM!$AE$15:$AE$655)</f>
        <v/>
      </c>
      <c r="K143" s="522"/>
      <c r="L143" s="522"/>
      <c r="M143" s="522"/>
      <c r="N143" s="273" t="str">
        <f>LOOKUP(C142,HM!$V$15:$V$655,HM!$AF$15:$AF$655)</f>
        <v/>
      </c>
      <c r="O143" s="273" t="str">
        <f>LOOKUP(C142,HM!$V$15:$V$655,HM!$AG$15:$AG$655)</f>
        <v/>
      </c>
      <c r="P143" s="273" t="str">
        <f>LOOKUP(C142,HM!$V$15:$V$655,HM!$AH$15:$AH$655)</f>
        <v/>
      </c>
    </row>
    <row r="144" spans="2:16" ht="9.75" customHeight="1" x14ac:dyDescent="0.2">
      <c r="B144" s="270" t="s">
        <v>14</v>
      </c>
      <c r="C144" s="270" t="s">
        <v>26</v>
      </c>
      <c r="D144" s="270" t="s">
        <v>175</v>
      </c>
      <c r="E144" s="523"/>
      <c r="F144" s="523"/>
      <c r="G144" s="523"/>
      <c r="H144" s="520" t="s">
        <v>176</v>
      </c>
      <c r="I144" s="520"/>
      <c r="J144" s="522" t="str">
        <f>LOOKUP(C142,HM!$V$15:$V$655,HM!$AI$15:$AI$655)</f>
        <v/>
      </c>
      <c r="K144" s="522"/>
      <c r="L144" s="522"/>
      <c r="M144" s="522"/>
      <c r="N144" s="273" t="str">
        <f>LOOKUP(C142,HM!$V$15:$V$655,HM!$AJ$15:$AJ$655)</f>
        <v/>
      </c>
      <c r="O144" s="273" t="str">
        <f>LOOKUP(C142,HM!$V$15:$V$655,HM!$AK$15:$AK$655)</f>
        <v/>
      </c>
      <c r="P144" s="273" t="str">
        <f>LOOKUP(C142,HM!$V$15:$V$655,HM!$AL$15:$AL$655)</f>
        <v/>
      </c>
    </row>
    <row r="145" spans="2:16" ht="9.75" customHeight="1" x14ac:dyDescent="0.2">
      <c r="B145" s="273" t="str">
        <f>LOOKUP(C142,HM!$V$15:$V$655,HM!$X$15:$X$655)</f>
        <v/>
      </c>
      <c r="C145" s="273" t="str">
        <f>LOOKUP(C142,HM!$V$15:$V$655,HM!$Y$15:$Y$655)</f>
        <v/>
      </c>
      <c r="D145" s="273" t="str">
        <f>LOOKUP(C142,HM!$V$15:$V$655,HM!$Z$15:$Z$655)</f>
        <v/>
      </c>
      <c r="E145" s="523"/>
      <c r="F145" s="523"/>
      <c r="G145" s="523"/>
      <c r="H145" s="520" t="s">
        <v>179</v>
      </c>
      <c r="I145" s="520"/>
      <c r="J145" s="522" t="str">
        <f>LOOKUP(C142,HM!$V$15:$V$655,HM!$AM$15:$AM$655)</f>
        <v/>
      </c>
      <c r="K145" s="522"/>
      <c r="L145" s="522"/>
      <c r="M145" s="522"/>
      <c r="N145" s="273" t="str">
        <f>LOOKUP(C142,HM!$V$15:$V$655,HM!$AN$15:$AN$655)</f>
        <v/>
      </c>
      <c r="O145" s="273" t="str">
        <f>LOOKUP(C142,HM!$V$15:$V$655,HM!$AO$15:$AO$655)</f>
        <v/>
      </c>
      <c r="P145" s="273" t="str">
        <f>LOOKUP(C142,HM!$V$15:$V$655,HM!$AP$15:$AP$655)</f>
        <v/>
      </c>
    </row>
    <row r="147" spans="2:16" ht="9.75" customHeight="1" x14ac:dyDescent="0.2">
      <c r="B147" s="270" t="s">
        <v>5194</v>
      </c>
      <c r="C147" s="520" t="s">
        <v>0</v>
      </c>
      <c r="D147" s="520"/>
      <c r="E147" s="521" t="s">
        <v>164</v>
      </c>
      <c r="F147" s="521"/>
      <c r="G147" s="521"/>
      <c r="H147" s="520" t="s">
        <v>165</v>
      </c>
      <c r="I147" s="520"/>
      <c r="J147" s="520" t="s">
        <v>164</v>
      </c>
      <c r="K147" s="520"/>
      <c r="L147" s="520"/>
      <c r="M147" s="520"/>
      <c r="N147" s="270" t="s">
        <v>27</v>
      </c>
      <c r="O147" s="270" t="s">
        <v>69</v>
      </c>
      <c r="P147" s="270" t="s">
        <v>166</v>
      </c>
    </row>
    <row r="148" spans="2:16" ht="9.75" customHeight="1" x14ac:dyDescent="0.2">
      <c r="B148" s="524"/>
      <c r="C148" s="522"/>
      <c r="D148" s="522"/>
      <c r="E148" s="523" t="str">
        <f>LOOKUP(C148,HM!$V$15:$V$655,HM!$W$15:$W$655)</f>
        <v/>
      </c>
      <c r="F148" s="523"/>
      <c r="G148" s="523"/>
      <c r="H148" s="520" t="s">
        <v>2</v>
      </c>
      <c r="I148" s="520"/>
      <c r="J148" s="522" t="str">
        <f>LOOKUP(C148,HM!$V$15:$V$655,HM!$AA$15:$AA$655)</f>
        <v/>
      </c>
      <c r="K148" s="522"/>
      <c r="L148" s="522"/>
      <c r="M148" s="522"/>
      <c r="N148" s="273" t="str">
        <f>LOOKUP(C148,HM!$V$15:$V$655,HM!$AB$15:$AB$655)</f>
        <v/>
      </c>
      <c r="O148" s="273" t="str">
        <f>LOOKUP(C148,HM!$V$15:$V$655,HM!$AC$15:$AC$655)</f>
        <v/>
      </c>
      <c r="P148" s="273" t="str">
        <f>LOOKUP(C148,HM!$V$15:$V$655,HM!$AD$15:$AD$655)</f>
        <v/>
      </c>
    </row>
    <row r="149" spans="2:16" ht="9.75" customHeight="1" x14ac:dyDescent="0.2">
      <c r="B149" s="524"/>
      <c r="C149" s="522"/>
      <c r="D149" s="522"/>
      <c r="E149" s="523"/>
      <c r="F149" s="523"/>
      <c r="G149" s="523"/>
      <c r="H149" s="520" t="s">
        <v>173</v>
      </c>
      <c r="I149" s="520"/>
      <c r="J149" s="522" t="str">
        <f>LOOKUP(C148,HM!$V$15:$V$655,HM!$AE$15:$AE$655)</f>
        <v/>
      </c>
      <c r="K149" s="522"/>
      <c r="L149" s="522"/>
      <c r="M149" s="522"/>
      <c r="N149" s="273" t="str">
        <f>LOOKUP(C148,HM!$V$15:$V$655,HM!$AF$15:$AF$655)</f>
        <v/>
      </c>
      <c r="O149" s="273" t="str">
        <f>LOOKUP(C148,HM!$V$15:$V$655,HM!$AG$15:$AG$655)</f>
        <v/>
      </c>
      <c r="P149" s="273" t="str">
        <f>LOOKUP(C148,HM!$V$15:$V$655,HM!$AH$15:$AH$655)</f>
        <v/>
      </c>
    </row>
    <row r="150" spans="2:16" ht="9.75" customHeight="1" x14ac:dyDescent="0.2">
      <c r="B150" s="270" t="s">
        <v>14</v>
      </c>
      <c r="C150" s="270" t="s">
        <v>26</v>
      </c>
      <c r="D150" s="270" t="s">
        <v>175</v>
      </c>
      <c r="E150" s="523"/>
      <c r="F150" s="523"/>
      <c r="G150" s="523"/>
      <c r="H150" s="520" t="s">
        <v>176</v>
      </c>
      <c r="I150" s="520"/>
      <c r="J150" s="522" t="str">
        <f>LOOKUP(C148,HM!$V$15:$V$655,HM!$AI$15:$AI$655)</f>
        <v/>
      </c>
      <c r="K150" s="522"/>
      <c r="L150" s="522"/>
      <c r="M150" s="522"/>
      <c r="N150" s="273" t="str">
        <f>LOOKUP(C148,HM!$V$15:$V$655,HM!$AJ$15:$AJ$655)</f>
        <v/>
      </c>
      <c r="O150" s="273" t="str">
        <f>LOOKUP(C148,HM!$V$15:$V$655,HM!$AK$15:$AK$655)</f>
        <v/>
      </c>
      <c r="P150" s="273" t="str">
        <f>LOOKUP(C148,HM!$V$15:$V$655,HM!$AL$15:$AL$655)</f>
        <v/>
      </c>
    </row>
    <row r="151" spans="2:16" ht="9.75" customHeight="1" x14ac:dyDescent="0.2">
      <c r="B151" s="273" t="str">
        <f>LOOKUP(C148,HM!$V$15:$V$655,HM!$X$15:$X$655)</f>
        <v/>
      </c>
      <c r="C151" s="273" t="str">
        <f>LOOKUP(C148,HM!$V$15:$V$655,HM!$Y$15:$Y$655)</f>
        <v/>
      </c>
      <c r="D151" s="273" t="str">
        <f>LOOKUP(C148,HM!$V$15:$V$655,HM!$Z$15:$Z$655)</f>
        <v/>
      </c>
      <c r="E151" s="523"/>
      <c r="F151" s="523"/>
      <c r="G151" s="523"/>
      <c r="H151" s="520" t="s">
        <v>179</v>
      </c>
      <c r="I151" s="520"/>
      <c r="J151" s="522" t="str">
        <f>LOOKUP(C148,HM!$V$15:$V$655,HM!$AM$15:$AM$655)</f>
        <v/>
      </c>
      <c r="K151" s="522"/>
      <c r="L151" s="522"/>
      <c r="M151" s="522"/>
      <c r="N151" s="273" t="str">
        <f>LOOKUP(C148,HM!$V$15:$V$655,HM!$AN$15:$AN$655)</f>
        <v/>
      </c>
      <c r="O151" s="273" t="str">
        <f>LOOKUP(C148,HM!$V$15:$V$655,HM!$AO$15:$AO$655)</f>
        <v/>
      </c>
      <c r="P151" s="273" t="str">
        <f>LOOKUP(C148,HM!$V$15:$V$655,HM!$AP$15:$AP$655)</f>
        <v/>
      </c>
    </row>
    <row r="153" spans="2:16" ht="9.75" customHeight="1" x14ac:dyDescent="0.2">
      <c r="B153" s="270" t="s">
        <v>5194</v>
      </c>
      <c r="C153" s="520" t="s">
        <v>0</v>
      </c>
      <c r="D153" s="520"/>
      <c r="E153" s="521" t="s">
        <v>164</v>
      </c>
      <c r="F153" s="521"/>
      <c r="G153" s="521"/>
      <c r="H153" s="520" t="s">
        <v>165</v>
      </c>
      <c r="I153" s="520"/>
      <c r="J153" s="520" t="s">
        <v>164</v>
      </c>
      <c r="K153" s="520"/>
      <c r="L153" s="520"/>
      <c r="M153" s="520"/>
      <c r="N153" s="270" t="s">
        <v>27</v>
      </c>
      <c r="O153" s="270" t="s">
        <v>69</v>
      </c>
      <c r="P153" s="270" t="s">
        <v>166</v>
      </c>
    </row>
    <row r="154" spans="2:16" ht="9.75" customHeight="1" x14ac:dyDescent="0.2">
      <c r="B154" s="524"/>
      <c r="C154" s="522"/>
      <c r="D154" s="522"/>
      <c r="E154" s="523" t="str">
        <f>LOOKUP(C154,HM!$V$15:$V$655,HM!$W$15:$W$655)</f>
        <v/>
      </c>
      <c r="F154" s="523"/>
      <c r="G154" s="523"/>
      <c r="H154" s="520" t="s">
        <v>2</v>
      </c>
      <c r="I154" s="520"/>
      <c r="J154" s="522" t="str">
        <f>LOOKUP(C154,HM!$V$15:$V$655,HM!$AA$15:$AA$655)</f>
        <v/>
      </c>
      <c r="K154" s="522"/>
      <c r="L154" s="522"/>
      <c r="M154" s="522"/>
      <c r="N154" s="273" t="str">
        <f>LOOKUP(C154,HM!$V$15:$V$655,HM!$AB$15:$AB$655)</f>
        <v/>
      </c>
      <c r="O154" s="273" t="str">
        <f>LOOKUP(C154,HM!$V$15:$V$655,HM!$AC$15:$AC$655)</f>
        <v/>
      </c>
      <c r="P154" s="273" t="str">
        <f>LOOKUP(C154,HM!$V$15:$V$655,HM!$AD$15:$AD$655)</f>
        <v/>
      </c>
    </row>
    <row r="155" spans="2:16" ht="9.75" customHeight="1" x14ac:dyDescent="0.2">
      <c r="B155" s="524"/>
      <c r="C155" s="522"/>
      <c r="D155" s="522"/>
      <c r="E155" s="523"/>
      <c r="F155" s="523"/>
      <c r="G155" s="523"/>
      <c r="H155" s="520" t="s">
        <v>173</v>
      </c>
      <c r="I155" s="520"/>
      <c r="J155" s="522" t="str">
        <f>LOOKUP(C154,HM!$V$15:$V$655,HM!$AE$15:$AE$655)</f>
        <v/>
      </c>
      <c r="K155" s="522"/>
      <c r="L155" s="522"/>
      <c r="M155" s="522"/>
      <c r="N155" s="273" t="str">
        <f>LOOKUP(C154,HM!$V$15:$V$655,HM!$AF$15:$AF$655)</f>
        <v/>
      </c>
      <c r="O155" s="273" t="str">
        <f>LOOKUP(C154,HM!$V$15:$V$655,HM!$AG$15:$AG$655)</f>
        <v/>
      </c>
      <c r="P155" s="273" t="str">
        <f>LOOKUP(C154,HM!$V$15:$V$655,HM!$AH$15:$AH$655)</f>
        <v/>
      </c>
    </row>
    <row r="156" spans="2:16" ht="9.75" customHeight="1" x14ac:dyDescent="0.2">
      <c r="B156" s="270" t="s">
        <v>14</v>
      </c>
      <c r="C156" s="270" t="s">
        <v>26</v>
      </c>
      <c r="D156" s="270" t="s">
        <v>175</v>
      </c>
      <c r="E156" s="523"/>
      <c r="F156" s="523"/>
      <c r="G156" s="523"/>
      <c r="H156" s="520" t="s">
        <v>176</v>
      </c>
      <c r="I156" s="520"/>
      <c r="J156" s="522" t="str">
        <f>LOOKUP(C154,HM!$V$15:$V$655,HM!$AI$15:$AI$655)</f>
        <v/>
      </c>
      <c r="K156" s="522"/>
      <c r="L156" s="522"/>
      <c r="M156" s="522"/>
      <c r="N156" s="273" t="str">
        <f>LOOKUP(C154,HM!$V$15:$V$655,HM!$AJ$15:$AJ$655)</f>
        <v/>
      </c>
      <c r="O156" s="273" t="str">
        <f>LOOKUP(C154,HM!$V$15:$V$655,HM!$AK$15:$AK$655)</f>
        <v/>
      </c>
      <c r="P156" s="273" t="str">
        <f>LOOKUP(C154,HM!$V$15:$V$655,HM!$AL$15:$AL$655)</f>
        <v/>
      </c>
    </row>
    <row r="157" spans="2:16" ht="9.75" customHeight="1" x14ac:dyDescent="0.2">
      <c r="B157" s="273" t="str">
        <f>LOOKUP(C154,HM!$V$15:$V$655,HM!$X$15:$X$655)</f>
        <v/>
      </c>
      <c r="C157" s="273" t="str">
        <f>LOOKUP(C154,HM!$V$15:$V$655,HM!$Y$15:$Y$655)</f>
        <v/>
      </c>
      <c r="D157" s="273" t="str">
        <f>LOOKUP(C154,HM!$V$15:$V$655,HM!$Z$15:$Z$655)</f>
        <v/>
      </c>
      <c r="E157" s="523"/>
      <c r="F157" s="523"/>
      <c r="G157" s="523"/>
      <c r="H157" s="520" t="s">
        <v>179</v>
      </c>
      <c r="I157" s="520"/>
      <c r="J157" s="522" t="str">
        <f>LOOKUP(C154,HM!$V$15:$V$655,HM!$AM$15:$AM$655)</f>
        <v/>
      </c>
      <c r="K157" s="522"/>
      <c r="L157" s="522"/>
      <c r="M157" s="522"/>
      <c r="N157" s="273" t="str">
        <f>LOOKUP(C154,HM!$V$15:$V$655,HM!$AN$15:$AN$655)</f>
        <v/>
      </c>
      <c r="O157" s="273" t="str">
        <f>LOOKUP(C154,HM!$V$15:$V$655,HM!$AO$15:$AO$655)</f>
        <v/>
      </c>
      <c r="P157" s="273" t="str">
        <f>LOOKUP(C154,HM!$V$15:$V$655,HM!$AP$15:$AP$655)</f>
        <v/>
      </c>
    </row>
    <row r="159" spans="2:16" ht="9.75" customHeight="1" x14ac:dyDescent="0.2">
      <c r="B159" s="270" t="s">
        <v>5194</v>
      </c>
      <c r="C159" s="520" t="s">
        <v>0</v>
      </c>
      <c r="D159" s="520"/>
      <c r="E159" s="521" t="s">
        <v>164</v>
      </c>
      <c r="F159" s="521"/>
      <c r="G159" s="521"/>
      <c r="H159" s="520" t="s">
        <v>165</v>
      </c>
      <c r="I159" s="520"/>
      <c r="J159" s="520" t="s">
        <v>164</v>
      </c>
      <c r="K159" s="520"/>
      <c r="L159" s="520"/>
      <c r="M159" s="520"/>
      <c r="N159" s="270" t="s">
        <v>27</v>
      </c>
      <c r="O159" s="270" t="s">
        <v>69</v>
      </c>
      <c r="P159" s="270" t="s">
        <v>166</v>
      </c>
    </row>
    <row r="160" spans="2:16" ht="9.75" customHeight="1" x14ac:dyDescent="0.2">
      <c r="B160" s="524"/>
      <c r="C160" s="522"/>
      <c r="D160" s="522"/>
      <c r="E160" s="523" t="str">
        <f>LOOKUP(C160,HM!$V$15:$V$655,HM!$W$15:$W$655)</f>
        <v/>
      </c>
      <c r="F160" s="523"/>
      <c r="G160" s="523"/>
      <c r="H160" s="520" t="s">
        <v>2</v>
      </c>
      <c r="I160" s="520"/>
      <c r="J160" s="522" t="str">
        <f>LOOKUP(C160,HM!$V$15:$V$655,HM!$AA$15:$AA$655)</f>
        <v/>
      </c>
      <c r="K160" s="522"/>
      <c r="L160" s="522"/>
      <c r="M160" s="522"/>
      <c r="N160" s="273" t="str">
        <f>LOOKUP(C160,HM!$V$15:$V$655,HM!$AB$15:$AB$655)</f>
        <v/>
      </c>
      <c r="O160" s="273" t="str">
        <f>LOOKUP(C160,HM!$V$15:$V$655,HM!$AC$15:$AC$655)</f>
        <v/>
      </c>
      <c r="P160" s="273" t="str">
        <f>LOOKUP(C160,HM!$V$15:$V$655,HM!$AD$15:$AD$655)</f>
        <v/>
      </c>
    </row>
    <row r="161" spans="2:16" ht="9.75" customHeight="1" x14ac:dyDescent="0.2">
      <c r="B161" s="524"/>
      <c r="C161" s="522"/>
      <c r="D161" s="522"/>
      <c r="E161" s="523"/>
      <c r="F161" s="523"/>
      <c r="G161" s="523"/>
      <c r="H161" s="520" t="s">
        <v>173</v>
      </c>
      <c r="I161" s="520"/>
      <c r="J161" s="522" t="str">
        <f>LOOKUP(C160,HM!$V$15:$V$655,HM!$AE$15:$AE$655)</f>
        <v/>
      </c>
      <c r="K161" s="522"/>
      <c r="L161" s="522"/>
      <c r="M161" s="522"/>
      <c r="N161" s="273" t="str">
        <f>LOOKUP(C160,HM!$V$15:$V$655,HM!$AF$15:$AF$655)</f>
        <v/>
      </c>
      <c r="O161" s="273" t="str">
        <f>LOOKUP(C160,HM!$V$15:$V$655,HM!$AG$15:$AG$655)</f>
        <v/>
      </c>
      <c r="P161" s="273" t="str">
        <f>LOOKUP(C160,HM!$V$15:$V$655,HM!$AH$15:$AH$655)</f>
        <v/>
      </c>
    </row>
    <row r="162" spans="2:16" ht="9.75" customHeight="1" x14ac:dyDescent="0.2">
      <c r="B162" s="270" t="s">
        <v>14</v>
      </c>
      <c r="C162" s="270" t="s">
        <v>26</v>
      </c>
      <c r="D162" s="270" t="s">
        <v>175</v>
      </c>
      <c r="E162" s="523"/>
      <c r="F162" s="523"/>
      <c r="G162" s="523"/>
      <c r="H162" s="520" t="s">
        <v>176</v>
      </c>
      <c r="I162" s="520"/>
      <c r="J162" s="522" t="str">
        <f>LOOKUP(C160,HM!$V$15:$V$655,HM!$AI$15:$AI$655)</f>
        <v/>
      </c>
      <c r="K162" s="522"/>
      <c r="L162" s="522"/>
      <c r="M162" s="522"/>
      <c r="N162" s="273" t="str">
        <f>LOOKUP(C160,HM!$V$15:$V$655,HM!$AJ$15:$AJ$655)</f>
        <v/>
      </c>
      <c r="O162" s="273" t="str">
        <f>LOOKUP(C160,HM!$V$15:$V$655,HM!$AK$15:$AK$655)</f>
        <v/>
      </c>
      <c r="P162" s="273" t="str">
        <f>LOOKUP(C160,HM!$V$15:$V$655,HM!$AL$15:$AL$655)</f>
        <v/>
      </c>
    </row>
    <row r="163" spans="2:16" ht="9.75" customHeight="1" x14ac:dyDescent="0.2">
      <c r="B163" s="273" t="str">
        <f>LOOKUP(C160,HM!$V$15:$V$655,HM!$X$15:$X$655)</f>
        <v/>
      </c>
      <c r="C163" s="273" t="str">
        <f>LOOKUP(C160,HM!$V$15:$V$655,HM!$Y$15:$Y$655)</f>
        <v/>
      </c>
      <c r="D163" s="273" t="str">
        <f>LOOKUP(C160,HM!$V$15:$V$655,HM!$Z$15:$Z$655)</f>
        <v/>
      </c>
      <c r="E163" s="523"/>
      <c r="F163" s="523"/>
      <c r="G163" s="523"/>
      <c r="H163" s="520" t="s">
        <v>179</v>
      </c>
      <c r="I163" s="520"/>
      <c r="J163" s="522" t="str">
        <f>LOOKUP(C160,HM!$V$15:$V$655,HM!$AM$15:$AM$655)</f>
        <v/>
      </c>
      <c r="K163" s="522"/>
      <c r="L163" s="522"/>
      <c r="M163" s="522"/>
      <c r="N163" s="273" t="str">
        <f>LOOKUP(C160,HM!$V$15:$V$655,HM!$AN$15:$AN$655)</f>
        <v/>
      </c>
      <c r="O163" s="273" t="str">
        <f>LOOKUP(C160,HM!$V$15:$V$655,HM!$AO$15:$AO$655)</f>
        <v/>
      </c>
      <c r="P163" s="273" t="str">
        <f>LOOKUP(C160,HM!$V$15:$V$655,HM!$AP$15:$AP$655)</f>
        <v/>
      </c>
    </row>
    <row r="165" spans="2:16" ht="9.75" customHeight="1" x14ac:dyDescent="0.2">
      <c r="B165" s="270" t="s">
        <v>5194</v>
      </c>
      <c r="C165" s="520" t="s">
        <v>0</v>
      </c>
      <c r="D165" s="520"/>
      <c r="E165" s="521" t="s">
        <v>164</v>
      </c>
      <c r="F165" s="521"/>
      <c r="G165" s="521"/>
      <c r="H165" s="520" t="s">
        <v>165</v>
      </c>
      <c r="I165" s="520"/>
      <c r="J165" s="520" t="s">
        <v>164</v>
      </c>
      <c r="K165" s="520"/>
      <c r="L165" s="520"/>
      <c r="M165" s="520"/>
      <c r="N165" s="270" t="s">
        <v>27</v>
      </c>
      <c r="O165" s="270" t="s">
        <v>69</v>
      </c>
      <c r="P165" s="270" t="s">
        <v>166</v>
      </c>
    </row>
    <row r="166" spans="2:16" ht="9.75" customHeight="1" x14ac:dyDescent="0.2">
      <c r="B166" s="524"/>
      <c r="C166" s="522"/>
      <c r="D166" s="522"/>
      <c r="E166" s="523" t="str">
        <f>LOOKUP(C166,HM!$V$15:$V$655,HM!$W$15:$W$655)</f>
        <v/>
      </c>
      <c r="F166" s="523"/>
      <c r="G166" s="523"/>
      <c r="H166" s="520" t="s">
        <v>2</v>
      </c>
      <c r="I166" s="520"/>
      <c r="J166" s="522" t="str">
        <f>LOOKUP(C166,HM!$V$15:$V$655,HM!$AA$15:$AA$655)</f>
        <v/>
      </c>
      <c r="K166" s="522"/>
      <c r="L166" s="522"/>
      <c r="M166" s="522"/>
      <c r="N166" s="273" t="str">
        <f>LOOKUP(C166,HM!$V$15:$V$655,HM!$AB$15:$AB$655)</f>
        <v/>
      </c>
      <c r="O166" s="273" t="str">
        <f>LOOKUP(C166,HM!$V$15:$V$655,HM!$AC$15:$AC$655)</f>
        <v/>
      </c>
      <c r="P166" s="273" t="str">
        <f>LOOKUP(C166,HM!$V$15:$V$655,HM!$AD$15:$AD$655)</f>
        <v/>
      </c>
    </row>
    <row r="167" spans="2:16" ht="9.75" customHeight="1" x14ac:dyDescent="0.2">
      <c r="B167" s="524"/>
      <c r="C167" s="522"/>
      <c r="D167" s="522"/>
      <c r="E167" s="523"/>
      <c r="F167" s="523"/>
      <c r="G167" s="523"/>
      <c r="H167" s="520" t="s">
        <v>173</v>
      </c>
      <c r="I167" s="520"/>
      <c r="J167" s="522" t="str">
        <f>LOOKUP(C166,HM!$V$15:$V$655,HM!$AE$15:$AE$655)</f>
        <v/>
      </c>
      <c r="K167" s="522"/>
      <c r="L167" s="522"/>
      <c r="M167" s="522"/>
      <c r="N167" s="273" t="str">
        <f>LOOKUP(C166,HM!$V$15:$V$655,HM!$AF$15:$AF$655)</f>
        <v/>
      </c>
      <c r="O167" s="273" t="str">
        <f>LOOKUP(C166,HM!$V$15:$V$655,HM!$AG$15:$AG$655)</f>
        <v/>
      </c>
      <c r="P167" s="273" t="str">
        <f>LOOKUP(C166,HM!$V$15:$V$655,HM!$AH$15:$AH$655)</f>
        <v/>
      </c>
    </row>
    <row r="168" spans="2:16" ht="9.75" customHeight="1" x14ac:dyDescent="0.2">
      <c r="B168" s="270" t="s">
        <v>14</v>
      </c>
      <c r="C168" s="270" t="s">
        <v>26</v>
      </c>
      <c r="D168" s="270" t="s">
        <v>175</v>
      </c>
      <c r="E168" s="523"/>
      <c r="F168" s="523"/>
      <c r="G168" s="523"/>
      <c r="H168" s="520" t="s">
        <v>176</v>
      </c>
      <c r="I168" s="520"/>
      <c r="J168" s="522" t="str">
        <f>LOOKUP(C166,HM!$V$15:$V$655,HM!$AI$15:$AI$655)</f>
        <v/>
      </c>
      <c r="K168" s="522"/>
      <c r="L168" s="522"/>
      <c r="M168" s="522"/>
      <c r="N168" s="273" t="str">
        <f>LOOKUP(C166,HM!$V$15:$V$655,HM!$AJ$15:$AJ$655)</f>
        <v/>
      </c>
      <c r="O168" s="273" t="str">
        <f>LOOKUP(C166,HM!$V$15:$V$655,HM!$AK$15:$AK$655)</f>
        <v/>
      </c>
      <c r="P168" s="273" t="str">
        <f>LOOKUP(C166,HM!$V$15:$V$655,HM!$AL$15:$AL$655)</f>
        <v/>
      </c>
    </row>
    <row r="169" spans="2:16" ht="9.75" customHeight="1" x14ac:dyDescent="0.2">
      <c r="B169" s="273" t="str">
        <f>LOOKUP(C166,HM!$V$15:$V$655,HM!$X$15:$X$655)</f>
        <v/>
      </c>
      <c r="C169" s="273" t="str">
        <f>LOOKUP(C166,HM!$V$15:$V$655,HM!$Y$15:$Y$655)</f>
        <v/>
      </c>
      <c r="D169" s="273" t="str">
        <f>LOOKUP(C166,HM!$V$15:$V$655,HM!$Z$15:$Z$655)</f>
        <v/>
      </c>
      <c r="E169" s="523"/>
      <c r="F169" s="523"/>
      <c r="G169" s="523"/>
      <c r="H169" s="520" t="s">
        <v>179</v>
      </c>
      <c r="I169" s="520"/>
      <c r="J169" s="522" t="str">
        <f>LOOKUP(C166,HM!$V$15:$V$655,HM!$AM$15:$AM$655)</f>
        <v/>
      </c>
      <c r="K169" s="522"/>
      <c r="L169" s="522"/>
      <c r="M169" s="522"/>
      <c r="N169" s="273" t="str">
        <f>LOOKUP(C166,HM!$V$15:$V$655,HM!$AN$15:$AN$655)</f>
        <v/>
      </c>
      <c r="O169" s="273" t="str">
        <f>LOOKUP(C166,HM!$V$15:$V$655,HM!$AO$15:$AO$655)</f>
        <v/>
      </c>
      <c r="P169" s="273" t="str">
        <f>LOOKUP(C166,HM!$V$15:$V$655,HM!$AP$15:$AP$655)</f>
        <v/>
      </c>
    </row>
    <row r="171" spans="2:16" ht="9.75" customHeight="1" x14ac:dyDescent="0.2">
      <c r="B171" s="270" t="s">
        <v>5194</v>
      </c>
      <c r="C171" s="520" t="s">
        <v>0</v>
      </c>
      <c r="D171" s="520"/>
      <c r="E171" s="521" t="s">
        <v>164</v>
      </c>
      <c r="F171" s="521"/>
      <c r="G171" s="521"/>
      <c r="H171" s="520" t="s">
        <v>165</v>
      </c>
      <c r="I171" s="520"/>
      <c r="J171" s="520" t="s">
        <v>164</v>
      </c>
      <c r="K171" s="520"/>
      <c r="L171" s="520"/>
      <c r="M171" s="520"/>
      <c r="N171" s="270" t="s">
        <v>27</v>
      </c>
      <c r="O171" s="270" t="s">
        <v>69</v>
      </c>
      <c r="P171" s="270" t="s">
        <v>166</v>
      </c>
    </row>
    <row r="172" spans="2:16" ht="9.75" customHeight="1" x14ac:dyDescent="0.2">
      <c r="B172" s="524"/>
      <c r="C172" s="522"/>
      <c r="D172" s="522"/>
      <c r="E172" s="523" t="str">
        <f>LOOKUP(C172,HM!$V$15:$V$655,HM!$W$15:$W$655)</f>
        <v/>
      </c>
      <c r="F172" s="523"/>
      <c r="G172" s="523"/>
      <c r="H172" s="520" t="s">
        <v>2</v>
      </c>
      <c r="I172" s="520"/>
      <c r="J172" s="522" t="str">
        <f>LOOKUP(C172,HM!$V$15:$V$655,HM!$AA$15:$AA$655)</f>
        <v/>
      </c>
      <c r="K172" s="522"/>
      <c r="L172" s="522"/>
      <c r="M172" s="522"/>
      <c r="N172" s="273" t="str">
        <f>LOOKUP(C172,HM!$V$15:$V$655,HM!$AB$15:$AB$655)</f>
        <v/>
      </c>
      <c r="O172" s="273" t="str">
        <f>LOOKUP(C172,HM!$V$15:$V$655,HM!$AC$15:$AC$655)</f>
        <v/>
      </c>
      <c r="P172" s="273" t="str">
        <f>LOOKUP(C172,HM!$V$15:$V$655,HM!$AD$15:$AD$655)</f>
        <v/>
      </c>
    </row>
    <row r="173" spans="2:16" ht="9.75" customHeight="1" x14ac:dyDescent="0.2">
      <c r="B173" s="524"/>
      <c r="C173" s="522"/>
      <c r="D173" s="522"/>
      <c r="E173" s="523"/>
      <c r="F173" s="523"/>
      <c r="G173" s="523"/>
      <c r="H173" s="520" t="s">
        <v>173</v>
      </c>
      <c r="I173" s="520"/>
      <c r="J173" s="522" t="str">
        <f>LOOKUP(C172,HM!$V$15:$V$655,HM!$AE$15:$AE$655)</f>
        <v/>
      </c>
      <c r="K173" s="522"/>
      <c r="L173" s="522"/>
      <c r="M173" s="522"/>
      <c r="N173" s="273" t="str">
        <f>LOOKUP(C172,HM!$V$15:$V$655,HM!$AF$15:$AF$655)</f>
        <v/>
      </c>
      <c r="O173" s="273" t="str">
        <f>LOOKUP(C172,HM!$V$15:$V$655,HM!$AG$15:$AG$655)</f>
        <v/>
      </c>
      <c r="P173" s="273" t="str">
        <f>LOOKUP(C172,HM!$V$15:$V$655,HM!$AH$15:$AH$655)</f>
        <v/>
      </c>
    </row>
    <row r="174" spans="2:16" ht="9.75" customHeight="1" x14ac:dyDescent="0.2">
      <c r="B174" s="270" t="s">
        <v>14</v>
      </c>
      <c r="C174" s="270" t="s">
        <v>26</v>
      </c>
      <c r="D174" s="270" t="s">
        <v>175</v>
      </c>
      <c r="E174" s="523"/>
      <c r="F174" s="523"/>
      <c r="G174" s="523"/>
      <c r="H174" s="520" t="s">
        <v>176</v>
      </c>
      <c r="I174" s="520"/>
      <c r="J174" s="522" t="str">
        <f>LOOKUP(C172,HM!$V$15:$V$655,HM!$AI$15:$AI$655)</f>
        <v/>
      </c>
      <c r="K174" s="522"/>
      <c r="L174" s="522"/>
      <c r="M174" s="522"/>
      <c r="N174" s="273" t="str">
        <f>LOOKUP(C172,HM!$V$15:$V$655,HM!$AJ$15:$AJ$655)</f>
        <v/>
      </c>
      <c r="O174" s="273" t="str">
        <f>LOOKUP(C172,HM!$V$15:$V$655,HM!$AK$15:$AK$655)</f>
        <v/>
      </c>
      <c r="P174" s="273" t="str">
        <f>LOOKUP(C172,HM!$V$15:$V$655,HM!$AL$15:$AL$655)</f>
        <v/>
      </c>
    </row>
    <row r="175" spans="2:16" ht="9.75" customHeight="1" x14ac:dyDescent="0.2">
      <c r="B175" s="273" t="str">
        <f>LOOKUP(C172,HM!$V$15:$V$655,HM!$X$15:$X$655)</f>
        <v/>
      </c>
      <c r="C175" s="273" t="str">
        <f>LOOKUP(C172,HM!$V$15:$V$655,HM!$Y$15:$Y$655)</f>
        <v/>
      </c>
      <c r="D175" s="273" t="str">
        <f>LOOKUP(C172,HM!$V$15:$V$655,HM!$Z$15:$Z$655)</f>
        <v/>
      </c>
      <c r="E175" s="523"/>
      <c r="F175" s="523"/>
      <c r="G175" s="523"/>
      <c r="H175" s="520" t="s">
        <v>179</v>
      </c>
      <c r="I175" s="520"/>
      <c r="J175" s="522" t="str">
        <f>LOOKUP(C172,HM!$V$15:$V$655,HM!$AM$15:$AM$655)</f>
        <v/>
      </c>
      <c r="K175" s="522"/>
      <c r="L175" s="522"/>
      <c r="M175" s="522"/>
      <c r="N175" s="273" t="str">
        <f>LOOKUP(C172,HM!$V$15:$V$655,HM!$AN$15:$AN$655)</f>
        <v/>
      </c>
      <c r="O175" s="273" t="str">
        <f>LOOKUP(C172,HM!$V$15:$V$655,HM!$AO$15:$AO$655)</f>
        <v/>
      </c>
      <c r="P175" s="273" t="str">
        <f>LOOKUP(C172,HM!$V$15:$V$655,HM!$AP$15:$AP$655)</f>
        <v/>
      </c>
    </row>
    <row r="177" spans="2:16" ht="9.75" customHeight="1" x14ac:dyDescent="0.2">
      <c r="B177" s="270" t="s">
        <v>5194</v>
      </c>
      <c r="C177" s="520" t="s">
        <v>0</v>
      </c>
      <c r="D177" s="520"/>
      <c r="E177" s="521" t="s">
        <v>164</v>
      </c>
      <c r="F177" s="521"/>
      <c r="G177" s="521"/>
      <c r="H177" s="520" t="s">
        <v>165</v>
      </c>
      <c r="I177" s="520"/>
      <c r="J177" s="520" t="s">
        <v>164</v>
      </c>
      <c r="K177" s="520"/>
      <c r="L177" s="520"/>
      <c r="M177" s="520"/>
      <c r="N177" s="270" t="s">
        <v>27</v>
      </c>
      <c r="O177" s="270" t="s">
        <v>69</v>
      </c>
      <c r="P177" s="270" t="s">
        <v>166</v>
      </c>
    </row>
    <row r="178" spans="2:16" ht="9.75" customHeight="1" x14ac:dyDescent="0.2">
      <c r="B178" s="524"/>
      <c r="C178" s="522"/>
      <c r="D178" s="522"/>
      <c r="E178" s="523" t="str">
        <f>LOOKUP(C178,HM!$V$15:$V$655,HM!$W$15:$W$655)</f>
        <v/>
      </c>
      <c r="F178" s="523"/>
      <c r="G178" s="523"/>
      <c r="H178" s="520" t="s">
        <v>2</v>
      </c>
      <c r="I178" s="520"/>
      <c r="J178" s="522" t="str">
        <f>LOOKUP(C178,HM!$V$15:$V$655,HM!$AA$15:$AA$655)</f>
        <v/>
      </c>
      <c r="K178" s="522"/>
      <c r="L178" s="522"/>
      <c r="M178" s="522"/>
      <c r="N178" s="273" t="str">
        <f>LOOKUP(C178,HM!$V$15:$V$655,HM!$AB$15:$AB$655)</f>
        <v/>
      </c>
      <c r="O178" s="273" t="str">
        <f>LOOKUP(C178,HM!$V$15:$V$655,HM!$AC$15:$AC$655)</f>
        <v/>
      </c>
      <c r="P178" s="273" t="str">
        <f>LOOKUP(C178,HM!$V$15:$V$655,HM!$AD$15:$AD$655)</f>
        <v/>
      </c>
    </row>
    <row r="179" spans="2:16" ht="9.75" customHeight="1" x14ac:dyDescent="0.2">
      <c r="B179" s="524"/>
      <c r="C179" s="522"/>
      <c r="D179" s="522"/>
      <c r="E179" s="523"/>
      <c r="F179" s="523"/>
      <c r="G179" s="523"/>
      <c r="H179" s="520" t="s">
        <v>173</v>
      </c>
      <c r="I179" s="520"/>
      <c r="J179" s="522" t="str">
        <f>LOOKUP(C178,HM!$V$15:$V$655,HM!$AE$15:$AE$655)</f>
        <v/>
      </c>
      <c r="K179" s="522"/>
      <c r="L179" s="522"/>
      <c r="M179" s="522"/>
      <c r="N179" s="273" t="str">
        <f>LOOKUP(C178,HM!$V$15:$V$655,HM!$AF$15:$AF$655)</f>
        <v/>
      </c>
      <c r="O179" s="273" t="str">
        <f>LOOKUP(C178,HM!$V$15:$V$655,HM!$AG$15:$AG$655)</f>
        <v/>
      </c>
      <c r="P179" s="273" t="str">
        <f>LOOKUP(C178,HM!$V$15:$V$655,HM!$AH$15:$AH$655)</f>
        <v/>
      </c>
    </row>
    <row r="180" spans="2:16" ht="9.75" customHeight="1" x14ac:dyDescent="0.2">
      <c r="B180" s="270" t="s">
        <v>14</v>
      </c>
      <c r="C180" s="270" t="s">
        <v>26</v>
      </c>
      <c r="D180" s="270" t="s">
        <v>175</v>
      </c>
      <c r="E180" s="523"/>
      <c r="F180" s="523"/>
      <c r="G180" s="523"/>
      <c r="H180" s="520" t="s">
        <v>176</v>
      </c>
      <c r="I180" s="520"/>
      <c r="J180" s="522" t="str">
        <f>LOOKUP(C178,HM!$V$15:$V$655,HM!$AI$15:$AI$655)</f>
        <v/>
      </c>
      <c r="K180" s="522"/>
      <c r="L180" s="522"/>
      <c r="M180" s="522"/>
      <c r="N180" s="273" t="str">
        <f>LOOKUP(C178,HM!$V$15:$V$655,HM!$AJ$15:$AJ$655)</f>
        <v/>
      </c>
      <c r="O180" s="273" t="str">
        <f>LOOKUP(C178,HM!$V$15:$V$655,HM!$AK$15:$AK$655)</f>
        <v/>
      </c>
      <c r="P180" s="273" t="str">
        <f>LOOKUP(C178,HM!$V$15:$V$655,HM!$AL$15:$AL$655)</f>
        <v/>
      </c>
    </row>
    <row r="181" spans="2:16" ht="9.75" customHeight="1" x14ac:dyDescent="0.2">
      <c r="B181" s="273" t="str">
        <f>LOOKUP(C178,HM!$V$15:$V$655,HM!$X$15:$X$655)</f>
        <v/>
      </c>
      <c r="C181" s="273" t="str">
        <f>LOOKUP(C178,HM!$V$15:$V$655,HM!$Y$15:$Y$655)</f>
        <v/>
      </c>
      <c r="D181" s="273" t="str">
        <f>LOOKUP(C178,HM!$V$15:$V$655,HM!$Z$15:$Z$655)</f>
        <v/>
      </c>
      <c r="E181" s="523"/>
      <c r="F181" s="523"/>
      <c r="G181" s="523"/>
      <c r="H181" s="520" t="s">
        <v>179</v>
      </c>
      <c r="I181" s="520"/>
      <c r="J181" s="522" t="str">
        <f>LOOKUP(C178,HM!$V$15:$V$655,HM!$AM$15:$AM$655)</f>
        <v/>
      </c>
      <c r="K181" s="522"/>
      <c r="L181" s="522"/>
      <c r="M181" s="522"/>
      <c r="N181" s="273" t="str">
        <f>LOOKUP(C178,HM!$V$15:$V$655,HM!$AN$15:$AN$655)</f>
        <v/>
      </c>
      <c r="O181" s="273" t="str">
        <f>LOOKUP(C178,HM!$V$15:$V$655,HM!$AO$15:$AO$655)</f>
        <v/>
      </c>
      <c r="P181" s="273" t="str">
        <f>LOOKUP(C178,HM!$V$15:$V$655,HM!$AP$15:$AP$655)</f>
        <v/>
      </c>
    </row>
    <row r="183" spans="2:16" ht="9.75" customHeight="1" x14ac:dyDescent="0.2">
      <c r="B183" s="270" t="s">
        <v>5194</v>
      </c>
      <c r="C183" s="520" t="s">
        <v>0</v>
      </c>
      <c r="D183" s="520"/>
      <c r="E183" s="521" t="s">
        <v>164</v>
      </c>
      <c r="F183" s="521"/>
      <c r="G183" s="521"/>
      <c r="H183" s="520" t="s">
        <v>165</v>
      </c>
      <c r="I183" s="520"/>
      <c r="J183" s="520" t="s">
        <v>164</v>
      </c>
      <c r="K183" s="520"/>
      <c r="L183" s="520"/>
      <c r="M183" s="520"/>
      <c r="N183" s="270" t="s">
        <v>27</v>
      </c>
      <c r="O183" s="270" t="s">
        <v>69</v>
      </c>
      <c r="P183" s="270" t="s">
        <v>166</v>
      </c>
    </row>
    <row r="184" spans="2:16" ht="9.75" customHeight="1" x14ac:dyDescent="0.2">
      <c r="B184" s="524"/>
      <c r="C184" s="522"/>
      <c r="D184" s="522"/>
      <c r="E184" s="523" t="str">
        <f>LOOKUP(C184,HM!$V$15:$V$655,HM!$W$15:$W$655)</f>
        <v/>
      </c>
      <c r="F184" s="523"/>
      <c r="G184" s="523"/>
      <c r="H184" s="520" t="s">
        <v>2</v>
      </c>
      <c r="I184" s="520"/>
      <c r="J184" s="522" t="str">
        <f>LOOKUP(C184,HM!$V$15:$V$655,HM!$AA$15:$AA$655)</f>
        <v/>
      </c>
      <c r="K184" s="522"/>
      <c r="L184" s="522"/>
      <c r="M184" s="522"/>
      <c r="N184" s="273" t="str">
        <f>LOOKUP(C184,HM!$V$15:$V$655,HM!$AB$15:$AB$655)</f>
        <v/>
      </c>
      <c r="O184" s="273" t="str">
        <f>LOOKUP(C184,HM!$V$15:$V$655,HM!$AC$15:$AC$655)</f>
        <v/>
      </c>
      <c r="P184" s="273" t="str">
        <f>LOOKUP(C184,HM!$V$15:$V$655,HM!$AD$15:$AD$655)</f>
        <v/>
      </c>
    </row>
    <row r="185" spans="2:16" ht="9.75" customHeight="1" x14ac:dyDescent="0.2">
      <c r="B185" s="524"/>
      <c r="C185" s="522"/>
      <c r="D185" s="522"/>
      <c r="E185" s="523"/>
      <c r="F185" s="523"/>
      <c r="G185" s="523"/>
      <c r="H185" s="520" t="s">
        <v>173</v>
      </c>
      <c r="I185" s="520"/>
      <c r="J185" s="522" t="str">
        <f>LOOKUP(C184,HM!$V$15:$V$655,HM!$AE$15:$AE$655)</f>
        <v/>
      </c>
      <c r="K185" s="522"/>
      <c r="L185" s="522"/>
      <c r="M185" s="522"/>
      <c r="N185" s="273" t="str">
        <f>LOOKUP(C184,HM!$V$15:$V$655,HM!$AF$15:$AF$655)</f>
        <v/>
      </c>
      <c r="O185" s="273" t="str">
        <f>LOOKUP(C184,HM!$V$15:$V$655,HM!$AG$15:$AG$655)</f>
        <v/>
      </c>
      <c r="P185" s="273" t="str">
        <f>LOOKUP(C184,HM!$V$15:$V$655,HM!$AH$15:$AH$655)</f>
        <v/>
      </c>
    </row>
    <row r="186" spans="2:16" ht="9.75" customHeight="1" x14ac:dyDescent="0.2">
      <c r="B186" s="270" t="s">
        <v>14</v>
      </c>
      <c r="C186" s="270" t="s">
        <v>26</v>
      </c>
      <c r="D186" s="270" t="s">
        <v>175</v>
      </c>
      <c r="E186" s="523"/>
      <c r="F186" s="523"/>
      <c r="G186" s="523"/>
      <c r="H186" s="520" t="s">
        <v>176</v>
      </c>
      <c r="I186" s="520"/>
      <c r="J186" s="522" t="str">
        <f>LOOKUP(C184,HM!$V$15:$V$655,HM!$AI$15:$AI$655)</f>
        <v/>
      </c>
      <c r="K186" s="522"/>
      <c r="L186" s="522"/>
      <c r="M186" s="522"/>
      <c r="N186" s="273" t="str">
        <f>LOOKUP(C184,HM!$V$15:$V$655,HM!$AJ$15:$AJ$655)</f>
        <v/>
      </c>
      <c r="O186" s="273" t="str">
        <f>LOOKUP(C184,HM!$V$15:$V$655,HM!$AK$15:$AK$655)</f>
        <v/>
      </c>
      <c r="P186" s="273" t="str">
        <f>LOOKUP(C184,HM!$V$15:$V$655,HM!$AL$15:$AL$655)</f>
        <v/>
      </c>
    </row>
    <row r="187" spans="2:16" ht="9.75" customHeight="1" x14ac:dyDescent="0.2">
      <c r="B187" s="273" t="str">
        <f>LOOKUP(C184,HM!$V$15:$V$655,HM!$X$15:$X$655)</f>
        <v/>
      </c>
      <c r="C187" s="273" t="str">
        <f>LOOKUP(C184,HM!$V$15:$V$655,HM!$Y$15:$Y$655)</f>
        <v/>
      </c>
      <c r="D187" s="273" t="str">
        <f>LOOKUP(C184,HM!$V$15:$V$655,HM!$Z$15:$Z$655)</f>
        <v/>
      </c>
      <c r="E187" s="523"/>
      <c r="F187" s="523"/>
      <c r="G187" s="523"/>
      <c r="H187" s="520" t="s">
        <v>179</v>
      </c>
      <c r="I187" s="520"/>
      <c r="J187" s="522" t="str">
        <f>LOOKUP(C184,HM!$V$15:$V$655,HM!$AM$15:$AM$655)</f>
        <v/>
      </c>
      <c r="K187" s="522"/>
      <c r="L187" s="522"/>
      <c r="M187" s="522"/>
      <c r="N187" s="273" t="str">
        <f>LOOKUP(C184,HM!$V$15:$V$655,HM!$AN$15:$AN$655)</f>
        <v/>
      </c>
      <c r="O187" s="273" t="str">
        <f>LOOKUP(C184,HM!$V$15:$V$655,HM!$AO$15:$AO$655)</f>
        <v/>
      </c>
      <c r="P187" s="273" t="str">
        <f>LOOKUP(C184,HM!$V$15:$V$655,HM!$AP$15:$AP$655)</f>
        <v/>
      </c>
    </row>
    <row r="189" spans="2:16" ht="9.75" customHeight="1" x14ac:dyDescent="0.2">
      <c r="B189" s="270" t="s">
        <v>5194</v>
      </c>
      <c r="C189" s="520" t="s">
        <v>0</v>
      </c>
      <c r="D189" s="520"/>
      <c r="E189" s="521" t="s">
        <v>164</v>
      </c>
      <c r="F189" s="521"/>
      <c r="G189" s="521"/>
      <c r="H189" s="520" t="s">
        <v>165</v>
      </c>
      <c r="I189" s="520"/>
      <c r="J189" s="520" t="s">
        <v>164</v>
      </c>
      <c r="K189" s="520"/>
      <c r="L189" s="520"/>
      <c r="M189" s="520"/>
      <c r="N189" s="270" t="s">
        <v>27</v>
      </c>
      <c r="O189" s="270" t="s">
        <v>69</v>
      </c>
      <c r="P189" s="270" t="s">
        <v>166</v>
      </c>
    </row>
    <row r="190" spans="2:16" ht="9.75" customHeight="1" x14ac:dyDescent="0.2">
      <c r="B190" s="524"/>
      <c r="C190" s="522"/>
      <c r="D190" s="522"/>
      <c r="E190" s="523" t="str">
        <f>LOOKUP(C190,HM!$V$15:$V$655,HM!$W$15:$W$655)</f>
        <v/>
      </c>
      <c r="F190" s="523"/>
      <c r="G190" s="523"/>
      <c r="H190" s="520" t="s">
        <v>2</v>
      </c>
      <c r="I190" s="520"/>
      <c r="J190" s="522" t="str">
        <f>LOOKUP(C190,HM!$V$15:$V$655,HM!$AA$15:$AA$655)</f>
        <v/>
      </c>
      <c r="K190" s="522"/>
      <c r="L190" s="522"/>
      <c r="M190" s="522"/>
      <c r="N190" s="273" t="str">
        <f>LOOKUP(C190,HM!$V$15:$V$655,HM!$AB$15:$AB$655)</f>
        <v/>
      </c>
      <c r="O190" s="273" t="str">
        <f>LOOKUP(C190,HM!$V$15:$V$655,HM!$AC$15:$AC$655)</f>
        <v/>
      </c>
      <c r="P190" s="273" t="str">
        <f>LOOKUP(C190,HM!$V$15:$V$655,HM!$AD$15:$AD$655)</f>
        <v/>
      </c>
    </row>
    <row r="191" spans="2:16" ht="9.75" customHeight="1" x14ac:dyDescent="0.2">
      <c r="B191" s="524"/>
      <c r="C191" s="522"/>
      <c r="D191" s="522"/>
      <c r="E191" s="523"/>
      <c r="F191" s="523"/>
      <c r="G191" s="523"/>
      <c r="H191" s="520" t="s">
        <v>173</v>
      </c>
      <c r="I191" s="520"/>
      <c r="J191" s="522" t="str">
        <f>LOOKUP(C190,HM!$V$15:$V$655,HM!$AE$15:$AE$655)</f>
        <v/>
      </c>
      <c r="K191" s="522"/>
      <c r="L191" s="522"/>
      <c r="M191" s="522"/>
      <c r="N191" s="273" t="str">
        <f>LOOKUP(C190,HM!$V$15:$V$655,HM!$AF$15:$AF$655)</f>
        <v/>
      </c>
      <c r="O191" s="273" t="str">
        <f>LOOKUP(C190,HM!$V$15:$V$655,HM!$AG$15:$AG$655)</f>
        <v/>
      </c>
      <c r="P191" s="273" t="str">
        <f>LOOKUP(C190,HM!$V$15:$V$655,HM!$AH$15:$AH$655)</f>
        <v/>
      </c>
    </row>
    <row r="192" spans="2:16" ht="9.75" customHeight="1" x14ac:dyDescent="0.2">
      <c r="B192" s="270" t="s">
        <v>14</v>
      </c>
      <c r="C192" s="270" t="s">
        <v>26</v>
      </c>
      <c r="D192" s="270" t="s">
        <v>175</v>
      </c>
      <c r="E192" s="523"/>
      <c r="F192" s="523"/>
      <c r="G192" s="523"/>
      <c r="H192" s="520" t="s">
        <v>176</v>
      </c>
      <c r="I192" s="520"/>
      <c r="J192" s="522" t="str">
        <f>LOOKUP(C190,HM!$V$15:$V$655,HM!$AI$15:$AI$655)</f>
        <v/>
      </c>
      <c r="K192" s="522"/>
      <c r="L192" s="522"/>
      <c r="M192" s="522"/>
      <c r="N192" s="273" t="str">
        <f>LOOKUP(C190,HM!$V$15:$V$655,HM!$AJ$15:$AJ$655)</f>
        <v/>
      </c>
      <c r="O192" s="273" t="str">
        <f>LOOKUP(C190,HM!$V$15:$V$655,HM!$AK$15:$AK$655)</f>
        <v/>
      </c>
      <c r="P192" s="273" t="str">
        <f>LOOKUP(C190,HM!$V$15:$V$655,HM!$AL$15:$AL$655)</f>
        <v/>
      </c>
    </row>
    <row r="193" spans="2:16" ht="9.75" customHeight="1" x14ac:dyDescent="0.2">
      <c r="B193" s="273" t="str">
        <f>LOOKUP(C190,HM!$V$15:$V$655,HM!$X$15:$X$655)</f>
        <v/>
      </c>
      <c r="C193" s="273" t="str">
        <f>LOOKUP(C190,HM!$V$15:$V$655,HM!$Y$15:$Y$655)</f>
        <v/>
      </c>
      <c r="D193" s="273" t="str">
        <f>LOOKUP(C190,HM!$V$15:$V$655,HM!$Z$15:$Z$655)</f>
        <v/>
      </c>
      <c r="E193" s="523"/>
      <c r="F193" s="523"/>
      <c r="G193" s="523"/>
      <c r="H193" s="520" t="s">
        <v>179</v>
      </c>
      <c r="I193" s="520"/>
      <c r="J193" s="522" t="str">
        <f>LOOKUP(C190,HM!$V$15:$V$655,HM!$AM$15:$AM$655)</f>
        <v/>
      </c>
      <c r="K193" s="522"/>
      <c r="L193" s="522"/>
      <c r="M193" s="522"/>
      <c r="N193" s="273" t="str">
        <f>LOOKUP(C190,HM!$V$15:$V$655,HM!$AN$15:$AN$655)</f>
        <v/>
      </c>
      <c r="O193" s="273" t="str">
        <f>LOOKUP(C190,HM!$V$15:$V$655,HM!$AO$15:$AO$655)</f>
        <v/>
      </c>
      <c r="P193" s="273" t="str">
        <f>LOOKUP(C190,HM!$V$15:$V$655,HM!$AP$15:$AP$655)</f>
        <v/>
      </c>
    </row>
    <row r="195" spans="2:16" ht="9.75" customHeight="1" x14ac:dyDescent="0.2">
      <c r="B195" s="270" t="s">
        <v>5194</v>
      </c>
      <c r="C195" s="520" t="s">
        <v>0</v>
      </c>
      <c r="D195" s="520"/>
      <c r="E195" s="521" t="s">
        <v>164</v>
      </c>
      <c r="F195" s="521"/>
      <c r="G195" s="521"/>
      <c r="H195" s="520" t="s">
        <v>165</v>
      </c>
      <c r="I195" s="520"/>
      <c r="J195" s="520" t="s">
        <v>164</v>
      </c>
      <c r="K195" s="520"/>
      <c r="L195" s="520"/>
      <c r="M195" s="520"/>
      <c r="N195" s="270" t="s">
        <v>27</v>
      </c>
      <c r="O195" s="270" t="s">
        <v>69</v>
      </c>
      <c r="P195" s="270" t="s">
        <v>166</v>
      </c>
    </row>
    <row r="196" spans="2:16" ht="9.75" customHeight="1" x14ac:dyDescent="0.2">
      <c r="B196" s="524"/>
      <c r="C196" s="522"/>
      <c r="D196" s="522"/>
      <c r="E196" s="523" t="str">
        <f>LOOKUP(C196,HM!$V$15:$V$655,HM!$W$15:$W$655)</f>
        <v/>
      </c>
      <c r="F196" s="523"/>
      <c r="G196" s="523"/>
      <c r="H196" s="520" t="s">
        <v>2</v>
      </c>
      <c r="I196" s="520"/>
      <c r="J196" s="522" t="str">
        <f>LOOKUP(C196,HM!$V$15:$V$655,HM!$AA$15:$AA$655)</f>
        <v/>
      </c>
      <c r="K196" s="522"/>
      <c r="L196" s="522"/>
      <c r="M196" s="522"/>
      <c r="N196" s="273" t="str">
        <f>LOOKUP(C196,HM!$V$15:$V$655,HM!$AB$15:$AB$655)</f>
        <v/>
      </c>
      <c r="O196" s="273" t="str">
        <f>LOOKUP(C196,HM!$V$15:$V$655,HM!$AC$15:$AC$655)</f>
        <v/>
      </c>
      <c r="P196" s="273" t="str">
        <f>LOOKUP(C196,HM!$V$15:$V$655,HM!$AD$15:$AD$655)</f>
        <v/>
      </c>
    </row>
    <row r="197" spans="2:16" ht="9.75" customHeight="1" x14ac:dyDescent="0.2">
      <c r="B197" s="524"/>
      <c r="C197" s="522"/>
      <c r="D197" s="522"/>
      <c r="E197" s="523"/>
      <c r="F197" s="523"/>
      <c r="G197" s="523"/>
      <c r="H197" s="520" t="s">
        <v>173</v>
      </c>
      <c r="I197" s="520"/>
      <c r="J197" s="522" t="str">
        <f>LOOKUP(C196,HM!$V$15:$V$655,HM!$AE$15:$AE$655)</f>
        <v/>
      </c>
      <c r="K197" s="522"/>
      <c r="L197" s="522"/>
      <c r="M197" s="522"/>
      <c r="N197" s="273" t="str">
        <f>LOOKUP(C196,HM!$V$15:$V$655,HM!$AF$15:$AF$655)</f>
        <v/>
      </c>
      <c r="O197" s="273" t="str">
        <f>LOOKUP(C196,HM!$V$15:$V$655,HM!$AG$15:$AG$655)</f>
        <v/>
      </c>
      <c r="P197" s="273" t="str">
        <f>LOOKUP(C196,HM!$V$15:$V$655,HM!$AH$15:$AH$655)</f>
        <v/>
      </c>
    </row>
    <row r="198" spans="2:16" ht="9.75" customHeight="1" x14ac:dyDescent="0.2">
      <c r="B198" s="270" t="s">
        <v>14</v>
      </c>
      <c r="C198" s="270" t="s">
        <v>26</v>
      </c>
      <c r="D198" s="270" t="s">
        <v>175</v>
      </c>
      <c r="E198" s="523"/>
      <c r="F198" s="523"/>
      <c r="G198" s="523"/>
      <c r="H198" s="520" t="s">
        <v>176</v>
      </c>
      <c r="I198" s="520"/>
      <c r="J198" s="522" t="str">
        <f>LOOKUP(C196,HM!$V$15:$V$655,HM!$AI$15:$AI$655)</f>
        <v/>
      </c>
      <c r="K198" s="522"/>
      <c r="L198" s="522"/>
      <c r="M198" s="522"/>
      <c r="N198" s="273" t="str">
        <f>LOOKUP(C196,HM!$V$15:$V$655,HM!$AJ$15:$AJ$655)</f>
        <v/>
      </c>
      <c r="O198" s="273" t="str">
        <f>LOOKUP(C196,HM!$V$15:$V$655,HM!$AK$15:$AK$655)</f>
        <v/>
      </c>
      <c r="P198" s="273" t="str">
        <f>LOOKUP(C196,HM!$V$15:$V$655,HM!$AL$15:$AL$655)</f>
        <v/>
      </c>
    </row>
    <row r="199" spans="2:16" ht="9.75" customHeight="1" x14ac:dyDescent="0.2">
      <c r="B199" s="273" t="str">
        <f>LOOKUP(C196,HM!$V$15:$V$655,HM!$X$15:$X$655)</f>
        <v/>
      </c>
      <c r="C199" s="273" t="str">
        <f>LOOKUP(C196,HM!$V$15:$V$655,HM!$Y$15:$Y$655)</f>
        <v/>
      </c>
      <c r="D199" s="273" t="str">
        <f>LOOKUP(C196,HM!$V$15:$V$655,HM!$Z$15:$Z$655)</f>
        <v/>
      </c>
      <c r="E199" s="523"/>
      <c r="F199" s="523"/>
      <c r="G199" s="523"/>
      <c r="H199" s="520" t="s">
        <v>179</v>
      </c>
      <c r="I199" s="520"/>
      <c r="J199" s="522" t="str">
        <f>LOOKUP(C196,HM!$V$15:$V$655,HM!$AM$15:$AM$655)</f>
        <v/>
      </c>
      <c r="K199" s="522"/>
      <c r="L199" s="522"/>
      <c r="M199" s="522"/>
      <c r="N199" s="273" t="str">
        <f>LOOKUP(C196,HM!$V$15:$V$655,HM!$AN$15:$AN$655)</f>
        <v/>
      </c>
      <c r="O199" s="273" t="str">
        <f>LOOKUP(C196,HM!$V$15:$V$655,HM!$AO$15:$AO$655)</f>
        <v/>
      </c>
      <c r="P199" s="273" t="str">
        <f>LOOKUP(C196,HM!$V$15:$V$655,HM!$AP$15:$AP$655)</f>
        <v/>
      </c>
    </row>
    <row r="201" spans="2:16" ht="9.75" customHeight="1" x14ac:dyDescent="0.2">
      <c r="B201" s="270" t="s">
        <v>5194</v>
      </c>
      <c r="C201" s="520" t="s">
        <v>0</v>
      </c>
      <c r="D201" s="520"/>
      <c r="E201" s="521" t="s">
        <v>164</v>
      </c>
      <c r="F201" s="521"/>
      <c r="G201" s="521"/>
      <c r="H201" s="520" t="s">
        <v>165</v>
      </c>
      <c r="I201" s="520"/>
      <c r="J201" s="520" t="s">
        <v>164</v>
      </c>
      <c r="K201" s="520"/>
      <c r="L201" s="520"/>
      <c r="M201" s="520"/>
      <c r="N201" s="270" t="s">
        <v>27</v>
      </c>
      <c r="O201" s="270" t="s">
        <v>69</v>
      </c>
      <c r="P201" s="270" t="s">
        <v>166</v>
      </c>
    </row>
    <row r="202" spans="2:16" ht="9.75" customHeight="1" x14ac:dyDescent="0.2">
      <c r="B202" s="524"/>
      <c r="C202" s="522"/>
      <c r="D202" s="522"/>
      <c r="E202" s="523" t="str">
        <f>LOOKUP(C202,HM!$V$15:$V$655,HM!$W$15:$W$655)</f>
        <v/>
      </c>
      <c r="F202" s="523"/>
      <c r="G202" s="523"/>
      <c r="H202" s="520" t="s">
        <v>2</v>
      </c>
      <c r="I202" s="520"/>
      <c r="J202" s="522" t="str">
        <f>LOOKUP(C202,HM!$V$15:$V$655,HM!$AA$15:$AA$655)</f>
        <v/>
      </c>
      <c r="K202" s="522"/>
      <c r="L202" s="522"/>
      <c r="M202" s="522"/>
      <c r="N202" s="273" t="str">
        <f>LOOKUP(C202,HM!$V$15:$V$655,HM!$AB$15:$AB$655)</f>
        <v/>
      </c>
      <c r="O202" s="273" t="str">
        <f>LOOKUP(C202,HM!$V$15:$V$655,HM!$AC$15:$AC$655)</f>
        <v/>
      </c>
      <c r="P202" s="273" t="str">
        <f>LOOKUP(C202,HM!$V$15:$V$655,HM!$AD$15:$AD$655)</f>
        <v/>
      </c>
    </row>
    <row r="203" spans="2:16" ht="9.75" customHeight="1" x14ac:dyDescent="0.2">
      <c r="B203" s="524"/>
      <c r="C203" s="522"/>
      <c r="D203" s="522"/>
      <c r="E203" s="523"/>
      <c r="F203" s="523"/>
      <c r="G203" s="523"/>
      <c r="H203" s="520" t="s">
        <v>173</v>
      </c>
      <c r="I203" s="520"/>
      <c r="J203" s="522" t="str">
        <f>LOOKUP(C202,HM!$V$15:$V$655,HM!$AE$15:$AE$655)</f>
        <v/>
      </c>
      <c r="K203" s="522"/>
      <c r="L203" s="522"/>
      <c r="M203" s="522"/>
      <c r="N203" s="273" t="str">
        <f>LOOKUP(C202,HM!$V$15:$V$655,HM!$AF$15:$AF$655)</f>
        <v/>
      </c>
      <c r="O203" s="273" t="str">
        <f>LOOKUP(C202,HM!$V$15:$V$655,HM!$AG$15:$AG$655)</f>
        <v/>
      </c>
      <c r="P203" s="273" t="str">
        <f>LOOKUP(C202,HM!$V$15:$V$655,HM!$AH$15:$AH$655)</f>
        <v/>
      </c>
    </row>
    <row r="204" spans="2:16" ht="9.75" customHeight="1" x14ac:dyDescent="0.2">
      <c r="B204" s="270" t="s">
        <v>14</v>
      </c>
      <c r="C204" s="270" t="s">
        <v>26</v>
      </c>
      <c r="D204" s="270" t="s">
        <v>175</v>
      </c>
      <c r="E204" s="523"/>
      <c r="F204" s="523"/>
      <c r="G204" s="523"/>
      <c r="H204" s="520" t="s">
        <v>176</v>
      </c>
      <c r="I204" s="520"/>
      <c r="J204" s="522" t="str">
        <f>LOOKUP(C202,HM!$V$15:$V$655,HM!$AI$15:$AI$655)</f>
        <v/>
      </c>
      <c r="K204" s="522"/>
      <c r="L204" s="522"/>
      <c r="M204" s="522"/>
      <c r="N204" s="273" t="str">
        <f>LOOKUP(C202,HM!$V$15:$V$655,HM!$AJ$15:$AJ$655)</f>
        <v/>
      </c>
      <c r="O204" s="273" t="str">
        <f>LOOKUP(C202,HM!$V$15:$V$655,HM!$AK$15:$AK$655)</f>
        <v/>
      </c>
      <c r="P204" s="273" t="str">
        <f>LOOKUP(C202,HM!$V$15:$V$655,HM!$AL$15:$AL$655)</f>
        <v/>
      </c>
    </row>
    <row r="205" spans="2:16" ht="9.75" customHeight="1" x14ac:dyDescent="0.2">
      <c r="B205" s="273" t="str">
        <f>LOOKUP(C202,HM!$V$15:$V$655,HM!$X$15:$X$655)</f>
        <v/>
      </c>
      <c r="C205" s="273" t="str">
        <f>LOOKUP(C202,HM!$V$15:$V$655,HM!$Y$15:$Y$655)</f>
        <v/>
      </c>
      <c r="D205" s="273" t="str">
        <f>LOOKUP(C202,HM!$V$15:$V$655,HM!$Z$15:$Z$655)</f>
        <v/>
      </c>
      <c r="E205" s="523"/>
      <c r="F205" s="523"/>
      <c r="G205" s="523"/>
      <c r="H205" s="520" t="s">
        <v>179</v>
      </c>
      <c r="I205" s="520"/>
      <c r="J205" s="522" t="str">
        <f>LOOKUP(C202,HM!$V$15:$V$655,HM!$AM$15:$AM$655)</f>
        <v/>
      </c>
      <c r="K205" s="522"/>
      <c r="L205" s="522"/>
      <c r="M205" s="522"/>
      <c r="N205" s="273" t="str">
        <f>LOOKUP(C202,HM!$V$15:$V$655,HM!$AN$15:$AN$655)</f>
        <v/>
      </c>
      <c r="O205" s="273" t="str">
        <f>LOOKUP(C202,HM!$V$15:$V$655,HM!$AO$15:$AO$655)</f>
        <v/>
      </c>
      <c r="P205" s="273" t="str">
        <f>LOOKUP(C202,HM!$V$15:$V$655,HM!$AP$15:$AP$655)</f>
        <v/>
      </c>
    </row>
  </sheetData>
  <sheetProtection selectLockedCells="1" selectUnlockedCells="1"/>
  <sortState ref="Q2:T41">
    <sortCondition descending="1" ref="Q2:Q41"/>
  </sortState>
  <mergeCells count="511">
    <mergeCell ref="C201:D201"/>
    <mergeCell ref="E201:G201"/>
    <mergeCell ref="H201:I201"/>
    <mergeCell ref="J201:M201"/>
    <mergeCell ref="B202:B203"/>
    <mergeCell ref="C202:D203"/>
    <mergeCell ref="E202:G205"/>
    <mergeCell ref="H202:I202"/>
    <mergeCell ref="J202:M202"/>
    <mergeCell ref="H203:I203"/>
    <mergeCell ref="J203:M203"/>
    <mergeCell ref="H204:I204"/>
    <mergeCell ref="J204:M204"/>
    <mergeCell ref="H205:I205"/>
    <mergeCell ref="J205:M205"/>
    <mergeCell ref="C195:D195"/>
    <mergeCell ref="E195:G195"/>
    <mergeCell ref="H195:I195"/>
    <mergeCell ref="J195:M195"/>
    <mergeCell ref="B196:B197"/>
    <mergeCell ref="C196:D197"/>
    <mergeCell ref="E196:G199"/>
    <mergeCell ref="H196:I196"/>
    <mergeCell ref="J196:M196"/>
    <mergeCell ref="H197:I197"/>
    <mergeCell ref="J197:M197"/>
    <mergeCell ref="H198:I198"/>
    <mergeCell ref="J198:M198"/>
    <mergeCell ref="H199:I199"/>
    <mergeCell ref="J199:M199"/>
    <mergeCell ref="C189:D189"/>
    <mergeCell ref="E189:G189"/>
    <mergeCell ref="H189:I189"/>
    <mergeCell ref="J189:M189"/>
    <mergeCell ref="B190:B191"/>
    <mergeCell ref="C190:D191"/>
    <mergeCell ref="E190:G193"/>
    <mergeCell ref="H190:I190"/>
    <mergeCell ref="J190:M190"/>
    <mergeCell ref="H191:I191"/>
    <mergeCell ref="J191:M191"/>
    <mergeCell ref="H192:I192"/>
    <mergeCell ref="J192:M192"/>
    <mergeCell ref="H193:I193"/>
    <mergeCell ref="J193:M193"/>
    <mergeCell ref="C183:D183"/>
    <mergeCell ref="E183:G183"/>
    <mergeCell ref="H183:I183"/>
    <mergeCell ref="J183:M183"/>
    <mergeCell ref="B184:B185"/>
    <mergeCell ref="C184:D185"/>
    <mergeCell ref="E184:G187"/>
    <mergeCell ref="H184:I184"/>
    <mergeCell ref="J184:M184"/>
    <mergeCell ref="H185:I185"/>
    <mergeCell ref="J185:M185"/>
    <mergeCell ref="H186:I186"/>
    <mergeCell ref="J186:M186"/>
    <mergeCell ref="H187:I187"/>
    <mergeCell ref="J187:M187"/>
    <mergeCell ref="C177:D177"/>
    <mergeCell ref="E177:G177"/>
    <mergeCell ref="H177:I177"/>
    <mergeCell ref="J177:M177"/>
    <mergeCell ref="B178:B179"/>
    <mergeCell ref="C178:D179"/>
    <mergeCell ref="E178:G181"/>
    <mergeCell ref="H178:I178"/>
    <mergeCell ref="J178:M178"/>
    <mergeCell ref="H179:I179"/>
    <mergeCell ref="J179:M179"/>
    <mergeCell ref="H180:I180"/>
    <mergeCell ref="J180:M180"/>
    <mergeCell ref="H181:I181"/>
    <mergeCell ref="J181:M181"/>
    <mergeCell ref="C171:D171"/>
    <mergeCell ref="E171:G171"/>
    <mergeCell ref="H171:I171"/>
    <mergeCell ref="J171:M171"/>
    <mergeCell ref="B172:B173"/>
    <mergeCell ref="C172:D173"/>
    <mergeCell ref="E172:G175"/>
    <mergeCell ref="H172:I172"/>
    <mergeCell ref="J172:M172"/>
    <mergeCell ref="H173:I173"/>
    <mergeCell ref="J173:M173"/>
    <mergeCell ref="H174:I174"/>
    <mergeCell ref="J174:M174"/>
    <mergeCell ref="H175:I175"/>
    <mergeCell ref="J175:M175"/>
    <mergeCell ref="C165:D165"/>
    <mergeCell ref="E165:G165"/>
    <mergeCell ref="H165:I165"/>
    <mergeCell ref="J165:M165"/>
    <mergeCell ref="B166:B167"/>
    <mergeCell ref="C166:D167"/>
    <mergeCell ref="E166:G169"/>
    <mergeCell ref="H166:I166"/>
    <mergeCell ref="J166:M166"/>
    <mergeCell ref="H167:I167"/>
    <mergeCell ref="J167:M167"/>
    <mergeCell ref="H168:I168"/>
    <mergeCell ref="J168:M168"/>
    <mergeCell ref="H169:I169"/>
    <mergeCell ref="J169:M169"/>
    <mergeCell ref="C159:D159"/>
    <mergeCell ref="E159:G159"/>
    <mergeCell ref="H159:I159"/>
    <mergeCell ref="J159:M159"/>
    <mergeCell ref="B160:B161"/>
    <mergeCell ref="C160:D161"/>
    <mergeCell ref="E160:G163"/>
    <mergeCell ref="H160:I160"/>
    <mergeCell ref="J160:M160"/>
    <mergeCell ref="H161:I161"/>
    <mergeCell ref="J161:M161"/>
    <mergeCell ref="H162:I162"/>
    <mergeCell ref="J162:M162"/>
    <mergeCell ref="H163:I163"/>
    <mergeCell ref="J163:M163"/>
    <mergeCell ref="C153:D153"/>
    <mergeCell ref="E153:G153"/>
    <mergeCell ref="H153:I153"/>
    <mergeCell ref="J153:M153"/>
    <mergeCell ref="B154:B155"/>
    <mergeCell ref="C154:D155"/>
    <mergeCell ref="E154:G157"/>
    <mergeCell ref="H154:I154"/>
    <mergeCell ref="J154:M154"/>
    <mergeCell ref="H155:I155"/>
    <mergeCell ref="J155:M155"/>
    <mergeCell ref="H156:I156"/>
    <mergeCell ref="J156:M156"/>
    <mergeCell ref="H157:I157"/>
    <mergeCell ref="J157:M157"/>
    <mergeCell ref="C147:D147"/>
    <mergeCell ref="E147:G147"/>
    <mergeCell ref="H147:I147"/>
    <mergeCell ref="J147:M147"/>
    <mergeCell ref="B148:B149"/>
    <mergeCell ref="C148:D149"/>
    <mergeCell ref="E148:G151"/>
    <mergeCell ref="H148:I148"/>
    <mergeCell ref="J148:M148"/>
    <mergeCell ref="H149:I149"/>
    <mergeCell ref="J149:M149"/>
    <mergeCell ref="H150:I150"/>
    <mergeCell ref="J150:M150"/>
    <mergeCell ref="H151:I151"/>
    <mergeCell ref="J151:M151"/>
    <mergeCell ref="C141:D141"/>
    <mergeCell ref="E141:G141"/>
    <mergeCell ref="H141:I141"/>
    <mergeCell ref="J141:M141"/>
    <mergeCell ref="B142:B143"/>
    <mergeCell ref="C142:D143"/>
    <mergeCell ref="E142:G145"/>
    <mergeCell ref="H142:I142"/>
    <mergeCell ref="J142:M142"/>
    <mergeCell ref="H143:I143"/>
    <mergeCell ref="J143:M143"/>
    <mergeCell ref="H144:I144"/>
    <mergeCell ref="J144:M144"/>
    <mergeCell ref="H145:I145"/>
    <mergeCell ref="J145:M145"/>
    <mergeCell ref="C135:D135"/>
    <mergeCell ref="E135:G135"/>
    <mergeCell ref="H135:I135"/>
    <mergeCell ref="J135:M135"/>
    <mergeCell ref="B136:B137"/>
    <mergeCell ref="C136:D137"/>
    <mergeCell ref="E136:G139"/>
    <mergeCell ref="H136:I136"/>
    <mergeCell ref="J136:M136"/>
    <mergeCell ref="H137:I137"/>
    <mergeCell ref="J137:M137"/>
    <mergeCell ref="H138:I138"/>
    <mergeCell ref="J138:M138"/>
    <mergeCell ref="H139:I139"/>
    <mergeCell ref="J139:M139"/>
    <mergeCell ref="C129:D129"/>
    <mergeCell ref="E129:G129"/>
    <mergeCell ref="H129:I129"/>
    <mergeCell ref="J129:M129"/>
    <mergeCell ref="B130:B131"/>
    <mergeCell ref="C130:D131"/>
    <mergeCell ref="E130:G133"/>
    <mergeCell ref="H130:I130"/>
    <mergeCell ref="J130:M130"/>
    <mergeCell ref="H131:I131"/>
    <mergeCell ref="J131:M131"/>
    <mergeCell ref="H132:I132"/>
    <mergeCell ref="J132:M132"/>
    <mergeCell ref="H133:I133"/>
    <mergeCell ref="J133:M133"/>
    <mergeCell ref="C123:D123"/>
    <mergeCell ref="E123:G123"/>
    <mergeCell ref="H123:I123"/>
    <mergeCell ref="J123:M123"/>
    <mergeCell ref="B124:B125"/>
    <mergeCell ref="C124:D125"/>
    <mergeCell ref="E124:G127"/>
    <mergeCell ref="H124:I124"/>
    <mergeCell ref="J124:M124"/>
    <mergeCell ref="H125:I125"/>
    <mergeCell ref="J125:M125"/>
    <mergeCell ref="H126:I126"/>
    <mergeCell ref="J126:M126"/>
    <mergeCell ref="H127:I127"/>
    <mergeCell ref="J127:M127"/>
    <mergeCell ref="C117:D117"/>
    <mergeCell ref="E117:G117"/>
    <mergeCell ref="H117:I117"/>
    <mergeCell ref="J117:M117"/>
    <mergeCell ref="B118:B119"/>
    <mergeCell ref="C118:D119"/>
    <mergeCell ref="E118:G121"/>
    <mergeCell ref="H118:I118"/>
    <mergeCell ref="J118:M118"/>
    <mergeCell ref="H119:I119"/>
    <mergeCell ref="J119:M119"/>
    <mergeCell ref="H120:I120"/>
    <mergeCell ref="J120:M120"/>
    <mergeCell ref="H121:I121"/>
    <mergeCell ref="J121:M121"/>
    <mergeCell ref="C111:D111"/>
    <mergeCell ref="E111:G111"/>
    <mergeCell ref="H111:I111"/>
    <mergeCell ref="J111:M111"/>
    <mergeCell ref="B112:B113"/>
    <mergeCell ref="C112:D113"/>
    <mergeCell ref="E112:G115"/>
    <mergeCell ref="H112:I112"/>
    <mergeCell ref="J112:M112"/>
    <mergeCell ref="H113:I113"/>
    <mergeCell ref="J113:M113"/>
    <mergeCell ref="H114:I114"/>
    <mergeCell ref="J114:M114"/>
    <mergeCell ref="H115:I115"/>
    <mergeCell ref="J115:M115"/>
    <mergeCell ref="C105:D105"/>
    <mergeCell ref="E105:G105"/>
    <mergeCell ref="H105:I105"/>
    <mergeCell ref="J105:M105"/>
    <mergeCell ref="B106:B107"/>
    <mergeCell ref="C106:D107"/>
    <mergeCell ref="E106:G109"/>
    <mergeCell ref="H106:I106"/>
    <mergeCell ref="J106:M106"/>
    <mergeCell ref="H107:I107"/>
    <mergeCell ref="J107:M107"/>
    <mergeCell ref="H108:I108"/>
    <mergeCell ref="J108:M108"/>
    <mergeCell ref="H109:I109"/>
    <mergeCell ref="J109:M109"/>
    <mergeCell ref="C99:D99"/>
    <mergeCell ref="E99:G99"/>
    <mergeCell ref="H99:I99"/>
    <mergeCell ref="J99:M99"/>
    <mergeCell ref="B100:B101"/>
    <mergeCell ref="C100:D101"/>
    <mergeCell ref="E100:G103"/>
    <mergeCell ref="H100:I100"/>
    <mergeCell ref="J100:M100"/>
    <mergeCell ref="H101:I101"/>
    <mergeCell ref="J101:M101"/>
    <mergeCell ref="H102:I102"/>
    <mergeCell ref="J102:M102"/>
    <mergeCell ref="H103:I103"/>
    <mergeCell ref="J103:M103"/>
    <mergeCell ref="C93:D93"/>
    <mergeCell ref="E93:G93"/>
    <mergeCell ref="H93:I93"/>
    <mergeCell ref="J93:M93"/>
    <mergeCell ref="B94:B95"/>
    <mergeCell ref="C94:D95"/>
    <mergeCell ref="E94:G97"/>
    <mergeCell ref="H94:I94"/>
    <mergeCell ref="J94:M94"/>
    <mergeCell ref="H95:I95"/>
    <mergeCell ref="J95:M95"/>
    <mergeCell ref="H96:I96"/>
    <mergeCell ref="J96:M96"/>
    <mergeCell ref="H97:I97"/>
    <mergeCell ref="J97:M97"/>
    <mergeCell ref="C87:D87"/>
    <mergeCell ref="E87:G87"/>
    <mergeCell ref="H87:I87"/>
    <mergeCell ref="J87:M87"/>
    <mergeCell ref="B88:B89"/>
    <mergeCell ref="C88:D89"/>
    <mergeCell ref="E88:G91"/>
    <mergeCell ref="H88:I88"/>
    <mergeCell ref="J88:M88"/>
    <mergeCell ref="H89:I89"/>
    <mergeCell ref="J89:M89"/>
    <mergeCell ref="H90:I90"/>
    <mergeCell ref="J90:M90"/>
    <mergeCell ref="H91:I91"/>
    <mergeCell ref="J91:M91"/>
    <mergeCell ref="C81:D81"/>
    <mergeCell ref="E81:G81"/>
    <mergeCell ref="H81:I81"/>
    <mergeCell ref="J81:M81"/>
    <mergeCell ref="B82:B83"/>
    <mergeCell ref="C82:D83"/>
    <mergeCell ref="E82:G85"/>
    <mergeCell ref="H82:I82"/>
    <mergeCell ref="J82:M82"/>
    <mergeCell ref="H83:I83"/>
    <mergeCell ref="J83:M83"/>
    <mergeCell ref="H84:I84"/>
    <mergeCell ref="J84:M84"/>
    <mergeCell ref="H85:I85"/>
    <mergeCell ref="J85:M85"/>
    <mergeCell ref="C75:D75"/>
    <mergeCell ref="E75:G75"/>
    <mergeCell ref="H75:I75"/>
    <mergeCell ref="J75:M75"/>
    <mergeCell ref="B76:B77"/>
    <mergeCell ref="C76:D77"/>
    <mergeCell ref="E76:G79"/>
    <mergeCell ref="H76:I76"/>
    <mergeCell ref="J76:M76"/>
    <mergeCell ref="H77:I77"/>
    <mergeCell ref="J77:M77"/>
    <mergeCell ref="H78:I78"/>
    <mergeCell ref="J78:M78"/>
    <mergeCell ref="H79:I79"/>
    <mergeCell ref="J79:M79"/>
    <mergeCell ref="C69:D69"/>
    <mergeCell ref="E69:G69"/>
    <mergeCell ref="H69:I69"/>
    <mergeCell ref="J69:M69"/>
    <mergeCell ref="B70:B71"/>
    <mergeCell ref="C70:D71"/>
    <mergeCell ref="E70:G73"/>
    <mergeCell ref="H70:I70"/>
    <mergeCell ref="J70:M70"/>
    <mergeCell ref="H71:I71"/>
    <mergeCell ref="J71:M71"/>
    <mergeCell ref="H72:I72"/>
    <mergeCell ref="J72:M72"/>
    <mergeCell ref="H73:I73"/>
    <mergeCell ref="J73:M73"/>
    <mergeCell ref="C63:D63"/>
    <mergeCell ref="E63:G63"/>
    <mergeCell ref="H63:I63"/>
    <mergeCell ref="J63:M63"/>
    <mergeCell ref="B64:B65"/>
    <mergeCell ref="C64:D65"/>
    <mergeCell ref="E64:G67"/>
    <mergeCell ref="H64:I64"/>
    <mergeCell ref="J64:M64"/>
    <mergeCell ref="H65:I65"/>
    <mergeCell ref="J65:M65"/>
    <mergeCell ref="H66:I66"/>
    <mergeCell ref="J66:M66"/>
    <mergeCell ref="H67:I67"/>
    <mergeCell ref="J67:M67"/>
    <mergeCell ref="C57:D57"/>
    <mergeCell ref="E57:G57"/>
    <mergeCell ref="H57:I57"/>
    <mergeCell ref="J57:M57"/>
    <mergeCell ref="B58:B59"/>
    <mergeCell ref="C58:D59"/>
    <mergeCell ref="E58:G61"/>
    <mergeCell ref="H58:I58"/>
    <mergeCell ref="J58:M58"/>
    <mergeCell ref="H59:I59"/>
    <mergeCell ref="J59:M59"/>
    <mergeCell ref="H60:I60"/>
    <mergeCell ref="J60:M60"/>
    <mergeCell ref="H61:I61"/>
    <mergeCell ref="J61:M61"/>
    <mergeCell ref="C51:D51"/>
    <mergeCell ref="E51:G51"/>
    <mergeCell ref="H51:I51"/>
    <mergeCell ref="J51:M51"/>
    <mergeCell ref="B52:B53"/>
    <mergeCell ref="C52:D53"/>
    <mergeCell ref="E52:G55"/>
    <mergeCell ref="H52:I52"/>
    <mergeCell ref="J52:M52"/>
    <mergeCell ref="H53:I53"/>
    <mergeCell ref="J53:M53"/>
    <mergeCell ref="H54:I54"/>
    <mergeCell ref="J54:M54"/>
    <mergeCell ref="H55:I55"/>
    <mergeCell ref="J55:M55"/>
    <mergeCell ref="C45:D45"/>
    <mergeCell ref="E45:G45"/>
    <mergeCell ref="H45:I45"/>
    <mergeCell ref="J45:M45"/>
    <mergeCell ref="B46:B47"/>
    <mergeCell ref="C46:D47"/>
    <mergeCell ref="E46:G49"/>
    <mergeCell ref="H46:I46"/>
    <mergeCell ref="J46:M46"/>
    <mergeCell ref="H47:I47"/>
    <mergeCell ref="J47:M47"/>
    <mergeCell ref="H48:I48"/>
    <mergeCell ref="J48:M48"/>
    <mergeCell ref="H49:I49"/>
    <mergeCell ref="J49:M49"/>
    <mergeCell ref="C39:D39"/>
    <mergeCell ref="E39:G39"/>
    <mergeCell ref="H39:I39"/>
    <mergeCell ref="J39:M39"/>
    <mergeCell ref="B40:B41"/>
    <mergeCell ref="C40:D41"/>
    <mergeCell ref="E40:G43"/>
    <mergeCell ref="H40:I40"/>
    <mergeCell ref="J40:M40"/>
    <mergeCell ref="H41:I41"/>
    <mergeCell ref="J41:M41"/>
    <mergeCell ref="H42:I42"/>
    <mergeCell ref="J42:M42"/>
    <mergeCell ref="H43:I43"/>
    <mergeCell ref="J43:M43"/>
    <mergeCell ref="C33:D33"/>
    <mergeCell ref="E33:G33"/>
    <mergeCell ref="H33:I33"/>
    <mergeCell ref="J33:M33"/>
    <mergeCell ref="B34:B35"/>
    <mergeCell ref="C34:D35"/>
    <mergeCell ref="E34:G37"/>
    <mergeCell ref="H34:I34"/>
    <mergeCell ref="J34:M34"/>
    <mergeCell ref="H35:I35"/>
    <mergeCell ref="J35:M35"/>
    <mergeCell ref="H36:I36"/>
    <mergeCell ref="J36:M36"/>
    <mergeCell ref="H37:I37"/>
    <mergeCell ref="J37:M37"/>
    <mergeCell ref="B28:B29"/>
    <mergeCell ref="C28:D29"/>
    <mergeCell ref="E28:G31"/>
    <mergeCell ref="H28:I28"/>
    <mergeCell ref="J28:M28"/>
    <mergeCell ref="H29:I29"/>
    <mergeCell ref="J29:M29"/>
    <mergeCell ref="H30:I30"/>
    <mergeCell ref="J30:M30"/>
    <mergeCell ref="H31:I31"/>
    <mergeCell ref="J31:M31"/>
    <mergeCell ref="B22:B23"/>
    <mergeCell ref="C22:D23"/>
    <mergeCell ref="E22:G25"/>
    <mergeCell ref="H22:I22"/>
    <mergeCell ref="J22:M22"/>
    <mergeCell ref="H23:I23"/>
    <mergeCell ref="J23:M23"/>
    <mergeCell ref="H24:I24"/>
    <mergeCell ref="J24:M24"/>
    <mergeCell ref="H25:I25"/>
    <mergeCell ref="J25:M25"/>
    <mergeCell ref="H9:I9"/>
    <mergeCell ref="J9:M9"/>
    <mergeCell ref="H10:I10"/>
    <mergeCell ref="J10:M10"/>
    <mergeCell ref="H11:I11"/>
    <mergeCell ref="J11:M11"/>
    <mergeCell ref="H12:I12"/>
    <mergeCell ref="J12:M12"/>
    <mergeCell ref="C9:D9"/>
    <mergeCell ref="E9:G9"/>
    <mergeCell ref="B4:B5"/>
    <mergeCell ref="C4:D5"/>
    <mergeCell ref="E4:G7"/>
    <mergeCell ref="H4:I4"/>
    <mergeCell ref="J4:M4"/>
    <mergeCell ref="H5:I5"/>
    <mergeCell ref="J5:M5"/>
    <mergeCell ref="H6:I6"/>
    <mergeCell ref="J6:M6"/>
    <mergeCell ref="H7:I7"/>
    <mergeCell ref="J7:M7"/>
    <mergeCell ref="E15:G15"/>
    <mergeCell ref="B10:B11"/>
    <mergeCell ref="C10:D11"/>
    <mergeCell ref="E10:G13"/>
    <mergeCell ref="H13:I13"/>
    <mergeCell ref="J13:M13"/>
    <mergeCell ref="H15:I15"/>
    <mergeCell ref="J15:M15"/>
    <mergeCell ref="B16:B17"/>
    <mergeCell ref="B1:P1"/>
    <mergeCell ref="C3:D3"/>
    <mergeCell ref="E3:G3"/>
    <mergeCell ref="H3:I3"/>
    <mergeCell ref="J3:M3"/>
    <mergeCell ref="C27:D27"/>
    <mergeCell ref="E27:G27"/>
    <mergeCell ref="H27:I27"/>
    <mergeCell ref="J27:M27"/>
    <mergeCell ref="C21:D21"/>
    <mergeCell ref="E21:G21"/>
    <mergeCell ref="H21:I21"/>
    <mergeCell ref="J21:M21"/>
    <mergeCell ref="C16:D17"/>
    <mergeCell ref="E16:G19"/>
    <mergeCell ref="H16:I16"/>
    <mergeCell ref="J16:M16"/>
    <mergeCell ref="H17:I17"/>
    <mergeCell ref="J17:M17"/>
    <mergeCell ref="H18:I18"/>
    <mergeCell ref="J18:M18"/>
    <mergeCell ref="H19:I19"/>
    <mergeCell ref="J19:M19"/>
    <mergeCell ref="C15:D15"/>
  </mergeCells>
  <dataValidations count="1">
    <dataValidation type="list" allowBlank="1" showInputMessage="1" showErrorMessage="1" sqref="B4:B5 B10:B11 B16:B17 B22:B23 B28:B29 B34:B35 B40:B41 B46:B47 B52:B53 B58:B59 B64:B65 B70:B71 B76:B77 B82:B83 B88:B89 B94:B95 B100:B101 B106:B107 B112:B113 B118:B119 B124:B125 B130:B131 B136:B137 B142:B143 B148:B149 B154:B155 B160:B161 B166:B167 B172:B173 B178:B179 B184:B185 B190:B191 B196:B197 B202:B20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CHOOSE((LOOKUP(B4,HM!$A$91:$B$125)),m.22,m.27,m.5,m.6,m.8,m.1,m.33,m.2,m.7,m.10,m.25,m.3,m.9,m.21,m.23,m.24,m.26,m.28,m.29,m.4,m.30,m.31,m.32,m.34,m.35,m.12,M.11,m.13,m.14,m.15,m.16,m.17,m.18,m.19,m.20)</xm:f>
          </x14:formula1>
          <xm:sqref>C4:D5 C10:D11 C16:D17 C22:D23 C28:D29 C34:D35 C40:D41 C46:D47 C52:D53 C58:D59 C64:D65 C70:D71 C76:D77 C82:D83 C88:D89 C94:D95 C100:D101 C106:D107 C112:D113 C118:D119 C124:D125 C130:D131 C136:D137 C142:D143 C148:D149 C154:D155 C160:D161 C166:D167 C172:D173 C178:D179 C184:D185 C190:D191 C196:D197 C202:D203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157</vt:i4>
      </vt:variant>
    </vt:vector>
  </HeadingPairs>
  <TitlesOfParts>
    <vt:vector size="169" baseType="lpstr">
      <vt:lpstr>Hoja básica</vt:lpstr>
      <vt:lpstr>Técnicas de Ki</vt:lpstr>
      <vt:lpstr>TS</vt:lpstr>
      <vt:lpstr>Arcana Sepirah</vt:lpstr>
      <vt:lpstr>Hoja1</vt:lpstr>
      <vt:lpstr>Sheet3</vt:lpstr>
      <vt:lpstr>Sheet2</vt:lpstr>
      <vt:lpstr>KI</vt:lpstr>
      <vt:lpstr>Visor de hechizos</vt:lpstr>
      <vt:lpstr>HM</vt:lpstr>
      <vt:lpstr>Sel.Poderes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b.1</vt:lpstr>
      <vt:lpstr>b.2</vt:lpstr>
      <vt:lpstr>b.3</vt:lpstr>
      <vt:lpstr>b.4</vt:lpstr>
      <vt:lpstr>casco</vt:lpstr>
      <vt:lpstr>coste.sepirah</vt:lpstr>
      <vt:lpstr>DAt</vt:lpstr>
      <vt:lpstr>de.1</vt:lpstr>
      <vt:lpstr>de.2</vt:lpstr>
      <vt:lpstr>de.3</vt:lpstr>
      <vt:lpstr>de.4</vt:lpstr>
      <vt:lpstr>e.1</vt:lpstr>
      <vt:lpstr>e.10</vt:lpstr>
      <vt:lpstr>e.11</vt:lpstr>
      <vt:lpstr>e.12</vt:lpstr>
      <vt:lpstr>e.13</vt:lpstr>
      <vt:lpstr>e.14</vt:lpstr>
      <vt:lpstr>e.2</vt:lpstr>
      <vt:lpstr>e.3</vt:lpstr>
      <vt:lpstr>e.4</vt:lpstr>
      <vt:lpstr>e.5</vt:lpstr>
      <vt:lpstr>e.6</vt:lpstr>
      <vt:lpstr>e.7</vt:lpstr>
      <vt:lpstr>e.8</vt:lpstr>
      <vt:lpstr>e.9</vt:lpstr>
      <vt:lpstr>ee.1</vt:lpstr>
      <vt:lpstr>ee.10</vt:lpstr>
      <vt:lpstr>ee.11</vt:lpstr>
      <vt:lpstr>ee.12</vt:lpstr>
      <vt:lpstr>ee.13</vt:lpstr>
      <vt:lpstr>ee.14</vt:lpstr>
      <vt:lpstr>ee.2</vt:lpstr>
      <vt:lpstr>ee.3</vt:lpstr>
      <vt:lpstr>ee.4</vt:lpstr>
      <vt:lpstr>ee.5</vt:lpstr>
      <vt:lpstr>ee.6</vt:lpstr>
      <vt:lpstr>ee.7</vt:lpstr>
      <vt:lpstr>ee.8</vt:lpstr>
      <vt:lpstr>ee.9</vt:lpstr>
      <vt:lpstr>Excel_BuiltIn__FilterDatabase_1</vt:lpstr>
      <vt:lpstr>ki</vt:lpstr>
      <vt:lpstr>ki.</vt:lpstr>
      <vt:lpstr>ki..</vt:lpstr>
      <vt:lpstr>Ki...</vt:lpstr>
      <vt:lpstr>Legados.De.Sangre</vt:lpstr>
      <vt:lpstr>Límites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PoderesAS</vt:lpstr>
      <vt:lpstr>podpsi1</vt:lpstr>
      <vt:lpstr>prueba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v.1</vt:lpstr>
      <vt:lpstr>v.11</vt:lpstr>
      <vt:lpstr>v.12</vt:lpstr>
      <vt:lpstr>v.13</vt:lpstr>
      <vt:lpstr>v.14</vt:lpstr>
      <vt:lpstr>v.15</vt:lpstr>
      <vt:lpstr>v.16</vt:lpstr>
      <vt:lpstr>v.17</vt:lpstr>
      <vt:lpstr>v.2</vt:lpstr>
      <vt:lpstr>v.3</vt:lpstr>
      <vt:lpstr>v.4</vt:lpstr>
      <vt:lpstr>v.5</vt:lpstr>
      <vt:lpstr>v.6</vt:lpstr>
      <vt:lpstr>v.7</vt:lpstr>
      <vt:lpstr>ve.1</vt:lpstr>
      <vt:lpstr>ve.2</vt:lpstr>
      <vt:lpstr>ve.3</vt:lpstr>
      <vt:lpstr>ve.4</vt:lpstr>
      <vt:lpstr>vias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Alfredo</cp:lastModifiedBy>
  <cp:lastPrinted>2017-12-23T21:35:49Z</cp:lastPrinted>
  <dcterms:created xsi:type="dcterms:W3CDTF">2017-04-15T20:38:22Z</dcterms:created>
  <dcterms:modified xsi:type="dcterms:W3CDTF">2017-12-27T22:39:03Z</dcterms:modified>
</cp:coreProperties>
</file>