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r="W59" i="1" l="1"/>
  <c r="W60" i="1"/>
  <c r="W61" i="1"/>
  <c r="W62" i="1"/>
  <c r="W63" i="1"/>
  <c r="CT69" i="1" l="1"/>
  <c r="CU83" i="1" s="1"/>
  <c r="CT68" i="1"/>
  <c r="CU75" i="1" s="1"/>
  <c r="CU64" i="1"/>
  <c r="CS64" i="1"/>
  <c r="CS66" i="1"/>
  <c r="CS67" i="1" s="1"/>
  <c r="CU67" i="1"/>
  <c r="CU79" i="1" s="1"/>
  <c r="CU78" i="1" l="1"/>
  <c r="CU82" i="1"/>
  <c r="CU77" i="1"/>
  <c r="CU81" i="1"/>
  <c r="CU74" i="1"/>
  <c r="CU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D11" i="1"/>
  <c r="BI11" i="1"/>
  <c r="BL11" i="1"/>
  <c r="BM11" i="1"/>
  <c r="D12" i="1"/>
  <c r="AF5" i="1" s="1"/>
  <c r="BL12" i="1"/>
  <c r="BM12" i="1"/>
  <c r="D13" i="1"/>
  <c r="P91" i="1" s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D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O38" i="5" l="1"/>
  <c r="AG31" i="3"/>
  <c r="P90" i="1"/>
  <c r="U85" i="1" s="1"/>
  <c r="O86" i="1"/>
  <c r="O88" i="1" s="1"/>
  <c r="O89" i="1" s="1"/>
  <c r="U94" i="1"/>
  <c r="U96" i="1"/>
  <c r="U95" i="1"/>
  <c r="Q10" i="5"/>
  <c r="L7" i="5"/>
  <c r="Q28" i="5"/>
  <c r="H12" i="5"/>
  <c r="Q6" i="5"/>
  <c r="F4" i="5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I13" i="1"/>
  <c r="J251" i="3"/>
  <c r="I12" i="1"/>
  <c r="CV17" i="1"/>
  <c r="DA17" i="1" s="1"/>
  <c r="CV16" i="1"/>
  <c r="CV15" i="1"/>
  <c r="DA15" i="1" s="1"/>
  <c r="CV14" i="1"/>
  <c r="DA14" i="1" s="1"/>
  <c r="DA16" i="1"/>
  <c r="G252" i="3"/>
  <c r="Q86" i="1"/>
  <c r="Q89" i="1" s="1"/>
  <c r="G256" i="3"/>
  <c r="CW36" i="1"/>
  <c r="CV31" i="1"/>
  <c r="CR31" i="1"/>
  <c r="AF6" i="1"/>
  <c r="BF46" i="3"/>
  <c r="E11" i="1"/>
  <c r="F74" i="1" s="1"/>
  <c r="H74" i="1" s="1"/>
  <c r="E10" i="1"/>
  <c r="AF3" i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AG11" i="1" l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<sst xmlns="http://schemas.openxmlformats.org/spreadsheetml/2006/main" count="15932" uniqueCount="5607">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</sst>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15" xfId="9" applyBorder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1" fillId="2" borderId="12" xfId="2" applyBorder="1">
      <alignment horizontal="center" vertical="center"/>
    </xf>
    <xf numFmtId="0" fontId="1" fillId="2" borderId="15" xfId="2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8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9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4" dataDxfId="73">
  <autoFilter ref="AX3:BI160"/>
  <sortState ref="AX4:BI160">
    <sortCondition ref="AX3:AX160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topLeftCell="B1" zoomScale="120" zoomScaleNormal="120" zoomScaleSheetLayoutView="115" zoomScalePageLayoutView="115" workbookViewId="0">
      <selection activeCell="C1" sqref="C1:I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" style="1" customWidth="1"/>
    <col min="32" max="32" width="5.140625" style="1" bestFit="1" customWidth="1"/>
    <col min="33" max="33" width="3.42578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6.28515625" style="1" customWidth="1"/>
    <col min="48" max="48" width="3.7109375" style="1" customWidth="1"/>
    <col min="49" max="49" width="4" style="1" customWidth="1"/>
    <col min="50" max="50" width="5.85546875" style="1" customWidth="1"/>
    <col min="51" max="51" width="4.42578125" style="1" customWidth="1"/>
    <col min="52" max="53" width="9.85546875" style="1" customWidth="1"/>
    <col min="54" max="54" width="2" style="1" customWidth="1"/>
    <col min="55" max="55" width="4.140625" style="1" bestFit="1" customWidth="1"/>
    <col min="56" max="56" width="3.7109375" style="1" bestFit="1" customWidth="1"/>
    <col min="57" max="57" width="5.140625" style="1" bestFit="1" customWidth="1"/>
    <col min="58" max="58" width="3.140625" style="2" hidden="1" customWidth="1"/>
    <col min="59" max="59" width="10.140625" style="1" customWidth="1"/>
    <col min="60" max="60" width="7.7109375" style="1" customWidth="1"/>
    <col min="61" max="61" width="11.42578125" style="1" customWidth="1"/>
    <col min="62" max="62" width="1.5703125" style="1" customWidth="1"/>
    <col min="63" max="63" width="7.140625" style="1" customWidth="1"/>
    <col min="64" max="64" width="4.7109375" style="1" bestFit="1" customWidth="1"/>
    <col min="65" max="65" width="11.85546875" style="1" customWidth="1"/>
    <col min="66" max="67" width="1.42578125" style="1" customWidth="1"/>
    <col min="68" max="68" width="7.28515625" style="1" bestFit="1" customWidth="1"/>
    <col min="69" max="69" width="7.42578125" style="1" customWidth="1"/>
    <col min="70" max="70" width="14.140625" style="2" customWidth="1"/>
    <col min="71" max="71" width="0.7109375" style="2" hidden="1" customWidth="1"/>
    <col min="72" max="72" width="3.5703125" style="1" bestFit="1" customWidth="1"/>
    <col min="73" max="73" width="27.140625" style="1" customWidth="1"/>
    <col min="74" max="74" width="11.5703125" style="1"/>
    <col min="75" max="75" width="9.5703125" style="1" customWidth="1"/>
    <col min="76" max="76" width="15.5703125" style="1" customWidth="1"/>
    <col min="77" max="77" width="9.140625" style="1" customWidth="1"/>
    <col min="78" max="78" width="10" style="1" customWidth="1"/>
    <col min="79" max="79" width="0.85546875" style="1" hidden="1" customWidth="1"/>
    <col min="80" max="80" width="0" style="1" hidden="1" customWidth="1"/>
    <col min="81" max="81" width="0.85546875" style="1" customWidth="1"/>
    <col min="82" max="82" width="13.28515625" style="1" bestFit="1" customWidth="1"/>
    <col min="83" max="83" width="10.28515625" style="1" bestFit="1" customWidth="1"/>
    <col min="84" max="84" width="10.42578125" style="1" bestFit="1" customWidth="1"/>
    <col min="85" max="85" width="5.28515625" style="1" customWidth="1"/>
    <col min="86" max="86" width="2" style="1" customWidth="1"/>
    <col min="87" max="87" width="4.28515625" style="1" bestFit="1" customWidth="1"/>
    <col min="88" max="88" width="5" style="1" customWidth="1"/>
    <col min="89" max="89" width="5.85546875" style="1" bestFit="1" customWidth="1"/>
    <col min="90" max="90" width="8" style="1" customWidth="1"/>
    <col min="91" max="91" width="2.5703125" style="1" customWidth="1"/>
    <col min="92" max="92" width="18" style="1" customWidth="1"/>
    <col min="93" max="93" width="5.140625" style="1" bestFit="1" customWidth="1"/>
    <col min="94" max="94" width="4.7109375" style="1" customWidth="1"/>
    <col min="95" max="95" width="5.7109375" style="1" customWidth="1"/>
    <col min="96" max="96" width="5.42578125" style="1" customWidth="1"/>
    <col min="97" max="97" width="5" style="1" customWidth="1"/>
    <col min="98" max="98" width="3.140625" style="1" customWidth="1"/>
    <col min="99" max="99" width="4.85546875" style="1" customWidth="1"/>
    <col min="100" max="100" width="4.42578125" style="1" customWidth="1"/>
    <col min="101" max="101" width="3.7109375" style="1" customWidth="1"/>
    <col min="102" max="103" width="2.42578125" style="1" customWidth="1"/>
    <col min="104" max="104" width="2.85546875" style="1" customWidth="1"/>
    <col min="105" max="105" width="0.85546875" style="1" customWidth="1"/>
    <col min="106" max="106" width="1.5703125" style="1" customWidth="1"/>
    <col min="107" max="107" width="3.42578125" style="1" customWidth="1"/>
    <col min="108" max="108" width="6.28515625" style="1" customWidth="1"/>
    <col min="109" max="109" width="4.28515625" style="1" customWidth="1"/>
    <col min="110" max="110" width="4.42578125" style="1" customWidth="1"/>
    <col min="111" max="111" width="3.85546875" style="1" customWidth="1"/>
    <col min="112" max="112" width="9.7109375" style="1" customWidth="1"/>
    <col min="113" max="113" width="5" style="1" customWidth="1"/>
    <col min="114" max="16384" width="11.5703125" style="1"/>
  </cols>
  <sheetData>
    <row r="1" spans="2:113" ht="7.35" customHeight="1" x14ac:dyDescent="0.2">
      <c r="B1" s="82" t="s">
        <v>0</v>
      </c>
      <c r="C1" s="187"/>
      <c r="D1" s="187"/>
      <c r="E1" s="187"/>
      <c r="F1" s="187"/>
      <c r="G1" s="187"/>
      <c r="H1" s="187"/>
      <c r="I1" s="187"/>
      <c r="L1" s="188" t="s">
        <v>1</v>
      </c>
      <c r="M1" s="188"/>
      <c r="N1" s="187" t="s">
        <v>2</v>
      </c>
      <c r="O1" s="187"/>
      <c r="P1" s="78">
        <v>1</v>
      </c>
      <c r="Q1" s="78">
        <v>2</v>
      </c>
      <c r="R1" s="78">
        <v>3</v>
      </c>
      <c r="S1" s="78">
        <v>4</v>
      </c>
      <c r="T1" s="85"/>
      <c r="U1" s="155" t="s">
        <v>3</v>
      </c>
      <c r="V1" s="155"/>
      <c r="W1" s="155"/>
      <c r="X1" s="5"/>
      <c r="Y1" s="194" t="s">
        <v>291</v>
      </c>
      <c r="Z1" s="194"/>
      <c r="AA1" s="194"/>
      <c r="AB1" s="194"/>
      <c r="AE1" s="76"/>
      <c r="AF1" s="76" t="s">
        <v>7</v>
      </c>
      <c r="AG1" s="76" t="s">
        <v>8</v>
      </c>
      <c r="AH1" s="111"/>
      <c r="AI1" s="150"/>
      <c r="AJ1" s="157" t="s">
        <v>290</v>
      </c>
      <c r="AK1" s="157"/>
      <c r="AL1" s="157"/>
      <c r="AM1" s="157"/>
      <c r="AN1" s="157"/>
      <c r="AO1" s="157"/>
      <c r="AQ1" s="188" t="s">
        <v>9</v>
      </c>
      <c r="AR1" s="188"/>
      <c r="AS1" s="188"/>
      <c r="AT1" s="6"/>
      <c r="AU1" s="188" t="s">
        <v>10</v>
      </c>
      <c r="AV1" s="188"/>
      <c r="AW1" s="5"/>
      <c r="AX1" s="189" t="s">
        <v>11</v>
      </c>
      <c r="AY1" s="189"/>
      <c r="AZ1" s="189"/>
      <c r="BA1" s="189"/>
      <c r="BC1" s="189" t="s">
        <v>12</v>
      </c>
      <c r="BD1" s="189"/>
      <c r="BE1" s="189"/>
      <c r="BF1" s="7"/>
      <c r="BG1" s="189" t="s">
        <v>13</v>
      </c>
      <c r="BH1" s="189"/>
      <c r="BI1" s="189"/>
      <c r="BK1" s="190" t="s">
        <v>14</v>
      </c>
      <c r="BL1" s="190"/>
      <c r="BM1" s="190"/>
      <c r="BO1" s="164" t="s">
        <v>15</v>
      </c>
      <c r="BP1" s="164"/>
      <c r="BQ1" s="164"/>
      <c r="BR1" s="76" t="s">
        <v>16</v>
      </c>
      <c r="BS1" s="7"/>
      <c r="BT1" s="76" t="s">
        <v>17</v>
      </c>
      <c r="BU1" s="76" t="s">
        <v>0</v>
      </c>
      <c r="BV1" s="189" t="s">
        <v>18</v>
      </c>
      <c r="BW1" s="189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88" t="s">
        <v>26</v>
      </c>
      <c r="CJ1" s="188"/>
      <c r="CK1" s="188"/>
      <c r="CM1" s="153" t="s">
        <v>5604</v>
      </c>
      <c r="CN1" s="153"/>
      <c r="CO1" s="148" t="s">
        <v>0</v>
      </c>
      <c r="CP1" s="201"/>
      <c r="CQ1" s="201"/>
      <c r="CR1" s="201"/>
      <c r="CS1" s="94" t="s">
        <v>168</v>
      </c>
      <c r="CT1" s="187"/>
      <c r="CU1" s="187"/>
      <c r="CV1" s="218" t="s">
        <v>17</v>
      </c>
      <c r="CW1" s="218"/>
      <c r="CX1" s="201">
        <v>1</v>
      </c>
      <c r="CY1" s="201"/>
      <c r="CZ1" s="33" t="s">
        <v>299</v>
      </c>
      <c r="DA1" s="201"/>
      <c r="DB1" s="201"/>
      <c r="DC1" s="201"/>
      <c r="DD1" s="17"/>
      <c r="DE1" s="188" t="s">
        <v>3</v>
      </c>
      <c r="DF1" s="188"/>
      <c r="DG1" s="188"/>
      <c r="DH1" s="225" t="s">
        <v>300</v>
      </c>
      <c r="DI1" s="17"/>
    </row>
    <row r="2" spans="2:113" ht="7.35" customHeight="1" x14ac:dyDescent="0.2">
      <c r="B2" s="82" t="s">
        <v>27</v>
      </c>
      <c r="C2" s="187" t="s">
        <v>28</v>
      </c>
      <c r="D2" s="187"/>
      <c r="E2" s="187"/>
      <c r="F2" s="82" t="s">
        <v>5298</v>
      </c>
      <c r="G2" s="191"/>
      <c r="H2" s="192"/>
      <c r="I2" s="193"/>
      <c r="L2" s="187" t="s">
        <v>29</v>
      </c>
      <c r="M2" s="187"/>
      <c r="N2" s="187">
        <v>20</v>
      </c>
      <c r="O2" s="187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4" t="s">
        <v>30</v>
      </c>
      <c r="V2" s="154"/>
      <c r="W2" s="139">
        <f>LOOKUP($C$2,Sheet3!$C$100:$V$100,Sheet3!$C$170:$V$170)</f>
        <v>20</v>
      </c>
      <c r="Y2" s="187" t="s">
        <v>293</v>
      </c>
      <c r="Z2" s="187"/>
      <c r="AA2" s="187"/>
      <c r="AB2" s="78">
        <f>LOOKUP($C$2,Sheet3!$C$100:$V$100,Sheet3!$C$157:$V$157)</f>
        <v>20</v>
      </c>
      <c r="AE2" s="92" t="s">
        <v>32</v>
      </c>
      <c r="AF2" s="78">
        <f>LOOKUP($C$2,Sheet3!$C$100:$V$100,Sheet3!$C$168:$V$168)</f>
        <v>20</v>
      </c>
      <c r="AG2" s="78">
        <f>LOOKUP($C$2,Sheet3!$C$100:$V$100,Sheet3!$C$169:$V$169)</f>
        <v>2</v>
      </c>
      <c r="AJ2" s="154" t="s">
        <v>292</v>
      </c>
      <c r="AK2" s="154"/>
      <c r="AL2" s="154"/>
      <c r="AM2" s="154"/>
      <c r="AN2" s="154"/>
      <c r="AO2" s="74" t="s">
        <v>32</v>
      </c>
      <c r="AQ2" s="187">
        <f>LOOKUP($C$2,Sheet3!$C$100:$V$100,Sheet3!$C$158:$V$158)</f>
        <v>60</v>
      </c>
      <c r="AR2" s="187"/>
      <c r="AS2" s="76" t="s">
        <v>33</v>
      </c>
      <c r="AT2" s="8"/>
      <c r="AU2" s="78" t="s">
        <v>2</v>
      </c>
      <c r="AV2" s="78">
        <f>LOOKUP(AS6,HM!D14:E54)</f>
        <v>0</v>
      </c>
      <c r="AW2" s="2"/>
      <c r="AX2" s="187" t="s">
        <v>34</v>
      </c>
      <c r="AY2" s="187"/>
      <c r="AZ2" s="187">
        <v>0</v>
      </c>
      <c r="BA2" s="187"/>
      <c r="BC2" s="187">
        <f>LOOKUP(D14,HM!A2:B21)</f>
        <v>0</v>
      </c>
      <c r="BD2" s="187"/>
      <c r="BE2" s="187"/>
      <c r="BG2" s="189"/>
      <c r="BH2" s="189"/>
      <c r="BI2" s="189"/>
      <c r="BK2" s="187"/>
      <c r="BL2" s="187"/>
      <c r="BM2" s="187"/>
      <c r="BO2" s="191"/>
      <c r="BP2" s="191"/>
      <c r="BQ2" s="191"/>
      <c r="BR2" s="84"/>
      <c r="BT2" s="78"/>
      <c r="BU2" s="78"/>
      <c r="BV2" s="187"/>
      <c r="BW2" s="187"/>
      <c r="BX2" s="78"/>
      <c r="BY2" s="78"/>
      <c r="BZ2" s="78"/>
      <c r="CD2" s="78"/>
      <c r="CE2" s="80"/>
      <c r="CF2" s="78"/>
      <c r="CG2" s="78"/>
      <c r="CI2" s="78" t="s">
        <v>35</v>
      </c>
      <c r="CJ2" s="187"/>
      <c r="CK2" s="187"/>
      <c r="CM2" s="154"/>
      <c r="CN2" s="154"/>
      <c r="CO2" s="148" t="s">
        <v>301</v>
      </c>
      <c r="CP2" s="201"/>
      <c r="CQ2" s="201"/>
      <c r="CR2" s="201"/>
      <c r="CS2" s="94" t="s">
        <v>302</v>
      </c>
      <c r="CT2" s="187"/>
      <c r="CU2" s="187"/>
      <c r="CV2" s="218" t="s">
        <v>27</v>
      </c>
      <c r="CW2" s="218"/>
      <c r="CX2" s="226" t="s">
        <v>28</v>
      </c>
      <c r="CY2" s="226"/>
      <c r="CZ2" s="226"/>
      <c r="DA2" s="226"/>
      <c r="DB2" s="226"/>
      <c r="DC2" s="226"/>
      <c r="DD2" s="17"/>
      <c r="DE2" s="187" t="s">
        <v>30</v>
      </c>
      <c r="DF2" s="187"/>
      <c r="DG2" s="78">
        <f>LOOKUP(CX2,Sheet3!$C$100:$V$100,Sheet3!$C$170:$V$170)</f>
        <v>20</v>
      </c>
      <c r="DH2" s="225"/>
      <c r="DI2" s="17"/>
    </row>
    <row r="3" spans="2:113" ht="7.35" customHeight="1" x14ac:dyDescent="0.2">
      <c r="B3" s="82" t="s">
        <v>17</v>
      </c>
      <c r="C3" s="78">
        <v>1</v>
      </c>
      <c r="D3" s="82" t="s">
        <v>36</v>
      </c>
      <c r="E3" s="78"/>
      <c r="F3" s="82" t="s">
        <v>37</v>
      </c>
      <c r="G3" s="187">
        <f>(LOOKUP($C$3,Sheet3!$E$234:$T$235))-$I$19</f>
        <v>590</v>
      </c>
      <c r="H3" s="187"/>
      <c r="I3" s="187"/>
      <c r="L3" s="187" t="s">
        <v>38</v>
      </c>
      <c r="M3" s="187"/>
      <c r="N3" s="196">
        <f>-(($G$24+$G$25-$F$24-$F$25-$K$27)*IF((G24-F24+G25-F25-K27)&gt;0,1,0))-(IF(B25=0,0,1)*(20))</f>
        <v>0</v>
      </c>
      <c r="O3" s="196"/>
      <c r="P3" s="81">
        <f>$N$3</f>
        <v>0</v>
      </c>
      <c r="Q3" s="81">
        <f t="shared" ref="Q3:S3" si="1">$N$3</f>
        <v>0</v>
      </c>
      <c r="R3" s="81">
        <f t="shared" si="1"/>
        <v>0</v>
      </c>
      <c r="S3" s="81">
        <f t="shared" si="1"/>
        <v>0</v>
      </c>
      <c r="T3" s="85"/>
      <c r="U3" s="154" t="s">
        <v>39</v>
      </c>
      <c r="V3" s="154"/>
      <c r="W3" s="139">
        <v>0</v>
      </c>
      <c r="Y3" s="195" t="s">
        <v>295</v>
      </c>
      <c r="Z3" s="195"/>
      <c r="AA3" s="195"/>
      <c r="AB3" s="93">
        <f>SUM($AO$3:$AO$31)+(SUM(AM36:AM40)*30)+(SUM(AN36:AN40)*60)</f>
        <v>0</v>
      </c>
      <c r="AE3" s="76" t="s">
        <v>41</v>
      </c>
      <c r="AF3" s="78">
        <f>LOOKUP(D13,Sheet3!$G$21:$H$40)</f>
        <v>1</v>
      </c>
      <c r="AG3" s="78">
        <f>LOOKUP(D13,Sheet3!$J$21:$K$40)</f>
        <v>5</v>
      </c>
      <c r="AJ3" s="154" t="s">
        <v>248</v>
      </c>
      <c r="AK3" s="154"/>
      <c r="AL3" s="154"/>
      <c r="AM3" s="154"/>
      <c r="AN3" s="154"/>
      <c r="AO3" s="74">
        <f>LOOKUP(AJ3,Sheet2!$C$92:$D$191)</f>
        <v>0</v>
      </c>
      <c r="AQ3" s="187" t="s">
        <v>42</v>
      </c>
      <c r="AR3" s="187"/>
      <c r="AS3" s="78">
        <f>LOOKUP($D$16,Sheet3!$D$21:$E$40)</f>
        <v>5</v>
      </c>
      <c r="AT3" s="10"/>
      <c r="AU3" s="78" t="s">
        <v>43</v>
      </c>
      <c r="AV3" s="78">
        <v>0</v>
      </c>
      <c r="AW3" s="2"/>
      <c r="AX3" s="187" t="s">
        <v>44</v>
      </c>
      <c r="AY3" s="187"/>
      <c r="AZ3" s="187">
        <v>0</v>
      </c>
      <c r="BA3" s="187"/>
      <c r="BE3" s="11"/>
      <c r="BG3" s="187" t="s">
        <v>2</v>
      </c>
      <c r="BH3" s="187"/>
      <c r="BI3" s="78">
        <f>LOOKUP($D$17,Sheet3!$G$1:$H$20)</f>
        <v>10</v>
      </c>
      <c r="BK3" s="187"/>
      <c r="BL3" s="187"/>
      <c r="BM3" s="187"/>
      <c r="BO3" s="191"/>
      <c r="BP3" s="191"/>
      <c r="BQ3" s="191"/>
      <c r="BR3" s="84"/>
      <c r="BT3" s="189" t="s">
        <v>24</v>
      </c>
      <c r="BU3" s="189"/>
      <c r="BV3" s="189"/>
      <c r="BW3" s="189"/>
      <c r="BX3" s="189"/>
      <c r="BY3" s="189"/>
      <c r="BZ3" s="189"/>
      <c r="CD3" s="78"/>
      <c r="CE3" s="80"/>
      <c r="CF3" s="78"/>
      <c r="CG3" s="78"/>
      <c r="CI3" s="78" t="s">
        <v>45</v>
      </c>
      <c r="CJ3" s="187"/>
      <c r="CK3" s="187"/>
      <c r="CM3" s="154"/>
      <c r="CN3" s="154"/>
      <c r="CO3" s="217" t="s">
        <v>303</v>
      </c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17"/>
      <c r="DE3" s="187" t="s">
        <v>39</v>
      </c>
      <c r="DF3" s="187"/>
      <c r="DG3" s="78">
        <v>0</v>
      </c>
      <c r="DH3" s="225"/>
      <c r="DI3" s="17"/>
    </row>
    <row r="4" spans="2:113" ht="7.35" customHeight="1" x14ac:dyDescent="0.2">
      <c r="B4" s="82" t="s">
        <v>46</v>
      </c>
      <c r="C4" s="187"/>
      <c r="D4" s="187"/>
      <c r="E4" s="187"/>
      <c r="F4" s="82" t="s">
        <v>47</v>
      </c>
      <c r="G4" s="78" t="str">
        <f>LOOKUP(I5,Sheet3!A224:B247)</f>
        <v>1,4-1,7</v>
      </c>
      <c r="H4" s="82" t="s">
        <v>48</v>
      </c>
      <c r="I4" s="78" t="str">
        <f>LOOKUP(I5,Sheet3!A224:A247,Sheet3!C224:C247)</f>
        <v>40-90</v>
      </c>
      <c r="L4" s="187" t="s">
        <v>49</v>
      </c>
      <c r="M4" s="187"/>
      <c r="N4" s="187">
        <f>E10</f>
        <v>0</v>
      </c>
      <c r="O4" s="187"/>
      <c r="P4" s="78">
        <f>$N$4</f>
        <v>0</v>
      </c>
      <c r="Q4" s="78">
        <f t="shared" ref="Q4:S4" si="2">$N$4</f>
        <v>0</v>
      </c>
      <c r="R4" s="78">
        <f t="shared" si="2"/>
        <v>0</v>
      </c>
      <c r="S4" s="78">
        <f t="shared" si="2"/>
        <v>0</v>
      </c>
      <c r="T4" s="85"/>
      <c r="U4" s="154" t="s">
        <v>2</v>
      </c>
      <c r="V4" s="154"/>
      <c r="W4" s="139">
        <f>LOOKUP(D11,Sheet3!D1:E20)</f>
        <v>70</v>
      </c>
      <c r="Y4" s="163" t="s">
        <v>141</v>
      </c>
      <c r="Z4" s="163"/>
      <c r="AA4" s="163"/>
      <c r="AB4" s="91">
        <f>(AB2*$C$3)-AB3+AB5+$AB$19+$AB$29+$AB$39+$AB$49+$AB$59</f>
        <v>20</v>
      </c>
      <c r="AE4" s="90" t="s">
        <v>51</v>
      </c>
      <c r="AF4" s="78">
        <f>LOOKUP(D10,Sheet3!$G$21:$H$40)</f>
        <v>1</v>
      </c>
      <c r="AG4" s="78">
        <f>LOOKUP(D10,Sheet3!$J$21:$K$40)</f>
        <v>5</v>
      </c>
      <c r="AJ4" s="154" t="s">
        <v>248</v>
      </c>
      <c r="AK4" s="154"/>
      <c r="AL4" s="154"/>
      <c r="AM4" s="154"/>
      <c r="AN4" s="154"/>
      <c r="AO4" s="74">
        <f>LOOKUP(AJ4,Sheet2!$C$92:$D$191)</f>
        <v>0</v>
      </c>
      <c r="AQ4" s="187" t="s">
        <v>52</v>
      </c>
      <c r="AR4" s="187"/>
      <c r="AS4" s="78">
        <v>0</v>
      </c>
      <c r="AT4" s="10"/>
      <c r="AU4" s="78" t="s">
        <v>53</v>
      </c>
      <c r="AV4" s="78">
        <f>SUM(AV2:AV3)</f>
        <v>0</v>
      </c>
      <c r="AW4" s="2"/>
      <c r="AX4" s="187" t="s">
        <v>54</v>
      </c>
      <c r="AY4" s="187"/>
      <c r="AZ4" s="187">
        <v>0</v>
      </c>
      <c r="BA4" s="187"/>
      <c r="BC4" s="187" t="str">
        <f>LOOKUP($C$2,Sheet3!$C$100:$V$100,Sheet3!$C$159:$V$159)</f>
        <v>2x5</v>
      </c>
      <c r="BD4" s="187"/>
      <c r="BE4" s="76" t="s">
        <v>55</v>
      </c>
      <c r="BF4" s="7"/>
      <c r="BG4" s="187" t="s">
        <v>56</v>
      </c>
      <c r="BH4" s="187"/>
      <c r="BI4" s="78">
        <f>LOOKUP(BI13,HP!D1:E67)</f>
        <v>0</v>
      </c>
      <c r="BK4" s="187"/>
      <c r="BL4" s="187"/>
      <c r="BM4" s="187"/>
      <c r="BO4" s="191"/>
      <c r="BP4" s="191"/>
      <c r="BQ4" s="191"/>
      <c r="BR4" s="84"/>
      <c r="BT4" s="187"/>
      <c r="BU4" s="187"/>
      <c r="BV4" s="187"/>
      <c r="BW4" s="187"/>
      <c r="BX4" s="187"/>
      <c r="BY4" s="187"/>
      <c r="BZ4" s="187"/>
      <c r="CD4" s="78"/>
      <c r="CE4" s="80"/>
      <c r="CF4" s="78"/>
      <c r="CG4" s="78"/>
      <c r="CI4" s="78" t="s">
        <v>57</v>
      </c>
      <c r="CJ4" s="187"/>
      <c r="CK4" s="187"/>
      <c r="CM4" s="154"/>
      <c r="CN4" s="154"/>
      <c r="CO4" s="223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17"/>
      <c r="DE4" s="187" t="s">
        <v>2</v>
      </c>
      <c r="DF4" s="187"/>
      <c r="DG4" s="78">
        <f>LOOKUP(CP14,Sheet3!D1:E20)</f>
        <v>70</v>
      </c>
      <c r="DH4" s="214" t="s">
        <v>304</v>
      </c>
      <c r="DI4" s="17"/>
    </row>
    <row r="5" spans="2:113" ht="7.35" customHeight="1" x14ac:dyDescent="0.2">
      <c r="B5" s="82" t="s">
        <v>58</v>
      </c>
      <c r="C5" s="187"/>
      <c r="D5" s="187"/>
      <c r="E5" s="187"/>
      <c r="F5" s="82" t="s">
        <v>59</v>
      </c>
      <c r="G5" s="78"/>
      <c r="H5" s="82" t="s">
        <v>60</v>
      </c>
      <c r="I5" s="78">
        <f>C13+C11</f>
        <v>10</v>
      </c>
      <c r="L5" s="187" t="s">
        <v>61</v>
      </c>
      <c r="M5" s="187"/>
      <c r="N5" s="187">
        <f>E12</f>
        <v>0</v>
      </c>
      <c r="O5" s="187"/>
      <c r="P5" s="78">
        <f>$N$5</f>
        <v>0</v>
      </c>
      <c r="Q5" s="78">
        <f t="shared" ref="Q5:S5" si="3">$N$5</f>
        <v>0</v>
      </c>
      <c r="R5" s="78">
        <f t="shared" si="3"/>
        <v>0</v>
      </c>
      <c r="S5" s="78">
        <f t="shared" si="3"/>
        <v>0</v>
      </c>
      <c r="T5" s="85"/>
      <c r="U5" s="154" t="s">
        <v>27</v>
      </c>
      <c r="V5" s="154"/>
      <c r="W5" s="139">
        <f>(LOOKUP(C2,Sheet3!C100:V100,Sheet3!C155:V155))*C3</f>
        <v>5</v>
      </c>
      <c r="Y5" s="163" t="s">
        <v>82</v>
      </c>
      <c r="Z5" s="163"/>
      <c r="AA5" s="163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5</v>
      </c>
      <c r="AJ5" s="154" t="s">
        <v>248</v>
      </c>
      <c r="AK5" s="154"/>
      <c r="AL5" s="154"/>
      <c r="AM5" s="154"/>
      <c r="AN5" s="154"/>
      <c r="AO5" s="74">
        <f>LOOKUP(AJ5,Sheet2!$C$92:$D$191)</f>
        <v>0</v>
      </c>
      <c r="AQ5" s="187" t="s">
        <v>43</v>
      </c>
      <c r="AR5" s="187"/>
      <c r="AS5" s="78">
        <v>0</v>
      </c>
      <c r="AT5" s="10"/>
      <c r="AW5" s="2"/>
      <c r="AX5" s="187" t="s">
        <v>67</v>
      </c>
      <c r="AY5" s="187"/>
      <c r="AZ5" s="187">
        <v>0</v>
      </c>
      <c r="BA5" s="187"/>
      <c r="BC5" s="187" t="s">
        <v>68</v>
      </c>
      <c r="BD5" s="187"/>
      <c r="BE5" s="78">
        <f>LOOKUP($D$16,Sheet3!$A$21:$B$40)</f>
        <v>70</v>
      </c>
      <c r="BG5" s="187" t="s">
        <v>43</v>
      </c>
      <c r="BH5" s="187"/>
      <c r="BI5" s="78"/>
      <c r="BK5" s="187"/>
      <c r="BL5" s="187"/>
      <c r="BM5" s="187"/>
      <c r="BO5" s="191"/>
      <c r="BP5" s="191"/>
      <c r="BQ5" s="191"/>
      <c r="BR5" s="84"/>
      <c r="BT5" s="187"/>
      <c r="BU5" s="187"/>
      <c r="BV5" s="187"/>
      <c r="BW5" s="187"/>
      <c r="BX5" s="187"/>
      <c r="BY5" s="187"/>
      <c r="BZ5" s="187"/>
      <c r="CD5" s="78"/>
      <c r="CE5" s="80"/>
      <c r="CF5" s="78"/>
      <c r="CG5" s="78"/>
      <c r="CM5" s="154"/>
      <c r="CN5" s="154"/>
      <c r="CO5" s="223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17"/>
      <c r="DE5" s="187" t="s">
        <v>27</v>
      </c>
      <c r="DF5" s="187"/>
      <c r="DG5" s="78">
        <f>(LOOKUP(CX2,Sheet3!C100:V100,Sheet3!C155:V155))*C3</f>
        <v>5</v>
      </c>
      <c r="DH5" s="214"/>
      <c r="DI5" s="17"/>
    </row>
    <row r="6" spans="2:113" ht="7.35" customHeight="1" x14ac:dyDescent="0.2">
      <c r="B6" s="198" t="s">
        <v>69</v>
      </c>
      <c r="C6" s="198"/>
      <c r="D6" s="198"/>
      <c r="E6" s="198"/>
      <c r="F6" s="198"/>
      <c r="G6" s="198"/>
      <c r="H6" s="198"/>
      <c r="I6" s="198"/>
      <c r="L6" s="187" t="s">
        <v>70</v>
      </c>
      <c r="M6" s="187"/>
      <c r="N6" s="187">
        <v>20</v>
      </c>
      <c r="O6" s="187"/>
      <c r="P6" s="78">
        <f>B49</f>
        <v>20</v>
      </c>
      <c r="Q6" s="78">
        <f>B55</f>
        <v>20</v>
      </c>
      <c r="R6" s="78">
        <f>B61</f>
        <v>20</v>
      </c>
      <c r="S6" s="78">
        <f>B67</f>
        <v>20</v>
      </c>
      <c r="T6" s="85"/>
      <c r="U6" s="154" t="s">
        <v>52</v>
      </c>
      <c r="V6" s="154"/>
      <c r="W6" s="139">
        <f>W3*E11</f>
        <v>0</v>
      </c>
      <c r="Y6" s="154" t="s">
        <v>5299</v>
      </c>
      <c r="Z6" s="154"/>
      <c r="AA6" s="154"/>
      <c r="AB6" s="74">
        <f>0.1*(LOOKUP($C$3,Sheet3!$E$234:$T$235))</f>
        <v>60</v>
      </c>
      <c r="AE6" s="76" t="s">
        <v>72</v>
      </c>
      <c r="AF6" s="78">
        <f>LOOKUP(D11,Sheet3!$G$21:$H$40)</f>
        <v>1</v>
      </c>
      <c r="AG6" s="78">
        <f>LOOKUP(D11,Sheet3!$J$21:$K$40)</f>
        <v>5</v>
      </c>
      <c r="AJ6" s="154" t="s">
        <v>248</v>
      </c>
      <c r="AK6" s="154"/>
      <c r="AL6" s="154"/>
      <c r="AM6" s="154"/>
      <c r="AN6" s="154"/>
      <c r="AO6" s="74">
        <f>LOOKUP(AJ6,Sheet2!$C$92:$D$191)</f>
        <v>0</v>
      </c>
      <c r="AQ6" s="189" t="s">
        <v>73</v>
      </c>
      <c r="AR6" s="189"/>
      <c r="AS6" s="78">
        <f>(AS3)+(AS3*AS4)+AS5</f>
        <v>5</v>
      </c>
      <c r="AT6" s="10"/>
      <c r="AU6" s="77" t="s">
        <v>74</v>
      </c>
      <c r="AV6" s="76" t="s">
        <v>75</v>
      </c>
      <c r="AW6" s="5"/>
      <c r="AX6" s="187" t="s">
        <v>76</v>
      </c>
      <c r="AY6" s="187"/>
      <c r="AZ6" s="187">
        <v>0</v>
      </c>
      <c r="BA6" s="187"/>
      <c r="BC6" s="187" t="s">
        <v>27</v>
      </c>
      <c r="BD6" s="187"/>
      <c r="BE6" s="78">
        <f>(LOOKUP($C$2,Sheet3!$C$100:$V$100,Sheet3!$C$154:$V$154))*$C$3</f>
        <v>10</v>
      </c>
      <c r="BG6" s="187" t="s">
        <v>77</v>
      </c>
      <c r="BH6" s="187"/>
      <c r="BI6" s="78">
        <f>SUM(BI3:BI5)</f>
        <v>10</v>
      </c>
      <c r="BK6" s="2"/>
      <c r="BL6" s="2"/>
      <c r="BM6" s="2"/>
      <c r="BO6" s="191"/>
      <c r="BP6" s="191"/>
      <c r="BQ6" s="191"/>
      <c r="BR6" s="84"/>
      <c r="BT6" s="187"/>
      <c r="BU6" s="187"/>
      <c r="BV6" s="187"/>
      <c r="BW6" s="187"/>
      <c r="BX6" s="187"/>
      <c r="BY6" s="187"/>
      <c r="BZ6" s="187"/>
      <c r="CD6" s="78"/>
      <c r="CE6" s="80"/>
      <c r="CF6" s="78"/>
      <c r="CG6" s="78"/>
      <c r="CI6" s="188" t="s">
        <v>78</v>
      </c>
      <c r="CJ6" s="188"/>
      <c r="CK6" s="188"/>
      <c r="CM6" s="154"/>
      <c r="CN6" s="154"/>
      <c r="CO6" s="223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17"/>
      <c r="DE6" s="187" t="s">
        <v>52</v>
      </c>
      <c r="DF6" s="187"/>
      <c r="DG6" s="78">
        <f>DG3*CQ14</f>
        <v>0</v>
      </c>
      <c r="DH6" s="214"/>
      <c r="DI6" s="17"/>
    </row>
    <row r="7" spans="2:113" ht="7.35" customHeight="1" x14ac:dyDescent="0.2">
      <c r="B7" s="197" t="s">
        <v>79</v>
      </c>
      <c r="C7" s="197"/>
      <c r="D7" s="187">
        <v>0</v>
      </c>
      <c r="E7" s="187"/>
      <c r="F7" s="197" t="s">
        <v>80</v>
      </c>
      <c r="G7" s="197"/>
      <c r="H7" s="187">
        <f>LOOKUP(C3,Sheet3!E234:T234,Sheet3!E236:T236)</f>
        <v>100</v>
      </c>
      <c r="I7" s="187"/>
      <c r="L7" s="187" t="s">
        <v>27</v>
      </c>
      <c r="M7" s="187"/>
      <c r="N7" s="187">
        <f>(LOOKUP(C2,Sheet3!$C$100:$V$100,Sheet3!$C$156:$V$156))*C3</f>
        <v>5</v>
      </c>
      <c r="O7" s="187"/>
      <c r="P7" s="78">
        <f>$N$7</f>
        <v>5</v>
      </c>
      <c r="Q7" s="78">
        <f>$N$7</f>
        <v>5</v>
      </c>
      <c r="R7" s="78">
        <f>$N$7</f>
        <v>5</v>
      </c>
      <c r="S7" s="78">
        <f>$N$7</f>
        <v>5</v>
      </c>
      <c r="T7" s="85"/>
      <c r="U7" s="154" t="s">
        <v>81</v>
      </c>
      <c r="V7" s="154"/>
      <c r="W7" s="139">
        <f>SUM(W4:W6)</f>
        <v>75</v>
      </c>
      <c r="AE7" s="76" t="s">
        <v>64</v>
      </c>
      <c r="AF7" s="78">
        <f>LOOKUP(D17,Sheet3!$G$21:$H$40)</f>
        <v>1</v>
      </c>
      <c r="AG7" s="78">
        <f>LOOKUP(D17,Sheet3!$J$21:$K$40)</f>
        <v>5</v>
      </c>
      <c r="AJ7" s="154" t="s">
        <v>248</v>
      </c>
      <c r="AK7" s="154"/>
      <c r="AL7" s="154"/>
      <c r="AM7" s="154"/>
      <c r="AN7" s="154"/>
      <c r="AO7" s="74">
        <f>LOOKUP(AJ7,Sheet2!$C$92:$D$191)</f>
        <v>0</v>
      </c>
      <c r="AT7" s="7"/>
      <c r="AU7" s="78"/>
      <c r="AV7" s="78"/>
      <c r="AW7" s="2"/>
      <c r="AX7" s="187" t="s">
        <v>71</v>
      </c>
      <c r="AY7" s="187"/>
      <c r="AZ7" s="187">
        <v>0</v>
      </c>
      <c r="BA7" s="187"/>
      <c r="BC7" s="187" t="s">
        <v>82</v>
      </c>
      <c r="BD7" s="187"/>
      <c r="BE7" s="78">
        <v>0</v>
      </c>
      <c r="BK7" s="199" t="s">
        <v>83</v>
      </c>
      <c r="BL7" s="199"/>
      <c r="BM7" s="199"/>
      <c r="BO7" s="191"/>
      <c r="BP7" s="191"/>
      <c r="BQ7" s="191"/>
      <c r="BR7" s="84"/>
      <c r="BT7" s="187"/>
      <c r="BU7" s="187"/>
      <c r="BV7" s="187"/>
      <c r="BW7" s="187"/>
      <c r="BX7" s="187"/>
      <c r="BY7" s="187"/>
      <c r="BZ7" s="187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4"/>
      <c r="CN7" s="154"/>
      <c r="CO7" s="223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17"/>
      <c r="DE7" s="187" t="s">
        <v>81</v>
      </c>
      <c r="DF7" s="187"/>
      <c r="DG7" s="78">
        <f>SUM(DG3:DG6)</f>
        <v>75</v>
      </c>
      <c r="DH7" s="78">
        <v>0</v>
      </c>
      <c r="DI7" s="17"/>
    </row>
    <row r="8" spans="2:113" ht="7.35" customHeight="1" x14ac:dyDescent="0.2">
      <c r="L8" s="187" t="s">
        <v>43</v>
      </c>
      <c r="M8" s="187"/>
      <c r="N8" s="187">
        <v>0</v>
      </c>
      <c r="O8" s="187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4" t="s">
        <v>79</v>
      </c>
      <c r="V8" s="154"/>
      <c r="W8" s="154"/>
      <c r="Y8" s="200" t="s">
        <v>252</v>
      </c>
      <c r="Z8" s="200"/>
      <c r="AA8" s="200"/>
      <c r="AB8" s="200"/>
      <c r="AE8" s="76" t="s">
        <v>63</v>
      </c>
      <c r="AF8" s="78">
        <f>LOOKUP(D16,Sheet3!$G$21:$H$40)</f>
        <v>1</v>
      </c>
      <c r="AG8" s="78">
        <f>LOOKUP(D16,Sheet3!$J$21:$K$40)</f>
        <v>5</v>
      </c>
      <c r="AJ8" s="154" t="s">
        <v>248</v>
      </c>
      <c r="AK8" s="154"/>
      <c r="AL8" s="154"/>
      <c r="AM8" s="154"/>
      <c r="AN8" s="154"/>
      <c r="AO8" s="74">
        <f>LOOKUP(AJ8,Sheet2!$C$92:$D$191)</f>
        <v>0</v>
      </c>
      <c r="AQ8" s="187">
        <f>LOOKUP($C$2,Sheet3!$C$100:$V$100,Sheet3!$C$160:$V$160)</f>
        <v>2</v>
      </c>
      <c r="AR8" s="187"/>
      <c r="AS8" s="76" t="s">
        <v>87</v>
      </c>
      <c r="AT8" s="10"/>
      <c r="AU8" s="78"/>
      <c r="AV8" s="78"/>
      <c r="AW8" s="12"/>
      <c r="AX8" s="187" t="s">
        <v>40</v>
      </c>
      <c r="AY8" s="187"/>
      <c r="AZ8" s="187">
        <v>0</v>
      </c>
      <c r="BA8" s="187"/>
      <c r="BC8" s="187" t="s">
        <v>43</v>
      </c>
      <c r="BD8" s="187"/>
      <c r="BE8" s="78">
        <v>0</v>
      </c>
      <c r="BG8" s="13" t="s">
        <v>88</v>
      </c>
      <c r="BH8" s="78" t="str">
        <f>LOOKUP($C$2,Sheet3!$C$100:$V$100,Sheet3!$C$165:$V$165)</f>
        <v>1/2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91"/>
      <c r="BP8" s="191"/>
      <c r="BQ8" s="191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4"/>
      <c r="CN8" s="154"/>
      <c r="CO8" s="223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4"/>
      <c r="DD8" s="17"/>
      <c r="DE8" s="187" t="s">
        <v>79</v>
      </c>
      <c r="DF8" s="187"/>
      <c r="DG8" s="187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74" t="s">
        <v>294</v>
      </c>
      <c r="H9" s="174"/>
      <c r="I9" s="174"/>
      <c r="L9" s="187" t="s">
        <v>93</v>
      </c>
      <c r="M9" s="187"/>
      <c r="N9" s="187">
        <f>SUM(N2:N8)</f>
        <v>45</v>
      </c>
      <c r="O9" s="187"/>
      <c r="P9" s="78">
        <f>SUM(P2:P8)</f>
        <v>45</v>
      </c>
      <c r="Q9" s="78">
        <f>SUM(Q2:Q8)</f>
        <v>45</v>
      </c>
      <c r="R9" s="78">
        <f>SUM(R2:R8)</f>
        <v>45</v>
      </c>
      <c r="S9" s="78">
        <f>SUM(S2:S8)</f>
        <v>45</v>
      </c>
      <c r="T9" s="85"/>
      <c r="U9" s="154"/>
      <c r="V9" s="154"/>
      <c r="W9" s="154"/>
      <c r="Y9" s="173" t="s">
        <v>248</v>
      </c>
      <c r="Z9" s="173"/>
      <c r="AA9" s="173"/>
      <c r="AB9" s="173"/>
      <c r="AE9" s="164" t="s">
        <v>94</v>
      </c>
      <c r="AF9" s="166"/>
      <c r="AG9" s="78">
        <v>0</v>
      </c>
      <c r="AJ9" s="154" t="s">
        <v>248</v>
      </c>
      <c r="AK9" s="154"/>
      <c r="AL9" s="154"/>
      <c r="AM9" s="154"/>
      <c r="AN9" s="154"/>
      <c r="AO9" s="74">
        <f>LOOKUP(AJ9,Sheet2!$C$92:$D$191)</f>
        <v>0</v>
      </c>
      <c r="AQ9" s="187" t="s">
        <v>2</v>
      </c>
      <c r="AR9" s="187"/>
      <c r="AS9" s="78">
        <v>0</v>
      </c>
      <c r="AT9" s="10"/>
      <c r="AU9" s="78"/>
      <c r="AV9" s="78"/>
      <c r="AW9" s="12"/>
      <c r="AX9" s="187" t="s">
        <v>66</v>
      </c>
      <c r="AY9" s="187"/>
      <c r="AZ9" s="187">
        <v>0</v>
      </c>
      <c r="BA9" s="187"/>
      <c r="BC9" s="189" t="s">
        <v>77</v>
      </c>
      <c r="BD9" s="189"/>
      <c r="BE9" s="78">
        <f>SUM(BE5:BE8)</f>
        <v>80</v>
      </c>
      <c r="BF9" s="7"/>
      <c r="BG9" s="189" t="s">
        <v>95</v>
      </c>
      <c r="BH9" s="189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91"/>
      <c r="BP9" s="191"/>
      <c r="BQ9" s="191"/>
      <c r="BR9" s="84"/>
      <c r="BT9" s="76" t="s">
        <v>17</v>
      </c>
      <c r="BU9" s="76" t="s">
        <v>0</v>
      </c>
      <c r="BV9" s="189" t="s">
        <v>18</v>
      </c>
      <c r="BW9" s="189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4"/>
      <c r="CN9" s="154"/>
      <c r="CO9" s="223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17"/>
      <c r="DE9" s="187"/>
      <c r="DF9" s="187"/>
      <c r="DG9" s="187"/>
      <c r="DH9" s="201">
        <f>((DG4+DG5)*CY31)+(DH7*CY31)</f>
        <v>375</v>
      </c>
      <c r="DI9" s="17"/>
    </row>
    <row r="10" spans="2:113" ht="7.35" customHeight="1" x14ac:dyDescent="0.2">
      <c r="B10" s="83" t="s">
        <v>51</v>
      </c>
      <c r="C10" s="78">
        <v>5</v>
      </c>
      <c r="D10" s="78">
        <v>5</v>
      </c>
      <c r="E10" s="82">
        <f>LOOKUP(D10,Sheet3!$A$1:$B$20)</f>
        <v>0</v>
      </c>
      <c r="G10" s="222" t="s">
        <v>296</v>
      </c>
      <c r="H10" s="222"/>
      <c r="I10" s="78">
        <f>SUMPRODUCT($O$13:$O$63,$R$13:$R$63)</f>
        <v>10</v>
      </c>
      <c r="T10" s="85"/>
      <c r="U10" s="154"/>
      <c r="V10" s="154"/>
      <c r="W10" s="154"/>
      <c r="Y10" s="154">
        <f>LOOKUP(Y9,Sheet2!$AP$7:$AP$116,Sheet2!$AX$7:$AX$116)</f>
        <v>0</v>
      </c>
      <c r="Z10" s="154"/>
      <c r="AA10" s="154"/>
      <c r="AB10" s="154"/>
      <c r="AE10" s="164" t="s">
        <v>98</v>
      </c>
      <c r="AF10" s="166"/>
      <c r="AG10" s="144">
        <f>SUM(AG3:AG9)</f>
        <v>30</v>
      </c>
      <c r="AH10" s="130"/>
      <c r="AJ10" s="154" t="s">
        <v>248</v>
      </c>
      <c r="AK10" s="154"/>
      <c r="AL10" s="154"/>
      <c r="AM10" s="154"/>
      <c r="AN10" s="154"/>
      <c r="AO10" s="74">
        <f>LOOKUP(AJ10,Sheet2!$C$92:$D$191)</f>
        <v>0</v>
      </c>
      <c r="AQ10" s="187" t="s">
        <v>99</v>
      </c>
      <c r="AR10" s="187"/>
      <c r="AS10" s="78">
        <f>$E$12</f>
        <v>0</v>
      </c>
      <c r="AT10" s="10"/>
      <c r="AU10" s="78"/>
      <c r="AV10" s="78"/>
      <c r="AW10" s="2"/>
      <c r="AX10" s="187" t="s">
        <v>100</v>
      </c>
      <c r="AY10" s="187"/>
      <c r="AZ10" s="187">
        <v>0</v>
      </c>
      <c r="BA10" s="187"/>
      <c r="BC10" s="189" t="s">
        <v>92</v>
      </c>
      <c r="BD10" s="189"/>
      <c r="BE10" s="189"/>
      <c r="BF10" s="7"/>
      <c r="BG10" s="189" t="s">
        <v>101</v>
      </c>
      <c r="BH10" s="189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91"/>
      <c r="BP10" s="191"/>
      <c r="BQ10" s="191"/>
      <c r="BR10" s="84"/>
      <c r="BT10" s="78"/>
      <c r="BU10" s="78"/>
      <c r="BV10" s="187"/>
      <c r="BW10" s="187"/>
      <c r="BX10" s="78"/>
      <c r="BY10" s="78"/>
      <c r="BZ10" s="78"/>
      <c r="CD10" s="78"/>
      <c r="CE10" s="80"/>
      <c r="CF10" s="78"/>
      <c r="CG10" s="78"/>
      <c r="CM10" s="154"/>
      <c r="CN10" s="154"/>
      <c r="CO10" s="223"/>
      <c r="CP10" s="224"/>
      <c r="CQ10" s="224"/>
      <c r="CR10" s="224"/>
      <c r="CS10" s="224"/>
      <c r="CT10" s="224"/>
      <c r="CU10" s="224"/>
      <c r="CV10" s="224"/>
      <c r="CW10" s="224"/>
      <c r="CX10" s="224"/>
      <c r="CY10" s="224"/>
      <c r="CZ10" s="224"/>
      <c r="DA10" s="224"/>
      <c r="DB10" s="224"/>
      <c r="DC10" s="224"/>
      <c r="DD10" s="17"/>
      <c r="DE10" s="187"/>
      <c r="DF10" s="187"/>
      <c r="DG10" s="187"/>
      <c r="DH10" s="201"/>
      <c r="DI10" s="17"/>
    </row>
    <row r="11" spans="2:113" ht="7.35" customHeight="1" x14ac:dyDescent="0.2">
      <c r="B11" s="83" t="s">
        <v>72</v>
      </c>
      <c r="C11" s="78">
        <v>5</v>
      </c>
      <c r="D11" s="78">
        <f t="shared" ref="D11:D17" si="4">C11</f>
        <v>5</v>
      </c>
      <c r="E11" s="82">
        <f>LOOKUP(D11,Sheet3!$A$1:$B$20)</f>
        <v>0</v>
      </c>
      <c r="G11" s="221" t="s">
        <v>297</v>
      </c>
      <c r="H11" s="221"/>
      <c r="I11" s="91">
        <f>I12+I13+I14</f>
        <v>0</v>
      </c>
      <c r="J11" s="138"/>
      <c r="K11" s="85"/>
      <c r="X11" s="7"/>
      <c r="AE11" s="172" t="s">
        <v>5603</v>
      </c>
      <c r="AF11" s="172"/>
      <c r="AG11" s="143">
        <f>SUM(AF3:AF8)</f>
        <v>6</v>
      </c>
      <c r="AH11" s="130"/>
      <c r="AI11" s="130"/>
      <c r="AJ11" s="154" t="s">
        <v>248</v>
      </c>
      <c r="AK11" s="154"/>
      <c r="AL11" s="154"/>
      <c r="AM11" s="154"/>
      <c r="AN11" s="154"/>
      <c r="AO11" s="74">
        <f>LOOKUP(AJ11,Sheet2!$C$92:$D$191)</f>
        <v>0</v>
      </c>
      <c r="AQ11" s="187" t="s">
        <v>103</v>
      </c>
      <c r="AR11" s="187"/>
      <c r="AS11" s="78"/>
      <c r="AT11" s="10"/>
      <c r="AW11" s="5"/>
      <c r="AX11" s="187" t="s">
        <v>104</v>
      </c>
      <c r="AY11" s="187"/>
      <c r="AZ11" s="187">
        <v>0</v>
      </c>
      <c r="BA11" s="187"/>
      <c r="BC11" s="187"/>
      <c r="BD11" s="187"/>
      <c r="BE11" s="187"/>
      <c r="BF11" s="7"/>
      <c r="BG11" s="189" t="s">
        <v>105</v>
      </c>
      <c r="BH11" s="189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91"/>
      <c r="BP11" s="191"/>
      <c r="BQ11" s="191"/>
      <c r="BR11" s="84"/>
      <c r="BT11" s="189" t="s">
        <v>24</v>
      </c>
      <c r="BU11" s="189"/>
      <c r="BV11" s="189"/>
      <c r="BW11" s="189"/>
      <c r="BX11" s="189"/>
      <c r="BY11" s="189"/>
      <c r="BZ11" s="189"/>
      <c r="CD11" s="78"/>
      <c r="CE11" s="80"/>
      <c r="CF11" s="78"/>
      <c r="CG11" s="78"/>
      <c r="CI11" s="188" t="s">
        <v>106</v>
      </c>
      <c r="CJ11" s="188"/>
      <c r="CK11" s="188"/>
      <c r="CM11" s="154"/>
      <c r="CN11" s="154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5</v>
      </c>
      <c r="D12" s="78">
        <f t="shared" si="4"/>
        <v>5</v>
      </c>
      <c r="E12" s="82">
        <f>LOOKUP(D12,Sheet3!$A$1:$B$20)</f>
        <v>0</v>
      </c>
      <c r="G12" s="171" t="s">
        <v>5456</v>
      </c>
      <c r="H12" s="171"/>
      <c r="I12" s="127">
        <f>C37*C42+E37*E42+G37*G42</f>
        <v>0</v>
      </c>
      <c r="J12" s="138"/>
      <c r="K12" s="85"/>
      <c r="O12" s="188" t="s">
        <v>109</v>
      </c>
      <c r="P12" s="188" t="s">
        <v>110</v>
      </c>
      <c r="Q12" s="188"/>
      <c r="R12" s="188"/>
      <c r="S12" s="188"/>
      <c r="T12" s="188"/>
      <c r="U12" s="188"/>
      <c r="V12" s="188"/>
      <c r="W12" s="188"/>
      <c r="Y12" s="128" t="s">
        <v>243</v>
      </c>
      <c r="Z12" s="217" t="s">
        <v>244</v>
      </c>
      <c r="AA12" s="217"/>
      <c r="AB12" s="217"/>
      <c r="AC12" s="217"/>
      <c r="AI12" s="130"/>
      <c r="AJ12" s="154" t="s">
        <v>248</v>
      </c>
      <c r="AK12" s="154"/>
      <c r="AL12" s="154"/>
      <c r="AM12" s="154"/>
      <c r="AN12" s="154"/>
      <c r="AO12" s="74">
        <f>LOOKUP(AJ12,Sheet2!$C$92:$D$191)</f>
        <v>0</v>
      </c>
      <c r="AQ12" s="189" t="s">
        <v>77</v>
      </c>
      <c r="AR12" s="189"/>
      <c r="AS12" s="78">
        <f>SUM(AS9:AS11)</f>
        <v>0</v>
      </c>
      <c r="AT12" s="8"/>
      <c r="AU12" s="189" t="s">
        <v>111</v>
      </c>
      <c r="AV12" s="189"/>
      <c r="AW12" s="2"/>
      <c r="AX12" s="187" t="s">
        <v>112</v>
      </c>
      <c r="AY12" s="187"/>
      <c r="AZ12" s="187">
        <v>0</v>
      </c>
      <c r="BA12" s="187"/>
      <c r="BC12" s="187"/>
      <c r="BD12" s="187"/>
      <c r="BE12" s="187"/>
      <c r="BF12" s="7"/>
      <c r="BG12" s="187" t="s">
        <v>113</v>
      </c>
      <c r="BH12" s="187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91"/>
      <c r="BP12" s="191"/>
      <c r="BQ12" s="191"/>
      <c r="BR12" s="84"/>
      <c r="BT12" s="187"/>
      <c r="BU12" s="187"/>
      <c r="BV12" s="187"/>
      <c r="BW12" s="187"/>
      <c r="BX12" s="187"/>
      <c r="BY12" s="187"/>
      <c r="BZ12" s="187"/>
      <c r="CD12" s="78"/>
      <c r="CE12" s="80"/>
      <c r="CF12" s="78"/>
      <c r="CG12" s="78"/>
      <c r="CI12" s="187" t="s">
        <v>114</v>
      </c>
      <c r="CJ12" s="187"/>
      <c r="CK12" s="78" t="s">
        <v>115</v>
      </c>
      <c r="CM12" s="154"/>
      <c r="CN12" s="154"/>
      <c r="CO12" s="151"/>
      <c r="CP12" s="16" t="s">
        <v>2</v>
      </c>
      <c r="CQ12" s="16" t="s">
        <v>16</v>
      </c>
      <c r="CR12" s="16" t="s">
        <v>32</v>
      </c>
      <c r="CT12" s="189" t="s">
        <v>257</v>
      </c>
      <c r="CU12" s="189"/>
      <c r="CV12" s="76" t="s">
        <v>2</v>
      </c>
      <c r="CW12" s="76" t="s">
        <v>258</v>
      </c>
      <c r="CX12" s="189" t="s">
        <v>5589</v>
      </c>
      <c r="CY12" s="189"/>
      <c r="CZ12" s="76" t="s">
        <v>103</v>
      </c>
      <c r="DA12" s="189" t="s">
        <v>77</v>
      </c>
      <c r="DB12" s="189"/>
      <c r="DC12" s="189"/>
      <c r="DD12" s="17"/>
      <c r="DE12" s="188" t="s">
        <v>1</v>
      </c>
      <c r="DF12" s="188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5</v>
      </c>
      <c r="D13" s="78">
        <f t="shared" si="4"/>
        <v>5</v>
      </c>
      <c r="E13" s="82">
        <f>LOOKUP(D13,Sheet3!$A$1:$B$20)</f>
        <v>0</v>
      </c>
      <c r="G13" s="171" t="s">
        <v>5453</v>
      </c>
      <c r="H13" s="171"/>
      <c r="I13" s="127">
        <f>D82+D83+D84+D85+D87+D88+D90+D92+D93+D94+AC15+AC25+AC35+AC45+AC55+AF22+AF32+AF42+AF52+AF62+(K24*M22)</f>
        <v>0</v>
      </c>
      <c r="J13" s="138"/>
      <c r="K13" s="85"/>
      <c r="O13" s="76">
        <f>LOOKUP($C$2,Sheet3!$C$42:$V$42,Sheet3!C43:V43)</f>
        <v>2</v>
      </c>
      <c r="P13" s="189" t="s">
        <v>116</v>
      </c>
      <c r="Q13" s="189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0</v>
      </c>
      <c r="AB13" s="128" t="s">
        <v>197</v>
      </c>
      <c r="AC13" s="87">
        <f>ROUNDDOWN((($C$41+$G$41)/40),0)</f>
        <v>0</v>
      </c>
      <c r="AI13" s="130"/>
      <c r="AJ13" s="154" t="s">
        <v>248</v>
      </c>
      <c r="AK13" s="154"/>
      <c r="AL13" s="154"/>
      <c r="AM13" s="154"/>
      <c r="AN13" s="154"/>
      <c r="AO13" s="74">
        <f>LOOKUP(AJ13,Sheet2!$C$92:$D$191)</f>
        <v>0</v>
      </c>
      <c r="AQ13" s="189" t="s">
        <v>120</v>
      </c>
      <c r="AR13" s="189"/>
      <c r="AS13" s="189"/>
      <c r="AT13" s="8"/>
      <c r="AU13" s="84" t="s">
        <v>2</v>
      </c>
      <c r="AV13" s="84">
        <f>AS6</f>
        <v>5</v>
      </c>
      <c r="AW13" s="2"/>
      <c r="AX13" s="187" t="s">
        <v>121</v>
      </c>
      <c r="AY13" s="187"/>
      <c r="AZ13" s="187">
        <v>0</v>
      </c>
      <c r="BA13" s="187"/>
      <c r="BC13" s="187"/>
      <c r="BD13" s="187"/>
      <c r="BE13" s="187"/>
      <c r="BF13" s="7"/>
      <c r="BG13" s="187" t="s">
        <v>122</v>
      </c>
      <c r="BH13" s="187"/>
      <c r="BI13" s="78">
        <v>0</v>
      </c>
      <c r="BK13" s="85"/>
      <c r="BL13" s="85"/>
      <c r="BM13" s="85"/>
      <c r="BO13" s="191"/>
      <c r="BP13" s="191"/>
      <c r="BQ13" s="191"/>
      <c r="BR13" s="84"/>
      <c r="BT13" s="187"/>
      <c r="BU13" s="187"/>
      <c r="BV13" s="187"/>
      <c r="BW13" s="187"/>
      <c r="BX13" s="187"/>
      <c r="BY13" s="187"/>
      <c r="BZ13" s="187"/>
      <c r="CD13" s="78"/>
      <c r="CE13" s="80"/>
      <c r="CF13" s="78"/>
      <c r="CG13" s="78"/>
      <c r="CI13" s="187" t="s">
        <v>123</v>
      </c>
      <c r="CJ13" s="187"/>
      <c r="CK13" s="78" t="s">
        <v>124</v>
      </c>
      <c r="CM13" s="154"/>
      <c r="CN13" s="154"/>
      <c r="CO13" s="152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89" t="s">
        <v>20</v>
      </c>
      <c r="CU13" s="189"/>
      <c r="CV13" s="78">
        <f>25+(CX1*5)</f>
        <v>30</v>
      </c>
      <c r="CW13" s="76"/>
      <c r="CX13" s="189"/>
      <c r="CY13" s="189"/>
      <c r="CZ13" s="78"/>
      <c r="DA13" s="187">
        <f t="shared" ref="DA13:DA18" si="5">SUM(CV13:CZ13)</f>
        <v>30</v>
      </c>
      <c r="DB13" s="187"/>
      <c r="DC13" s="187"/>
      <c r="DD13" s="17"/>
      <c r="DE13" s="187" t="s">
        <v>29</v>
      </c>
      <c r="DF13" s="187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5</v>
      </c>
      <c r="D14" s="78">
        <f t="shared" si="4"/>
        <v>5</v>
      </c>
      <c r="E14" s="82">
        <f>LOOKUP(D14,Sheet3!$A$1:$B$20)</f>
        <v>0</v>
      </c>
      <c r="G14" s="171" t="s">
        <v>5457</v>
      </c>
      <c r="H14" s="171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87" t="s">
        <v>127</v>
      </c>
      <c r="Q14" s="187"/>
      <c r="R14" s="79">
        <v>5</v>
      </c>
      <c r="S14" s="78">
        <f>E10+(E10*T14)</f>
        <v>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5</v>
      </c>
      <c r="AI14" s="130"/>
      <c r="AJ14" s="154" t="s">
        <v>248</v>
      </c>
      <c r="AK14" s="154"/>
      <c r="AL14" s="154"/>
      <c r="AM14" s="154"/>
      <c r="AN14" s="154"/>
      <c r="AO14" s="74">
        <f>LOOKUP(AJ14,Sheet2!$C$92:$D$191)</f>
        <v>0</v>
      </c>
      <c r="AQ14" s="187" t="s">
        <v>128</v>
      </c>
      <c r="AR14" s="187"/>
      <c r="AS14" s="78" t="s">
        <v>129</v>
      </c>
      <c r="AT14" s="8"/>
      <c r="AU14" s="84" t="s">
        <v>117</v>
      </c>
      <c r="AV14" s="84">
        <v>0</v>
      </c>
      <c r="AW14" s="2"/>
      <c r="AX14" s="187" t="s">
        <v>130</v>
      </c>
      <c r="AY14" s="187"/>
      <c r="AZ14" s="187"/>
      <c r="BA14" s="187"/>
      <c r="BC14" s="187"/>
      <c r="BD14" s="187"/>
      <c r="BE14" s="187"/>
      <c r="BF14" s="7"/>
      <c r="BG14" s="187" t="s">
        <v>131</v>
      </c>
      <c r="BH14" s="187"/>
      <c r="BI14" s="78">
        <v>0</v>
      </c>
      <c r="BK14" s="189" t="s">
        <v>132</v>
      </c>
      <c r="BL14" s="189"/>
      <c r="BM14" s="189"/>
      <c r="BN14" s="2"/>
      <c r="BO14" s="191"/>
      <c r="BP14" s="191"/>
      <c r="BQ14" s="191"/>
      <c r="BR14" s="84"/>
      <c r="BT14" s="187"/>
      <c r="BU14" s="187"/>
      <c r="BV14" s="187"/>
      <c r="BW14" s="187"/>
      <c r="BX14" s="187"/>
      <c r="BY14" s="187"/>
      <c r="BZ14" s="187"/>
      <c r="CD14" s="78"/>
      <c r="CE14" s="80"/>
      <c r="CF14" s="78"/>
      <c r="CG14" s="78"/>
      <c r="CI14" s="187" t="s">
        <v>133</v>
      </c>
      <c r="CJ14" s="187"/>
      <c r="CK14" s="78" t="s">
        <v>134</v>
      </c>
      <c r="CM14" s="154"/>
      <c r="CN14" s="154"/>
      <c r="CO14" s="152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89" t="s">
        <v>260</v>
      </c>
      <c r="CU14" s="189"/>
      <c r="CV14" s="78">
        <f>CV13</f>
        <v>30</v>
      </c>
      <c r="CW14" s="78" t="s">
        <v>72</v>
      </c>
      <c r="CX14" s="187">
        <f>F80</f>
        <v>0</v>
      </c>
      <c r="CY14" s="187"/>
      <c r="CZ14" s="78"/>
      <c r="DA14" s="187">
        <f t="shared" si="5"/>
        <v>30</v>
      </c>
      <c r="DB14" s="187"/>
      <c r="DC14" s="187"/>
      <c r="DD14" s="17"/>
      <c r="DE14" s="187" t="s">
        <v>49</v>
      </c>
      <c r="DF14" s="187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5</v>
      </c>
      <c r="D15" s="78">
        <f t="shared" si="4"/>
        <v>5</v>
      </c>
      <c r="E15" s="82">
        <f>LOOKUP(D15,Sheet3!$A$1:$B$20)</f>
        <v>0</v>
      </c>
      <c r="G15" s="173" t="s">
        <v>9</v>
      </c>
      <c r="H15" s="173"/>
      <c r="I15" s="127">
        <f>I16+I17</f>
        <v>0</v>
      </c>
      <c r="K15" s="85"/>
      <c r="O15" s="84">
        <f>LOOKUP($C$2,Sheet3!$C$42:$V$42,Sheet3!C45:V45)</f>
        <v>2</v>
      </c>
      <c r="P15" s="187" t="s">
        <v>137</v>
      </c>
      <c r="Q15" s="187"/>
      <c r="R15" s="79">
        <v>0</v>
      </c>
      <c r="S15" s="141">
        <f>E10+(E10*T15)</f>
        <v>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-30</v>
      </c>
      <c r="Y15" s="157" t="s">
        <v>242</v>
      </c>
      <c r="Z15" s="157"/>
      <c r="AA15" s="157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164" t="s">
        <v>149</v>
      </c>
      <c r="AF15" s="165"/>
      <c r="AG15" s="165"/>
      <c r="AH15" s="166"/>
      <c r="AI15" s="130"/>
      <c r="AJ15" s="154" t="s">
        <v>248</v>
      </c>
      <c r="AK15" s="154"/>
      <c r="AL15" s="154"/>
      <c r="AM15" s="154"/>
      <c r="AN15" s="154"/>
      <c r="AO15" s="74">
        <f>LOOKUP(AJ15,Sheet2!$C$92:$D$191)</f>
        <v>0</v>
      </c>
      <c r="AQ15" s="187"/>
      <c r="AR15" s="187"/>
      <c r="AS15" s="78"/>
      <c r="AT15" s="8"/>
      <c r="AU15" s="76" t="s">
        <v>77</v>
      </c>
      <c r="AV15" s="84">
        <f>AV13+(AS3*AV14)</f>
        <v>5</v>
      </c>
      <c r="AW15" s="2"/>
      <c r="AX15" s="201"/>
      <c r="AY15" s="201"/>
      <c r="AZ15" s="201"/>
      <c r="BA15" s="201"/>
      <c r="BC15" s="187"/>
      <c r="BD15" s="187"/>
      <c r="BE15" s="187"/>
      <c r="BF15" s="7"/>
      <c r="BG15" s="187" t="s">
        <v>138</v>
      </c>
      <c r="BH15" s="187"/>
      <c r="BI15" s="78">
        <v>0</v>
      </c>
      <c r="BK15" s="187">
        <f>LOOKUP(BI14,HP!A1:B31)</f>
        <v>0</v>
      </c>
      <c r="BL15" s="187"/>
      <c r="BM15" s="187"/>
      <c r="BN15" s="2"/>
      <c r="BO15" s="191"/>
      <c r="BP15" s="191"/>
      <c r="BQ15" s="191"/>
      <c r="BR15" s="84"/>
      <c r="BT15" s="187"/>
      <c r="BU15" s="187"/>
      <c r="BV15" s="187"/>
      <c r="BW15" s="187"/>
      <c r="BX15" s="187"/>
      <c r="BY15" s="187"/>
      <c r="BZ15" s="187"/>
      <c r="CD15" s="78"/>
      <c r="CE15" s="80"/>
      <c r="CF15" s="78"/>
      <c r="CG15" s="78"/>
      <c r="CI15" s="187" t="s">
        <v>139</v>
      </c>
      <c r="CJ15" s="187"/>
      <c r="CK15" s="78" t="s">
        <v>84</v>
      </c>
      <c r="CM15" s="154"/>
      <c r="CN15" s="154"/>
      <c r="CO15" s="152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89" t="s">
        <v>261</v>
      </c>
      <c r="CU15" s="189"/>
      <c r="CV15" s="78">
        <f>CV13</f>
        <v>30</v>
      </c>
      <c r="CW15" s="78" t="s">
        <v>72</v>
      </c>
      <c r="CX15" s="187">
        <f>F80</f>
        <v>0</v>
      </c>
      <c r="CY15" s="187"/>
      <c r="CZ15" s="78"/>
      <c r="DA15" s="187">
        <f t="shared" si="5"/>
        <v>30</v>
      </c>
      <c r="DB15" s="187"/>
      <c r="DC15" s="187"/>
      <c r="DD15" s="17"/>
      <c r="DE15" s="187" t="s">
        <v>61</v>
      </c>
      <c r="DF15" s="187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5</v>
      </c>
      <c r="D16" s="78">
        <f t="shared" si="4"/>
        <v>5</v>
      </c>
      <c r="E16" s="82">
        <f>LOOKUP(D16,Sheet3!$A$1:$B$20)</f>
        <v>0</v>
      </c>
      <c r="G16" s="171" t="s">
        <v>5454</v>
      </c>
      <c r="H16" s="171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87" t="s">
        <v>140</v>
      </c>
      <c r="Q16" s="187"/>
      <c r="R16" s="79">
        <v>0</v>
      </c>
      <c r="S16" s="141">
        <f>E10+(E10*T16)</f>
        <v>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-30</v>
      </c>
      <c r="Y16" s="157" t="s">
        <v>0</v>
      </c>
      <c r="Z16" s="157"/>
      <c r="AA16" s="157" t="s">
        <v>16</v>
      </c>
      <c r="AB16" s="157"/>
      <c r="AC16" s="157"/>
      <c r="AE16" s="163"/>
      <c r="AF16" s="163"/>
      <c r="AG16" s="163"/>
      <c r="AH16" s="163"/>
      <c r="AI16" s="130"/>
      <c r="AJ16" s="154" t="s">
        <v>248</v>
      </c>
      <c r="AK16" s="154"/>
      <c r="AL16" s="154"/>
      <c r="AM16" s="154"/>
      <c r="AN16" s="154"/>
      <c r="AO16" s="74">
        <f>LOOKUP(AJ16,Sheet2!$C$92:$D$191)</f>
        <v>0</v>
      </c>
      <c r="AQ16" s="17"/>
      <c r="AX16" s="187" t="s">
        <v>141</v>
      </c>
      <c r="AY16" s="187"/>
      <c r="AZ16" s="187">
        <f>IF((BC2-(SUM(AZ2:BA13)))&gt;0,BC2-(SUM(AZ2:BA13)),0)</f>
        <v>0</v>
      </c>
      <c r="BA16" s="187"/>
      <c r="BC16" s="187"/>
      <c r="BD16" s="187"/>
      <c r="BE16" s="187"/>
      <c r="BG16" s="189" t="s">
        <v>142</v>
      </c>
      <c r="BH16" s="189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87" t="s">
        <v>143</v>
      </c>
      <c r="CJ16" s="187"/>
      <c r="CK16" s="78" t="s">
        <v>144</v>
      </c>
      <c r="CM16" s="154"/>
      <c r="CN16" s="154"/>
      <c r="CO16" s="152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89" t="s">
        <v>262</v>
      </c>
      <c r="CU16" s="189"/>
      <c r="CV16" s="78">
        <f>CV13</f>
        <v>30</v>
      </c>
      <c r="CW16" s="78" t="s">
        <v>72</v>
      </c>
      <c r="CX16" s="187">
        <f>F80</f>
        <v>0</v>
      </c>
      <c r="CY16" s="187"/>
      <c r="CZ16" s="78"/>
      <c r="DA16" s="187">
        <f t="shared" si="5"/>
        <v>30</v>
      </c>
      <c r="DB16" s="187"/>
      <c r="DC16" s="187"/>
      <c r="DD16" s="17"/>
      <c r="DE16" s="187" t="s">
        <v>70</v>
      </c>
      <c r="DF16" s="187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5</v>
      </c>
      <c r="D17" s="78">
        <f t="shared" si="4"/>
        <v>5</v>
      </c>
      <c r="E17" s="82">
        <f>LOOKUP(D17,Sheet3!$A$1:$B$20)</f>
        <v>0</v>
      </c>
      <c r="G17" s="171" t="s">
        <v>5455</v>
      </c>
      <c r="H17" s="171"/>
      <c r="I17" s="127">
        <f>$T$77*$Q$77+$T$78*$Q$78+$T$79*$Q$79+$T$80*$Q$80</f>
        <v>0</v>
      </c>
      <c r="O17" s="84">
        <f>LOOKUP($C$2,Sheet3!$C$42:$V$42,Sheet3!C47:V47)</f>
        <v>2</v>
      </c>
      <c r="P17" s="187" t="s">
        <v>145</v>
      </c>
      <c r="Q17" s="187"/>
      <c r="R17" s="79">
        <v>0</v>
      </c>
      <c r="S17" s="141">
        <f>E10+(E10*T17)</f>
        <v>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-30</v>
      </c>
      <c r="Y17" s="154" t="s">
        <v>248</v>
      </c>
      <c r="Z17" s="154"/>
      <c r="AA17" s="154" t="str">
        <f>LOOKUP(Y17,Sheet2!$AP$7:$AP$116,Sheet2!$AR$7:$AR$116)</f>
        <v>Nada</v>
      </c>
      <c r="AB17" s="154"/>
      <c r="AC17" s="154"/>
      <c r="AE17" s="154"/>
      <c r="AF17" s="154"/>
      <c r="AG17" s="154"/>
      <c r="AH17" s="154"/>
      <c r="AI17" s="130"/>
      <c r="AJ17" s="154" t="s">
        <v>248</v>
      </c>
      <c r="AK17" s="154"/>
      <c r="AL17" s="154"/>
      <c r="AM17" s="154"/>
      <c r="AN17" s="154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89" t="s">
        <v>18</v>
      </c>
      <c r="BW17" s="189"/>
      <c r="BX17" s="76" t="s">
        <v>19</v>
      </c>
      <c r="BY17" s="76" t="s">
        <v>20</v>
      </c>
      <c r="BZ17" s="76" t="s">
        <v>21</v>
      </c>
      <c r="CD17" s="85"/>
      <c r="CI17" s="187" t="s">
        <v>146</v>
      </c>
      <c r="CJ17" s="187"/>
      <c r="CK17" s="78" t="s">
        <v>147</v>
      </c>
      <c r="CM17" s="154"/>
      <c r="CN17" s="154"/>
      <c r="CO17" s="152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89" t="s">
        <v>263</v>
      </c>
      <c r="CU17" s="189"/>
      <c r="CV17" s="78">
        <f>CV13</f>
        <v>30</v>
      </c>
      <c r="CW17" s="78" t="s">
        <v>63</v>
      </c>
      <c r="CX17" s="187">
        <f>F85</f>
        <v>0</v>
      </c>
      <c r="CY17" s="187"/>
      <c r="CZ17" s="78"/>
      <c r="DA17" s="187">
        <f t="shared" si="5"/>
        <v>30</v>
      </c>
      <c r="DB17" s="187"/>
      <c r="DC17" s="187"/>
      <c r="DD17" s="17"/>
      <c r="DE17" s="187" t="s">
        <v>27</v>
      </c>
      <c r="DF17" s="187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40</v>
      </c>
      <c r="D18" s="114"/>
      <c r="E18" s="114"/>
      <c r="G18" s="173" t="s">
        <v>298</v>
      </c>
      <c r="H18" s="173"/>
      <c r="I18" s="127">
        <f>($BR$19*$BP$18)+$BL$9+$BL$10+$BL$11+$BL$12+(BI10*$BI$8)</f>
        <v>0</v>
      </c>
      <c r="O18" s="84">
        <f>LOOKUP($C$2,Sheet3!$C$42:$V$42,Sheet3!C48:V48)</f>
        <v>2</v>
      </c>
      <c r="P18" s="187" t="s">
        <v>148</v>
      </c>
      <c r="Q18" s="187"/>
      <c r="R18" s="79">
        <v>0</v>
      </c>
      <c r="S18" s="141">
        <f>E10+(E10*T18)</f>
        <v>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-30</v>
      </c>
      <c r="Y18" s="157" t="s">
        <v>250</v>
      </c>
      <c r="Z18" s="157"/>
      <c r="AA18" s="157"/>
      <c r="AB18" s="96" t="s">
        <v>5</v>
      </c>
      <c r="AC18" s="96" t="s">
        <v>251</v>
      </c>
      <c r="AE18" s="154"/>
      <c r="AF18" s="154"/>
      <c r="AG18" s="154"/>
      <c r="AH18" s="154"/>
      <c r="AI18" s="130"/>
      <c r="AJ18" s="154" t="s">
        <v>248</v>
      </c>
      <c r="AK18" s="154"/>
      <c r="AL18" s="154"/>
      <c r="AM18" s="154"/>
      <c r="AN18" s="154"/>
      <c r="AO18" s="74">
        <f>LOOKUP(AJ18,Sheet2!$C$92:$D$191)</f>
        <v>0</v>
      </c>
      <c r="AQ18" s="218" t="s">
        <v>150</v>
      </c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19"/>
      <c r="BG18" s="219" t="s">
        <v>151</v>
      </c>
      <c r="BH18" s="219"/>
      <c r="BI18" s="219"/>
      <c r="BJ18" s="219"/>
      <c r="BK18" s="219"/>
      <c r="BL18" s="219"/>
      <c r="BM18" s="219"/>
      <c r="BN18" s="219"/>
      <c r="BO18" s="18"/>
      <c r="BP18" s="78">
        <f>LOOKUP($C$2,Sheet3!$C$100:$V$100,Sheet3!$C$167:$V$167)</f>
        <v>2</v>
      </c>
      <c r="BQ18" s="189" t="s">
        <v>5406</v>
      </c>
      <c r="BR18" s="189"/>
      <c r="BT18" s="78"/>
      <c r="BU18" s="78"/>
      <c r="BV18" s="187"/>
      <c r="BW18" s="187"/>
      <c r="BX18" s="78"/>
      <c r="BY18" s="78"/>
      <c r="BZ18" s="78"/>
      <c r="CD18" s="77" t="s">
        <v>152</v>
      </c>
      <c r="CE18" s="202" t="s">
        <v>153</v>
      </c>
      <c r="CF18" s="202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89" t="s">
        <v>265</v>
      </c>
      <c r="CU18" s="189"/>
      <c r="CV18" s="78">
        <f>CV13</f>
        <v>30</v>
      </c>
      <c r="CW18" s="78" t="s">
        <v>64</v>
      </c>
      <c r="CX18" s="187">
        <f>F86</f>
        <v>0</v>
      </c>
      <c r="CY18" s="187"/>
      <c r="CZ18" s="78"/>
      <c r="DA18" s="187">
        <f t="shared" si="5"/>
        <v>30</v>
      </c>
      <c r="DB18" s="187"/>
      <c r="DC18" s="187"/>
      <c r="DD18" s="17"/>
      <c r="DE18" s="187" t="s">
        <v>43</v>
      </c>
      <c r="DF18" s="187"/>
      <c r="DG18" s="78">
        <v>0</v>
      </c>
      <c r="DH18" s="78">
        <f>DG18</f>
        <v>0</v>
      </c>
      <c r="DI18" s="17"/>
    </row>
    <row r="19" spans="1:113" ht="7.35" customHeight="1" x14ac:dyDescent="0.2">
      <c r="G19" s="174" t="s">
        <v>93</v>
      </c>
      <c r="H19" s="174"/>
      <c r="I19" s="33">
        <f>I10+I11+I15+I18</f>
        <v>10</v>
      </c>
      <c r="O19" s="84">
        <f>LOOKUP($C$2,Sheet3!$C$42:$V$42,Sheet3!C49:V49)</f>
        <v>2</v>
      </c>
      <c r="P19" s="187" t="s">
        <v>155</v>
      </c>
      <c r="Q19" s="187"/>
      <c r="R19" s="79">
        <v>0</v>
      </c>
      <c r="S19" s="141">
        <f>E13+(E13*T19)</f>
        <v>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-30</v>
      </c>
      <c r="Y19" s="154" t="str">
        <f>LOOKUP(Y17,Sheet2!$AP$7:$AP$116,Sheet2!$AQ$7:$AQ$116)</f>
        <v>Nada</v>
      </c>
      <c r="Z19" s="154"/>
      <c r="AA19" s="154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4"/>
      <c r="AF19" s="154"/>
      <c r="AG19" s="154"/>
      <c r="AH19" s="154"/>
      <c r="AI19" s="130"/>
      <c r="AJ19" s="154" t="s">
        <v>248</v>
      </c>
      <c r="AK19" s="154"/>
      <c r="AL19" s="154"/>
      <c r="AM19" s="154"/>
      <c r="AN19" s="154"/>
      <c r="AO19" s="74">
        <f>LOOKUP(AJ19,Sheet2!$C$92:$D$191)</f>
        <v>0</v>
      </c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"/>
      <c r="BG19" s="189" t="s">
        <v>156</v>
      </c>
      <c r="BH19" s="189"/>
      <c r="BI19" s="76" t="s">
        <v>157</v>
      </c>
      <c r="BJ19" s="76"/>
      <c r="BK19" s="189" t="s">
        <v>156</v>
      </c>
      <c r="BL19" s="189"/>
      <c r="BM19" s="189" t="s">
        <v>157</v>
      </c>
      <c r="BN19" s="189"/>
      <c r="BO19" s="18"/>
      <c r="BP19" s="187" t="s">
        <v>2</v>
      </c>
      <c r="BQ19" s="187"/>
      <c r="BR19" s="84">
        <v>0</v>
      </c>
      <c r="BT19" s="189" t="s">
        <v>24</v>
      </c>
      <c r="BU19" s="189"/>
      <c r="BV19" s="189"/>
      <c r="BW19" s="189"/>
      <c r="BX19" s="189"/>
      <c r="BY19" s="189"/>
      <c r="BZ19" s="189"/>
      <c r="CD19" s="78"/>
      <c r="CE19" s="193"/>
      <c r="CF19" s="193"/>
      <c r="CI19" s="188" t="s">
        <v>158</v>
      </c>
      <c r="CJ19" s="188"/>
      <c r="CK19" s="188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87" t="s">
        <v>93</v>
      </c>
      <c r="DF19" s="187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2</v>
      </c>
      <c r="P20" s="189" t="s">
        <v>162</v>
      </c>
      <c r="Q20" s="189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7" t="s">
        <v>255</v>
      </c>
      <c r="Z20" s="157"/>
      <c r="AA20" s="157"/>
      <c r="AB20" s="157"/>
      <c r="AC20" s="157"/>
      <c r="AE20" s="154"/>
      <c r="AF20" s="154"/>
      <c r="AG20" s="154"/>
      <c r="AH20" s="154"/>
      <c r="AI20" s="130"/>
      <c r="AJ20" s="154" t="s">
        <v>248</v>
      </c>
      <c r="AK20" s="154"/>
      <c r="AL20" s="154"/>
      <c r="AM20" s="154"/>
      <c r="AN20" s="154"/>
      <c r="AO20" s="74">
        <f>LOOKUP(AJ20,Sheet2!$C$92:$D$191)</f>
        <v>0</v>
      </c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"/>
      <c r="BG20" s="187"/>
      <c r="BH20" s="187"/>
      <c r="BI20" s="78"/>
      <c r="BJ20" s="15"/>
      <c r="BK20" s="187"/>
      <c r="BL20" s="187"/>
      <c r="BM20" s="187"/>
      <c r="BN20" s="187"/>
      <c r="BO20" s="18"/>
      <c r="BP20" s="187" t="s">
        <v>99</v>
      </c>
      <c r="BQ20" s="187"/>
      <c r="BR20" s="84">
        <f>$E$12</f>
        <v>0</v>
      </c>
      <c r="BT20" s="187"/>
      <c r="BU20" s="187"/>
      <c r="BV20" s="187"/>
      <c r="BW20" s="187"/>
      <c r="BX20" s="187"/>
      <c r="BY20" s="187"/>
      <c r="BZ20" s="187"/>
      <c r="CD20" s="78"/>
      <c r="CE20" s="193"/>
      <c r="CF20" s="193"/>
      <c r="CI20" s="187" t="s">
        <v>163</v>
      </c>
      <c r="CJ20" s="187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2</v>
      </c>
      <c r="P21" s="187" t="s">
        <v>165</v>
      </c>
      <c r="Q21" s="187"/>
      <c r="R21" s="79">
        <v>0</v>
      </c>
      <c r="S21" s="141">
        <f>E17+(E17*T21)</f>
        <v>0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-30</v>
      </c>
      <c r="Y21" s="169" t="str">
        <f>LOOKUP(Y17,Sheet2!$AP$7:$AP$116,Sheet2!$AT$7:$AT$116)</f>
        <v>Nada</v>
      </c>
      <c r="Z21" s="169"/>
      <c r="AA21" s="169"/>
      <c r="AB21" s="169"/>
      <c r="AC21" s="169"/>
      <c r="AE21" s="154"/>
      <c r="AF21" s="154"/>
      <c r="AG21" s="154"/>
      <c r="AH21" s="154"/>
      <c r="AI21" s="130"/>
      <c r="AJ21" s="154" t="s">
        <v>248</v>
      </c>
      <c r="AK21" s="154"/>
      <c r="AL21" s="154"/>
      <c r="AM21" s="154"/>
      <c r="AN21" s="154"/>
      <c r="AO21" s="74">
        <f>LOOKUP(AJ21,Sheet2!$C$92:$D$191)</f>
        <v>0</v>
      </c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"/>
      <c r="BG21" s="187"/>
      <c r="BH21" s="187"/>
      <c r="BI21" s="78"/>
      <c r="BJ21" s="15"/>
      <c r="BK21" s="187"/>
      <c r="BL21" s="187"/>
      <c r="BM21" s="187"/>
      <c r="BN21" s="187"/>
      <c r="BO21" s="18"/>
      <c r="BP21" s="187" t="s">
        <v>103</v>
      </c>
      <c r="BQ21" s="187"/>
      <c r="BR21" s="84">
        <v>0</v>
      </c>
      <c r="BT21" s="187"/>
      <c r="BU21" s="187"/>
      <c r="BV21" s="187"/>
      <c r="BW21" s="187"/>
      <c r="BX21" s="187"/>
      <c r="BY21" s="187"/>
      <c r="BZ21" s="187"/>
      <c r="CD21" s="78"/>
      <c r="CE21" s="193"/>
      <c r="CF21" s="193"/>
      <c r="CI21" s="187" t="s">
        <v>166</v>
      </c>
      <c r="CJ21" s="187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5" t="s">
        <v>38</v>
      </c>
      <c r="C22" s="155"/>
      <c r="D22" s="155"/>
      <c r="E22" s="155"/>
      <c r="F22" s="155"/>
      <c r="G22" s="155"/>
      <c r="H22" s="155"/>
      <c r="I22" s="155" t="s">
        <v>154</v>
      </c>
      <c r="J22" s="155"/>
      <c r="K22" s="155"/>
      <c r="L22" s="155"/>
      <c r="M22" s="154">
        <f>LOOKUP(C2,Sheet3!C100:V100,Sheet3!C99:V99)</f>
        <v>2</v>
      </c>
      <c r="O22" s="84">
        <f>LOOKUP($C$2,Sheet3!$C$42:$V$42,Sheet3!C52:V52)</f>
        <v>2</v>
      </c>
      <c r="P22" s="187" t="s">
        <v>167</v>
      </c>
      <c r="Q22" s="187"/>
      <c r="R22" s="79">
        <v>0</v>
      </c>
      <c r="S22" s="141">
        <f>E13+(E13*T22)</f>
        <v>0</v>
      </c>
      <c r="T22" s="78">
        <v>0</v>
      </c>
      <c r="U22" s="141">
        <v>0</v>
      </c>
      <c r="V22" s="84">
        <f>(LOOKUP($C$2,Sheet3!$C$100:$V$100,Sheet3!C110:V110))*$C$3</f>
        <v>0</v>
      </c>
      <c r="W22" s="145">
        <f t="shared" si="6"/>
        <v>-30</v>
      </c>
      <c r="Y22" s="169"/>
      <c r="Z22" s="169"/>
      <c r="AA22" s="169"/>
      <c r="AB22" s="169"/>
      <c r="AC22" s="169"/>
      <c r="AE22" s="93" t="s">
        <v>168</v>
      </c>
      <c r="AF22" s="93"/>
      <c r="AG22" s="93" t="s">
        <v>5</v>
      </c>
      <c r="AH22" s="93"/>
      <c r="AI22" s="130"/>
      <c r="AJ22" s="154" t="s">
        <v>248</v>
      </c>
      <c r="AK22" s="154"/>
      <c r="AL22" s="154"/>
      <c r="AM22" s="154"/>
      <c r="AN22" s="154"/>
      <c r="AO22" s="74">
        <f>LOOKUP(AJ22,Sheet2!$C$92:$D$191)</f>
        <v>0</v>
      </c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"/>
      <c r="BG22" s="187"/>
      <c r="BH22" s="187"/>
      <c r="BI22" s="78"/>
      <c r="BJ22" s="15"/>
      <c r="BK22" s="187"/>
      <c r="BL22" s="187"/>
      <c r="BM22" s="187"/>
      <c r="BN22" s="187"/>
      <c r="BP22" s="187" t="s">
        <v>77</v>
      </c>
      <c r="BQ22" s="187"/>
      <c r="BR22" s="84">
        <f>SUM(BR19:BR21)</f>
        <v>0</v>
      </c>
      <c r="BT22" s="187"/>
      <c r="BU22" s="187"/>
      <c r="BV22" s="187"/>
      <c r="BW22" s="187"/>
      <c r="BX22" s="187"/>
      <c r="BY22" s="187"/>
      <c r="BZ22" s="187"/>
      <c r="CD22" s="78"/>
      <c r="CE22" s="193"/>
      <c r="CF22" s="193"/>
      <c r="CI22" s="187" t="s">
        <v>169</v>
      </c>
      <c r="CJ22" s="187"/>
      <c r="CK22" s="78"/>
      <c r="CO22" s="170" t="s">
        <v>128</v>
      </c>
      <c r="CP22" s="170"/>
      <c r="CQ22" s="170" t="s">
        <v>129</v>
      </c>
      <c r="CR22" s="170"/>
      <c r="CS22" s="170" t="s">
        <v>197</v>
      </c>
      <c r="CT22" s="170"/>
      <c r="CU22" s="17"/>
      <c r="CV22" s="200" t="s">
        <v>305</v>
      </c>
      <c r="CW22" s="200"/>
      <c r="CX22" s="200"/>
      <c r="CY22" s="200"/>
      <c r="CZ22" s="200"/>
      <c r="DA22" s="200"/>
      <c r="DB22" s="200"/>
      <c r="DC22" s="200"/>
      <c r="DD22" s="200"/>
      <c r="DE22" s="200"/>
      <c r="DF22" s="200"/>
      <c r="DG22" s="200"/>
      <c r="DH22" s="200"/>
      <c r="DI22" s="200"/>
    </row>
    <row r="23" spans="1:113" ht="7.35" customHeight="1" thickBot="1" x14ac:dyDescent="0.25">
      <c r="A23" s="21"/>
      <c r="B23" s="208" t="s">
        <v>38</v>
      </c>
      <c r="C23" s="208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5"/>
      <c r="J23" s="155"/>
      <c r="K23" s="155"/>
      <c r="L23" s="155"/>
      <c r="M23" s="154"/>
      <c r="O23" s="84">
        <f>LOOKUP($C$2,Sheet3!$C$42:$V$42,Sheet3!C53:V53)</f>
        <v>2</v>
      </c>
      <c r="P23" s="187" t="s">
        <v>170</v>
      </c>
      <c r="Q23" s="187"/>
      <c r="R23" s="79">
        <v>0</v>
      </c>
      <c r="S23" s="141">
        <f>E17+(E17*T23)</f>
        <v>0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-30</v>
      </c>
      <c r="Y23" s="169"/>
      <c r="Z23" s="169"/>
      <c r="AA23" s="169"/>
      <c r="AB23" s="169"/>
      <c r="AC23" s="169"/>
      <c r="AI23" s="130"/>
      <c r="AJ23" s="154" t="s">
        <v>248</v>
      </c>
      <c r="AK23" s="154"/>
      <c r="AL23" s="154"/>
      <c r="AM23" s="154"/>
      <c r="AN23" s="154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87"/>
      <c r="BH23" s="187"/>
      <c r="BI23" s="78"/>
      <c r="BJ23" s="15"/>
      <c r="BK23" s="187"/>
      <c r="BL23" s="187"/>
      <c r="BM23" s="187"/>
      <c r="BN23" s="187"/>
      <c r="BP23" s="2"/>
      <c r="BQ23" s="2"/>
      <c r="BT23" s="187"/>
      <c r="BU23" s="187"/>
      <c r="BV23" s="187"/>
      <c r="BW23" s="187"/>
      <c r="BX23" s="187"/>
      <c r="BY23" s="187"/>
      <c r="BZ23" s="187"/>
      <c r="CD23" s="78"/>
      <c r="CE23" s="193"/>
      <c r="CF23" s="193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216" t="s">
        <v>0</v>
      </c>
      <c r="CW23" s="216"/>
      <c r="CX23" s="216" t="s">
        <v>168</v>
      </c>
      <c r="CY23" s="216"/>
      <c r="CZ23" s="216"/>
      <c r="DA23" s="216" t="s">
        <v>153</v>
      </c>
      <c r="DB23" s="216"/>
      <c r="DC23" s="216"/>
      <c r="DD23" s="216"/>
      <c r="DE23" s="216" t="s">
        <v>0</v>
      </c>
      <c r="DF23" s="216"/>
      <c r="DG23" s="100" t="s">
        <v>168</v>
      </c>
      <c r="DH23" s="154" t="s">
        <v>5405</v>
      </c>
      <c r="DI23" s="154"/>
    </row>
    <row r="24" spans="1:113" ht="7.35" customHeight="1" x14ac:dyDescent="0.2">
      <c r="B24" s="207"/>
      <c r="C24" s="207"/>
      <c r="D24" s="104">
        <f>LOOKUP(B24,Tabla12[Nombre],Tabla12[Entereza])+(5*LOOKUP(H24,Sheet3!$L$2:$M$6))</f>
        <v>0</v>
      </c>
      <c r="E24" s="104">
        <f>LOOKUP(B24,Tabla12[Nombre],Tabla12[Presencia])+(50*LOOKUP(H24,Sheet3!$L$2:$M$6))</f>
        <v>0</v>
      </c>
      <c r="F24" s="104">
        <f>LOOKUP(B24,Tabla12[Nombre],Tabla12[Penalizador natural])+(5*LOOKUP(H24,Sheet3!$L$2:$M$6))</f>
        <v>0</v>
      </c>
      <c r="G24" s="104">
        <f>LOOKUP(B24,Tabla12[Nombre],Tabla12[Requerimiento de armadura])-(5*LOOKUP(H24,Sheet3!$L$2:$M$6))</f>
        <v>0</v>
      </c>
      <c r="H24" s="111">
        <v>0</v>
      </c>
      <c r="I24" s="157" t="s">
        <v>2</v>
      </c>
      <c r="J24" s="157"/>
      <c r="K24" s="154">
        <v>0</v>
      </c>
      <c r="L24" s="154"/>
      <c r="M24" s="154"/>
      <c r="O24" s="76">
        <f>LOOKUP($C$2,Sheet3!$C$42:$V$42,Sheet3!C54:V54)</f>
        <v>2</v>
      </c>
      <c r="P24" s="189" t="s">
        <v>180</v>
      </c>
      <c r="Q24" s="189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4" t="s">
        <v>248</v>
      </c>
      <c r="AK24" s="154"/>
      <c r="AL24" s="154"/>
      <c r="AM24" s="154"/>
      <c r="AN24" s="154"/>
      <c r="AO24" s="74">
        <f>LOOKUP(AJ24,Sheet2!$C$92:$D$191)</f>
        <v>0</v>
      </c>
      <c r="AQ24" s="88" t="s">
        <v>5452</v>
      </c>
      <c r="AR24" s="209" t="s">
        <v>0</v>
      </c>
      <c r="AS24" s="209"/>
      <c r="AT24" s="189" t="s">
        <v>181</v>
      </c>
      <c r="AU24" s="189"/>
      <c r="AV24" s="189"/>
      <c r="AW24" s="209" t="s">
        <v>182</v>
      </c>
      <c r="AX24" s="209"/>
      <c r="AY24" s="209" t="s">
        <v>181</v>
      </c>
      <c r="AZ24" s="209"/>
      <c r="BA24" s="209"/>
      <c r="BB24" s="209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93"/>
      <c r="CF24" s="193"/>
      <c r="CI24" s="155" t="s">
        <v>187</v>
      </c>
      <c r="CJ24" s="155"/>
      <c r="CK24" s="155"/>
      <c r="CL24" s="155" t="s">
        <v>188</v>
      </c>
      <c r="CM24" s="155"/>
      <c r="CN24" s="155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216"/>
      <c r="CW24" s="216"/>
      <c r="CX24" s="216"/>
      <c r="CY24" s="216"/>
      <c r="CZ24" s="216"/>
      <c r="DA24" s="216"/>
      <c r="DB24" s="216"/>
      <c r="DC24" s="216"/>
      <c r="DD24" s="216"/>
      <c r="DE24" s="216"/>
      <c r="DF24" s="216"/>
      <c r="DG24" s="102"/>
      <c r="DH24" s="154"/>
      <c r="DI24" s="154"/>
    </row>
    <row r="25" spans="1:113" ht="7.35" customHeight="1" x14ac:dyDescent="0.2">
      <c r="B25" s="206"/>
      <c r="C25" s="206"/>
      <c r="D25" s="112">
        <f>LOOKUP(B25,Tabla12[Nombre],Tabla12[Entereza])+(5*LOOKUP(H25,Sheet3!$L$2:$M$6))</f>
        <v>0</v>
      </c>
      <c r="E25" s="112">
        <f>LOOKUP(B25,Tabla12[Nombre],Tabla12[Presencia])+(50*LOOKUP(H25,Sheet3!$L$2:$M$6))</f>
        <v>0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0</v>
      </c>
      <c r="H25" s="121">
        <v>0</v>
      </c>
      <c r="I25" s="157" t="s">
        <v>16</v>
      </c>
      <c r="J25" s="157"/>
      <c r="K25" s="154">
        <f>$E$13</f>
        <v>0</v>
      </c>
      <c r="L25" s="154"/>
      <c r="M25" s="154"/>
      <c r="O25" s="84">
        <f>LOOKUP($C$2,Sheet3!$C$42:$V$42,Sheet3!C55:V55)</f>
        <v>2</v>
      </c>
      <c r="P25" s="187" t="s">
        <v>184</v>
      </c>
      <c r="Q25" s="187"/>
      <c r="R25" s="79">
        <v>0</v>
      </c>
      <c r="S25" s="141">
        <f>E15+(E15*T25)</f>
        <v>0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-30</v>
      </c>
      <c r="Y25" s="157" t="s">
        <v>242</v>
      </c>
      <c r="Z25" s="157"/>
      <c r="AA25" s="157"/>
      <c r="AB25" s="96" t="s">
        <v>168</v>
      </c>
      <c r="AC25" s="95">
        <f>IF($C$2="Tao",LOOKUP(Y27,Sheet2!$AP$7:$AP$116,Sheet2!$AV$7:$AV$116),LOOKUP(Y27,Sheet2!$AP$7:$AP$116,Sheet2!$AU$7:$AU$116))</f>
        <v>0</v>
      </c>
      <c r="AE25" s="164" t="s">
        <v>149</v>
      </c>
      <c r="AF25" s="165"/>
      <c r="AG25" s="165"/>
      <c r="AH25" s="166"/>
      <c r="AI25" s="130"/>
      <c r="AJ25" s="154" t="s">
        <v>248</v>
      </c>
      <c r="AK25" s="154"/>
      <c r="AL25" s="154"/>
      <c r="AM25" s="154"/>
      <c r="AN25" s="154"/>
      <c r="AO25" s="74">
        <f>LOOKUP(AJ25,Sheet2!$C$92:$D$191)</f>
        <v>0</v>
      </c>
      <c r="AQ25" s="210"/>
      <c r="AR25" s="211" t="s">
        <v>266</v>
      </c>
      <c r="AS25" s="211"/>
      <c r="AT25" s="212" t="str">
        <f>LOOKUP(AR25,HM!$V$15:$V$655,HM!$W$15:$W$655)</f>
        <v>No</v>
      </c>
      <c r="AU25" s="212"/>
      <c r="AV25" s="212"/>
      <c r="AW25" s="209" t="s">
        <v>2</v>
      </c>
      <c r="AX25" s="209"/>
      <c r="AY25" s="211" t="str">
        <f>LOOKUP(AR25,HM!$V$15:$V$655,HM!$AA$15:$AA$655)</f>
        <v>Nada</v>
      </c>
      <c r="AZ25" s="211"/>
      <c r="BA25" s="211"/>
      <c r="BB25" s="211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7" t="s">
        <v>0</v>
      </c>
      <c r="BI25" s="157"/>
      <c r="BK25" s="96" t="s">
        <v>4517</v>
      </c>
      <c r="BL25" s="157" t="s">
        <v>0</v>
      </c>
      <c r="BM25" s="157"/>
      <c r="BN25" s="157"/>
      <c r="BP25" s="96" t="s">
        <v>4517</v>
      </c>
      <c r="BQ25" s="157" t="s">
        <v>0</v>
      </c>
      <c r="BR25" s="157"/>
      <c r="BT25" s="76" t="s">
        <v>17</v>
      </c>
      <c r="BU25" s="76" t="s">
        <v>0</v>
      </c>
      <c r="BV25" s="189" t="s">
        <v>18</v>
      </c>
      <c r="BW25" s="189"/>
      <c r="BX25" s="76" t="s">
        <v>19</v>
      </c>
      <c r="BY25" s="76" t="s">
        <v>20</v>
      </c>
      <c r="BZ25" s="76" t="s">
        <v>21</v>
      </c>
      <c r="CD25" s="78"/>
      <c r="CE25" s="193"/>
      <c r="CF25" s="193"/>
      <c r="CI25" s="154"/>
      <c r="CJ25" s="154"/>
      <c r="CK25" s="154"/>
      <c r="CL25" s="154"/>
      <c r="CM25" s="154"/>
      <c r="CN25" s="154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216"/>
      <c r="CW25" s="216"/>
      <c r="CX25" s="216"/>
      <c r="CY25" s="216"/>
      <c r="CZ25" s="216"/>
      <c r="DA25" s="216"/>
      <c r="DB25" s="216"/>
      <c r="DC25" s="216"/>
      <c r="DD25" s="216"/>
      <c r="DE25" s="216"/>
      <c r="DF25" s="216"/>
      <c r="DG25" s="102"/>
      <c r="DH25" s="154"/>
      <c r="DI25" s="154"/>
    </row>
    <row r="26" spans="1:113" ht="7.35" customHeight="1" thickBot="1" x14ac:dyDescent="0.25">
      <c r="B26" s="186"/>
      <c r="C26" s="186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7" t="s">
        <v>117</v>
      </c>
      <c r="J26" s="157"/>
      <c r="K26" s="154">
        <f>(LOOKUP($C$2,Sheet3!$C$100:$V$100,Sheet3!$C$149:$V$149))*$C$3</f>
        <v>0</v>
      </c>
      <c r="L26" s="154"/>
      <c r="M26" s="154"/>
      <c r="O26" s="84">
        <f>LOOKUP($C$2,Sheet3!$C$42:$V$42,Sheet3!C56:V56)</f>
        <v>2</v>
      </c>
      <c r="P26" s="187" t="s">
        <v>189</v>
      </c>
      <c r="Q26" s="187"/>
      <c r="R26" s="79">
        <v>0</v>
      </c>
      <c r="S26" s="141">
        <f>E15+(E15*T26)</f>
        <v>0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-30</v>
      </c>
      <c r="X26" s="7"/>
      <c r="Y26" s="157" t="s">
        <v>0</v>
      </c>
      <c r="Z26" s="157"/>
      <c r="AA26" s="157" t="s">
        <v>16</v>
      </c>
      <c r="AB26" s="157"/>
      <c r="AC26" s="157"/>
      <c r="AE26" s="163"/>
      <c r="AF26" s="163"/>
      <c r="AG26" s="163"/>
      <c r="AH26" s="163"/>
      <c r="AI26" s="130"/>
      <c r="AJ26" s="154" t="s">
        <v>248</v>
      </c>
      <c r="AK26" s="154"/>
      <c r="AL26" s="154"/>
      <c r="AM26" s="154"/>
      <c r="AN26" s="154"/>
      <c r="AO26" s="74">
        <f>LOOKUP(AJ26,Sheet2!$C$92:$D$191)</f>
        <v>0</v>
      </c>
      <c r="AQ26" s="210"/>
      <c r="AR26" s="211"/>
      <c r="AS26" s="211"/>
      <c r="AT26" s="212"/>
      <c r="AU26" s="212"/>
      <c r="AV26" s="212"/>
      <c r="AW26" s="209" t="s">
        <v>190</v>
      </c>
      <c r="AX26" s="209"/>
      <c r="AY26" s="211" t="str">
        <f>LOOKUP(AR25,HM!$V$15:$V$655,HM!$AE$15:$AE$655)</f>
        <v>Nada</v>
      </c>
      <c r="AZ26" s="211"/>
      <c r="BA26" s="211"/>
      <c r="BB26" s="211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4"/>
      <c r="BI26" s="154"/>
      <c r="BK26" s="74"/>
      <c r="BL26" s="154"/>
      <c r="BM26" s="154"/>
      <c r="BN26" s="154"/>
      <c r="BP26" s="74"/>
      <c r="BQ26" s="154"/>
      <c r="BR26" s="154"/>
      <c r="BS26" s="7"/>
      <c r="BT26" s="78"/>
      <c r="BU26" s="78"/>
      <c r="BV26" s="187"/>
      <c r="BW26" s="187"/>
      <c r="BX26" s="78"/>
      <c r="BY26" s="78"/>
      <c r="BZ26" s="78"/>
      <c r="CD26" s="78"/>
      <c r="CE26" s="193"/>
      <c r="CF26" s="193"/>
      <c r="CI26" s="154"/>
      <c r="CJ26" s="154"/>
      <c r="CK26" s="154"/>
      <c r="CL26" s="154"/>
      <c r="CM26" s="154"/>
      <c r="CN26" s="154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216"/>
      <c r="CW26" s="216"/>
      <c r="CX26" s="216"/>
      <c r="CY26" s="216"/>
      <c r="CZ26" s="216"/>
      <c r="DA26" s="216"/>
      <c r="DB26" s="216"/>
      <c r="DC26" s="216"/>
      <c r="DD26" s="216"/>
      <c r="DE26" s="216"/>
      <c r="DF26" s="216"/>
      <c r="DG26" s="102"/>
      <c r="DH26" s="154"/>
      <c r="DI26" s="154"/>
    </row>
    <row r="27" spans="1:113" ht="7.35" customHeight="1" thickBot="1" x14ac:dyDescent="0.25">
      <c r="B27" s="204"/>
      <c r="C27" s="205"/>
      <c r="D27" s="109">
        <f>LOOKUP(B27,Tabla13[Nombre],Tabla13[Entereza])+(5*LOOKUP(H27,Sheet3!$L$2:$M$6))</f>
        <v>0</v>
      </c>
      <c r="E27" s="109">
        <f>LOOKUP(B27,Tabla13[Nombre],Tabla13[Presencia])+(50*LOOKUP(H27,Sheet3!$L$2:$M$6))</f>
        <v>0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7" t="s">
        <v>77</v>
      </c>
      <c r="J27" s="157"/>
      <c r="K27" s="154">
        <f>SUM($K$24:$K$26)</f>
        <v>0</v>
      </c>
      <c r="L27" s="154"/>
      <c r="M27" s="154"/>
      <c r="O27" s="84">
        <f>LOOKUP($C$2,Sheet3!$C$42:$V$42,Sheet3!C57:V57)</f>
        <v>2</v>
      </c>
      <c r="P27" s="187" t="s">
        <v>191</v>
      </c>
      <c r="Q27" s="187"/>
      <c r="R27" s="79">
        <v>0</v>
      </c>
      <c r="S27" s="141">
        <f>E15+(E15*T27)</f>
        <v>0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4" t="s">
        <v>248</v>
      </c>
      <c r="Z27" s="154"/>
      <c r="AA27" s="154" t="str">
        <f>LOOKUP(Y27,Sheet2!$AP$7:$AP$116,Sheet2!$AR$7:$AR$116)</f>
        <v>Nada</v>
      </c>
      <c r="AB27" s="154"/>
      <c r="AC27" s="154"/>
      <c r="AE27" s="154"/>
      <c r="AF27" s="154"/>
      <c r="AG27" s="154"/>
      <c r="AH27" s="154"/>
      <c r="AI27" s="130"/>
      <c r="AJ27" s="154" t="s">
        <v>248</v>
      </c>
      <c r="AK27" s="154"/>
      <c r="AL27" s="154"/>
      <c r="AM27" s="154"/>
      <c r="AN27" s="154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212"/>
      <c r="AU27" s="212"/>
      <c r="AV27" s="212"/>
      <c r="AW27" s="209" t="s">
        <v>193</v>
      </c>
      <c r="AX27" s="209"/>
      <c r="AY27" s="211" t="str">
        <f>LOOKUP(AR25,HM!$V$15:$V$655,HM!$AI$15:$AI$655)</f>
        <v>Nada</v>
      </c>
      <c r="AZ27" s="211"/>
      <c r="BA27" s="211"/>
      <c r="BB27" s="211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7" t="s">
        <v>194</v>
      </c>
      <c r="BN27" s="157"/>
      <c r="BP27" s="96" t="s">
        <v>17</v>
      </c>
      <c r="BQ27" s="96" t="s">
        <v>192</v>
      </c>
      <c r="BR27" s="96" t="s">
        <v>194</v>
      </c>
      <c r="BT27" s="189" t="s">
        <v>24</v>
      </c>
      <c r="BU27" s="189"/>
      <c r="BV27" s="189"/>
      <c r="BW27" s="189"/>
      <c r="BX27" s="189"/>
      <c r="BY27" s="189"/>
      <c r="BZ27" s="189"/>
      <c r="CD27" s="78"/>
      <c r="CE27" s="193"/>
      <c r="CF27" s="193"/>
      <c r="CI27" s="154"/>
      <c r="CJ27" s="154"/>
      <c r="CK27" s="154"/>
      <c r="CL27" s="154"/>
      <c r="CM27" s="154"/>
      <c r="CN27" s="154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216"/>
      <c r="CW27" s="216"/>
      <c r="CX27" s="216"/>
      <c r="CY27" s="216"/>
      <c r="CZ27" s="216"/>
      <c r="DA27" s="216"/>
      <c r="DB27" s="216"/>
      <c r="DC27" s="216"/>
      <c r="DD27" s="216"/>
      <c r="DE27" s="216"/>
      <c r="DF27" s="216"/>
      <c r="DG27" s="102"/>
      <c r="DH27" s="154"/>
      <c r="DI27" s="154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2</v>
      </c>
      <c r="P28" s="189" t="s">
        <v>195</v>
      </c>
      <c r="Q28" s="189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7" t="s">
        <v>250</v>
      </c>
      <c r="Z28" s="157"/>
      <c r="AA28" s="157"/>
      <c r="AB28" s="96" t="s">
        <v>5</v>
      </c>
      <c r="AC28" s="96" t="s">
        <v>251</v>
      </c>
      <c r="AE28" s="154"/>
      <c r="AF28" s="154"/>
      <c r="AG28" s="154"/>
      <c r="AH28" s="154"/>
      <c r="AI28" s="130"/>
      <c r="AJ28" s="154" t="s">
        <v>248</v>
      </c>
      <c r="AK28" s="154"/>
      <c r="AL28" s="154"/>
      <c r="AM28" s="154"/>
      <c r="AN28" s="154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212"/>
      <c r="AU28" s="212"/>
      <c r="AV28" s="212"/>
      <c r="AW28" s="209" t="s">
        <v>196</v>
      </c>
      <c r="AX28" s="209"/>
      <c r="AY28" s="211" t="str">
        <f>LOOKUP(AR25,HM!$V$15:$V$655,HM!$AM$15:$AM$655)</f>
        <v>Nada</v>
      </c>
      <c r="AZ28" s="211"/>
      <c r="BA28" s="211"/>
      <c r="BB28" s="211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4" t="str">
        <f>LOOKUP(BL26,HP!$I$17:$I$141,HP!$L$17:$L$141)</f>
        <v>No</v>
      </c>
      <c r="BN28" s="154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87"/>
      <c r="BU28" s="187"/>
      <c r="BV28" s="187"/>
      <c r="BW28" s="187"/>
      <c r="BX28" s="187"/>
      <c r="BY28" s="187"/>
      <c r="BZ28" s="187"/>
      <c r="CD28" s="78"/>
      <c r="CE28" s="193"/>
      <c r="CF28" s="193"/>
      <c r="CI28" s="154"/>
      <c r="CJ28" s="154"/>
      <c r="CK28" s="154"/>
      <c r="CL28" s="154"/>
      <c r="CM28" s="154"/>
      <c r="CN28" s="154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NO</v>
      </c>
      <c r="C29" s="103">
        <f>LOOKUP(B24,Tabla12[Nombre],Tabla12[Fil])+(1*LOOKUP(H24,Sheet3!$L$2:$M$6))</f>
        <v>0</v>
      </c>
      <c r="D29" s="104">
        <f>LOOKUP(B24,Tabla12[Nombre],Tabla12[Con])+(1*LOOKUP(H24,Sheet3!$L$2:$M$6))</f>
        <v>0</v>
      </c>
      <c r="E29" s="104">
        <f>LOOKUP(B24,Tabla12[Nombre],Tabla12[Pen])+(1*LOOKUP(H24,Sheet3!$L$2:$M$6))</f>
        <v>0</v>
      </c>
      <c r="F29" s="104">
        <f>LOOKUP(B24,Tabla12[Nombre],Tabla12[Cal])+(1*LOOKUP(H24,Sheet3!$L$2:$M$6))</f>
        <v>0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0</v>
      </c>
      <c r="I29" s="137">
        <f>LOOKUP(B24,Tabla12[Nombre],Tabla12[Ener])+(1*LOOKUP(H24,Sheet3!$L$2:$M$6))</f>
        <v>0</v>
      </c>
      <c r="J29" s="112" t="str">
        <f>LOOKUP(B24,Tabla12[Nombre],Tabla12[Localizacion])</f>
        <v>NO</v>
      </c>
      <c r="O29" s="84">
        <f>LOOKUP($C$2,Sheet3!$C$42:$V$42,Sheet3!C59:V59)</f>
        <v>2</v>
      </c>
      <c r="P29" s="187" t="s">
        <v>198</v>
      </c>
      <c r="Q29" s="187"/>
      <c r="R29" s="79">
        <v>0</v>
      </c>
      <c r="S29" s="141">
        <f>E14+(E14*T29)</f>
        <v>0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4" t="str">
        <f>LOOKUP(Y27,Sheet2!$AP$7:$AP$116,Sheet2!$AQ$7:$AQ$116)</f>
        <v>Nada</v>
      </c>
      <c r="Z29" s="154"/>
      <c r="AA29" s="154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4"/>
      <c r="AF29" s="154"/>
      <c r="AG29" s="154"/>
      <c r="AH29" s="154"/>
      <c r="AI29" s="130"/>
      <c r="AJ29" s="154" t="s">
        <v>248</v>
      </c>
      <c r="AK29" s="154"/>
      <c r="AL29" s="154"/>
      <c r="AM29" s="154"/>
      <c r="AN29" s="154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7" t="s">
        <v>153</v>
      </c>
      <c r="BH29" s="169" t="str">
        <f>LOOKUP(BH26,HP!$I$17:$I$141,HP!$M$17:$M$141)</f>
        <v>NA</v>
      </c>
      <c r="BI29" s="169"/>
      <c r="BK29" s="157" t="s">
        <v>153</v>
      </c>
      <c r="BL29" s="169" t="str">
        <f>LOOKUP(BL26,HP!$I$17:$I$141,HP!$M$17:$M$141)</f>
        <v>NA</v>
      </c>
      <c r="BM29" s="169"/>
      <c r="BN29" s="169"/>
      <c r="BP29" s="157" t="s">
        <v>153</v>
      </c>
      <c r="BQ29" s="169" t="str">
        <f>LOOKUP(BQ26,HP!$I$17:$I$141,HP!$M$17:$M$141)</f>
        <v>NA</v>
      </c>
      <c r="BR29" s="169"/>
      <c r="BS29" s="24"/>
      <c r="BT29" s="187"/>
      <c r="BU29" s="187"/>
      <c r="BV29" s="187"/>
      <c r="BW29" s="187"/>
      <c r="BX29" s="187"/>
      <c r="BY29" s="187"/>
      <c r="BZ29" s="187"/>
      <c r="CD29" s="85"/>
      <c r="CI29" s="154"/>
      <c r="CJ29" s="154"/>
      <c r="CK29" s="154"/>
      <c r="CL29" s="154"/>
      <c r="CM29" s="154"/>
      <c r="CN29" s="154"/>
      <c r="CO29" s="217" t="s">
        <v>306</v>
      </c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17"/>
      <c r="DI29" s="17"/>
    </row>
    <row r="30" spans="1:113" ht="7.35" customHeight="1" x14ac:dyDescent="0.2">
      <c r="B30" s="112" t="str">
        <f>LOOKUP(B25,Tabla12[Nombre],Tabla12[Clase])</f>
        <v>NO</v>
      </c>
      <c r="C30" s="116">
        <f>LOOKUP(B25,Tabla12[Nombre],Tabla12[Fil])+(1*LOOKUP(H25,Sheet3!$L$2:$M$6))</f>
        <v>0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0</v>
      </c>
      <c r="F30" s="112">
        <f>LOOKUP(B25,Tabla12[Nombre],Tabla12[Cal])+(1*LOOKUP(H25,Sheet3!$L$2:$M$6))</f>
        <v>0</v>
      </c>
      <c r="G30" s="112">
        <f>LOOKUP(B25,Tabla12[Nombre],Tabla12[Ele])+(1*LOOKUP(H25,Sheet3!$L$2:$M$6))</f>
        <v>0</v>
      </c>
      <c r="H30" s="112">
        <f>LOOKUP(B25,Tabla12[Nombre],Tabla12[Fri])+(1*LOOKUP(H25,Sheet3!$L$2:$M$6))</f>
        <v>0</v>
      </c>
      <c r="I30" s="112">
        <f>LOOKUP(B25,Tabla12[Nombre],Tabla12[Ener])+(1*LOOKUP(H25,Sheet3!$L$2:$M$6))</f>
        <v>0</v>
      </c>
      <c r="J30" s="112" t="str">
        <f>LOOKUP(B25,Tabla12[Nombre],Tabla12[Localizacion])</f>
        <v>NO</v>
      </c>
      <c r="O30" s="84">
        <f>LOOKUP($C$2,Sheet3!$C$42:$V$42,Sheet3!C60:V60)</f>
        <v>2</v>
      </c>
      <c r="P30" s="187" t="s">
        <v>199</v>
      </c>
      <c r="Q30" s="187"/>
      <c r="R30" s="79">
        <v>0</v>
      </c>
      <c r="S30" s="141">
        <f>E14+(E14*T30)</f>
        <v>0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7" t="s">
        <v>255</v>
      </c>
      <c r="Z30" s="157"/>
      <c r="AA30" s="157"/>
      <c r="AB30" s="157"/>
      <c r="AC30" s="157"/>
      <c r="AE30" s="154"/>
      <c r="AF30" s="154"/>
      <c r="AG30" s="154"/>
      <c r="AH30" s="154"/>
      <c r="AI30" s="130"/>
      <c r="AJ30" s="154" t="s">
        <v>248</v>
      </c>
      <c r="AK30" s="154"/>
      <c r="AL30" s="154"/>
      <c r="AM30" s="154"/>
      <c r="AN30" s="154"/>
      <c r="AO30" s="74">
        <f>LOOKUP(AJ30,Sheet2!$C$92:$D$191)</f>
        <v>0</v>
      </c>
      <c r="AQ30" s="88" t="s">
        <v>5452</v>
      </c>
      <c r="AR30" s="209" t="s">
        <v>0</v>
      </c>
      <c r="AS30" s="209"/>
      <c r="AT30" s="189" t="s">
        <v>181</v>
      </c>
      <c r="AU30" s="189"/>
      <c r="AV30" s="189"/>
      <c r="AW30" s="209" t="s">
        <v>182</v>
      </c>
      <c r="AX30" s="209"/>
      <c r="AY30" s="209" t="s">
        <v>181</v>
      </c>
      <c r="AZ30" s="209"/>
      <c r="BA30" s="209"/>
      <c r="BB30" s="209"/>
      <c r="BC30" s="88" t="s">
        <v>32</v>
      </c>
      <c r="BD30" s="88" t="s">
        <v>75</v>
      </c>
      <c r="BE30" s="88" t="s">
        <v>183</v>
      </c>
      <c r="BF30" s="19"/>
      <c r="BG30" s="157"/>
      <c r="BH30" s="169"/>
      <c r="BI30" s="169"/>
      <c r="BK30" s="157"/>
      <c r="BL30" s="169"/>
      <c r="BM30" s="169"/>
      <c r="BN30" s="169"/>
      <c r="BP30" s="157"/>
      <c r="BQ30" s="169"/>
      <c r="BR30" s="169"/>
      <c r="BT30" s="187"/>
      <c r="BU30" s="187"/>
      <c r="BV30" s="187"/>
      <c r="BW30" s="187"/>
      <c r="BX30" s="187"/>
      <c r="BY30" s="187"/>
      <c r="BZ30" s="187"/>
      <c r="CD30" s="77" t="s">
        <v>200</v>
      </c>
      <c r="CF30" s="77" t="s">
        <v>201</v>
      </c>
      <c r="CI30" s="154"/>
      <c r="CJ30" s="154"/>
      <c r="CK30" s="154"/>
      <c r="CL30" s="154"/>
      <c r="CM30" s="154"/>
      <c r="CN30" s="154"/>
      <c r="CO30" s="129" t="s">
        <v>60</v>
      </c>
      <c r="CP30" s="222" t="s">
        <v>307</v>
      </c>
      <c r="CQ30" s="222"/>
      <c r="CR30" s="222" t="s">
        <v>306</v>
      </c>
      <c r="CS30" s="222"/>
      <c r="CT30" s="222" t="s">
        <v>308</v>
      </c>
      <c r="CU30" s="222"/>
      <c r="CV30" s="128" t="s">
        <v>309</v>
      </c>
      <c r="CW30" s="222" t="s">
        <v>108</v>
      </c>
      <c r="CX30" s="222"/>
      <c r="CY30" s="222" t="s">
        <v>310</v>
      </c>
      <c r="CZ30" s="222"/>
      <c r="DA30" s="222"/>
      <c r="DB30" s="222"/>
      <c r="DC30" s="222"/>
      <c r="DD30" s="222" t="s">
        <v>38</v>
      </c>
      <c r="DE30" s="222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2</v>
      </c>
      <c r="P31" s="187" t="s">
        <v>202</v>
      </c>
      <c r="Q31" s="187"/>
      <c r="R31" s="79">
        <v>0</v>
      </c>
      <c r="S31" s="141">
        <f>E14+(E14*T31)</f>
        <v>0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69" t="str">
        <f>LOOKUP(Y27,Sheet2!$AP$7:$AP$116,Sheet2!$AT$7:$AT$116)</f>
        <v>Nada</v>
      </c>
      <c r="Z31" s="169"/>
      <c r="AA31" s="169"/>
      <c r="AB31" s="169"/>
      <c r="AC31" s="169"/>
      <c r="AE31" s="154"/>
      <c r="AF31" s="154"/>
      <c r="AG31" s="154"/>
      <c r="AH31" s="154"/>
      <c r="AI31" s="130"/>
      <c r="AJ31" s="154" t="s">
        <v>248</v>
      </c>
      <c r="AK31" s="154"/>
      <c r="AL31" s="154"/>
      <c r="AM31" s="154"/>
      <c r="AN31" s="154"/>
      <c r="AO31" s="74">
        <f>LOOKUP(AJ31,Sheet2!$C$92:$D$191)</f>
        <v>0</v>
      </c>
      <c r="AQ31" s="210"/>
      <c r="AR31" s="211" t="s">
        <v>266</v>
      </c>
      <c r="AS31" s="211"/>
      <c r="AT31" s="212" t="str">
        <f>LOOKUP(AR31,HM!$V$15:$V$655,HM!$W$15:$W$655)</f>
        <v>No</v>
      </c>
      <c r="AU31" s="212"/>
      <c r="AV31" s="212"/>
      <c r="AW31" s="209" t="s">
        <v>2</v>
      </c>
      <c r="AX31" s="209"/>
      <c r="AY31" s="211" t="str">
        <f>LOOKUP(AR31,HM!$V$15:$V$655,HM!$AA$15:$AA$655)</f>
        <v>Nada</v>
      </c>
      <c r="AZ31" s="211"/>
      <c r="BA31" s="211"/>
      <c r="BB31" s="211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7"/>
      <c r="BH31" s="169"/>
      <c r="BI31" s="169"/>
      <c r="BK31" s="157"/>
      <c r="BL31" s="169"/>
      <c r="BM31" s="169"/>
      <c r="BN31" s="169"/>
      <c r="BP31" s="157"/>
      <c r="BQ31" s="169"/>
      <c r="BR31" s="169"/>
      <c r="BT31" s="187"/>
      <c r="BU31" s="187"/>
      <c r="BV31" s="187"/>
      <c r="BW31" s="187"/>
      <c r="BX31" s="187"/>
      <c r="BY31" s="187"/>
      <c r="BZ31" s="187"/>
      <c r="CD31" s="78"/>
      <c r="CF31" s="78"/>
      <c r="CI31" s="154"/>
      <c r="CJ31" s="154"/>
      <c r="CK31" s="154"/>
      <c r="CL31" s="154"/>
      <c r="CM31" s="154"/>
      <c r="CN31" s="154"/>
      <c r="CO31" s="149">
        <f>CP14+CP16</f>
        <v>10</v>
      </c>
      <c r="CP31" s="201">
        <f>LOOKUP(CO31,Sheet2!$I$7:$J$46)</f>
        <v>10</v>
      </c>
      <c r="CQ31" s="201"/>
      <c r="CR31" s="201">
        <f>LOOKUP(CO31,Sheet2!$I$7:$I$46,Sheet2!$K$7:$K$46)</f>
        <v>40</v>
      </c>
      <c r="CS31" s="201"/>
      <c r="CT31" s="201">
        <f>LOOKUP(CO31,Sheet2!$I$7:$I$46,Sheet2!$L$7:$L$46)</f>
        <v>20</v>
      </c>
      <c r="CU31" s="201"/>
      <c r="CV31" s="84" t="str">
        <f>LOOKUP(CO31,Sheet2!$I$7:$I$46,Sheet2!$M$7:$M$46)</f>
        <v>NA</v>
      </c>
      <c r="CW31" s="201" t="str">
        <f>LOOKUP(CO31,Sheet2!$I$7:$I$46,Sheet2!$N$7:$N$46)</f>
        <v>NA</v>
      </c>
      <c r="CX31" s="201"/>
      <c r="CY31" s="201">
        <f>LOOKUP(CO31,Sheet2!$I$7:$I$46,Sheet2!$O$7:$O$46)</f>
        <v>5</v>
      </c>
      <c r="CZ31" s="201"/>
      <c r="DA31" s="201"/>
      <c r="DB31" s="201"/>
      <c r="DC31" s="201"/>
      <c r="DD31" s="201">
        <f>LOOKUP(CO31,Sheet2!$I$7:$I$46,Sheet2!$P$7:$P$46)</f>
        <v>3</v>
      </c>
      <c r="DE31" s="201"/>
      <c r="DF31" s="17"/>
      <c r="DI31" s="17"/>
    </row>
    <row r="32" spans="1:113" ht="7.35" customHeight="1" thickBot="1" x14ac:dyDescent="0.25">
      <c r="B32" s="124" t="str">
        <f>LOOKUP(B27,Tabla13[Nombre],Tabla13[Localizacion])</f>
        <v>NO</v>
      </c>
      <c r="C32" s="108">
        <f>LOOKUP(B27,Tabla13[Nombre],Tabla13[Fil])+(1*LOOKUP(H27,Sheet3!$L$2:$M$6))</f>
        <v>0</v>
      </c>
      <c r="D32" s="109">
        <f>LOOKUP(B27,Tabla13[Nombre],Tabla13[Con])+(1*LOOKUP(H27,Sheet3!$L$2:$M$6))</f>
        <v>0</v>
      </c>
      <c r="E32" s="109">
        <f>LOOKUP(B27,Tabla13[Nombre],Tabla13[Pen])+(1*LOOKUP(H27,Sheet3!$L$2:$M$6))</f>
        <v>0</v>
      </c>
      <c r="F32" s="109">
        <f>LOOKUP(B27,Tabla13[Nombre],Tabla13[Cal])+(1*LOOKUP(H27,Sheet3!$L$2:$M$6))</f>
        <v>0</v>
      </c>
      <c r="G32" s="109">
        <f>LOOKUP(B27,Tabla13[Nombre],Tabla13[Ele])+(1*LOOKUP(H27,Sheet3!$L$2:$M$6))</f>
        <v>0</v>
      </c>
      <c r="H32" s="109">
        <f>LOOKUP(B27,Tabla13[Nombre],Tabla13[Fri])+(1*LOOKUP(H27,Sheet3!$L$2:$M$6))</f>
        <v>0</v>
      </c>
      <c r="I32" s="109">
        <f>LOOKUP(B27,Tabla13[Nombre],Tabla13[Ener])+(1*LOOKUP(H27,Sheet3!$L$2:$M$6))</f>
        <v>0</v>
      </c>
      <c r="J32" s="110" t="str">
        <f>LOOKUP(B27,Tabla13[Nombre],Tabla13[Localizacion])</f>
        <v>NO</v>
      </c>
      <c r="O32" s="84">
        <f>LOOKUP($C$2,Sheet3!$C$42:$V$42,Sheet3!C62:V62)</f>
        <v>2</v>
      </c>
      <c r="P32" s="187" t="s">
        <v>204</v>
      </c>
      <c r="Q32" s="187"/>
      <c r="R32" s="79">
        <v>0</v>
      </c>
      <c r="S32" s="141">
        <f>E14+(E14*T32)</f>
        <v>0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69"/>
      <c r="Z32" s="169"/>
      <c r="AA32" s="169"/>
      <c r="AB32" s="169"/>
      <c r="AC32" s="169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210"/>
      <c r="AR32" s="211"/>
      <c r="AS32" s="211"/>
      <c r="AT32" s="212"/>
      <c r="AU32" s="212"/>
      <c r="AV32" s="212"/>
      <c r="AW32" s="209" t="s">
        <v>190</v>
      </c>
      <c r="AX32" s="209"/>
      <c r="AY32" s="211" t="str">
        <f>LOOKUP(AR31,HM!$V$15:$V$655,HM!$AE$15:$AE$655)</f>
        <v>Nada</v>
      </c>
      <c r="AZ32" s="211"/>
      <c r="BA32" s="211"/>
      <c r="BB32" s="211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4" t="str">
        <f>LOOKUP(BH26,HP!$I$17:$I$141,HP!$N$17:$N$141)</f>
        <v>NA</v>
      </c>
      <c r="BI32" s="154"/>
      <c r="BK32" s="74">
        <v>20</v>
      </c>
      <c r="BL32" s="154" t="str">
        <f>LOOKUP(BL26,HP!$I$17:$I$141,HP!$N$17:$N$141)</f>
        <v>NA</v>
      </c>
      <c r="BM32" s="154"/>
      <c r="BN32" s="154"/>
      <c r="BP32" s="74">
        <v>20</v>
      </c>
      <c r="BQ32" s="154" t="str">
        <f>LOOKUP(BQ26,HP!$I$17:$I$141,HP!$N$17:$N$141)</f>
        <v>NA</v>
      </c>
      <c r="BR32" s="154"/>
      <c r="CD32" s="78"/>
      <c r="CF32" s="78"/>
      <c r="CI32" s="154"/>
      <c r="CJ32" s="154"/>
      <c r="CK32" s="154"/>
      <c r="CL32" s="154"/>
      <c r="CM32" s="154"/>
      <c r="CN32" s="154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0</v>
      </c>
      <c r="D33" s="105">
        <f t="shared" si="7"/>
        <v>0</v>
      </c>
      <c r="E33" s="105">
        <f t="shared" si="7"/>
        <v>0</v>
      </c>
      <c r="F33" s="105">
        <f t="shared" si="7"/>
        <v>0</v>
      </c>
      <c r="G33" s="105">
        <f t="shared" si="7"/>
        <v>0</v>
      </c>
      <c r="H33" s="105">
        <f t="shared" si="7"/>
        <v>0</v>
      </c>
      <c r="I33" s="105">
        <f t="shared" si="7"/>
        <v>0</v>
      </c>
      <c r="J33" s="106"/>
      <c r="O33" s="84">
        <f>LOOKUP($C$2,Sheet3!$C$42:$V$42,Sheet3!C63:V63)</f>
        <v>2</v>
      </c>
      <c r="P33" s="187" t="s">
        <v>207</v>
      </c>
      <c r="Q33" s="187"/>
      <c r="R33" s="79">
        <v>0</v>
      </c>
      <c r="S33" s="141">
        <f>E14+(E14*T33)</f>
        <v>0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69"/>
      <c r="Z33" s="169"/>
      <c r="AA33" s="169"/>
      <c r="AB33" s="169"/>
      <c r="AC33" s="169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212"/>
      <c r="AU33" s="212"/>
      <c r="AV33" s="212"/>
      <c r="AW33" s="209" t="s">
        <v>193</v>
      </c>
      <c r="AX33" s="209"/>
      <c r="AY33" s="211" t="str">
        <f>LOOKUP(AR31,HM!$V$15:$V$655,HM!$AI$15:$AI$655)</f>
        <v>Nada</v>
      </c>
      <c r="AZ33" s="211"/>
      <c r="BA33" s="211"/>
      <c r="BB33" s="211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4" t="str">
        <f>LOOKUP(BH26,HP!$I$17:$I$141,HP!$O$17:$O$141)</f>
        <v>NA</v>
      </c>
      <c r="BI33" s="154"/>
      <c r="BK33" s="74">
        <v>40</v>
      </c>
      <c r="BL33" s="154" t="str">
        <f>LOOKUP(BL26,HP!$I$17:$I$141,HP!$O$17:$O$141)</f>
        <v>NA</v>
      </c>
      <c r="BM33" s="154"/>
      <c r="BN33" s="154"/>
      <c r="BP33" s="74">
        <v>40</v>
      </c>
      <c r="BQ33" s="154" t="str">
        <f>LOOKUP(BQ26,HP!$I$17:$I$141,HP!$O$17:$O$141)</f>
        <v>NA</v>
      </c>
      <c r="BR33" s="154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2</v>
      </c>
      <c r="P34" s="187" t="s">
        <v>210</v>
      </c>
      <c r="Q34" s="187"/>
      <c r="R34" s="79">
        <v>0</v>
      </c>
      <c r="S34" s="141">
        <f>E14+(E14*T34)</f>
        <v>0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5" t="s">
        <v>6</v>
      </c>
      <c r="AK34" s="155"/>
      <c r="AL34" s="155"/>
      <c r="AM34" s="155"/>
      <c r="AN34" s="155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212"/>
      <c r="AU34" s="212"/>
      <c r="AV34" s="212"/>
      <c r="AW34" s="209" t="s">
        <v>196</v>
      </c>
      <c r="AX34" s="209"/>
      <c r="AY34" s="211" t="str">
        <f>LOOKUP(AR31,HM!$V$15:$V$655,HM!$AM$15:$AM$655)</f>
        <v>Nada</v>
      </c>
      <c r="AZ34" s="211"/>
      <c r="BA34" s="211"/>
      <c r="BB34" s="211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4" t="str">
        <f>LOOKUP(BH26,HP!$I$17:$I$141,HP!$P$17:$P$141)</f>
        <v>NA</v>
      </c>
      <c r="BI34" s="154"/>
      <c r="BK34" s="74">
        <v>80</v>
      </c>
      <c r="BL34" s="154" t="str">
        <f>LOOKUP(BL26,HP!$I$17:$I$141,HP!$P$17:$P$141)</f>
        <v>NA</v>
      </c>
      <c r="BM34" s="154"/>
      <c r="BN34" s="154"/>
      <c r="BP34" s="74">
        <v>80</v>
      </c>
      <c r="BQ34" s="154" t="str">
        <f>LOOKUP(BQ26,HP!$I$17:$I$141,HP!$P$17:$P$141)</f>
        <v>NA</v>
      </c>
      <c r="BR34" s="154"/>
      <c r="BT34" s="213" t="s">
        <v>211</v>
      </c>
      <c r="BU34" s="213"/>
      <c r="BV34" s="213" t="s">
        <v>211</v>
      </c>
      <c r="BW34" s="213"/>
      <c r="BX34" s="213" t="s">
        <v>211</v>
      </c>
      <c r="BY34" s="213"/>
      <c r="CD34" s="78"/>
      <c r="CF34" s="78"/>
      <c r="CH34" s="188" t="s">
        <v>278</v>
      </c>
      <c r="CI34" s="188"/>
      <c r="CJ34" s="188"/>
      <c r="CL34" s="155" t="s">
        <v>267</v>
      </c>
      <c r="CM34" s="155"/>
      <c r="CN34" s="155"/>
      <c r="CO34" s="218" t="s">
        <v>24</v>
      </c>
      <c r="CP34" s="218"/>
      <c r="CQ34" s="218"/>
      <c r="CR34" s="33" t="s">
        <v>32</v>
      </c>
      <c r="CS34" s="218" t="s">
        <v>311</v>
      </c>
      <c r="CT34" s="218"/>
      <c r="CU34" s="218"/>
      <c r="CV34" s="17"/>
      <c r="CX34" s="17"/>
      <c r="CY34" s="17"/>
      <c r="CZ34" s="17"/>
      <c r="DA34" s="17"/>
      <c r="DB34" s="200" t="s">
        <v>110</v>
      </c>
      <c r="DC34" s="200"/>
      <c r="DD34" s="200"/>
      <c r="DE34" s="200"/>
      <c r="DF34" s="200"/>
      <c r="DG34" s="200"/>
      <c r="DH34" s="200"/>
      <c r="DI34" s="200"/>
    </row>
    <row r="35" spans="1:113" ht="7.35" customHeight="1" x14ac:dyDescent="0.2">
      <c r="O35" s="84">
        <f>LOOKUP($C$2,Sheet3!$C$42:$V$42,Sheet3!C65:V65)</f>
        <v>2</v>
      </c>
      <c r="P35" s="187" t="s">
        <v>212</v>
      </c>
      <c r="Q35" s="187"/>
      <c r="R35" s="79">
        <v>0</v>
      </c>
      <c r="S35" s="141">
        <f>E14+(E14*T35)</f>
        <v>0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7" t="s">
        <v>242</v>
      </c>
      <c r="Z35" s="157"/>
      <c r="AA35" s="157"/>
      <c r="AB35" s="96" t="s">
        <v>168</v>
      </c>
      <c r="AC35" s="95">
        <f>IF($C$2="Tao",LOOKUP(Y37,Sheet2!$AP$7:$AP$116,Sheet2!$AV$7:$AV$116),LOOKUP(Y37,Sheet2!$AP$7:$AP$116,Sheet2!$AU$7:$AU$116))</f>
        <v>0</v>
      </c>
      <c r="AE35" s="164" t="s">
        <v>149</v>
      </c>
      <c r="AF35" s="165"/>
      <c r="AG35" s="165"/>
      <c r="AH35" s="166"/>
      <c r="AI35" s="130"/>
      <c r="AJ35" s="154" t="s">
        <v>31</v>
      </c>
      <c r="AK35" s="154"/>
      <c r="AL35" s="154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4" t="str">
        <f>LOOKUP(BH26,HP!$I$17:$I$141,HP!$Q$17:$Q$141)</f>
        <v>NA</v>
      </c>
      <c r="BI35" s="154"/>
      <c r="BK35" s="74">
        <v>120</v>
      </c>
      <c r="BL35" s="154" t="str">
        <f>LOOKUP(BL26,HP!$I$17:$I$141,HP!$Q$17:$Q$141)</f>
        <v>NA</v>
      </c>
      <c r="BM35" s="154"/>
      <c r="BN35" s="154"/>
      <c r="BP35" s="74">
        <v>120</v>
      </c>
      <c r="BQ35" s="154" t="str">
        <f>LOOKUP(BQ26,HP!$I$17:$I$141,HP!$Q$17:$Q$141)</f>
        <v>NA</v>
      </c>
      <c r="BR35" s="154"/>
      <c r="BT35" s="213"/>
      <c r="BU35" s="213"/>
      <c r="BV35" s="213"/>
      <c r="BW35" s="213"/>
      <c r="BX35" s="213"/>
      <c r="BY35" s="213"/>
      <c r="CD35" s="78"/>
      <c r="CF35" s="78"/>
      <c r="CH35" s="187" t="s">
        <v>279</v>
      </c>
      <c r="CI35" s="187"/>
      <c r="CJ35" s="187"/>
      <c r="CL35" s="154" t="s">
        <v>93</v>
      </c>
      <c r="CM35" s="154"/>
      <c r="CN35" s="154"/>
      <c r="CO35" s="201"/>
      <c r="CP35" s="201"/>
      <c r="CQ35" s="201"/>
      <c r="CR35" s="84"/>
      <c r="CS35" s="201"/>
      <c r="CT35" s="201"/>
      <c r="CU35" s="201"/>
      <c r="CV35" s="17"/>
      <c r="CW35" s="128" t="s">
        <v>312</v>
      </c>
      <c r="CX35" s="222" t="s">
        <v>313</v>
      </c>
      <c r="CY35" s="222"/>
      <c r="CZ35" s="222"/>
      <c r="DA35" s="17"/>
      <c r="DB35" s="101"/>
      <c r="DC35" s="157" t="s">
        <v>0</v>
      </c>
      <c r="DD35" s="157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0" t="s">
        <v>128</v>
      </c>
      <c r="C36" s="170"/>
      <c r="D36" s="170" t="s">
        <v>129</v>
      </c>
      <c r="E36" s="170"/>
      <c r="F36" s="170" t="s">
        <v>197</v>
      </c>
      <c r="G36" s="170"/>
      <c r="O36" s="84">
        <f>LOOKUP($C$2,Sheet3!$C$42:$V$42,Sheet3!C66:V66)</f>
        <v>2</v>
      </c>
      <c r="P36" s="187" t="s">
        <v>213</v>
      </c>
      <c r="Q36" s="187"/>
      <c r="R36" s="79">
        <v>0</v>
      </c>
      <c r="S36" s="141">
        <f>E14+(E14*T36)</f>
        <v>0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7" t="s">
        <v>0</v>
      </c>
      <c r="Z36" s="157"/>
      <c r="AA36" s="157" t="s">
        <v>16</v>
      </c>
      <c r="AB36" s="157"/>
      <c r="AC36" s="157"/>
      <c r="AE36" s="163"/>
      <c r="AF36" s="163"/>
      <c r="AG36" s="163"/>
      <c r="AH36" s="163"/>
      <c r="AI36" s="130"/>
      <c r="AJ36" s="154" t="s">
        <v>5487</v>
      </c>
      <c r="AK36" s="154"/>
      <c r="AL36" s="154"/>
      <c r="AM36" s="74">
        <v>0</v>
      </c>
      <c r="AN36" s="74">
        <v>0</v>
      </c>
      <c r="AQ36" s="88" t="s">
        <v>5452</v>
      </c>
      <c r="AR36" s="209" t="s">
        <v>0</v>
      </c>
      <c r="AS36" s="209"/>
      <c r="AT36" s="189" t="s">
        <v>181</v>
      </c>
      <c r="AU36" s="189"/>
      <c r="AV36" s="189"/>
      <c r="AW36" s="209" t="s">
        <v>182</v>
      </c>
      <c r="AX36" s="209"/>
      <c r="AY36" s="209" t="s">
        <v>181</v>
      </c>
      <c r="AZ36" s="209"/>
      <c r="BA36" s="209"/>
      <c r="BB36" s="209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4" t="str">
        <f>LOOKUP(BH26,HP!$I$17:$I$141,HP!$R$17:$R$141)</f>
        <v>NA</v>
      </c>
      <c r="BI36" s="154"/>
      <c r="BK36" s="74">
        <v>140</v>
      </c>
      <c r="BL36" s="154" t="str">
        <f>LOOKUP(BL26,HP!$I$17:$I$141,HP!$R$17:$R$141)</f>
        <v>NA</v>
      </c>
      <c r="BM36" s="154"/>
      <c r="BN36" s="154"/>
      <c r="BP36" s="74">
        <v>140</v>
      </c>
      <c r="BQ36" s="154" t="str">
        <f>LOOKUP(BQ26,HP!$I$17:$I$141,HP!$R$17:$R$141)</f>
        <v>NA</v>
      </c>
      <c r="BR36" s="154"/>
      <c r="BT36" s="214"/>
      <c r="BU36" s="214"/>
      <c r="BV36" s="214"/>
      <c r="BW36" s="214"/>
      <c r="BX36" s="214"/>
      <c r="BY36" s="214"/>
      <c r="CD36" s="85"/>
      <c r="CH36" s="187">
        <f>LOOKUP((SUM($C$14+$C$16+$C$17)),Sheet3!$U$6:$U$15,Sheet3!$V$6:$V$15)</f>
        <v>30</v>
      </c>
      <c r="CI36" s="187"/>
      <c r="CJ36" s="187"/>
      <c r="CL36" s="154"/>
      <c r="CM36" s="154"/>
      <c r="CN36" s="154"/>
      <c r="CO36" s="201"/>
      <c r="CP36" s="201"/>
      <c r="CQ36" s="201"/>
      <c r="CR36" s="84"/>
      <c r="CS36" s="201"/>
      <c r="CT36" s="201"/>
      <c r="CU36" s="201"/>
      <c r="CV36" s="17"/>
      <c r="CW36" s="84">
        <f>LOOKUP(CO31,Sheet2!$I$7:$I$46,Sheet2!$Q$7:$Q$46)</f>
        <v>0</v>
      </c>
      <c r="CX36" s="201">
        <f>LOOKUP(CO31,Sheet2!$I$7:$I$46,Sheet2!$R$7:$R$46)</f>
        <v>12</v>
      </c>
      <c r="CY36" s="201"/>
      <c r="CZ36" s="201"/>
      <c r="DA36" s="17"/>
      <c r="DB36" s="102">
        <v>2</v>
      </c>
      <c r="DC36" s="154"/>
      <c r="DD36" s="154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0</v>
      </c>
      <c r="D37" s="78" t="s">
        <v>2</v>
      </c>
      <c r="E37" s="78">
        <v>0</v>
      </c>
      <c r="F37" s="78" t="s">
        <v>2</v>
      </c>
      <c r="G37" s="78">
        <v>0</v>
      </c>
      <c r="I37" s="175" t="s">
        <v>5461</v>
      </c>
      <c r="J37" s="176"/>
      <c r="K37" s="176"/>
      <c r="L37" s="177"/>
      <c r="O37" s="84">
        <f>LOOKUP($C$2,Sheet3!$C$42:$V$42,Sheet3!C67:V67)</f>
        <v>2</v>
      </c>
      <c r="P37" s="187" t="s">
        <v>217</v>
      </c>
      <c r="Q37" s="187"/>
      <c r="R37" s="79">
        <v>0</v>
      </c>
      <c r="S37" s="141">
        <f>E14+(E14*T37)</f>
        <v>0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4" t="s">
        <v>248</v>
      </c>
      <c r="Z37" s="154"/>
      <c r="AA37" s="154" t="str">
        <f>LOOKUP(Y37,Sheet2!$AP$7:$AP$116,Sheet2!$AR$7:$AR$116)</f>
        <v>Nada</v>
      </c>
      <c r="AB37" s="154"/>
      <c r="AC37" s="154"/>
      <c r="AE37" s="154"/>
      <c r="AF37" s="154"/>
      <c r="AG37" s="154"/>
      <c r="AH37" s="154"/>
      <c r="AI37" s="130"/>
      <c r="AJ37" s="154" t="s">
        <v>50</v>
      </c>
      <c r="AK37" s="154"/>
      <c r="AL37" s="154"/>
      <c r="AM37" s="74">
        <v>0</v>
      </c>
      <c r="AN37" s="74">
        <v>0</v>
      </c>
      <c r="AQ37" s="210"/>
      <c r="AR37" s="211" t="s">
        <v>266</v>
      </c>
      <c r="AS37" s="211"/>
      <c r="AT37" s="212" t="str">
        <f>LOOKUP(AR37,HM!$V$15:$V$655,HM!$W$15:$W$655)</f>
        <v>No</v>
      </c>
      <c r="AU37" s="212"/>
      <c r="AV37" s="212"/>
      <c r="AW37" s="209" t="s">
        <v>2</v>
      </c>
      <c r="AX37" s="209"/>
      <c r="AY37" s="211" t="str">
        <f>LOOKUP(AR37,HM!$V$15:$V$655,HM!$AA$15:$AA$655)</f>
        <v>Nada</v>
      </c>
      <c r="AZ37" s="211"/>
      <c r="BA37" s="211"/>
      <c r="BB37" s="211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4" t="str">
        <f>LOOKUP(BH26,HP!$I$17:$I$141,HP!$S$17:$S$141)</f>
        <v>NA</v>
      </c>
      <c r="BI37" s="154"/>
      <c r="BK37" s="74">
        <v>180</v>
      </c>
      <c r="BL37" s="154" t="str">
        <f>LOOKUP(BL26,HP!$I$17:$I$141,HP!$S$17:$S$141)</f>
        <v>NA</v>
      </c>
      <c r="BM37" s="154"/>
      <c r="BN37" s="154"/>
      <c r="BP37" s="74">
        <v>180</v>
      </c>
      <c r="BQ37" s="154" t="str">
        <f>LOOKUP(BQ26,HP!$I$17:$I$141,HP!$S$17:$S$141)</f>
        <v>NA</v>
      </c>
      <c r="BR37" s="154"/>
      <c r="BT37" s="214"/>
      <c r="BU37" s="214"/>
      <c r="BV37" s="214"/>
      <c r="BW37" s="214"/>
      <c r="BX37" s="214"/>
      <c r="BY37" s="214"/>
      <c r="CD37" s="77" t="s">
        <v>218</v>
      </c>
      <c r="CF37" s="77" t="s">
        <v>219</v>
      </c>
      <c r="CH37" s="187" t="s">
        <v>282</v>
      </c>
      <c r="CI37" s="187"/>
      <c r="CJ37" s="187"/>
      <c r="CL37" s="154" t="s">
        <v>272</v>
      </c>
      <c r="CM37" s="154"/>
      <c r="CN37" s="100"/>
      <c r="CO37" s="201"/>
      <c r="CP37" s="201"/>
      <c r="CQ37" s="201"/>
      <c r="CR37" s="84"/>
      <c r="CS37" s="201"/>
      <c r="CT37" s="201"/>
      <c r="CU37" s="201"/>
      <c r="CV37" s="17"/>
      <c r="CW37" s="17"/>
      <c r="CX37" s="17"/>
      <c r="CY37" s="17"/>
      <c r="CZ37" s="17"/>
      <c r="DA37" s="17"/>
      <c r="DB37" s="102">
        <v>2</v>
      </c>
      <c r="DC37" s="154"/>
      <c r="DD37" s="154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0</v>
      </c>
      <c r="D38" s="78" t="s">
        <v>62</v>
      </c>
      <c r="E38" s="78">
        <f>E12</f>
        <v>0</v>
      </c>
      <c r="F38" s="78" t="s">
        <v>51</v>
      </c>
      <c r="G38" s="78">
        <f>E10</f>
        <v>0</v>
      </c>
      <c r="I38" s="178">
        <f>LOOKUP(C3,Sheet3!E234:T235)/2</f>
        <v>300</v>
      </c>
      <c r="J38" s="179"/>
      <c r="K38" s="179"/>
      <c r="L38" s="180"/>
      <c r="O38" s="84">
        <f>LOOKUP($C$2,Sheet3!$C$42:$V$42,Sheet3!C68:V68)</f>
        <v>2</v>
      </c>
      <c r="P38" s="187" t="s">
        <v>220</v>
      </c>
      <c r="Q38" s="187"/>
      <c r="R38" s="79">
        <v>0</v>
      </c>
      <c r="S38" s="141">
        <f>E16+(E16*T38)</f>
        <v>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7" t="s">
        <v>250</v>
      </c>
      <c r="Z38" s="157"/>
      <c r="AA38" s="157"/>
      <c r="AB38" s="96" t="s">
        <v>5</v>
      </c>
      <c r="AC38" s="96" t="s">
        <v>251</v>
      </c>
      <c r="AE38" s="154"/>
      <c r="AF38" s="154"/>
      <c r="AG38" s="154"/>
      <c r="AH38" s="154"/>
      <c r="AI38" s="130"/>
      <c r="AJ38" s="154" t="s">
        <v>66</v>
      </c>
      <c r="AK38" s="154"/>
      <c r="AL38" s="154"/>
      <c r="AM38" s="74">
        <v>0</v>
      </c>
      <c r="AN38" s="74">
        <v>0</v>
      </c>
      <c r="AQ38" s="210"/>
      <c r="AR38" s="211"/>
      <c r="AS38" s="211"/>
      <c r="AT38" s="212"/>
      <c r="AU38" s="212"/>
      <c r="AV38" s="212"/>
      <c r="AW38" s="209" t="s">
        <v>190</v>
      </c>
      <c r="AX38" s="209"/>
      <c r="AY38" s="211" t="str">
        <f>LOOKUP(AR37,HM!$V$15:$V$655,HM!$AE$15:$AE$655)</f>
        <v>Nada</v>
      </c>
      <c r="AZ38" s="211"/>
      <c r="BA38" s="211"/>
      <c r="BB38" s="211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4" t="str">
        <f>LOOKUP(BH26,HP!$I$17:$I$141,HP!$T$17:$T$141)</f>
        <v>NA</v>
      </c>
      <c r="BI38" s="154"/>
      <c r="BK38" s="74">
        <v>240</v>
      </c>
      <c r="BL38" s="154" t="str">
        <f>LOOKUP(BL26,HP!$I$17:$I$141,HP!$T$17:$T$141)</f>
        <v>NA</v>
      </c>
      <c r="BM38" s="154"/>
      <c r="BN38" s="154"/>
      <c r="BP38" s="74">
        <v>240</v>
      </c>
      <c r="BQ38" s="154" t="str">
        <f>LOOKUP(BQ26,HP!$I$17:$I$141,HP!$T$17:$T$141)</f>
        <v>NA</v>
      </c>
      <c r="BR38" s="154"/>
      <c r="BT38" s="214"/>
      <c r="BU38" s="214"/>
      <c r="BV38" s="214"/>
      <c r="BW38" s="214"/>
      <c r="BX38" s="214"/>
      <c r="BY38" s="214"/>
      <c r="CD38" s="78"/>
      <c r="CF38" s="78"/>
      <c r="CH38" s="187">
        <f>CH36</f>
        <v>30</v>
      </c>
      <c r="CI38" s="187"/>
      <c r="CJ38" s="187"/>
      <c r="CL38" s="154" t="s">
        <v>273</v>
      </c>
      <c r="CM38" s="154"/>
      <c r="CN38" s="100"/>
      <c r="CO38" s="201"/>
      <c r="CP38" s="201"/>
      <c r="CQ38" s="201"/>
      <c r="CR38" s="84"/>
      <c r="CS38" s="201"/>
      <c r="CT38" s="201"/>
      <c r="CU38" s="201"/>
      <c r="CV38" s="17"/>
      <c r="CW38" s="218" t="s">
        <v>314</v>
      </c>
      <c r="CX38" s="218"/>
      <c r="CY38" s="218"/>
      <c r="CZ38" s="218"/>
      <c r="DA38" s="17"/>
      <c r="DB38" s="102">
        <v>2</v>
      </c>
      <c r="DC38" s="154"/>
      <c r="DD38" s="154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0</v>
      </c>
      <c r="F39" s="78" t="s">
        <v>103</v>
      </c>
      <c r="G39" s="78">
        <v>0</v>
      </c>
      <c r="I39" s="181" t="s">
        <v>5600</v>
      </c>
      <c r="J39" s="173"/>
      <c r="K39" s="173"/>
      <c r="L39" s="182"/>
      <c r="O39" s="76">
        <f>LOOKUP($C$2,Sheet3!$C$42:$V$42,Sheet3!C69:V69)</f>
        <v>2</v>
      </c>
      <c r="P39" s="189" t="s">
        <v>227</v>
      </c>
      <c r="Q39" s="189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4" t="str">
        <f>LOOKUP(Y37,Sheet2!$AP$7:$AP$116,Sheet2!$AQ$7:$AQ$116)</f>
        <v>Nada</v>
      </c>
      <c r="Z39" s="154"/>
      <c r="AA39" s="154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4"/>
      <c r="AF39" s="154"/>
      <c r="AG39" s="154"/>
      <c r="AH39" s="154"/>
      <c r="AI39" s="130"/>
      <c r="AJ39" s="154" t="s">
        <v>71</v>
      </c>
      <c r="AK39" s="154"/>
      <c r="AL39" s="154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212"/>
      <c r="AU39" s="212"/>
      <c r="AV39" s="212"/>
      <c r="AW39" s="209" t="s">
        <v>193</v>
      </c>
      <c r="AX39" s="209"/>
      <c r="AY39" s="211" t="str">
        <f>LOOKUP(AR37,HM!$V$15:$V$655,HM!$AI$15:$AI$655)</f>
        <v>Nada</v>
      </c>
      <c r="AZ39" s="211"/>
      <c r="BA39" s="211"/>
      <c r="BB39" s="211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4" t="str">
        <f>LOOKUP(BH26,HP!$I$17:$I$141,HP!$U$17:$U$141)</f>
        <v>NA</v>
      </c>
      <c r="BI39" s="154"/>
      <c r="BK39" s="74">
        <v>280</v>
      </c>
      <c r="BL39" s="154" t="str">
        <f>LOOKUP(BL26,HP!$I$17:$I$141,HP!$U$17:$U$141)</f>
        <v>NA</v>
      </c>
      <c r="BM39" s="154"/>
      <c r="BN39" s="154"/>
      <c r="BP39" s="74">
        <v>280</v>
      </c>
      <c r="BQ39" s="154" t="str">
        <f>LOOKUP(BQ26,HP!$I$17:$I$141,HP!$U$17:$U$141)</f>
        <v>NA</v>
      </c>
      <c r="BR39" s="154"/>
      <c r="BT39" s="214"/>
      <c r="BU39" s="214"/>
      <c r="BV39" s="214"/>
      <c r="BW39" s="214"/>
      <c r="BX39" s="214"/>
      <c r="BY39" s="214"/>
      <c r="CD39" s="78"/>
      <c r="CF39" s="78"/>
      <c r="CH39" s="187" t="s">
        <v>286</v>
      </c>
      <c r="CI39" s="187"/>
      <c r="CJ39" s="187"/>
      <c r="CL39" s="154" t="s">
        <v>274</v>
      </c>
      <c r="CM39" s="154"/>
      <c r="CN39" s="100"/>
      <c r="CO39" s="201"/>
      <c r="CP39" s="201"/>
      <c r="CQ39" s="201"/>
      <c r="CR39" s="84"/>
      <c r="CS39" s="201"/>
      <c r="CT39" s="201"/>
      <c r="CU39" s="201"/>
      <c r="CV39" s="17"/>
      <c r="CW39" s="201" t="s">
        <v>315</v>
      </c>
      <c r="CX39" s="201"/>
      <c r="CY39" s="201"/>
      <c r="CZ39" s="84">
        <f>SUM(CR13:CR20)</f>
        <v>40</v>
      </c>
      <c r="DA39" s="17"/>
      <c r="DB39" s="102">
        <v>2</v>
      </c>
      <c r="DC39" s="154"/>
      <c r="DD39" s="154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0</v>
      </c>
      <c r="D40" s="78" t="s">
        <v>205</v>
      </c>
      <c r="E40" s="78">
        <f>(LOOKUP($C$2,Sheet3!$C$100:$V$100,Sheet3!$C$147:$V$147))*$C$3</f>
        <v>0</v>
      </c>
      <c r="F40" s="78" t="s">
        <v>205</v>
      </c>
      <c r="G40" s="78">
        <f>(LOOKUP($C$2,Sheet3!$C$100:$V$100,Sheet3!$C$148:$V$148))*$C$3</f>
        <v>0</v>
      </c>
      <c r="I40" s="183">
        <f>ABS(MIN((C41-E41),(C41-G41)))</f>
        <v>0</v>
      </c>
      <c r="J40" s="184"/>
      <c r="K40" s="184"/>
      <c r="L40" s="185"/>
      <c r="O40" s="84">
        <f>LOOKUP($C$2,Sheet3!$C$42:$V$42,Sheet3!C70:V70)</f>
        <v>2</v>
      </c>
      <c r="P40" s="187" t="s">
        <v>228</v>
      </c>
      <c r="Q40" s="187"/>
      <c r="R40" s="79">
        <v>0</v>
      </c>
      <c r="S40" s="141">
        <f>E16+(E16*T40)</f>
        <v>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7" t="s">
        <v>255</v>
      </c>
      <c r="Z40" s="157"/>
      <c r="AA40" s="157"/>
      <c r="AB40" s="157"/>
      <c r="AC40" s="157"/>
      <c r="AE40" s="154"/>
      <c r="AF40" s="154"/>
      <c r="AG40" s="154"/>
      <c r="AH40" s="154"/>
      <c r="AI40" s="130"/>
      <c r="AJ40" s="154" t="s">
        <v>76</v>
      </c>
      <c r="AK40" s="154"/>
      <c r="AL40" s="154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212"/>
      <c r="AU40" s="212"/>
      <c r="AV40" s="212"/>
      <c r="AW40" s="209" t="s">
        <v>196</v>
      </c>
      <c r="AX40" s="209"/>
      <c r="AY40" s="211" t="str">
        <f>LOOKUP(AR37,HM!$V$15:$V$655,HM!$AM$15:$AM$655)</f>
        <v>Nada</v>
      </c>
      <c r="AZ40" s="211"/>
      <c r="BA40" s="211"/>
      <c r="BB40" s="211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4" t="str">
        <f>LOOKUP(BH26,HP!$I$17:$I$141,HP!$V$17:$V$141)</f>
        <v>NA</v>
      </c>
      <c r="BI40" s="154"/>
      <c r="BK40" s="74">
        <v>320</v>
      </c>
      <c r="BL40" s="154" t="str">
        <f>LOOKUP(BL26,HP!$I$17:$I$141,HP!$V$17:$V$141)</f>
        <v>NA</v>
      </c>
      <c r="BM40" s="154"/>
      <c r="BN40" s="154"/>
      <c r="BP40" s="74">
        <v>320</v>
      </c>
      <c r="BQ40" s="154" t="str">
        <f>LOOKUP(BQ26,HP!$I$17:$I$141,HP!$V$17:$V$141)</f>
        <v>NA</v>
      </c>
      <c r="BR40" s="154"/>
      <c r="BT40" s="214"/>
      <c r="BU40" s="214"/>
      <c r="BV40" s="214"/>
      <c r="BW40" s="214"/>
      <c r="BX40" s="214"/>
      <c r="BY40" s="214"/>
      <c r="CD40" s="78"/>
      <c r="CF40" s="78"/>
      <c r="CH40" s="187">
        <f>LOOKUP((SUM($C$14+$C$16+$C$17)),Sheet3!$U$6:$U$15,Sheet3!$W$6:$W$15)</f>
        <v>10</v>
      </c>
      <c r="CI40" s="187"/>
      <c r="CJ40" s="187"/>
      <c r="CL40" s="154" t="s">
        <v>275</v>
      </c>
      <c r="CM40" s="154"/>
      <c r="CN40" s="100"/>
      <c r="CO40" s="201"/>
      <c r="CP40" s="201"/>
      <c r="CQ40" s="201"/>
      <c r="CR40" s="84"/>
      <c r="CS40" s="201"/>
      <c r="CT40" s="201"/>
      <c r="CU40" s="201"/>
      <c r="CV40" s="17"/>
      <c r="CW40" s="201" t="s">
        <v>24</v>
      </c>
      <c r="CX40" s="201"/>
      <c r="CY40" s="201"/>
      <c r="CZ40" s="84">
        <f>SUM(CR35:CR59)+SUM(CW24:CW27)+SUM(DA24:DB27)+SUM(DE24:DE27)</f>
        <v>0</v>
      </c>
      <c r="DA40" s="17"/>
      <c r="DB40" s="102">
        <v>2</v>
      </c>
      <c r="DC40" s="154"/>
      <c r="DD40" s="154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0</v>
      </c>
      <c r="D41" s="91" t="s">
        <v>208</v>
      </c>
      <c r="E41" s="91">
        <f>SUM(E37:E40)</f>
        <v>0</v>
      </c>
      <c r="F41" s="91" t="s">
        <v>208</v>
      </c>
      <c r="G41" s="91">
        <f>SUM(G37:G40)</f>
        <v>0</v>
      </c>
      <c r="I41" s="181" t="s">
        <v>5601</v>
      </c>
      <c r="J41" s="173"/>
      <c r="K41" s="173"/>
      <c r="L41" s="182"/>
      <c r="O41" s="84">
        <f>LOOKUP($C$2,Sheet3!$C$42:$V$42,Sheet3!C71:V71)</f>
        <v>2</v>
      </c>
      <c r="P41" s="187" t="s">
        <v>229</v>
      </c>
      <c r="Q41" s="187"/>
      <c r="R41" s="79">
        <v>0</v>
      </c>
      <c r="S41" s="141">
        <f>E17+(E17*T41)</f>
        <v>0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-30</v>
      </c>
      <c r="Y41" s="169" t="str">
        <f>LOOKUP(Y37,Sheet2!$AP$7:$AP$116,Sheet2!$AT$7:$AT$116)</f>
        <v>Nada</v>
      </c>
      <c r="Z41" s="169"/>
      <c r="AA41" s="169"/>
      <c r="AB41" s="169"/>
      <c r="AC41" s="169"/>
      <c r="AE41" s="154"/>
      <c r="AF41" s="154"/>
      <c r="AG41" s="154"/>
      <c r="AH41" s="154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4" t="str">
        <f>LOOKUP(BH26,HP!$I$17:$I$141,HP!$W$17:$W$141)</f>
        <v>NA</v>
      </c>
      <c r="BI41" s="154"/>
      <c r="BK41" s="74">
        <v>440</v>
      </c>
      <c r="BL41" s="154" t="str">
        <f>LOOKUP(BL26,HP!$I$17:$I$141,HP!$W$17:$W$141)</f>
        <v>NA</v>
      </c>
      <c r="BM41" s="154"/>
      <c r="BN41" s="154"/>
      <c r="BP41" s="74">
        <v>440</v>
      </c>
      <c r="BQ41" s="154" t="str">
        <f>LOOKUP(BQ26,HP!$I$17:$I$141,HP!$W$17:$W$141)</f>
        <v>NA</v>
      </c>
      <c r="BR41" s="154"/>
      <c r="BS41" s="7"/>
      <c r="BT41" s="214"/>
      <c r="BU41" s="214"/>
      <c r="BV41" s="214"/>
      <c r="BW41" s="214"/>
      <c r="BX41" s="214"/>
      <c r="BY41" s="214"/>
      <c r="CD41" s="78"/>
      <c r="CF41" s="78"/>
      <c r="CL41" s="154" t="s">
        <v>276</v>
      </c>
      <c r="CM41" s="154"/>
      <c r="CN41" s="100"/>
      <c r="CO41" s="201"/>
      <c r="CP41" s="201"/>
      <c r="CQ41" s="201"/>
      <c r="CR41" s="84"/>
      <c r="CS41" s="201"/>
      <c r="CT41" s="201"/>
      <c r="CU41" s="201"/>
      <c r="CV41" s="17"/>
      <c r="CW41" s="201" t="s">
        <v>316</v>
      </c>
      <c r="CX41" s="201"/>
      <c r="CY41" s="201"/>
      <c r="CZ41" s="84">
        <f>(CP23*CP27)+(CR23*CR27)+(CT23*CT27)+(DG3*DG2)+DH7</f>
        <v>0</v>
      </c>
      <c r="DA41" s="17"/>
      <c r="DB41" s="102">
        <v>2</v>
      </c>
      <c r="DC41" s="154"/>
      <c r="DD41" s="154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178">
        <f>(I38/2)/(MIN(C42,E42,G42))</f>
        <v>75</v>
      </c>
      <c r="J42" s="179"/>
      <c r="K42" s="179"/>
      <c r="L42" s="180"/>
      <c r="O42" s="84">
        <f>LOOKUP($C$2,Sheet3!$C$42:$V$42,Sheet3!C72:V72)</f>
        <v>2</v>
      </c>
      <c r="P42" s="187" t="s">
        <v>230</v>
      </c>
      <c r="Q42" s="187"/>
      <c r="R42" s="79">
        <v>0</v>
      </c>
      <c r="S42" s="141">
        <f>E16+(E16*T42)</f>
        <v>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69"/>
      <c r="Z42" s="169"/>
      <c r="AA42" s="169"/>
      <c r="AB42" s="169"/>
      <c r="AC42" s="169"/>
      <c r="AE42" s="93" t="s">
        <v>168</v>
      </c>
      <c r="AF42" s="93"/>
      <c r="AG42" s="93" t="s">
        <v>5</v>
      </c>
      <c r="AH42" s="93"/>
      <c r="AI42" s="130"/>
      <c r="AJ42" s="215" t="s">
        <v>5599</v>
      </c>
      <c r="AK42" s="215"/>
      <c r="AL42" s="215"/>
      <c r="AM42" s="215"/>
      <c r="AN42" s="215"/>
      <c r="AQ42" s="88" t="s">
        <v>5452</v>
      </c>
      <c r="AR42" s="209" t="s">
        <v>0</v>
      </c>
      <c r="AS42" s="209"/>
      <c r="AT42" s="189" t="s">
        <v>181</v>
      </c>
      <c r="AU42" s="189"/>
      <c r="AV42" s="189"/>
      <c r="AW42" s="209" t="s">
        <v>182</v>
      </c>
      <c r="AX42" s="209"/>
      <c r="AY42" s="209" t="s">
        <v>181</v>
      </c>
      <c r="AZ42" s="209"/>
      <c r="BA42" s="209"/>
      <c r="BB42" s="209"/>
      <c r="BC42" s="88" t="s">
        <v>32</v>
      </c>
      <c r="BD42" s="88" t="s">
        <v>75</v>
      </c>
      <c r="BE42" s="88" t="s">
        <v>183</v>
      </c>
      <c r="BF42" s="19"/>
      <c r="BR42" s="1"/>
      <c r="BT42" s="214"/>
      <c r="BU42" s="214"/>
      <c r="BV42" s="214"/>
      <c r="BW42" s="214"/>
      <c r="BX42" s="214"/>
      <c r="BY42" s="214"/>
      <c r="CD42" s="78"/>
      <c r="CF42" s="78"/>
      <c r="CO42" s="201"/>
      <c r="CP42" s="201"/>
      <c r="CQ42" s="201"/>
      <c r="CR42" s="84"/>
      <c r="CS42" s="201"/>
      <c r="CT42" s="201"/>
      <c r="CU42" s="201"/>
      <c r="CV42" s="17"/>
      <c r="CW42" s="201" t="s">
        <v>296</v>
      </c>
      <c r="CX42" s="201"/>
      <c r="CY42" s="201"/>
      <c r="CZ42" s="84">
        <f>SUMPRODUCT(DB36:DB59,DE36:DE59)</f>
        <v>0</v>
      </c>
      <c r="DA42" s="17"/>
      <c r="DB42" s="102">
        <v>2</v>
      </c>
      <c r="DC42" s="154"/>
      <c r="DD42" s="154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87" t="s">
        <v>231</v>
      </c>
      <c r="Q43" s="187"/>
      <c r="R43" s="79">
        <v>0</v>
      </c>
      <c r="S43" s="141">
        <f>E14+(E14*T43)</f>
        <v>0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69"/>
      <c r="Z43" s="169"/>
      <c r="AA43" s="169"/>
      <c r="AB43" s="169"/>
      <c r="AC43" s="169"/>
      <c r="AH43" s="130"/>
      <c r="AI43" s="130"/>
      <c r="AJ43" s="216" t="s">
        <v>5594</v>
      </c>
      <c r="AK43" s="216"/>
      <c r="AL43" s="74">
        <v>5</v>
      </c>
      <c r="AM43" s="95" t="s">
        <v>5595</v>
      </c>
      <c r="AN43" s="95">
        <v>5</v>
      </c>
      <c r="AQ43" s="210"/>
      <c r="AR43" s="211" t="s">
        <v>266</v>
      </c>
      <c r="AS43" s="211"/>
      <c r="AT43" s="212" t="str">
        <f>LOOKUP(AR43,HM!$V$15:$V$655,HM!$W$15:$W$655)</f>
        <v>No</v>
      </c>
      <c r="AU43" s="212"/>
      <c r="AV43" s="212"/>
      <c r="AW43" s="209" t="s">
        <v>2</v>
      </c>
      <c r="AX43" s="209"/>
      <c r="AY43" s="211" t="str">
        <f>LOOKUP(AR43,HM!$V$15:$V$655,HM!$AA$15:$AA$655)</f>
        <v>Nada</v>
      </c>
      <c r="AZ43" s="211"/>
      <c r="BA43" s="211"/>
      <c r="BB43" s="211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7" t="s">
        <v>0</v>
      </c>
      <c r="BI43" s="157"/>
      <c r="BK43" s="96" t="s">
        <v>4517</v>
      </c>
      <c r="BL43" s="157" t="s">
        <v>0</v>
      </c>
      <c r="BM43" s="157"/>
      <c r="BN43" s="157"/>
      <c r="BP43" s="96" t="s">
        <v>4517</v>
      </c>
      <c r="BQ43" s="157" t="s">
        <v>0</v>
      </c>
      <c r="BR43" s="157"/>
      <c r="BS43" s="7"/>
      <c r="BT43" s="214"/>
      <c r="BU43" s="214"/>
      <c r="BV43" s="214"/>
      <c r="BW43" s="214"/>
      <c r="BX43" s="214"/>
      <c r="BY43" s="214"/>
      <c r="CD43" s="78"/>
      <c r="CF43" s="78"/>
      <c r="CO43" s="201"/>
      <c r="CP43" s="201"/>
      <c r="CQ43" s="201"/>
      <c r="CR43" s="84"/>
      <c r="CS43" s="201"/>
      <c r="CT43" s="201"/>
      <c r="CU43" s="201"/>
      <c r="CV43" s="17"/>
      <c r="CW43" s="201" t="s">
        <v>93</v>
      </c>
      <c r="CX43" s="201"/>
      <c r="CY43" s="201"/>
      <c r="CZ43" s="84">
        <f>SUM(CZ39:CZ42)</f>
        <v>40</v>
      </c>
      <c r="DA43" s="17"/>
      <c r="DB43" s="102">
        <v>2</v>
      </c>
      <c r="DC43" s="154"/>
      <c r="DD43" s="154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2</v>
      </c>
      <c r="P44" s="189" t="s">
        <v>232</v>
      </c>
      <c r="Q44" s="189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215" t="s">
        <v>5598</v>
      </c>
      <c r="AK44" s="215"/>
      <c r="AL44" s="215"/>
      <c r="AM44" s="215"/>
      <c r="AN44" s="215"/>
      <c r="AQ44" s="210"/>
      <c r="AR44" s="211"/>
      <c r="AS44" s="211"/>
      <c r="AT44" s="212"/>
      <c r="AU44" s="212"/>
      <c r="AV44" s="212"/>
      <c r="AW44" s="209" t="s">
        <v>190</v>
      </c>
      <c r="AX44" s="209"/>
      <c r="AY44" s="211" t="str">
        <f>LOOKUP(AR43,HM!$V$15:$V$655,HM!$AE$15:$AE$655)</f>
        <v>Nada</v>
      </c>
      <c r="AZ44" s="211"/>
      <c r="BA44" s="211"/>
      <c r="BB44" s="211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4"/>
      <c r="BI44" s="154"/>
      <c r="BK44" s="74"/>
      <c r="BL44" s="154"/>
      <c r="BM44" s="154"/>
      <c r="BN44" s="154"/>
      <c r="BP44" s="74"/>
      <c r="BQ44" s="154"/>
      <c r="BR44" s="154"/>
      <c r="BT44" s="214"/>
      <c r="BU44" s="214"/>
      <c r="BV44" s="214"/>
      <c r="BW44" s="214"/>
      <c r="BX44" s="214"/>
      <c r="BY44" s="214"/>
      <c r="CO44" s="201"/>
      <c r="CP44" s="201"/>
      <c r="CQ44" s="201"/>
      <c r="CR44" s="84"/>
      <c r="CS44" s="201"/>
      <c r="CT44" s="201"/>
      <c r="CU44" s="201"/>
      <c r="CV44" s="17"/>
      <c r="CW44" s="17"/>
      <c r="CX44" s="17"/>
      <c r="CY44" s="17"/>
      <c r="CZ44" s="17"/>
      <c r="DA44" s="17"/>
      <c r="DB44" s="102">
        <v>2</v>
      </c>
      <c r="DC44" s="154"/>
      <c r="DD44" s="154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/>
      <c r="C45" s="154"/>
      <c r="D45" s="154"/>
      <c r="E45" s="154"/>
      <c r="F45" s="154"/>
      <c r="G45" s="96" t="s">
        <v>169</v>
      </c>
      <c r="H45" s="154" t="str">
        <f>LOOKUP(C45,Sheet3!$AX$4:$AX$160,Sheet3!$BI$4:$BI$160)</f>
        <v>Nada</v>
      </c>
      <c r="I45" s="154"/>
      <c r="J45" s="154"/>
      <c r="O45" s="84">
        <f>LOOKUP($C$2,Sheet3!$C$42:$V$42,Sheet3!C75:V75)</f>
        <v>2</v>
      </c>
      <c r="P45" s="187" t="s">
        <v>233</v>
      </c>
      <c r="Q45" s="187"/>
      <c r="R45" s="79">
        <v>0</v>
      </c>
      <c r="S45" s="141">
        <f>E12+(E12*T45)</f>
        <v>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7" t="s">
        <v>242</v>
      </c>
      <c r="Z45" s="157"/>
      <c r="AA45" s="157"/>
      <c r="AB45" s="96" t="s">
        <v>168</v>
      </c>
      <c r="AC45" s="95">
        <f>IF($C$2="Tao",LOOKUP(Y47,Sheet2!$AP$7:$AP$116,Sheet2!$AV$7:$AV$116),LOOKUP(Y47,Sheet2!$AP$7:$AP$116,Sheet2!$AU$7:$AU$116))</f>
        <v>0</v>
      </c>
      <c r="AE45" s="164" t="s">
        <v>149</v>
      </c>
      <c r="AF45" s="165"/>
      <c r="AG45" s="165"/>
      <c r="AH45" s="166"/>
      <c r="AI45" s="130"/>
      <c r="AJ45" s="216" t="s">
        <v>5594</v>
      </c>
      <c r="AK45" s="216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212"/>
      <c r="AU45" s="212"/>
      <c r="AV45" s="212"/>
      <c r="AW45" s="209" t="s">
        <v>193</v>
      </c>
      <c r="AX45" s="209"/>
      <c r="AY45" s="211" t="str">
        <f>LOOKUP(AR43,HM!$V$15:$V$655,HM!$AI$15:$AI$655)</f>
        <v>Nada</v>
      </c>
      <c r="AZ45" s="211"/>
      <c r="BA45" s="211"/>
      <c r="BB45" s="211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7" t="s">
        <v>194</v>
      </c>
      <c r="BN45" s="157"/>
      <c r="BP45" s="96" t="s">
        <v>17</v>
      </c>
      <c r="BQ45" s="96" t="s">
        <v>192</v>
      </c>
      <c r="BR45" s="96" t="s">
        <v>194</v>
      </c>
      <c r="BS45" s="24"/>
      <c r="BT45" s="214"/>
      <c r="BU45" s="214"/>
      <c r="BV45" s="214"/>
      <c r="BW45" s="214"/>
      <c r="BX45" s="214"/>
      <c r="BY45" s="214"/>
      <c r="CO45" s="201"/>
      <c r="CP45" s="201"/>
      <c r="CQ45" s="201"/>
      <c r="CR45" s="84"/>
      <c r="CS45" s="201"/>
      <c r="CT45" s="201"/>
      <c r="CU45" s="201"/>
      <c r="CV45" s="17"/>
      <c r="CW45" s="17"/>
      <c r="CX45" s="17"/>
      <c r="CY45" s="17"/>
      <c r="CZ45" s="17"/>
      <c r="DA45" s="17"/>
      <c r="DB45" s="102">
        <v>2</v>
      </c>
      <c r="DC45" s="154"/>
      <c r="DD45" s="154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7" t="s">
        <v>43</v>
      </c>
      <c r="H46" s="157"/>
      <c r="I46" s="157" t="s">
        <v>31</v>
      </c>
      <c r="J46" s="157"/>
      <c r="O46" s="84">
        <f>LOOKUP($C$2,Sheet3!$C$42:$V$42,Sheet3!C76:V76)</f>
        <v>2</v>
      </c>
      <c r="P46" s="187" t="s">
        <v>234</v>
      </c>
      <c r="Q46" s="187"/>
      <c r="R46" s="79">
        <v>0</v>
      </c>
      <c r="S46" s="141">
        <f>E12+(E12*T46)</f>
        <v>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7" t="s">
        <v>0</v>
      </c>
      <c r="Z46" s="157"/>
      <c r="AA46" s="157" t="s">
        <v>16</v>
      </c>
      <c r="AB46" s="157"/>
      <c r="AC46" s="157"/>
      <c r="AE46" s="163"/>
      <c r="AF46" s="163"/>
      <c r="AG46" s="163"/>
      <c r="AH46" s="163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212"/>
      <c r="AU46" s="212"/>
      <c r="AV46" s="212"/>
      <c r="AW46" s="209" t="s">
        <v>196</v>
      </c>
      <c r="AX46" s="209"/>
      <c r="AY46" s="211" t="str">
        <f>LOOKUP(AR43,HM!$V$15:$V$655,HM!$AM$15:$AM$655)</f>
        <v>Nada</v>
      </c>
      <c r="AZ46" s="211"/>
      <c r="BA46" s="211"/>
      <c r="BB46" s="211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4" t="str">
        <f>LOOKUP(BL44,HP!$I$17:$I$141,HP!$L$17:$L$141)</f>
        <v>No</v>
      </c>
      <c r="BN46" s="154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214"/>
      <c r="BU46" s="214"/>
      <c r="BV46" s="214"/>
      <c r="BW46" s="214"/>
      <c r="BX46" s="214"/>
      <c r="BY46" s="214"/>
      <c r="CO46" s="201"/>
      <c r="CP46" s="201"/>
      <c r="CQ46" s="201"/>
      <c r="CR46" s="84"/>
      <c r="CS46" s="201"/>
      <c r="CT46" s="201"/>
      <c r="CU46" s="201"/>
      <c r="CV46" s="17"/>
      <c r="CW46" s="17"/>
      <c r="CX46" s="17"/>
      <c r="CY46" s="17"/>
      <c r="CZ46" s="17"/>
      <c r="DA46" s="17"/>
      <c r="DB46" s="102">
        <v>2</v>
      </c>
      <c r="DC46" s="154"/>
      <c r="DD46" s="154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0</v>
      </c>
      <c r="E47" s="74">
        <f>$E$13</f>
        <v>0</v>
      </c>
      <c r="F47" s="74">
        <f>SUM(D47:E47)</f>
        <v>0</v>
      </c>
      <c r="G47" s="154" t="str">
        <f>LOOKUP(C45,Tabla11[Nombre],Tabla11[Especial])</f>
        <v>NA</v>
      </c>
      <c r="H47" s="154"/>
      <c r="I47" s="154" t="str">
        <f>LOOKUP(C45,Tabla11[Nombre],Tabla11[Tipo de arma])</f>
        <v>NA</v>
      </c>
      <c r="J47" s="154"/>
      <c r="O47" s="84">
        <f>LOOKUP($C$2,Sheet3!$C$42:$V$42,Sheet3!C77:V77)</f>
        <v>2</v>
      </c>
      <c r="P47" s="187" t="s">
        <v>235</v>
      </c>
      <c r="Q47" s="187"/>
      <c r="R47" s="79">
        <v>0</v>
      </c>
      <c r="S47" s="141">
        <f>E15+(E15*T47)</f>
        <v>0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4" t="s">
        <v>248</v>
      </c>
      <c r="Z47" s="154"/>
      <c r="AA47" s="154" t="str">
        <f>LOOKUP(Y47,Sheet2!$AP$7:$AP$116,Sheet2!$AR$7:$AR$116)</f>
        <v>Nada</v>
      </c>
      <c r="AB47" s="154"/>
      <c r="AC47" s="154"/>
      <c r="AE47" s="154"/>
      <c r="AF47" s="154"/>
      <c r="AG47" s="154"/>
      <c r="AH47" s="154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7" t="s">
        <v>153</v>
      </c>
      <c r="BH47" s="169" t="str">
        <f>LOOKUP(BH44,HP!$I$17:$I$141,HP!$M$17:$M$141)</f>
        <v>NA</v>
      </c>
      <c r="BI47" s="169"/>
      <c r="BK47" s="157" t="s">
        <v>153</v>
      </c>
      <c r="BL47" s="169" t="str">
        <f>LOOKUP(BL44,HP!$I$17:$I$141,HP!$M$17:$M$141)</f>
        <v>NA</v>
      </c>
      <c r="BM47" s="169"/>
      <c r="BN47" s="169"/>
      <c r="BP47" s="157" t="s">
        <v>153</v>
      </c>
      <c r="BQ47" s="169" t="str">
        <f>LOOKUP(BQ44,HP!$I$17:$I$141,HP!$M$17:$M$141)</f>
        <v>NA</v>
      </c>
      <c r="BR47" s="169"/>
      <c r="BT47" s="214"/>
      <c r="BU47" s="214"/>
      <c r="BV47" s="214"/>
      <c r="BW47" s="214"/>
      <c r="BX47" s="214"/>
      <c r="BY47" s="214"/>
      <c r="CD47" s="155" t="s">
        <v>236</v>
      </c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201"/>
      <c r="CP47" s="201"/>
      <c r="CQ47" s="201"/>
      <c r="CR47" s="84"/>
      <c r="CS47" s="201"/>
      <c r="CT47" s="201"/>
      <c r="CU47" s="201"/>
      <c r="CV47" s="17"/>
      <c r="CW47" s="17"/>
      <c r="CX47" s="17"/>
      <c r="CY47" s="17"/>
      <c r="CZ47" s="17"/>
      <c r="DA47" s="17"/>
      <c r="DB47" s="102">
        <v>2</v>
      </c>
      <c r="DC47" s="154"/>
      <c r="DD47" s="154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2</v>
      </c>
      <c r="P48" s="187" t="s">
        <v>237</v>
      </c>
      <c r="Q48" s="187"/>
      <c r="R48" s="79">
        <v>0</v>
      </c>
      <c r="S48" s="141">
        <f>E12+(E12*T48)</f>
        <v>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7" t="s">
        <v>250</v>
      </c>
      <c r="Z48" s="157"/>
      <c r="AA48" s="157"/>
      <c r="AB48" s="96" t="s">
        <v>5</v>
      </c>
      <c r="AC48" s="96" t="s">
        <v>251</v>
      </c>
      <c r="AE48" s="154"/>
      <c r="AF48" s="154"/>
      <c r="AG48" s="154"/>
      <c r="AH48" s="154"/>
      <c r="AI48" s="130"/>
      <c r="AJ48" s="155" t="s">
        <v>240</v>
      </c>
      <c r="AK48" s="155"/>
      <c r="AL48" s="155"/>
      <c r="AM48" s="155"/>
      <c r="AN48" s="155"/>
      <c r="AP48" s="5"/>
      <c r="AQ48" s="88" t="s">
        <v>5452</v>
      </c>
      <c r="AR48" s="209" t="s">
        <v>0</v>
      </c>
      <c r="AS48" s="209"/>
      <c r="AT48" s="189" t="s">
        <v>181</v>
      </c>
      <c r="AU48" s="189"/>
      <c r="AV48" s="189"/>
      <c r="AW48" s="209" t="s">
        <v>182</v>
      </c>
      <c r="AX48" s="209"/>
      <c r="AY48" s="209" t="s">
        <v>181</v>
      </c>
      <c r="AZ48" s="209"/>
      <c r="BA48" s="209"/>
      <c r="BB48" s="209"/>
      <c r="BC48" s="88" t="s">
        <v>32</v>
      </c>
      <c r="BD48" s="88" t="s">
        <v>75</v>
      </c>
      <c r="BE48" s="88" t="s">
        <v>183</v>
      </c>
      <c r="BF48" s="19"/>
      <c r="BG48" s="157"/>
      <c r="BH48" s="169"/>
      <c r="BI48" s="169"/>
      <c r="BK48" s="157"/>
      <c r="BL48" s="169"/>
      <c r="BM48" s="169"/>
      <c r="BN48" s="169"/>
      <c r="BP48" s="157"/>
      <c r="BQ48" s="169"/>
      <c r="BR48" s="169"/>
      <c r="BT48" s="214"/>
      <c r="BU48" s="214"/>
      <c r="BV48" s="214"/>
      <c r="BW48" s="214"/>
      <c r="BX48" s="214"/>
      <c r="BY48" s="214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201"/>
      <c r="CP48" s="201"/>
      <c r="CQ48" s="201"/>
      <c r="CR48" s="84"/>
      <c r="CS48" s="201"/>
      <c r="CT48" s="201"/>
      <c r="CU48" s="201"/>
      <c r="CV48" s="17"/>
      <c r="CW48" s="17"/>
      <c r="CX48" s="17"/>
      <c r="CY48" s="17"/>
      <c r="CZ48" s="17"/>
      <c r="DA48" s="17"/>
      <c r="DB48" s="102">
        <v>2</v>
      </c>
      <c r="DC48" s="154"/>
      <c r="DD48" s="154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20</v>
      </c>
      <c r="C49" s="74">
        <f>LOOKUP(C45,Tabla11[Nombre],Tabla11[Entereza])+(10*(LOOKUP($J$49,Sheet3!$L$2:$L$6,Sheet3!$M$2:$M$6)))</f>
        <v>0</v>
      </c>
      <c r="D49" s="74">
        <f>LOOKUP(C45,Tabla11[Nombre],Tabla11[Rotura])+(2*(LOOKUP($J$49,Sheet3!$L$2:$L$6,Sheet3!$M$2:$M$6)))</f>
        <v>0</v>
      </c>
      <c r="E49" s="74">
        <f>LOOKUP(C45,Tabla11[Nombre],Tabla11[Presencia])+(50*(LOOKUP($J$49,Sheet3!$L$2:$L$6,Sheet3!$M$2:$M$6)))</f>
        <v>0</v>
      </c>
      <c r="F49" s="74" t="str">
        <f>LOOKUP(C45,Tabla11[Nombre],Tabla11[Crítico 1])</f>
        <v>NA</v>
      </c>
      <c r="G49" s="74" t="str">
        <f>LOOKUP(C45,Tabla11[Nombre],Tabla11[Ctrítico 2])</f>
        <v>NA</v>
      </c>
      <c r="H49" s="74" t="str">
        <f>LOOKUP(C45,Tabla11[Nombre],Tabla11[Fuerza requerida])</f>
        <v>NA</v>
      </c>
      <c r="I49" s="74"/>
      <c r="J49" s="74">
        <v>0</v>
      </c>
      <c r="O49" s="84">
        <f>LOOKUP($C$2,Sheet3!$C$42:$V$42,Sheet3!C79:V79)</f>
        <v>2</v>
      </c>
      <c r="P49" s="187" t="s">
        <v>239</v>
      </c>
      <c r="Q49" s="187"/>
      <c r="R49" s="79">
        <v>0</v>
      </c>
      <c r="S49" s="141">
        <f>E10+(E10*T49)</f>
        <v>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4" t="str">
        <f>LOOKUP(Y47,Sheet2!$AP$7:$AP$116,Sheet2!$AQ$7:$AQ$116)</f>
        <v>Nada</v>
      </c>
      <c r="Z49" s="154"/>
      <c r="AA49" s="154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4"/>
      <c r="AF49" s="154"/>
      <c r="AG49" s="154"/>
      <c r="AH49" s="154"/>
      <c r="AJ49" s="157" t="s">
        <v>238</v>
      </c>
      <c r="AK49" s="157"/>
      <c r="AL49" s="160"/>
      <c r="AM49" s="161"/>
      <c r="AN49" s="159"/>
      <c r="AP49" s="7"/>
      <c r="AQ49" s="210"/>
      <c r="AR49" s="211" t="s">
        <v>266</v>
      </c>
      <c r="AS49" s="211"/>
      <c r="AT49" s="212" t="str">
        <f>LOOKUP(AR49,HM!$V$15:$V$655,HM!$W$15:$W$655)</f>
        <v>No</v>
      </c>
      <c r="AU49" s="212"/>
      <c r="AV49" s="212"/>
      <c r="AW49" s="209" t="s">
        <v>2</v>
      </c>
      <c r="AX49" s="209"/>
      <c r="AY49" s="211" t="str">
        <f>LOOKUP(AR49,HM!$V$15:$V$655,HM!$AA$15:$AA$655)</f>
        <v>Nada</v>
      </c>
      <c r="AZ49" s="211"/>
      <c r="BA49" s="211"/>
      <c r="BB49" s="211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7"/>
      <c r="BH49" s="169"/>
      <c r="BI49" s="169"/>
      <c r="BK49" s="157"/>
      <c r="BL49" s="169"/>
      <c r="BM49" s="169"/>
      <c r="BN49" s="169"/>
      <c r="BP49" s="157"/>
      <c r="BQ49" s="169"/>
      <c r="BR49" s="169"/>
      <c r="BT49" s="214"/>
      <c r="BU49" s="214"/>
      <c r="BV49" s="214"/>
      <c r="BW49" s="214"/>
      <c r="BX49" s="214"/>
      <c r="BY49" s="214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201"/>
      <c r="CP49" s="201"/>
      <c r="CQ49" s="201"/>
      <c r="CR49" s="84"/>
      <c r="CS49" s="201"/>
      <c r="CT49" s="201"/>
      <c r="CU49" s="201"/>
      <c r="CV49" s="17"/>
      <c r="CW49" s="35"/>
      <c r="CX49" s="17"/>
      <c r="CY49" s="17"/>
      <c r="CZ49" s="17"/>
      <c r="DA49" s="17"/>
      <c r="DB49" s="102">
        <v>2</v>
      </c>
      <c r="DC49" s="154"/>
      <c r="DD49" s="154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2</v>
      </c>
      <c r="P50" s="187" t="s">
        <v>241</v>
      </c>
      <c r="Q50" s="187"/>
      <c r="R50" s="79">
        <v>0</v>
      </c>
      <c r="S50" s="141">
        <f>E15+(E15*T50)</f>
        <v>0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7" t="s">
        <v>255</v>
      </c>
      <c r="Z50" s="157"/>
      <c r="AA50" s="157"/>
      <c r="AB50" s="157"/>
      <c r="AC50" s="157"/>
      <c r="AE50" s="154"/>
      <c r="AF50" s="154"/>
      <c r="AG50" s="154"/>
      <c r="AH50" s="154"/>
      <c r="AJ50" s="157" t="s">
        <v>6</v>
      </c>
      <c r="AK50" s="157"/>
      <c r="AL50" s="160"/>
      <c r="AM50" s="161"/>
      <c r="AN50" s="159"/>
      <c r="AQ50" s="210"/>
      <c r="AR50" s="211"/>
      <c r="AS50" s="211"/>
      <c r="AT50" s="212"/>
      <c r="AU50" s="212"/>
      <c r="AV50" s="212"/>
      <c r="AW50" s="209" t="s">
        <v>190</v>
      </c>
      <c r="AX50" s="209"/>
      <c r="AY50" s="211" t="str">
        <f>LOOKUP(AR49,HM!$V$15:$V$655,HM!$AE$15:$AE$655)</f>
        <v>Nada</v>
      </c>
      <c r="AZ50" s="211"/>
      <c r="BA50" s="211"/>
      <c r="BB50" s="211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4" t="str">
        <f>LOOKUP(BH44,HP!$I$17:$I$141,HP!$N$17:$N$141)</f>
        <v>NA</v>
      </c>
      <c r="BI50" s="154"/>
      <c r="BK50" s="74">
        <v>20</v>
      </c>
      <c r="BL50" s="154" t="str">
        <f>LOOKUP(BL44,HP!$I$17:$I$141,HP!$N$17:$N$141)</f>
        <v>NA</v>
      </c>
      <c r="BM50" s="154"/>
      <c r="BN50" s="154"/>
      <c r="BP50" s="74">
        <v>20</v>
      </c>
      <c r="BQ50" s="154" t="str">
        <f>LOOKUP(BQ44,HP!$I$17:$I$141,HP!$N$17:$N$141)</f>
        <v>NA</v>
      </c>
      <c r="BR50" s="154"/>
      <c r="BT50" s="214"/>
      <c r="BU50" s="214"/>
      <c r="BV50" s="214"/>
      <c r="BW50" s="214"/>
      <c r="BX50" s="214"/>
      <c r="BY50" s="214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201"/>
      <c r="CP50" s="201"/>
      <c r="CQ50" s="201"/>
      <c r="CR50" s="84"/>
      <c r="CS50" s="201"/>
      <c r="CT50" s="201"/>
      <c r="CU50" s="201"/>
      <c r="CV50" s="17"/>
      <c r="CW50" s="17"/>
      <c r="CX50" s="17"/>
      <c r="CY50" s="17"/>
      <c r="CZ50" s="17"/>
      <c r="DA50" s="17"/>
      <c r="DB50" s="102">
        <v>2</v>
      </c>
      <c r="DC50" s="154"/>
      <c r="DD50" s="154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/>
      <c r="C51" s="154"/>
      <c r="D51" s="154"/>
      <c r="E51" s="154"/>
      <c r="F51" s="154"/>
      <c r="G51" s="96" t="s">
        <v>169</v>
      </c>
      <c r="H51" s="154" t="str">
        <f>LOOKUP(C51,Sheet3!$AX$4:$AX$160,Sheet3!$BI$4:$BI$160)</f>
        <v>Nada</v>
      </c>
      <c r="I51" s="154"/>
      <c r="J51" s="154"/>
      <c r="O51" s="84">
        <f>LOOKUP($C$2,Sheet3!$C$42:$V$42,Sheet3!C81:V81)</f>
        <v>2</v>
      </c>
      <c r="P51" s="187" t="s">
        <v>245</v>
      </c>
      <c r="Q51" s="187"/>
      <c r="R51" s="79">
        <v>0</v>
      </c>
      <c r="S51" s="141">
        <f>E14+(E14*T51)</f>
        <v>0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69" t="str">
        <f>LOOKUP(Y47,Sheet2!$AP$7:$AP$116,Sheet2!$AT$7:$AT$116)</f>
        <v>Nada</v>
      </c>
      <c r="Z51" s="169"/>
      <c r="AA51" s="169"/>
      <c r="AB51" s="169"/>
      <c r="AC51" s="169"/>
      <c r="AE51" s="154"/>
      <c r="AF51" s="154"/>
      <c r="AG51" s="154"/>
      <c r="AH51" s="154"/>
      <c r="AJ51" s="162" t="s">
        <v>17</v>
      </c>
      <c r="AK51" s="162"/>
      <c r="AL51" s="74">
        <v>0</v>
      </c>
      <c r="AM51" s="96" t="s">
        <v>157</v>
      </c>
      <c r="AN51" s="74">
        <f>10*(AL51-$C$3)</f>
        <v>-10</v>
      </c>
      <c r="AQ51" s="88" t="s">
        <v>17</v>
      </c>
      <c r="AR51" s="88" t="s">
        <v>31</v>
      </c>
      <c r="AS51" s="88" t="s">
        <v>192</v>
      </c>
      <c r="AT51" s="212"/>
      <c r="AU51" s="212"/>
      <c r="AV51" s="212"/>
      <c r="AW51" s="209" t="s">
        <v>193</v>
      </c>
      <c r="AX51" s="209"/>
      <c r="AY51" s="211" t="str">
        <f>LOOKUP(AR49,HM!$V$15:$V$655,HM!$AI$15:$AI$655)</f>
        <v>Nada</v>
      </c>
      <c r="AZ51" s="211"/>
      <c r="BA51" s="211"/>
      <c r="BB51" s="211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4" t="str">
        <f>LOOKUP(BH44,HP!$I$17:$I$141,HP!$O$17:$O$141)</f>
        <v>NA</v>
      </c>
      <c r="BI51" s="154"/>
      <c r="BK51" s="74">
        <v>40</v>
      </c>
      <c r="BL51" s="154" t="str">
        <f>LOOKUP(BL44,HP!$I$17:$I$141,HP!$O$17:$O$141)</f>
        <v>NA</v>
      </c>
      <c r="BM51" s="154"/>
      <c r="BN51" s="154"/>
      <c r="BP51" s="74">
        <v>40</v>
      </c>
      <c r="BQ51" s="154" t="str">
        <f>LOOKUP(BQ44,HP!$I$17:$I$141,HP!$O$17:$O$141)</f>
        <v>NA</v>
      </c>
      <c r="BR51" s="154"/>
      <c r="BT51" s="214"/>
      <c r="BU51" s="214"/>
      <c r="BV51" s="214"/>
      <c r="BW51" s="214"/>
      <c r="BX51" s="214"/>
      <c r="BY51" s="214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201"/>
      <c r="CP51" s="201"/>
      <c r="CQ51" s="201"/>
      <c r="CR51" s="84"/>
      <c r="CS51" s="201"/>
      <c r="CT51" s="201"/>
      <c r="CU51" s="201"/>
      <c r="CV51" s="17"/>
      <c r="CW51" s="17"/>
      <c r="CX51" s="17"/>
      <c r="CY51" s="17"/>
      <c r="CZ51" s="17"/>
      <c r="DA51" s="17"/>
      <c r="DB51" s="102">
        <v>2</v>
      </c>
      <c r="DC51" s="154"/>
      <c r="DD51" s="154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7" t="s">
        <v>43</v>
      </c>
      <c r="H52" s="157"/>
      <c r="I52" s="157" t="s">
        <v>31</v>
      </c>
      <c r="J52" s="157"/>
      <c r="O52" s="76">
        <f>LOOKUP($C$2,Sheet3!$C$42:$V$42,Sheet3!C82:V82)</f>
        <v>2</v>
      </c>
      <c r="P52" s="189" t="s">
        <v>247</v>
      </c>
      <c r="Q52" s="189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69"/>
      <c r="Z52" s="169"/>
      <c r="AA52" s="169"/>
      <c r="AB52" s="169"/>
      <c r="AC52" s="169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212"/>
      <c r="AU52" s="212"/>
      <c r="AV52" s="212"/>
      <c r="AW52" s="209" t="s">
        <v>196</v>
      </c>
      <c r="AX52" s="209"/>
      <c r="AY52" s="211" t="str">
        <f>LOOKUP(AR49,HM!$V$15:$V$655,HM!$AM$15:$AM$655)</f>
        <v>Nada</v>
      </c>
      <c r="AZ52" s="211"/>
      <c r="BA52" s="211"/>
      <c r="BB52" s="211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4" t="str">
        <f>LOOKUP(BH44,HP!$I$17:$I$141,HP!$P$17:$P$141)</f>
        <v>NA</v>
      </c>
      <c r="BI52" s="154"/>
      <c r="BK52" s="74">
        <v>80</v>
      </c>
      <c r="BL52" s="154" t="str">
        <f>LOOKUP(BL44,HP!$I$17:$I$141,HP!$P$17:$P$141)</f>
        <v>NA</v>
      </c>
      <c r="BM52" s="154"/>
      <c r="BN52" s="154"/>
      <c r="BP52" s="74">
        <v>80</v>
      </c>
      <c r="BQ52" s="154" t="str">
        <f>LOOKUP(BQ44,HP!$I$17:$I$141,HP!$P$17:$P$141)</f>
        <v>NA</v>
      </c>
      <c r="BR52" s="154"/>
      <c r="BT52" s="214"/>
      <c r="BU52" s="214"/>
      <c r="BV52" s="214"/>
      <c r="BW52" s="214"/>
      <c r="BX52" s="214"/>
      <c r="BY52" s="214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201"/>
      <c r="CP52" s="201"/>
      <c r="CQ52" s="201"/>
      <c r="CR52" s="84"/>
      <c r="CS52" s="201"/>
      <c r="CT52" s="201"/>
      <c r="CU52" s="201"/>
      <c r="CV52" s="17"/>
      <c r="CW52" s="17"/>
      <c r="CX52" s="17"/>
      <c r="CY52" s="17"/>
      <c r="CZ52" s="17"/>
      <c r="DA52" s="17"/>
      <c r="DB52" s="102">
        <v>2</v>
      </c>
      <c r="DC52" s="154"/>
      <c r="DD52" s="154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0</v>
      </c>
      <c r="E53" s="74">
        <f>$E$13</f>
        <v>0</v>
      </c>
      <c r="F53" s="74">
        <f>SUM(D53:E53)</f>
        <v>0</v>
      </c>
      <c r="G53" s="154" t="str">
        <f>LOOKUP(C51,Tabla11[Nombre],Tabla11[Especial])</f>
        <v>NA</v>
      </c>
      <c r="H53" s="154"/>
      <c r="I53" s="154" t="str">
        <f>LOOKUP(C51,Tabla11[Nombre],Tabla11[Tipo de arma])</f>
        <v>NA</v>
      </c>
      <c r="J53" s="154"/>
      <c r="O53" s="84">
        <f>LOOKUP($C$2,Sheet3!$C$42:$V$42,Sheet3!C83:V83)</f>
        <v>2</v>
      </c>
      <c r="P53" s="187" t="s">
        <v>249</v>
      </c>
      <c r="Q53" s="187"/>
      <c r="R53" s="79">
        <v>0</v>
      </c>
      <c r="S53" s="141">
        <f>E16+(E16*T53)</f>
        <v>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69"/>
      <c r="Z53" s="169"/>
      <c r="AA53" s="169"/>
      <c r="AB53" s="169"/>
      <c r="AC53" s="169"/>
      <c r="AJ53" s="155" t="s">
        <v>240</v>
      </c>
      <c r="AK53" s="155"/>
      <c r="AL53" s="155"/>
      <c r="AM53" s="155"/>
      <c r="AN53" s="155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4" t="str">
        <f>LOOKUP(BH44,HP!$I$17:$I$141,HP!$Q$17:$Q$141)</f>
        <v>NA</v>
      </c>
      <c r="BI53" s="154"/>
      <c r="BK53" s="74">
        <v>120</v>
      </c>
      <c r="BL53" s="154" t="str">
        <f>LOOKUP(BL44,HP!$I$17:$I$141,HP!$Q$17:$Q$141)</f>
        <v>NA</v>
      </c>
      <c r="BM53" s="154"/>
      <c r="BN53" s="154"/>
      <c r="BP53" s="74">
        <v>120</v>
      </c>
      <c r="BQ53" s="154" t="str">
        <f>LOOKUP(BQ44,HP!$I$17:$I$141,HP!$Q$17:$Q$141)</f>
        <v>NA</v>
      </c>
      <c r="BR53" s="154"/>
      <c r="BT53" s="214"/>
      <c r="BU53" s="214"/>
      <c r="BV53" s="214"/>
      <c r="BW53" s="214"/>
      <c r="BX53" s="214"/>
      <c r="BY53" s="214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201"/>
      <c r="CP53" s="201"/>
      <c r="CQ53" s="201"/>
      <c r="CR53" s="84"/>
      <c r="CS53" s="201"/>
      <c r="CT53" s="201"/>
      <c r="CU53" s="201"/>
      <c r="CV53" s="17"/>
      <c r="CW53" s="17"/>
      <c r="CX53" s="17"/>
      <c r="CY53" s="17"/>
      <c r="CZ53" s="17"/>
      <c r="DA53" s="17"/>
      <c r="DB53" s="102">
        <v>2</v>
      </c>
      <c r="DC53" s="154"/>
      <c r="DD53" s="154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87" t="s">
        <v>253</v>
      </c>
      <c r="Q54" s="187"/>
      <c r="R54" s="79">
        <v>0</v>
      </c>
      <c r="S54" s="141">
        <f>E10+(E10*T54)</f>
        <v>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220"/>
      <c r="Z54" s="220"/>
      <c r="AA54" s="7"/>
      <c r="AB54" s="2"/>
      <c r="AC54" s="2"/>
      <c r="AJ54" s="157" t="s">
        <v>238</v>
      </c>
      <c r="AK54" s="157"/>
      <c r="AL54" s="160"/>
      <c r="AM54" s="161"/>
      <c r="AN54" s="159"/>
      <c r="AQ54" s="88" t="s">
        <v>5452</v>
      </c>
      <c r="AR54" s="209" t="s">
        <v>0</v>
      </c>
      <c r="AS54" s="209"/>
      <c r="AT54" s="189" t="s">
        <v>181</v>
      </c>
      <c r="AU54" s="189"/>
      <c r="AV54" s="189"/>
      <c r="AW54" s="209" t="s">
        <v>182</v>
      </c>
      <c r="AX54" s="209"/>
      <c r="AY54" s="209" t="s">
        <v>181</v>
      </c>
      <c r="AZ54" s="209"/>
      <c r="BA54" s="209"/>
      <c r="BB54" s="209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4" t="str">
        <f>LOOKUP(BH44,HP!$I$17:$I$141,HP!$R$17:$R$141)</f>
        <v>NA</v>
      </c>
      <c r="BI54" s="154"/>
      <c r="BK54" s="74">
        <v>140</v>
      </c>
      <c r="BL54" s="154" t="str">
        <f>LOOKUP(BL44,HP!$I$17:$I$141,HP!$R$17:$R$141)</f>
        <v>NA</v>
      </c>
      <c r="BM54" s="154"/>
      <c r="BN54" s="154"/>
      <c r="BP54" s="74">
        <v>140</v>
      </c>
      <c r="BQ54" s="154" t="str">
        <f>LOOKUP(BQ44,HP!$I$17:$I$141,HP!$R$17:$R$141)</f>
        <v>NA</v>
      </c>
      <c r="BR54" s="154"/>
      <c r="BT54" s="214"/>
      <c r="BU54" s="214"/>
      <c r="BV54" s="214"/>
      <c r="BW54" s="214"/>
      <c r="BX54" s="214"/>
      <c r="BY54" s="214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201"/>
      <c r="CP54" s="201"/>
      <c r="CQ54" s="201"/>
      <c r="CR54" s="84"/>
      <c r="CS54" s="201"/>
      <c r="CT54" s="201"/>
      <c r="CU54" s="201"/>
      <c r="CV54" s="17"/>
      <c r="CW54" s="17"/>
      <c r="CX54" s="17"/>
      <c r="CY54" s="17"/>
      <c r="CZ54" s="17"/>
      <c r="DA54" s="17"/>
      <c r="DB54" s="102">
        <v>2</v>
      </c>
      <c r="DC54" s="154"/>
      <c r="DD54" s="154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20</v>
      </c>
      <c r="C55" s="74">
        <f>LOOKUP(C51,Tabla11[Nombre],Tabla11[Entereza])+(10*(LOOKUP($J$49,Sheet3!$L$2:$L$6,Sheet3!$M$2:$M$6)))</f>
        <v>0</v>
      </c>
      <c r="D55" s="74">
        <f>LOOKUP(C51,Tabla11[Nombre],Tabla11[Rotura])+(2*(LOOKUP($J$49,Sheet3!$L$2:$L$6,Sheet3!$M$2:$M$6)))</f>
        <v>0</v>
      </c>
      <c r="E55" s="74">
        <f>LOOKUP(C51,Tabla11[Nombre],Tabla11[Presencia])+(50*(LOOKUP($J$49,Sheet3!$L$2:$L$6,Sheet3!$M$2:$M$6)))</f>
        <v>0</v>
      </c>
      <c r="F55" s="74" t="str">
        <f>LOOKUP(C51,Tabla11[Nombre],Tabla11[Crítico 1])</f>
        <v>NA</v>
      </c>
      <c r="G55" s="74" t="str">
        <f>LOOKUP(C51,Tabla11[Nombre],Tabla11[Ctrítico 2])</f>
        <v>NA</v>
      </c>
      <c r="H55" s="74" t="str">
        <f>LOOKUP(C51,Tabla11[Nombre],Tabla11[Fuerza requerida])</f>
        <v>NA</v>
      </c>
      <c r="I55" s="74"/>
      <c r="J55" s="74">
        <v>0</v>
      </c>
      <c r="O55" s="84">
        <f>LOOKUP($C$2,Sheet3!$C$42:$V$42,Sheet3!C85:V85)</f>
        <v>2</v>
      </c>
      <c r="P55" s="187" t="s">
        <v>254</v>
      </c>
      <c r="Q55" s="187"/>
      <c r="R55" s="79">
        <v>0</v>
      </c>
      <c r="S55" s="141">
        <f>E12+(E12*T55)</f>
        <v>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7" t="s">
        <v>242</v>
      </c>
      <c r="Z55" s="157"/>
      <c r="AA55" s="157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7" t="s">
        <v>149</v>
      </c>
      <c r="AF55" s="157"/>
      <c r="AG55" s="157"/>
      <c r="AH55" s="157"/>
      <c r="AJ55" s="157" t="s">
        <v>6</v>
      </c>
      <c r="AK55" s="157"/>
      <c r="AL55" s="160"/>
      <c r="AM55" s="161"/>
      <c r="AN55" s="159"/>
      <c r="AQ55" s="210"/>
      <c r="AR55" s="211" t="s">
        <v>266</v>
      </c>
      <c r="AS55" s="211"/>
      <c r="AT55" s="212" t="str">
        <f>LOOKUP(AR55,HM!$V$15:$V$655,HM!$W$15:$W$655)</f>
        <v>No</v>
      </c>
      <c r="AU55" s="212"/>
      <c r="AV55" s="212"/>
      <c r="AW55" s="209" t="s">
        <v>2</v>
      </c>
      <c r="AX55" s="209"/>
      <c r="AY55" s="211" t="str">
        <f>LOOKUP(AR55,HM!$V$15:$V$655,HM!$AA$15:$AA$655)</f>
        <v>Nada</v>
      </c>
      <c r="AZ55" s="211"/>
      <c r="BA55" s="211"/>
      <c r="BB55" s="211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4" t="str">
        <f>LOOKUP(BH44,HP!$I$17:$I$141,HP!$S$17:$S$141)</f>
        <v>NA</v>
      </c>
      <c r="BI55" s="154"/>
      <c r="BK55" s="74">
        <v>180</v>
      </c>
      <c r="BL55" s="154" t="str">
        <f>LOOKUP(BL44,HP!$I$17:$I$141,HP!$S$17:$S$141)</f>
        <v>NA</v>
      </c>
      <c r="BM55" s="154"/>
      <c r="BN55" s="154"/>
      <c r="BP55" s="74">
        <v>180</v>
      </c>
      <c r="BQ55" s="154" t="str">
        <f>LOOKUP(BQ44,HP!$I$17:$I$141,HP!$S$17:$S$141)</f>
        <v>NA</v>
      </c>
      <c r="BR55" s="154"/>
      <c r="BT55" s="214"/>
      <c r="BU55" s="214"/>
      <c r="BV55" s="214"/>
      <c r="BW55" s="214"/>
      <c r="BX55" s="214"/>
      <c r="BY55" s="214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201"/>
      <c r="CP55" s="201"/>
      <c r="CQ55" s="201"/>
      <c r="CR55" s="84"/>
      <c r="CS55" s="201"/>
      <c r="CT55" s="201"/>
      <c r="CU55" s="201"/>
      <c r="CV55" s="17"/>
      <c r="CW55" s="17"/>
      <c r="CX55" s="17"/>
      <c r="CY55" s="17"/>
      <c r="CZ55" s="17"/>
      <c r="DA55" s="17"/>
      <c r="DB55" s="102">
        <v>2</v>
      </c>
      <c r="DC55" s="154"/>
      <c r="DD55" s="154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87" t="s">
        <v>256</v>
      </c>
      <c r="Q56" s="187"/>
      <c r="R56" s="79">
        <v>0</v>
      </c>
      <c r="S56" s="141">
        <f>E16+(E16*T56)</f>
        <v>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7" t="s">
        <v>0</v>
      </c>
      <c r="Z56" s="157"/>
      <c r="AA56" s="157" t="s">
        <v>16</v>
      </c>
      <c r="AB56" s="157"/>
      <c r="AC56" s="157"/>
      <c r="AE56" s="154"/>
      <c r="AF56" s="154"/>
      <c r="AG56" s="154"/>
      <c r="AH56" s="154"/>
      <c r="AI56" s="125"/>
      <c r="AJ56" s="162" t="s">
        <v>17</v>
      </c>
      <c r="AK56" s="162"/>
      <c r="AL56" s="74">
        <v>0</v>
      </c>
      <c r="AM56" s="96" t="s">
        <v>157</v>
      </c>
      <c r="AN56" s="74">
        <f>10*(AL56-$C$3)</f>
        <v>-10</v>
      </c>
      <c r="AQ56" s="210"/>
      <c r="AR56" s="211"/>
      <c r="AS56" s="211"/>
      <c r="AT56" s="212"/>
      <c r="AU56" s="212"/>
      <c r="AV56" s="212"/>
      <c r="AW56" s="209" t="s">
        <v>190</v>
      </c>
      <c r="AX56" s="209"/>
      <c r="AY56" s="211" t="str">
        <f>LOOKUP(AR55,HM!$V$15:$V$655,HM!$AE$15:$AE$655)</f>
        <v>Nada</v>
      </c>
      <c r="AZ56" s="211"/>
      <c r="BA56" s="211"/>
      <c r="BB56" s="211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4" t="str">
        <f>LOOKUP(BH44,HP!$I$17:$I$141,HP!$T$17:$T$141)</f>
        <v>NA</v>
      </c>
      <c r="BI56" s="154"/>
      <c r="BK56" s="74">
        <v>240</v>
      </c>
      <c r="BL56" s="154" t="str">
        <f>LOOKUP(BL44,HP!$I$17:$I$141,HP!$T$17:$T$141)</f>
        <v>NA</v>
      </c>
      <c r="BM56" s="154"/>
      <c r="BN56" s="154"/>
      <c r="BP56" s="74">
        <v>240</v>
      </c>
      <c r="BQ56" s="154" t="str">
        <f>LOOKUP(BQ44,HP!$I$17:$I$141,HP!$T$17:$T$141)</f>
        <v>NA</v>
      </c>
      <c r="BR56" s="154"/>
      <c r="BT56" s="214"/>
      <c r="BU56" s="214"/>
      <c r="BV56" s="214"/>
      <c r="BW56" s="214"/>
      <c r="BX56" s="214"/>
      <c r="BY56" s="214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201"/>
      <c r="CP56" s="201"/>
      <c r="CQ56" s="201"/>
      <c r="CR56" s="84"/>
      <c r="CS56" s="201"/>
      <c r="CT56" s="201"/>
      <c r="CU56" s="201"/>
      <c r="CV56" s="17"/>
      <c r="CW56" s="17"/>
      <c r="CX56" s="17"/>
      <c r="CY56" s="17"/>
      <c r="CZ56" s="17"/>
      <c r="DA56" s="17"/>
      <c r="DB56" s="102">
        <v>2</v>
      </c>
      <c r="DC56" s="154"/>
      <c r="DD56" s="154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/>
      <c r="C57" s="154"/>
      <c r="D57" s="154"/>
      <c r="E57" s="154"/>
      <c r="F57" s="154"/>
      <c r="G57" s="96" t="s">
        <v>169</v>
      </c>
      <c r="H57" s="154" t="str">
        <f>LOOKUP(C57,Sheet3!$AX$4:$AX$160,Sheet3!$BI$4:$BI$160)</f>
        <v>Nada</v>
      </c>
      <c r="I57" s="154"/>
      <c r="J57" s="154"/>
      <c r="O57" s="84">
        <f>LOOKUP($C$2,Sheet3!$C$42:$V$42,Sheet3!C87:V87)</f>
        <v>2</v>
      </c>
      <c r="P57" s="187" t="s">
        <v>259</v>
      </c>
      <c r="Q57" s="187"/>
      <c r="R57" s="79">
        <v>0</v>
      </c>
      <c r="S57" s="141">
        <f>E12+(E12*T57)</f>
        <v>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4" t="s">
        <v>248</v>
      </c>
      <c r="Z57" s="154"/>
      <c r="AA57" s="154" t="str">
        <f>LOOKUP(Y57,Sheet2!$AP$7:$AP$116,Sheet2!$AR$7:$AR$116)</f>
        <v>Nada</v>
      </c>
      <c r="AB57" s="154"/>
      <c r="AC57" s="154"/>
      <c r="AE57" s="154"/>
      <c r="AF57" s="154"/>
      <c r="AG57" s="154"/>
      <c r="AH57" s="154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212"/>
      <c r="AU57" s="212"/>
      <c r="AV57" s="212"/>
      <c r="AW57" s="209" t="s">
        <v>193</v>
      </c>
      <c r="AX57" s="209"/>
      <c r="AY57" s="211" t="str">
        <f>LOOKUP(AR55,HM!$V$15:$V$655,HM!$AI$15:$AI$655)</f>
        <v>Nada</v>
      </c>
      <c r="AZ57" s="211"/>
      <c r="BA57" s="211"/>
      <c r="BB57" s="211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4" t="str">
        <f>LOOKUP(BH44,HP!$I$17:$I$141,HP!$U$17:$U$141)</f>
        <v>NA</v>
      </c>
      <c r="BI57" s="154"/>
      <c r="BK57" s="74">
        <v>280</v>
      </c>
      <c r="BL57" s="154" t="str">
        <f>LOOKUP(BL44,HP!$I$17:$I$141,HP!$U$17:$U$141)</f>
        <v>NA</v>
      </c>
      <c r="BM57" s="154"/>
      <c r="BN57" s="154"/>
      <c r="BP57" s="74">
        <v>280</v>
      </c>
      <c r="BQ57" s="154" t="str">
        <f>LOOKUP(BQ44,HP!$I$17:$I$141,HP!$U$17:$U$141)</f>
        <v>NA</v>
      </c>
      <c r="BR57" s="154"/>
      <c r="BT57" s="214"/>
      <c r="BU57" s="214"/>
      <c r="BV57" s="214"/>
      <c r="BW57" s="214"/>
      <c r="BX57" s="214"/>
      <c r="BY57" s="214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201"/>
      <c r="CP57" s="201"/>
      <c r="CQ57" s="201"/>
      <c r="CR57" s="84"/>
      <c r="CS57" s="201"/>
      <c r="CT57" s="201"/>
      <c r="CU57" s="201"/>
      <c r="CV57" s="17"/>
      <c r="CW57" s="17"/>
      <c r="CX57" s="17"/>
      <c r="CY57" s="17"/>
      <c r="CZ57" s="17"/>
      <c r="DA57" s="17"/>
      <c r="DB57" s="102">
        <v>2</v>
      </c>
      <c r="DC57" s="154"/>
      <c r="DD57" s="154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7" t="s">
        <v>43</v>
      </c>
      <c r="H58" s="157"/>
      <c r="I58" s="157" t="s">
        <v>31</v>
      </c>
      <c r="J58" s="157"/>
      <c r="O58" s="76">
        <f>LOOKUP($C$2,Sheet3!$C$42:$V$42,Sheet3!C88:V88)</f>
        <v>0.5</v>
      </c>
      <c r="P58" s="189" t="s">
        <v>43</v>
      </c>
      <c r="Q58" s="189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7" t="s">
        <v>250</v>
      </c>
      <c r="Z58" s="157"/>
      <c r="AA58" s="157"/>
      <c r="AB58" s="96" t="s">
        <v>5</v>
      </c>
      <c r="AC58" s="96" t="s">
        <v>251</v>
      </c>
      <c r="AE58" s="154"/>
      <c r="AF58" s="154"/>
      <c r="AG58" s="154"/>
      <c r="AH58" s="154"/>
      <c r="AI58" s="27"/>
      <c r="AJ58" s="155" t="s">
        <v>240</v>
      </c>
      <c r="AK58" s="155"/>
      <c r="AL58" s="155"/>
      <c r="AM58" s="155"/>
      <c r="AN58" s="155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212"/>
      <c r="AU58" s="212"/>
      <c r="AV58" s="212"/>
      <c r="AW58" s="209" t="s">
        <v>196</v>
      </c>
      <c r="AX58" s="209"/>
      <c r="AY58" s="211" t="str">
        <f>LOOKUP(AR55,HM!$V$15:$V$655,HM!$AM$15:$AM$655)</f>
        <v>Nada</v>
      </c>
      <c r="AZ58" s="211"/>
      <c r="BA58" s="211"/>
      <c r="BB58" s="211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4" t="str">
        <f>LOOKUP(BH44,HP!$I$17:$I$141,HP!$V$17:$V$141)</f>
        <v>NA</v>
      </c>
      <c r="BI58" s="154"/>
      <c r="BK58" s="74">
        <v>320</v>
      </c>
      <c r="BL58" s="154" t="str">
        <f>LOOKUP(BL44,HP!$I$17:$I$141,HP!$V$17:$V$141)</f>
        <v>NA</v>
      </c>
      <c r="BM58" s="154"/>
      <c r="BN58" s="154"/>
      <c r="BP58" s="74">
        <v>320</v>
      </c>
      <c r="BQ58" s="154" t="str">
        <f>LOOKUP(BQ44,HP!$I$17:$I$141,HP!$V$17:$V$141)</f>
        <v>NA</v>
      </c>
      <c r="BR58" s="154"/>
      <c r="BS58" s="7"/>
      <c r="BT58" s="214"/>
      <c r="BU58" s="214"/>
      <c r="BV58" s="214"/>
      <c r="BW58" s="214"/>
      <c r="BX58" s="214"/>
      <c r="BY58" s="214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201"/>
      <c r="CP58" s="201"/>
      <c r="CQ58" s="201"/>
      <c r="CR58" s="84"/>
      <c r="CS58" s="201"/>
      <c r="CT58" s="201"/>
      <c r="CU58" s="201"/>
      <c r="CV58" s="17"/>
      <c r="CW58" s="17"/>
      <c r="CX58" s="17"/>
      <c r="CY58" s="17"/>
      <c r="CZ58" s="17"/>
      <c r="DA58" s="17"/>
      <c r="DB58" s="102">
        <v>2</v>
      </c>
      <c r="DC58" s="154"/>
      <c r="DD58" s="154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0</v>
      </c>
      <c r="E59" s="74">
        <f>$E$13</f>
        <v>0</v>
      </c>
      <c r="F59" s="74">
        <f>SUM(D59:E59)</f>
        <v>0</v>
      </c>
      <c r="G59" s="154" t="str">
        <f>LOOKUP(C57,Tabla11[Nombre],Tabla11[Especial])</f>
        <v>NA</v>
      </c>
      <c r="H59" s="154"/>
      <c r="I59" s="154" t="str">
        <f>LOOKUP(C57,Tabla11[Nombre],Tabla11[Tipo de arma])</f>
        <v>NA</v>
      </c>
      <c r="J59" s="154"/>
      <c r="O59" s="84">
        <v>0</v>
      </c>
      <c r="P59" s="187"/>
      <c r="Q59" s="187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4" t="str">
        <f>LOOKUP(Y57,Sheet2!$AP$7:$AP$116,Sheet2!$AQ$7:$AQ$116)</f>
        <v>Nada</v>
      </c>
      <c r="Z59" s="154"/>
      <c r="AA59" s="154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4"/>
      <c r="AF59" s="154"/>
      <c r="AG59" s="154"/>
      <c r="AH59" s="154"/>
      <c r="AI59" s="27"/>
      <c r="AJ59" s="157" t="s">
        <v>238</v>
      </c>
      <c r="AK59" s="157"/>
      <c r="AL59" s="160"/>
      <c r="AM59" s="161"/>
      <c r="AN59" s="159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4" t="str">
        <f>LOOKUP(BH44,HP!$I$17:$I$141,HP!$W$17:$W$141)</f>
        <v>NA</v>
      </c>
      <c r="BI59" s="154"/>
      <c r="BK59" s="74">
        <v>440</v>
      </c>
      <c r="BL59" s="154" t="str">
        <f>LOOKUP(BL44,HP!$I$17:$I$141,HP!$W$17:$W$141)</f>
        <v>NA</v>
      </c>
      <c r="BM59" s="154"/>
      <c r="BN59" s="154"/>
      <c r="BP59" s="74">
        <v>440</v>
      </c>
      <c r="BQ59" s="154" t="str">
        <f>LOOKUP(BQ44,HP!$I$17:$I$141,HP!$W$17:$W$141)</f>
        <v>NA</v>
      </c>
      <c r="BR59" s="154"/>
      <c r="BT59" s="214"/>
      <c r="BU59" s="214"/>
      <c r="BV59" s="214"/>
      <c r="BW59" s="214"/>
      <c r="BX59" s="214"/>
      <c r="BY59" s="214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201"/>
      <c r="CP59" s="201"/>
      <c r="CQ59" s="201"/>
      <c r="CR59" s="84"/>
      <c r="CS59" s="201"/>
      <c r="CT59" s="201"/>
      <c r="CU59" s="201"/>
      <c r="CV59" s="17"/>
      <c r="CW59" s="17"/>
      <c r="CX59" s="17"/>
      <c r="CY59" s="17"/>
      <c r="CZ59" s="17"/>
      <c r="DA59" s="17"/>
      <c r="DB59" s="102">
        <v>2</v>
      </c>
      <c r="DC59" s="154"/>
      <c r="DD59" s="154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87"/>
      <c r="Q60" s="187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7" t="s">
        <v>255</v>
      </c>
      <c r="Z60" s="157"/>
      <c r="AA60" s="157"/>
      <c r="AB60" s="157"/>
      <c r="AC60" s="157"/>
      <c r="AE60" s="154"/>
      <c r="AF60" s="154"/>
      <c r="AG60" s="154"/>
      <c r="AH60" s="154"/>
      <c r="AI60" s="2"/>
      <c r="AJ60" s="157" t="s">
        <v>6</v>
      </c>
      <c r="AK60" s="157"/>
      <c r="AL60" s="160"/>
      <c r="AM60" s="161"/>
      <c r="AN60" s="159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214"/>
      <c r="BU60" s="214"/>
      <c r="BV60" s="214"/>
      <c r="BW60" s="214"/>
      <c r="BX60" s="214"/>
      <c r="BY60" s="214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</row>
    <row r="61" spans="1:113" ht="7.35" customHeight="1" x14ac:dyDescent="0.2">
      <c r="B61" s="74">
        <f>LOOKUP(C57,Tabla11[Nombre],Tabla11[Turno])+(5*(LOOKUP($J$49,Sheet3!$L$2:$L$6,Sheet3!$M$2:$M$6)))</f>
        <v>20</v>
      </c>
      <c r="C61" s="74">
        <f>LOOKUP(C57,Tabla11[Nombre],Tabla11[Entereza])+(10*(LOOKUP($J$49,Sheet3!$L$2:$L$6,Sheet3!$M$2:$M$6)))</f>
        <v>0</v>
      </c>
      <c r="D61" s="74">
        <f>LOOKUP(C57,Tabla11[Nombre],Tabla11[Rotura])+(2*(LOOKUP($J$49,Sheet3!$L$2:$L$6,Sheet3!$M$2:$M$6)))</f>
        <v>0</v>
      </c>
      <c r="E61" s="74">
        <f>LOOKUP(C57,Tabla11[Nombre],Tabla11[Presencia])+(50*(LOOKUP($J$49,Sheet3!$L$2:$L$6,Sheet3!$M$2:$M$6)))</f>
        <v>0</v>
      </c>
      <c r="F61" s="74" t="str">
        <f>LOOKUP(C57,Tabla11[Nombre],Tabla11[Crítico 1])</f>
        <v>NA</v>
      </c>
      <c r="G61" s="74" t="str">
        <f>LOOKUP(C57,Tabla11[Nombre],Tabla11[Ctrítico 2])</f>
        <v>NA</v>
      </c>
      <c r="H61" s="74" t="str">
        <f>LOOKUP(C57,Tabla11[Nombre],Tabla11[Fuerza requerida])</f>
        <v>NA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87"/>
      <c r="Q61" s="187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69" t="str">
        <f>LOOKUP(Y57,Sheet2!$AP$7:$AP$116,Sheet2!$AT$7:$AT$116)</f>
        <v>Nada</v>
      </c>
      <c r="Z61" s="169"/>
      <c r="AA61" s="169"/>
      <c r="AB61" s="169"/>
      <c r="AC61" s="169"/>
      <c r="AE61" s="154"/>
      <c r="AF61" s="154"/>
      <c r="AG61" s="154"/>
      <c r="AH61" s="154"/>
      <c r="AJ61" s="162" t="s">
        <v>17</v>
      </c>
      <c r="AK61" s="162"/>
      <c r="AL61" s="74">
        <v>0</v>
      </c>
      <c r="AM61" s="96" t="s">
        <v>157</v>
      </c>
      <c r="AN61" s="74">
        <f>10*(AL61-$C$3)</f>
        <v>-10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7" t="s">
        <v>0</v>
      </c>
      <c r="BI61" s="157"/>
      <c r="BK61" s="96" t="s">
        <v>4517</v>
      </c>
      <c r="BL61" s="157" t="s">
        <v>0</v>
      </c>
      <c r="BM61" s="157"/>
      <c r="BN61" s="157"/>
      <c r="BP61" s="96" t="s">
        <v>4517</v>
      </c>
      <c r="BQ61" s="157" t="s">
        <v>0</v>
      </c>
      <c r="BR61" s="157"/>
      <c r="BT61" s="214"/>
      <c r="BU61" s="214"/>
      <c r="BV61" s="214"/>
      <c r="BW61" s="214"/>
      <c r="BX61" s="214"/>
      <c r="BY61" s="214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87"/>
      <c r="Q62" s="187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69"/>
      <c r="Z62" s="169"/>
      <c r="AA62" s="169"/>
      <c r="AB62" s="169"/>
      <c r="AC62" s="169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89" t="s">
        <v>181</v>
      </c>
      <c r="AT62" s="189"/>
      <c r="AU62" s="189"/>
      <c r="AV62" s="189"/>
      <c r="AW62" s="76" t="s">
        <v>17</v>
      </c>
      <c r="AX62" s="75" t="s">
        <v>5452</v>
      </c>
      <c r="AY62" s="189" t="s">
        <v>264</v>
      </c>
      <c r="AZ62" s="189"/>
      <c r="BA62" s="189" t="s">
        <v>181</v>
      </c>
      <c r="BB62" s="189"/>
      <c r="BC62" s="189"/>
      <c r="BD62" s="189"/>
      <c r="BE62" s="76" t="s">
        <v>17</v>
      </c>
      <c r="BF62" s="7"/>
      <c r="BG62" s="74"/>
      <c r="BH62" s="154"/>
      <c r="BI62" s="154"/>
      <c r="BK62" s="74"/>
      <c r="BL62" s="154"/>
      <c r="BM62" s="154"/>
      <c r="BN62" s="154"/>
      <c r="BP62" s="74"/>
      <c r="BQ62" s="154"/>
      <c r="BR62" s="154"/>
      <c r="BS62" s="24"/>
      <c r="BT62" s="214"/>
      <c r="BU62" s="214"/>
      <c r="BV62" s="214"/>
      <c r="BW62" s="214"/>
      <c r="BX62" s="214"/>
      <c r="BY62" s="214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Q62" s="155" t="s">
        <v>102</v>
      </c>
      <c r="CR62" s="155"/>
      <c r="CS62" s="155"/>
      <c r="CT62" s="155"/>
      <c r="CU62" s="155"/>
    </row>
    <row r="63" spans="1:113" ht="7.35" customHeight="1" x14ac:dyDescent="0.2">
      <c r="B63" s="96"/>
      <c r="C63" s="154"/>
      <c r="D63" s="154"/>
      <c r="E63" s="154"/>
      <c r="F63" s="154"/>
      <c r="G63" s="96" t="s">
        <v>169</v>
      </c>
      <c r="H63" s="154" t="str">
        <f>LOOKUP(C63,Sheet3!$AX$4:$AX$160,Sheet3!$BI$4:$BI$160)</f>
        <v>Nada</v>
      </c>
      <c r="I63" s="154"/>
      <c r="J63" s="154"/>
      <c r="O63" s="84">
        <f>LOOKUP($C$2,Sheet3!$C$42:$V$42,Sheet3!C93:V93)</f>
        <v>0</v>
      </c>
      <c r="P63" s="187"/>
      <c r="Q63" s="187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69"/>
      <c r="Z63" s="169"/>
      <c r="AA63" s="169"/>
      <c r="AB63" s="169"/>
      <c r="AC63" s="169"/>
      <c r="AJ63" s="155" t="s">
        <v>240</v>
      </c>
      <c r="AK63" s="155"/>
      <c r="AL63" s="155"/>
      <c r="AM63" s="155"/>
      <c r="AN63" s="155"/>
      <c r="AQ63" s="78"/>
      <c r="AR63" s="78" t="s">
        <v>266</v>
      </c>
      <c r="AS63" s="187" t="str">
        <f>LOOKUP(AR63,HM!$V$15:$V$655,HM!$W$15:$W$655)</f>
        <v>No</v>
      </c>
      <c r="AT63" s="187"/>
      <c r="AU63" s="187"/>
      <c r="AV63" s="187"/>
      <c r="AW63" s="29">
        <f>LOOKUP(AR63,HM!$V$15:$V$655,HM!$X$15:$X$655)</f>
        <v>0</v>
      </c>
      <c r="AX63" s="78"/>
      <c r="AY63" s="191" t="s">
        <v>266</v>
      </c>
      <c r="AZ63" s="193"/>
      <c r="BA63" s="191" t="str">
        <f>LOOKUP(AY63,HM!$V$15:$V$655,HM!$W$15:$W$655)</f>
        <v>No</v>
      </c>
      <c r="BB63" s="192"/>
      <c r="BC63" s="192"/>
      <c r="BD63" s="193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7" t="s">
        <v>194</v>
      </c>
      <c r="BN63" s="157"/>
      <c r="BP63" s="96" t="s">
        <v>17</v>
      </c>
      <c r="BQ63" s="96" t="s">
        <v>192</v>
      </c>
      <c r="BR63" s="96" t="s">
        <v>194</v>
      </c>
      <c r="BS63" s="24"/>
      <c r="BT63" s="214"/>
      <c r="BU63" s="214"/>
      <c r="BV63" s="214"/>
      <c r="BW63" s="214"/>
      <c r="BX63" s="214"/>
      <c r="BY63" s="214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Q63" s="157" t="s">
        <v>107</v>
      </c>
      <c r="CR63" s="157"/>
      <c r="CS63" s="157"/>
      <c r="CT63" s="157" t="s">
        <v>108</v>
      </c>
      <c r="CU63" s="157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7" t="s">
        <v>43</v>
      </c>
      <c r="H64" s="157"/>
      <c r="I64" s="157" t="s">
        <v>31</v>
      </c>
      <c r="J64" s="157"/>
      <c r="AJ64" s="157" t="s">
        <v>238</v>
      </c>
      <c r="AK64" s="157"/>
      <c r="AL64" s="160"/>
      <c r="AM64" s="161"/>
      <c r="AN64" s="159"/>
      <c r="AQ64" s="78"/>
      <c r="AR64" s="78" t="s">
        <v>266</v>
      </c>
      <c r="AS64" s="187" t="str">
        <f>LOOKUP(AR64,HM!$V$15:$V$655,HM!$W$15:$W$655)</f>
        <v>No</v>
      </c>
      <c r="AT64" s="187"/>
      <c r="AU64" s="187"/>
      <c r="AV64" s="187"/>
      <c r="AW64" s="29">
        <f>LOOKUP(AR64,HM!$V$15:$V$655,HM!$X$15:$X$655)</f>
        <v>0</v>
      </c>
      <c r="AX64" s="78"/>
      <c r="AY64" s="191" t="s">
        <v>266</v>
      </c>
      <c r="AZ64" s="193"/>
      <c r="BA64" s="191" t="str">
        <f>LOOKUP(AY64,HM!$V$15:$V$655,HM!$W$15:$W$655)</f>
        <v>No</v>
      </c>
      <c r="BB64" s="192"/>
      <c r="BC64" s="192"/>
      <c r="BD64" s="193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4" t="str">
        <f>LOOKUP(BL62,HP!$I$17:$I$141,HP!$L$17:$L$141)</f>
        <v>No</v>
      </c>
      <c r="BN64" s="154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214"/>
      <c r="BU64" s="214"/>
      <c r="BV64" s="214"/>
      <c r="BW64" s="214"/>
      <c r="BX64" s="214"/>
      <c r="BY64" s="214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Q64" s="154" t="s">
        <v>2</v>
      </c>
      <c r="CR64" s="154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0</v>
      </c>
      <c r="F65" s="74">
        <f>SUM(D65:E65)</f>
        <v>0</v>
      </c>
      <c r="G65" s="154" t="str">
        <f>LOOKUP(C63,Tabla11[Nombre],Tabla11[Especial])</f>
        <v>NA</v>
      </c>
      <c r="H65" s="154"/>
      <c r="I65" s="154" t="str">
        <f>LOOKUP(C63,Tabla11[Nombre],Tabla11[Tipo de arma])</f>
        <v>NA</v>
      </c>
      <c r="J65" s="154"/>
      <c r="N65" s="85"/>
      <c r="O65" s="157" t="s">
        <v>269</v>
      </c>
      <c r="P65" s="157"/>
      <c r="Q65" s="157"/>
      <c r="R65" s="157"/>
      <c r="S65" s="157" t="s">
        <v>255</v>
      </c>
      <c r="T65" s="157"/>
      <c r="U65" s="157"/>
      <c r="V65" s="157"/>
      <c r="W65" s="157"/>
      <c r="X65" s="7"/>
      <c r="AJ65" s="157" t="s">
        <v>6</v>
      </c>
      <c r="AK65" s="157"/>
      <c r="AL65" s="160"/>
      <c r="AM65" s="161"/>
      <c r="AN65" s="159"/>
      <c r="AQ65" s="78"/>
      <c r="AR65" s="78" t="s">
        <v>266</v>
      </c>
      <c r="AS65" s="187" t="str">
        <f>LOOKUP(AR65,HM!$V$15:$V$655,HM!$W$15:$W$655)</f>
        <v>No</v>
      </c>
      <c r="AT65" s="187"/>
      <c r="AU65" s="187"/>
      <c r="AV65" s="187"/>
      <c r="AW65" s="29">
        <f>LOOKUP(AR65,HM!$V$15:$V$655,HM!$X$15:$X$655)</f>
        <v>0</v>
      </c>
      <c r="AX65" s="78"/>
      <c r="AY65" s="191" t="s">
        <v>266</v>
      </c>
      <c r="AZ65" s="193"/>
      <c r="BA65" s="191" t="str">
        <f>LOOKUP(AY65,HM!$V$15:$V$655,HM!$W$15:$W$655)</f>
        <v>No</v>
      </c>
      <c r="BB65" s="192"/>
      <c r="BC65" s="192"/>
      <c r="BD65" s="193"/>
      <c r="BE65" s="29">
        <f>LOOKUP(AY65,HM!$V$15:$V$655,HM!$X$15:$X$655)</f>
        <v>0</v>
      </c>
      <c r="BG65" s="157" t="s">
        <v>153</v>
      </c>
      <c r="BH65" s="169" t="str">
        <f>LOOKUP(BH62,HP!$I$17:$I$141,HP!$M$17:$M$141)</f>
        <v>NA</v>
      </c>
      <c r="BI65" s="169"/>
      <c r="BK65" s="157" t="s">
        <v>153</v>
      </c>
      <c r="BL65" s="169" t="str">
        <f>LOOKUP(BL62,HP!$I$17:$I$141,HP!$M$17:$M$141)</f>
        <v>NA</v>
      </c>
      <c r="BM65" s="169"/>
      <c r="BN65" s="169"/>
      <c r="BP65" s="157" t="s">
        <v>153</v>
      </c>
      <c r="BQ65" s="169" t="str">
        <f>LOOKUP(BQ62,HP!$I$17:$I$141,HP!$M$17:$M$141)</f>
        <v>NA</v>
      </c>
      <c r="BR65" s="169"/>
      <c r="BT65" s="214"/>
      <c r="BU65" s="214"/>
      <c r="BV65" s="214"/>
      <c r="BW65" s="214"/>
      <c r="BX65" s="214"/>
      <c r="BY65" s="214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Q65" s="154" t="s">
        <v>43</v>
      </c>
      <c r="CR65" s="154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4"/>
      <c r="P66" s="154"/>
      <c r="Q66" s="154"/>
      <c r="R66" s="154"/>
      <c r="S66" s="154"/>
      <c r="T66" s="154"/>
      <c r="U66" s="154"/>
      <c r="V66" s="154"/>
      <c r="W66" s="154"/>
      <c r="Y66" s="167" t="s">
        <v>5591</v>
      </c>
      <c r="Z66" s="167"/>
      <c r="AA66" s="167"/>
      <c r="AB66" s="167"/>
      <c r="AC66" s="167"/>
      <c r="AD66" s="167"/>
      <c r="AE66" s="167"/>
      <c r="AF66" s="168"/>
      <c r="AG66" s="154">
        <f>AN70+AN77+AN84+AN91</f>
        <v>0</v>
      </c>
      <c r="AH66" s="154"/>
      <c r="AJ66" s="162" t="s">
        <v>17</v>
      </c>
      <c r="AK66" s="162"/>
      <c r="AL66" s="74">
        <v>0</v>
      </c>
      <c r="AM66" s="96" t="s">
        <v>157</v>
      </c>
      <c r="AN66" s="74">
        <f>10*(AL66-$C$3)</f>
        <v>-10</v>
      </c>
      <c r="AQ66" s="78"/>
      <c r="AR66" s="78" t="s">
        <v>266</v>
      </c>
      <c r="AS66" s="187" t="str">
        <f>LOOKUP(AR66,HM!$V$15:$V$655,HM!$W$15:$W$655)</f>
        <v>No</v>
      </c>
      <c r="AT66" s="187"/>
      <c r="AU66" s="187"/>
      <c r="AV66" s="187"/>
      <c r="AW66" s="29">
        <f>LOOKUP(AR66,HM!$V$15:$V$655,HM!$X$15:$X$655)</f>
        <v>0</v>
      </c>
      <c r="AX66" s="78"/>
      <c r="AY66" s="191" t="s">
        <v>266</v>
      </c>
      <c r="AZ66" s="193"/>
      <c r="BA66" s="191" t="str">
        <f>LOOKUP(AY66,HM!$V$15:$V$655,HM!$W$15:$W$655)</f>
        <v>No</v>
      </c>
      <c r="BB66" s="192"/>
      <c r="BC66" s="192"/>
      <c r="BD66" s="193"/>
      <c r="BE66" s="29">
        <f>LOOKUP(AY66,HM!$V$15:$V$655,HM!$X$15:$X$655)</f>
        <v>0</v>
      </c>
      <c r="BG66" s="157"/>
      <c r="BH66" s="169"/>
      <c r="BI66" s="169"/>
      <c r="BK66" s="157"/>
      <c r="BL66" s="169"/>
      <c r="BM66" s="169"/>
      <c r="BN66" s="169"/>
      <c r="BP66" s="157"/>
      <c r="BQ66" s="169"/>
      <c r="BR66" s="169"/>
      <c r="BT66" s="214"/>
      <c r="BU66" s="214"/>
      <c r="BV66" s="214"/>
      <c r="BW66" s="214"/>
      <c r="BX66" s="214"/>
      <c r="BY66" s="214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Q66" s="154" t="s">
        <v>77</v>
      </c>
      <c r="CR66" s="154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4"/>
      <c r="P67" s="154"/>
      <c r="Q67" s="154"/>
      <c r="R67" s="154"/>
      <c r="S67" s="154"/>
      <c r="T67" s="154"/>
      <c r="U67" s="154"/>
      <c r="V67" s="154"/>
      <c r="W67" s="154"/>
      <c r="Y67" s="167"/>
      <c r="Z67" s="167"/>
      <c r="AA67" s="167"/>
      <c r="AB67" s="167"/>
      <c r="AC67" s="167"/>
      <c r="AD67" s="167"/>
      <c r="AE67" s="167"/>
      <c r="AF67" s="168"/>
      <c r="AG67" s="154"/>
      <c r="AH67" s="154"/>
      <c r="AQ67" s="78"/>
      <c r="AR67" s="78" t="s">
        <v>266</v>
      </c>
      <c r="AS67" s="187" t="str">
        <f>LOOKUP(AR67,HM!$V$15:$V$655,HM!$W$15:$W$655)</f>
        <v>No</v>
      </c>
      <c r="AT67" s="187"/>
      <c r="AU67" s="187"/>
      <c r="AV67" s="187"/>
      <c r="AW67" s="29">
        <f>LOOKUP(AR67,HM!$V$15:$V$655,HM!$X$15:$X$655)</f>
        <v>0</v>
      </c>
      <c r="AX67" s="78"/>
      <c r="AY67" s="191" t="s">
        <v>266</v>
      </c>
      <c r="AZ67" s="193"/>
      <c r="BA67" s="191" t="str">
        <f>LOOKUP(AY67,HM!$V$15:$V$655,HM!$W$15:$W$655)</f>
        <v>No</v>
      </c>
      <c r="BB67" s="192"/>
      <c r="BC67" s="192"/>
      <c r="BD67" s="193"/>
      <c r="BE67" s="29">
        <f>LOOKUP(AY67,HM!$V$15:$V$655,HM!$X$15:$X$655)</f>
        <v>0</v>
      </c>
      <c r="BG67" s="157"/>
      <c r="BH67" s="169"/>
      <c r="BI67" s="169"/>
      <c r="BK67" s="157"/>
      <c r="BL67" s="169"/>
      <c r="BM67" s="169"/>
      <c r="BN67" s="169"/>
      <c r="BP67" s="157"/>
      <c r="BQ67" s="169"/>
      <c r="BR67" s="169"/>
      <c r="BT67" s="214"/>
      <c r="BU67" s="214"/>
      <c r="BV67" s="214"/>
      <c r="BW67" s="214"/>
      <c r="BX67" s="214"/>
      <c r="BY67" s="214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Q67" s="154" t="s">
        <v>5398</v>
      </c>
      <c r="CR67" s="154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4"/>
      <c r="P68" s="154"/>
      <c r="Q68" s="154"/>
      <c r="R68" s="154"/>
      <c r="S68" s="154"/>
      <c r="T68" s="154"/>
      <c r="U68" s="154"/>
      <c r="V68" s="154"/>
      <c r="W68" s="154"/>
      <c r="AQ68" s="78"/>
      <c r="AR68" s="78" t="s">
        <v>266</v>
      </c>
      <c r="AS68" s="187" t="str">
        <f>LOOKUP(AR68,HM!$V$15:$V$655,HM!$W$15:$W$655)</f>
        <v>No</v>
      </c>
      <c r="AT68" s="187"/>
      <c r="AU68" s="187"/>
      <c r="AV68" s="187"/>
      <c r="AW68" s="29">
        <f>LOOKUP(AR68,HM!$V$15:$V$655,HM!$X$15:$X$655)</f>
        <v>0</v>
      </c>
      <c r="AX68" s="78"/>
      <c r="AY68" s="191" t="s">
        <v>266</v>
      </c>
      <c r="AZ68" s="193"/>
      <c r="BA68" s="191" t="str">
        <f>LOOKUP(AY68,HM!$V$15:$V$655,HM!$W$15:$W$655)</f>
        <v>No</v>
      </c>
      <c r="BB68" s="192"/>
      <c r="BC68" s="192"/>
      <c r="BD68" s="193"/>
      <c r="BE68" s="29">
        <f>LOOKUP(AY68,HM!$V$15:$V$655,HM!$X$15:$X$655)</f>
        <v>0</v>
      </c>
      <c r="BG68" s="74">
        <v>20</v>
      </c>
      <c r="BH68" s="154" t="str">
        <f>LOOKUP(BH62,HP!$I$17:$I$141,HP!$N$17:$N$141)</f>
        <v>NA</v>
      </c>
      <c r="BI68" s="154"/>
      <c r="BK68" s="74">
        <v>20</v>
      </c>
      <c r="BL68" s="154" t="str">
        <f>LOOKUP(BL62,HP!$I$17:$I$141,HP!$N$17:$N$141)</f>
        <v>NA</v>
      </c>
      <c r="BM68" s="154"/>
      <c r="BN68" s="154"/>
      <c r="BP68" s="74">
        <v>20</v>
      </c>
      <c r="BQ68" s="154" t="str">
        <f>LOOKUP(BQ62,HP!$I$17:$I$141,HP!$N$17:$N$141)</f>
        <v>NA</v>
      </c>
      <c r="BR68" s="154"/>
      <c r="BT68" s="214"/>
      <c r="BU68" s="214"/>
      <c r="BV68" s="214"/>
      <c r="BW68" s="214"/>
      <c r="BX68" s="214"/>
      <c r="BY68" s="214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Q68" s="157" t="s">
        <v>111</v>
      </c>
      <c r="CR68" s="157"/>
      <c r="CS68" s="157"/>
      <c r="CT68" s="154">
        <f>LOOKUP(CP14,Sheet3!$J$1:$K$20)</f>
        <v>1</v>
      </c>
      <c r="CU68" s="154"/>
    </row>
    <row r="69" spans="2:99" ht="7.35" customHeight="1" x14ac:dyDescent="0.2">
      <c r="N69" s="85"/>
      <c r="O69" s="154"/>
      <c r="P69" s="154"/>
      <c r="Q69" s="154"/>
      <c r="R69" s="154"/>
      <c r="S69" s="154"/>
      <c r="T69" s="154"/>
      <c r="U69" s="154"/>
      <c r="V69" s="154"/>
      <c r="W69" s="154"/>
      <c r="Y69" s="131" t="s">
        <v>4</v>
      </c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96" t="s">
        <v>5</v>
      </c>
      <c r="AQ69" s="78"/>
      <c r="AR69" s="78" t="s">
        <v>266</v>
      </c>
      <c r="AS69" s="187" t="str">
        <f>LOOKUP(AR69,HM!$V$15:$V$655,HM!$W$15:$W$655)</f>
        <v>No</v>
      </c>
      <c r="AT69" s="187"/>
      <c r="AU69" s="187"/>
      <c r="AV69" s="187"/>
      <c r="AW69" s="29">
        <f>LOOKUP(AR69,HM!$V$15:$V$655,HM!$X$15:$X$655)</f>
        <v>0</v>
      </c>
      <c r="AX69" s="78"/>
      <c r="AY69" s="191" t="s">
        <v>266</v>
      </c>
      <c r="AZ69" s="193"/>
      <c r="BA69" s="191" t="str">
        <f>LOOKUP(AY69,HM!$V$15:$V$655,HM!$W$15:$W$655)</f>
        <v>No</v>
      </c>
      <c r="BB69" s="192"/>
      <c r="BC69" s="192"/>
      <c r="BD69" s="193"/>
      <c r="BE69" s="29">
        <f>LOOKUP(AY69,HM!$V$15:$V$655,HM!$X$15:$X$655)</f>
        <v>0</v>
      </c>
      <c r="BG69" s="74">
        <v>40</v>
      </c>
      <c r="BH69" s="154" t="str">
        <f>LOOKUP(BH62,HP!$I$17:$I$141,HP!$O$17:$O$141)</f>
        <v>NA</v>
      </c>
      <c r="BI69" s="154"/>
      <c r="BK69" s="74">
        <v>40</v>
      </c>
      <c r="BL69" s="154" t="str">
        <f>LOOKUP(BL62,HP!$I$17:$I$141,HP!$O$17:$O$141)</f>
        <v>NA</v>
      </c>
      <c r="BM69" s="154"/>
      <c r="BN69" s="154"/>
      <c r="BP69" s="74">
        <v>40</v>
      </c>
      <c r="BQ69" s="154" t="str">
        <f>LOOKUP(BQ62,HP!$I$17:$I$141,HP!$O$17:$O$141)</f>
        <v>NA</v>
      </c>
      <c r="BR69" s="154"/>
      <c r="BT69" s="214"/>
      <c r="BU69" s="214"/>
      <c r="BV69" s="214"/>
      <c r="BW69" s="214"/>
      <c r="BX69" s="214"/>
      <c r="BY69" s="214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Q69" s="157" t="s">
        <v>5392</v>
      </c>
      <c r="CR69" s="157"/>
      <c r="CS69" s="157"/>
      <c r="CT69" s="154">
        <f>CP16</f>
        <v>5</v>
      </c>
      <c r="CU69" s="154"/>
    </row>
    <row r="70" spans="2:99" ht="7.35" customHeight="1" x14ac:dyDescent="0.2">
      <c r="B70" s="157" t="s">
        <v>257</v>
      </c>
      <c r="C70" s="157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4"/>
      <c r="P70" s="154"/>
      <c r="Q70" s="154"/>
      <c r="R70" s="154"/>
      <c r="S70" s="154"/>
      <c r="T70" s="154"/>
      <c r="U70" s="154"/>
      <c r="V70" s="154"/>
      <c r="W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Q70" s="78"/>
      <c r="AR70" s="78" t="s">
        <v>266</v>
      </c>
      <c r="AS70" s="187" t="str">
        <f>LOOKUP(AR70,HM!$V$15:$V$655,HM!$W$15:$W$655)</f>
        <v>No</v>
      </c>
      <c r="AT70" s="187"/>
      <c r="AU70" s="187"/>
      <c r="AV70" s="187"/>
      <c r="AW70" s="29">
        <f>LOOKUP(AR70,HM!$V$15:$V$655,HM!$X$15:$X$655)</f>
        <v>0</v>
      </c>
      <c r="AX70" s="78"/>
      <c r="AY70" s="191" t="s">
        <v>266</v>
      </c>
      <c r="AZ70" s="193"/>
      <c r="BA70" s="191" t="str">
        <f>LOOKUP(AY70,HM!$V$15:$V$655,HM!$W$15:$W$655)</f>
        <v>No</v>
      </c>
      <c r="BB70" s="192"/>
      <c r="BC70" s="192"/>
      <c r="BD70" s="193"/>
      <c r="BE70" s="29">
        <f>LOOKUP(AY70,HM!$V$15:$V$655,HM!$X$15:$X$655)</f>
        <v>0</v>
      </c>
      <c r="BG70" s="74">
        <v>80</v>
      </c>
      <c r="BH70" s="154" t="str">
        <f>LOOKUP(BH62,HP!$I$17:$I$141,HP!$P$17:$P$141)</f>
        <v>NA</v>
      </c>
      <c r="BI70" s="154"/>
      <c r="BK70" s="74">
        <v>80</v>
      </c>
      <c r="BL70" s="154" t="str">
        <f>LOOKUP(BL62,HP!$I$17:$I$141,HP!$P$17:$P$141)</f>
        <v>NA</v>
      </c>
      <c r="BM70" s="154"/>
      <c r="BN70" s="154"/>
      <c r="BP70" s="74">
        <v>80</v>
      </c>
      <c r="BQ70" s="154" t="str">
        <f>LOOKUP(BQ62,HP!$I$17:$I$141,HP!$P$17:$P$141)</f>
        <v>NA</v>
      </c>
      <c r="BR70" s="154"/>
      <c r="BT70" s="214"/>
      <c r="BU70" s="214"/>
      <c r="BV70" s="214"/>
      <c r="BW70" s="214"/>
      <c r="BX70" s="214"/>
      <c r="BY70" s="214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Q70" s="157" t="s">
        <v>5393</v>
      </c>
      <c r="CR70" s="157"/>
      <c r="CS70" s="157"/>
      <c r="CT70" s="154" t="s">
        <v>5394</v>
      </c>
      <c r="CU70" s="154"/>
    </row>
    <row r="71" spans="2:99" ht="7.35" customHeight="1" x14ac:dyDescent="0.2">
      <c r="B71" s="157" t="s">
        <v>20</v>
      </c>
      <c r="C71" s="157"/>
      <c r="D71" s="74">
        <f>25+(C3*5)</f>
        <v>30</v>
      </c>
      <c r="E71" s="96"/>
      <c r="F71" s="96"/>
      <c r="G71" s="74"/>
      <c r="H71" s="74">
        <f t="shared" ref="H71:H76" si="8">ROUNDDOWN((SUM(D71:G71)/1),0)</f>
        <v>30</v>
      </c>
      <c r="J71" s="135"/>
      <c r="K71" s="135"/>
      <c r="L71" s="135"/>
      <c r="M71" s="135"/>
      <c r="N71" s="85"/>
      <c r="O71" s="154"/>
      <c r="P71" s="154"/>
      <c r="Q71" s="154"/>
      <c r="R71" s="154"/>
      <c r="S71" s="154"/>
      <c r="T71" s="154"/>
      <c r="U71" s="154"/>
      <c r="V71" s="154"/>
      <c r="W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Q71" s="78"/>
      <c r="AR71" s="78" t="s">
        <v>266</v>
      </c>
      <c r="AS71" s="187" t="str">
        <f>LOOKUP(AR71,HM!$V$15:$V$655,HM!$W$15:$W$655)</f>
        <v>No</v>
      </c>
      <c r="AT71" s="187"/>
      <c r="AU71" s="187"/>
      <c r="AV71" s="187"/>
      <c r="AW71" s="29">
        <f>LOOKUP(AR71,HM!$V$15:$V$655,HM!$X$15:$X$655)</f>
        <v>0</v>
      </c>
      <c r="AX71" s="78"/>
      <c r="AY71" s="191" t="s">
        <v>266</v>
      </c>
      <c r="AZ71" s="193"/>
      <c r="BA71" s="191" t="str">
        <f>LOOKUP(AY71,HM!$V$15:$V$655,HM!$W$15:$W$655)</f>
        <v>No</v>
      </c>
      <c r="BB71" s="192"/>
      <c r="BC71" s="192"/>
      <c r="BD71" s="193"/>
      <c r="BE71" s="29">
        <f>LOOKUP(AY71,HM!$V$15:$V$655,HM!$X$15:$X$655)</f>
        <v>0</v>
      </c>
      <c r="BG71" s="74">
        <v>120</v>
      </c>
      <c r="BH71" s="154" t="str">
        <f>LOOKUP(BH62,HP!$I$17:$I$141,HP!$Q$17:$Q$141)</f>
        <v>NA</v>
      </c>
      <c r="BI71" s="154"/>
      <c r="BK71" s="74">
        <v>120</v>
      </c>
      <c r="BL71" s="154" t="str">
        <f>LOOKUP(BL62,HP!$I$17:$I$141,HP!$Q$17:$Q$141)</f>
        <v>NA</v>
      </c>
      <c r="BM71" s="154"/>
      <c r="BN71" s="154"/>
      <c r="BP71" s="74">
        <v>120</v>
      </c>
      <c r="BQ71" s="154" t="str">
        <f>LOOKUP(BQ62,HP!$I$17:$I$141,HP!$Q$17:$Q$141)</f>
        <v>NA</v>
      </c>
      <c r="BR71" s="154"/>
      <c r="BT71" s="214"/>
      <c r="BU71" s="214"/>
      <c r="BV71" s="214"/>
      <c r="BW71" s="214"/>
      <c r="BX71" s="214"/>
      <c r="BY71" s="214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</row>
    <row r="72" spans="2:99" ht="7.35" customHeight="1" x14ac:dyDescent="0.2">
      <c r="B72" s="157" t="s">
        <v>260</v>
      </c>
      <c r="C72" s="157"/>
      <c r="D72" s="74">
        <f>D71</f>
        <v>30</v>
      </c>
      <c r="E72" s="74" t="s">
        <v>72</v>
      </c>
      <c r="F72" s="74">
        <f>E11</f>
        <v>0</v>
      </c>
      <c r="G72" s="74"/>
      <c r="H72" s="74">
        <f t="shared" si="8"/>
        <v>30</v>
      </c>
      <c r="J72" s="135"/>
      <c r="K72" s="135"/>
      <c r="L72" s="135"/>
      <c r="M72" s="135"/>
      <c r="N72" s="85"/>
      <c r="O72" s="154"/>
      <c r="P72" s="154"/>
      <c r="Q72" s="154"/>
      <c r="R72" s="154"/>
      <c r="S72" s="154"/>
      <c r="T72" s="154"/>
      <c r="U72" s="154"/>
      <c r="V72" s="154"/>
      <c r="W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4"/>
      <c r="AQ72" s="78"/>
      <c r="AR72" s="78" t="s">
        <v>266</v>
      </c>
      <c r="AS72" s="187" t="str">
        <f>LOOKUP(AR72,HM!$V$15:$V$655,HM!$W$15:$W$655)</f>
        <v>No</v>
      </c>
      <c r="AT72" s="187"/>
      <c r="AU72" s="187"/>
      <c r="AV72" s="187"/>
      <c r="AW72" s="29">
        <f>LOOKUP(AR72,HM!$V$15:$V$655,HM!$X$15:$X$655)</f>
        <v>0</v>
      </c>
      <c r="AX72" s="78"/>
      <c r="AY72" s="191" t="s">
        <v>266</v>
      </c>
      <c r="AZ72" s="193"/>
      <c r="BA72" s="191" t="str">
        <f>LOOKUP(AY72,HM!$V$15:$V$655,HM!$W$15:$W$655)</f>
        <v>No</v>
      </c>
      <c r="BB72" s="192"/>
      <c r="BC72" s="192"/>
      <c r="BD72" s="193"/>
      <c r="BE72" s="29">
        <f>LOOKUP(AY72,HM!$V$15:$V$655,HM!$X$15:$X$655)</f>
        <v>0</v>
      </c>
      <c r="BG72" s="74">
        <v>140</v>
      </c>
      <c r="BH72" s="154" t="str">
        <f>LOOKUP(BH62,HP!$I$17:$I$141,HP!$R$17:$R$141)</f>
        <v>NA</v>
      </c>
      <c r="BI72" s="154"/>
      <c r="BK72" s="74">
        <v>140</v>
      </c>
      <c r="BL72" s="154" t="str">
        <f>LOOKUP(BL62,HP!$I$17:$I$141,HP!$R$17:$R$141)</f>
        <v>NA</v>
      </c>
      <c r="BM72" s="154"/>
      <c r="BN72" s="154"/>
      <c r="BP72" s="74">
        <v>140</v>
      </c>
      <c r="BQ72" s="154" t="str">
        <f>LOOKUP(BQ62,HP!$I$17:$I$141,HP!$R$17:$R$141)</f>
        <v>NA</v>
      </c>
      <c r="BR72" s="154"/>
      <c r="BT72" s="214"/>
      <c r="BU72" s="214"/>
      <c r="BV72" s="214"/>
      <c r="BW72" s="214"/>
      <c r="BX72" s="214"/>
      <c r="BY72" s="214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Q72" s="157" t="s">
        <v>111</v>
      </c>
      <c r="CR72" s="157"/>
      <c r="CS72" s="157"/>
      <c r="CT72" s="157"/>
      <c r="CU72" s="157"/>
    </row>
    <row r="73" spans="2:99" ht="7.35" customHeight="1" x14ac:dyDescent="0.2">
      <c r="B73" s="157" t="s">
        <v>261</v>
      </c>
      <c r="C73" s="157"/>
      <c r="D73" s="74">
        <f>D71</f>
        <v>30</v>
      </c>
      <c r="E73" s="74" t="s">
        <v>72</v>
      </c>
      <c r="F73" s="74">
        <f>E11</f>
        <v>0</v>
      </c>
      <c r="G73" s="74"/>
      <c r="H73" s="74">
        <f t="shared" si="8"/>
        <v>30</v>
      </c>
      <c r="J73" s="135"/>
      <c r="K73" s="135"/>
      <c r="L73" s="135"/>
      <c r="M73" s="135"/>
      <c r="N73" s="85"/>
      <c r="O73" s="154"/>
      <c r="P73" s="154"/>
      <c r="Q73" s="154"/>
      <c r="R73" s="154"/>
      <c r="S73" s="154"/>
      <c r="T73" s="154"/>
      <c r="U73" s="154"/>
      <c r="V73" s="154"/>
      <c r="W73" s="154"/>
      <c r="Y73" s="156" t="s">
        <v>5593</v>
      </c>
      <c r="Z73" s="156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7" t="s">
        <v>65</v>
      </c>
      <c r="AH73" s="157"/>
      <c r="AI73" s="2"/>
      <c r="AJ73" s="2"/>
      <c r="AK73" s="156" t="s">
        <v>17</v>
      </c>
      <c r="AL73" s="156"/>
      <c r="AM73" s="158" t="s">
        <v>5592</v>
      </c>
      <c r="AN73" s="157"/>
      <c r="AQ73" s="78"/>
      <c r="AR73" s="78" t="s">
        <v>266</v>
      </c>
      <c r="AS73" s="187" t="str">
        <f>LOOKUP(AR73,HM!$V$15:$V$655,HM!$W$15:$W$655)</f>
        <v>No</v>
      </c>
      <c r="AT73" s="187"/>
      <c r="AU73" s="187"/>
      <c r="AV73" s="187"/>
      <c r="AW73" s="29">
        <f>LOOKUP(AR73,HM!$V$15:$V$655,HM!$X$15:$X$655)</f>
        <v>0</v>
      </c>
      <c r="AX73" s="78"/>
      <c r="AY73" s="191" t="s">
        <v>266</v>
      </c>
      <c r="AZ73" s="193"/>
      <c r="BA73" s="191" t="str">
        <f>LOOKUP(AY73,HM!$V$15:$V$655,HM!$W$15:$W$655)</f>
        <v>No</v>
      </c>
      <c r="BB73" s="192"/>
      <c r="BC73" s="192"/>
      <c r="BD73" s="193"/>
      <c r="BE73" s="29">
        <f>LOOKUP(AY73,HM!$V$15:$V$655,HM!$X$15:$X$655)</f>
        <v>0</v>
      </c>
      <c r="BG73" s="74">
        <v>180</v>
      </c>
      <c r="BH73" s="154" t="str">
        <f>LOOKUP(BH62,HP!$I$17:$I$141,HP!$S$17:$S$141)</f>
        <v>NA</v>
      </c>
      <c r="BI73" s="154"/>
      <c r="BK73" s="74">
        <v>180</v>
      </c>
      <c r="BL73" s="154" t="str">
        <f>LOOKUP(BL62,HP!$I$17:$I$141,HP!$S$17:$S$141)</f>
        <v>NA</v>
      </c>
      <c r="BM73" s="154"/>
      <c r="BN73" s="154"/>
      <c r="BP73" s="74">
        <v>180</v>
      </c>
      <c r="BQ73" s="154" t="str">
        <f>LOOKUP(BQ62,HP!$I$17:$I$141,HP!$S$17:$S$141)</f>
        <v>NA</v>
      </c>
      <c r="BR73" s="154"/>
      <c r="BT73" s="214"/>
      <c r="BU73" s="214"/>
      <c r="BV73" s="214"/>
      <c r="BW73" s="214"/>
      <c r="BX73" s="214"/>
      <c r="BY73" s="214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Q73" s="154" t="s">
        <v>5391</v>
      </c>
      <c r="CR73" s="154"/>
      <c r="CS73" s="154"/>
      <c r="CT73" s="154"/>
      <c r="CU73" s="100">
        <f>LOOKUP(CT68,Sheet3!$B$173:$B$192,Sheet3!$C$173:$C$192)</f>
        <v>10</v>
      </c>
    </row>
    <row r="74" spans="2:99" ht="7.35" customHeight="1" x14ac:dyDescent="0.2">
      <c r="B74" s="157" t="s">
        <v>262</v>
      </c>
      <c r="C74" s="157"/>
      <c r="D74" s="74">
        <f>D71</f>
        <v>30</v>
      </c>
      <c r="E74" s="74" t="s">
        <v>72</v>
      </c>
      <c r="F74" s="74">
        <f>E11</f>
        <v>0</v>
      </c>
      <c r="G74" s="74"/>
      <c r="H74" s="74">
        <f t="shared" si="8"/>
        <v>30</v>
      </c>
      <c r="J74" s="135"/>
      <c r="K74" s="135"/>
      <c r="L74" s="135"/>
      <c r="M74" s="135"/>
      <c r="N74" s="85"/>
      <c r="Y74" s="157"/>
      <c r="Z74" s="157"/>
      <c r="AA74" s="74"/>
      <c r="AB74" s="74"/>
      <c r="AC74" s="74"/>
      <c r="AD74" s="74"/>
      <c r="AE74" s="74"/>
      <c r="AF74" s="121"/>
      <c r="AG74" s="154"/>
      <c r="AH74" s="154"/>
      <c r="AI74" s="2"/>
      <c r="AJ74" s="2"/>
      <c r="AK74" s="154"/>
      <c r="AL74" s="154"/>
      <c r="AM74" s="159"/>
      <c r="AN74" s="154"/>
      <c r="AQ74" s="78"/>
      <c r="AR74" s="78" t="s">
        <v>266</v>
      </c>
      <c r="AS74" s="187" t="str">
        <f>LOOKUP(AR74,HM!$V$15:$V$655,HM!$W$15:$W$655)</f>
        <v>No</v>
      </c>
      <c r="AT74" s="187"/>
      <c r="AU74" s="187"/>
      <c r="AV74" s="187"/>
      <c r="AW74" s="29">
        <f>LOOKUP(AR74,HM!$V$15:$V$655,HM!$X$15:$X$655)</f>
        <v>0</v>
      </c>
      <c r="AX74" s="78"/>
      <c r="AY74" s="191" t="s">
        <v>266</v>
      </c>
      <c r="AZ74" s="193"/>
      <c r="BA74" s="191" t="str">
        <f>LOOKUP(AY74,HM!$V$15:$V$655,HM!$W$15:$W$655)</f>
        <v>No</v>
      </c>
      <c r="BB74" s="192"/>
      <c r="BC74" s="192"/>
      <c r="BD74" s="193"/>
      <c r="BE74" s="29">
        <f>LOOKUP(AY74,HM!$V$15:$V$655,HM!$X$15:$X$655)</f>
        <v>0</v>
      </c>
      <c r="BG74" s="74">
        <v>240</v>
      </c>
      <c r="BH74" s="154" t="str">
        <f>LOOKUP(BH62,HP!$I$17:$I$141,HP!$T$17:$T$141)</f>
        <v>NA</v>
      </c>
      <c r="BI74" s="154"/>
      <c r="BK74" s="74">
        <v>240</v>
      </c>
      <c r="BL74" s="154" t="str">
        <f>LOOKUP(BL62,HP!$I$17:$I$141,HP!$T$17:$T$141)</f>
        <v>NA</v>
      </c>
      <c r="BM74" s="154"/>
      <c r="BN74" s="154"/>
      <c r="BP74" s="74">
        <v>240</v>
      </c>
      <c r="BQ74" s="154" t="str">
        <f>LOOKUP(BQ62,HP!$I$17:$I$141,HP!$T$17:$T$141)</f>
        <v>NA</v>
      </c>
      <c r="BR74" s="154"/>
      <c r="BT74" s="214"/>
      <c r="BU74" s="214"/>
      <c r="BV74" s="214"/>
      <c r="BW74" s="214"/>
      <c r="BX74" s="214"/>
      <c r="BY74" s="214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Q74" s="154" t="s">
        <v>206</v>
      </c>
      <c r="CR74" s="154"/>
      <c r="CS74" s="154"/>
      <c r="CT74" s="154"/>
      <c r="CU74" s="100">
        <f>LOOKUP(CT68,Sheet3!$B$173:$B$192,Sheet3!$D$173:$D$192)</f>
        <v>5</v>
      </c>
    </row>
    <row r="75" spans="2:99" ht="7.35" customHeight="1" x14ac:dyDescent="0.2">
      <c r="B75" s="157" t="s">
        <v>263</v>
      </c>
      <c r="C75" s="157"/>
      <c r="D75" s="74">
        <f>D71</f>
        <v>30</v>
      </c>
      <c r="E75" s="74" t="s">
        <v>63</v>
      </c>
      <c r="F75" s="74">
        <f>E16</f>
        <v>0</v>
      </c>
      <c r="G75" s="74"/>
      <c r="H75" s="74">
        <f t="shared" si="8"/>
        <v>30</v>
      </c>
      <c r="J75" s="135"/>
      <c r="K75" s="135"/>
      <c r="L75" s="135"/>
      <c r="M75" s="135"/>
      <c r="N75" s="85"/>
      <c r="O75" s="157" t="s">
        <v>281</v>
      </c>
      <c r="P75" s="157"/>
      <c r="Q75" s="157"/>
      <c r="R75" s="157"/>
      <c r="S75" s="157"/>
      <c r="T75" s="157"/>
      <c r="U75" s="140"/>
      <c r="V75" s="154"/>
      <c r="W75" s="154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87" t="str">
        <f>LOOKUP(AR75,HM!$V$15:$V$655,HM!$W$15:$W$655)</f>
        <v>No</v>
      </c>
      <c r="AT75" s="187"/>
      <c r="AU75" s="187"/>
      <c r="AV75" s="187"/>
      <c r="AW75" s="29">
        <f>LOOKUP(AR75,HM!$V$15:$V$655,HM!$X$15:$X$655)</f>
        <v>0</v>
      </c>
      <c r="AX75" s="78"/>
      <c r="AY75" s="191" t="s">
        <v>266</v>
      </c>
      <c r="AZ75" s="193"/>
      <c r="BA75" s="191" t="str">
        <f>LOOKUP(AY75,HM!$V$15:$V$655,HM!$W$15:$W$655)</f>
        <v>No</v>
      </c>
      <c r="BB75" s="192"/>
      <c r="BC75" s="192"/>
      <c r="BD75" s="193"/>
      <c r="BE75" s="29">
        <f>LOOKUP(AY75,HM!$V$15:$V$655,HM!$X$15:$X$655)</f>
        <v>0</v>
      </c>
      <c r="BG75" s="74">
        <v>280</v>
      </c>
      <c r="BH75" s="154" t="str">
        <f>LOOKUP(BH62,HP!$I$17:$I$141,HP!$U$17:$U$141)</f>
        <v>NA</v>
      </c>
      <c r="BI75" s="154"/>
      <c r="BK75" s="74">
        <v>280</v>
      </c>
      <c r="BL75" s="154" t="str">
        <f>LOOKUP(BL62,HP!$I$17:$I$141,HP!$U$17:$U$141)</f>
        <v>NA</v>
      </c>
      <c r="BM75" s="154"/>
      <c r="BN75" s="154"/>
      <c r="BP75" s="74">
        <v>280</v>
      </c>
      <c r="BQ75" s="154" t="str">
        <f>LOOKUP(BQ62,HP!$I$17:$I$141,HP!$U$17:$U$141)</f>
        <v>NA</v>
      </c>
      <c r="BR75" s="154"/>
      <c r="BS75" s="7"/>
      <c r="BT75" s="214"/>
      <c r="BU75" s="214"/>
      <c r="BV75" s="214"/>
      <c r="BW75" s="214"/>
      <c r="BX75" s="214"/>
      <c r="BY75" s="214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Q75" s="154" t="s">
        <v>209</v>
      </c>
      <c r="CR75" s="154"/>
      <c r="CS75" s="154"/>
      <c r="CT75" s="154"/>
      <c r="CU75" s="100">
        <f>LOOKUP(CT68,Sheet3!$B$173:$B$192,Sheet3!$E$173:$E$192)</f>
        <v>-5</v>
      </c>
    </row>
    <row r="76" spans="2:99" ht="7.35" customHeight="1" x14ac:dyDescent="0.2">
      <c r="B76" s="157" t="s">
        <v>265</v>
      </c>
      <c r="C76" s="157"/>
      <c r="D76" s="74">
        <f>D71</f>
        <v>30</v>
      </c>
      <c r="E76" s="74" t="s">
        <v>64</v>
      </c>
      <c r="F76" s="74">
        <f>E17</f>
        <v>0</v>
      </c>
      <c r="G76" s="74"/>
      <c r="H76" s="74">
        <f t="shared" si="8"/>
        <v>30</v>
      </c>
      <c r="J76" s="135"/>
      <c r="K76" s="135"/>
      <c r="L76" s="135"/>
      <c r="M76" s="135"/>
      <c r="N76" s="85"/>
      <c r="O76" s="154" t="s">
        <v>276</v>
      </c>
      <c r="P76" s="154"/>
      <c r="Q76" s="74" t="s">
        <v>32</v>
      </c>
      <c r="R76" s="74" t="s">
        <v>258</v>
      </c>
      <c r="S76" s="74" t="s">
        <v>16</v>
      </c>
      <c r="T76" s="74" t="s">
        <v>2</v>
      </c>
      <c r="U76" s="160" t="s">
        <v>27</v>
      </c>
      <c r="V76" s="159"/>
      <c r="W76" s="74" t="s">
        <v>77</v>
      </c>
      <c r="Y76" s="131" t="s">
        <v>4</v>
      </c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96" t="s">
        <v>5</v>
      </c>
      <c r="AQ76" s="78"/>
      <c r="AR76" s="78" t="s">
        <v>266</v>
      </c>
      <c r="AS76" s="187" t="str">
        <f>LOOKUP(AR76,HM!$V$15:$V$655,HM!$W$15:$W$655)</f>
        <v>No</v>
      </c>
      <c r="AT76" s="187"/>
      <c r="AU76" s="187"/>
      <c r="AV76" s="187"/>
      <c r="AW76" s="29">
        <f>LOOKUP(AR76,HM!$V$15:$V$655,HM!$X$15:$X$655)</f>
        <v>0</v>
      </c>
      <c r="AX76" s="78"/>
      <c r="AY76" s="191" t="s">
        <v>266</v>
      </c>
      <c r="AZ76" s="193"/>
      <c r="BA76" s="191" t="str">
        <f>LOOKUP(AY76,HM!$V$15:$V$655,HM!$W$15:$W$655)</f>
        <v>No</v>
      </c>
      <c r="BB76" s="192"/>
      <c r="BC76" s="192"/>
      <c r="BD76" s="193"/>
      <c r="BE76" s="29">
        <f>LOOKUP(AY76,HM!$V$15:$V$655,HM!$X$15:$X$655)</f>
        <v>0</v>
      </c>
      <c r="BG76" s="74">
        <v>320</v>
      </c>
      <c r="BH76" s="154" t="str">
        <f>LOOKUP(BH62,HP!$I$17:$I$141,HP!$V$17:$V$141)</f>
        <v>NA</v>
      </c>
      <c r="BI76" s="154"/>
      <c r="BK76" s="74">
        <v>320</v>
      </c>
      <c r="BL76" s="154" t="str">
        <f>LOOKUP(BL62,HP!$I$17:$I$141,HP!$V$17:$V$141)</f>
        <v>NA</v>
      </c>
      <c r="BM76" s="154"/>
      <c r="BN76" s="154"/>
      <c r="BP76" s="74">
        <v>320</v>
      </c>
      <c r="BQ76" s="154" t="str">
        <f>LOOKUP(BQ62,HP!$I$17:$I$141,HP!$V$17:$V$141)</f>
        <v>NA</v>
      </c>
      <c r="BR76" s="154"/>
      <c r="BT76" s="214"/>
      <c r="BU76" s="214"/>
      <c r="BV76" s="214"/>
      <c r="BW76" s="214"/>
      <c r="BX76" s="214"/>
      <c r="BY76" s="214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Q76" s="157" t="s">
        <v>108</v>
      </c>
      <c r="CR76" s="157"/>
      <c r="CS76" s="157"/>
      <c r="CT76" s="157"/>
      <c r="CU76" s="157"/>
    </row>
    <row r="77" spans="2:99" ht="7.35" customHeight="1" x14ac:dyDescent="0.2">
      <c r="N77" s="85"/>
      <c r="O77" s="154" t="s">
        <v>284</v>
      </c>
      <c r="P77" s="154"/>
      <c r="Q77" s="74">
        <f>LOOKUP($C$2,Sheet3!$C$100:$V$100,Sheet3!$C$161:$V$161)</f>
        <v>2</v>
      </c>
      <c r="R77" s="74" t="s">
        <v>63</v>
      </c>
      <c r="S77" s="74">
        <f>$E$16</f>
        <v>0</v>
      </c>
      <c r="T77" s="74">
        <v>0</v>
      </c>
      <c r="U77" s="160">
        <f>(LOOKUP($C$2,Sheet3!$C$100:$V$100,Sheet3!C150:V150))*$C$3</f>
        <v>0</v>
      </c>
      <c r="V77" s="159"/>
      <c r="W77" s="74">
        <f>SUM(S77:U77)</f>
        <v>0</v>
      </c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Q77" s="78"/>
      <c r="AR77" s="78" t="s">
        <v>266</v>
      </c>
      <c r="AS77" s="187" t="str">
        <f>LOOKUP(AR77,HM!$V$15:$V$655,HM!$W$15:$W$655)</f>
        <v>No</v>
      </c>
      <c r="AT77" s="187"/>
      <c r="AU77" s="187"/>
      <c r="AV77" s="187"/>
      <c r="AW77" s="29">
        <f>LOOKUP(AR77,HM!$V$15:$V$655,HM!$X$15:$X$655)</f>
        <v>0</v>
      </c>
      <c r="AX77" s="78"/>
      <c r="AY77" s="191" t="s">
        <v>266</v>
      </c>
      <c r="AZ77" s="193"/>
      <c r="BA77" s="191" t="str">
        <f>LOOKUP(AY77,HM!$V$15:$V$655,HM!$W$15:$W$655)</f>
        <v>No</v>
      </c>
      <c r="BB77" s="192"/>
      <c r="BC77" s="192"/>
      <c r="BD77" s="193"/>
      <c r="BE77" s="29">
        <f>LOOKUP(AY77,HM!$V$15:$V$655,HM!$X$15:$X$655)</f>
        <v>0</v>
      </c>
      <c r="BG77" s="74">
        <v>440</v>
      </c>
      <c r="BH77" s="154" t="str">
        <f>LOOKUP(BH62,HP!$I$17:$I$141,HP!$W$17:$W$141)</f>
        <v>NA</v>
      </c>
      <c r="BI77" s="154"/>
      <c r="BK77" s="74">
        <v>440</v>
      </c>
      <c r="BL77" s="154" t="str">
        <f>LOOKUP(BL62,HP!$I$17:$I$141,HP!$W$17:$W$141)</f>
        <v>NA</v>
      </c>
      <c r="BM77" s="154"/>
      <c r="BN77" s="154"/>
      <c r="BP77" s="74">
        <v>440</v>
      </c>
      <c r="BQ77" s="154" t="str">
        <f>LOOKUP(BQ62,HP!$I$17:$I$141,HP!$W$17:$W$141)</f>
        <v>NA</v>
      </c>
      <c r="BR77" s="154"/>
      <c r="BS77" s="7"/>
      <c r="BT77" s="214"/>
      <c r="BU77" s="214"/>
      <c r="BV77" s="214"/>
      <c r="BW77" s="214"/>
      <c r="BX77" s="214"/>
      <c r="BY77" s="214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Q77" s="154" t="s">
        <v>5326</v>
      </c>
      <c r="CR77" s="154"/>
      <c r="CS77" s="154"/>
      <c r="CT77" s="154"/>
      <c r="CU77" s="100" t="str">
        <f>LOOKUP(CU67,Sheet3!$D$262:$D$281,Sheet3!$F$262:$F$281)</f>
        <v>20m</v>
      </c>
    </row>
    <row r="78" spans="2:99" ht="7.35" customHeight="1" x14ac:dyDescent="0.2">
      <c r="N78" s="85"/>
      <c r="O78" s="154" t="s">
        <v>285</v>
      </c>
      <c r="P78" s="154"/>
      <c r="Q78" s="74">
        <f>LOOKUP($C$2,Sheet3!$C$100:$V$100,Sheet3!$C$162:$V$162)</f>
        <v>2</v>
      </c>
      <c r="R78" s="74" t="s">
        <v>64</v>
      </c>
      <c r="S78" s="74">
        <f>$E$17</f>
        <v>0</v>
      </c>
      <c r="T78" s="74">
        <v>0</v>
      </c>
      <c r="U78" s="160">
        <f>(LOOKUP($C$2,Sheet3!$C$100:$V$100,Sheet3!C151:V151))*$C$3</f>
        <v>0</v>
      </c>
      <c r="V78" s="159"/>
      <c r="W78" s="74">
        <f>SUM(S78:U78)</f>
        <v>0</v>
      </c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Q78" s="78"/>
      <c r="AR78" s="78" t="s">
        <v>266</v>
      </c>
      <c r="AS78" s="187" t="str">
        <f>LOOKUP(AR78,HM!$V$15:$V$655,HM!$W$15:$W$655)</f>
        <v>No</v>
      </c>
      <c r="AT78" s="187"/>
      <c r="AU78" s="187"/>
      <c r="AV78" s="187"/>
      <c r="AW78" s="29">
        <f>LOOKUP(AR78,HM!$V$15:$V$655,HM!$X$15:$X$655)</f>
        <v>0</v>
      </c>
      <c r="AX78" s="78"/>
      <c r="AY78" s="191" t="s">
        <v>266</v>
      </c>
      <c r="AZ78" s="193"/>
      <c r="BA78" s="191" t="str">
        <f>LOOKUP(AY78,HM!$V$15:$V$655,HM!$W$15:$W$655)</f>
        <v>No</v>
      </c>
      <c r="BB78" s="192"/>
      <c r="BC78" s="192"/>
      <c r="BD78" s="193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214"/>
      <c r="BU78" s="214"/>
      <c r="BV78" s="214"/>
      <c r="BW78" s="214"/>
      <c r="BX78" s="214"/>
      <c r="BY78" s="214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Q78" s="154" t="s">
        <v>5354</v>
      </c>
      <c r="CR78" s="154"/>
      <c r="CS78" s="154"/>
      <c r="CT78" s="154"/>
      <c r="CU78" s="100" t="str">
        <f>LOOKUP(CU67,Sheet3!$D$262:$D$281,Sheet3!$I$262:$I$281)</f>
        <v>4m</v>
      </c>
    </row>
    <row r="79" spans="2:99" ht="7.35" customHeight="1" x14ac:dyDescent="0.2">
      <c r="B79" s="157" t="s">
        <v>268</v>
      </c>
      <c r="C79" s="157"/>
      <c r="D79" s="157"/>
      <c r="E79" s="157"/>
      <c r="F79" s="157"/>
      <c r="G79" s="157"/>
      <c r="H79" s="157"/>
      <c r="I79" s="157"/>
      <c r="N79" s="85"/>
      <c r="O79" s="154" t="s">
        <v>287</v>
      </c>
      <c r="P79" s="154"/>
      <c r="Q79" s="74">
        <f>LOOKUP($C$2,Sheet3!$C$100:$V$100,Sheet3!$C$163:$V$163)</f>
        <v>2</v>
      </c>
      <c r="R79" s="74" t="s">
        <v>63</v>
      </c>
      <c r="S79" s="74">
        <f>$E$16</f>
        <v>0</v>
      </c>
      <c r="T79" s="74">
        <v>0</v>
      </c>
      <c r="U79" s="160">
        <f>(LOOKUP($C$2,Sheet3!$C$100:$V$100,Sheet3!C152:V152))*$C$3</f>
        <v>0</v>
      </c>
      <c r="V79" s="159"/>
      <c r="W79" s="74">
        <f>SUM(S79:U79)</f>
        <v>0</v>
      </c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Q79" s="78"/>
      <c r="AR79" s="78" t="s">
        <v>266</v>
      </c>
      <c r="AS79" s="187" t="str">
        <f>LOOKUP(AR79,HM!$V$15:$V$655,HM!$W$15:$W$655)</f>
        <v>No</v>
      </c>
      <c r="AT79" s="187"/>
      <c r="AU79" s="187"/>
      <c r="AV79" s="187"/>
      <c r="AW79" s="29">
        <f>LOOKUP(AR79,HM!$V$15:$V$655,HM!$X$15:$X$655)</f>
        <v>0</v>
      </c>
      <c r="AX79" s="78"/>
      <c r="AY79" s="191" t="s">
        <v>266</v>
      </c>
      <c r="AZ79" s="193"/>
      <c r="BA79" s="191" t="str">
        <f>LOOKUP(AY79,HM!$V$15:$V$655,HM!$W$15:$W$655)</f>
        <v>No</v>
      </c>
      <c r="BB79" s="192"/>
      <c r="BC79" s="192"/>
      <c r="BD79" s="193"/>
      <c r="BE79" s="29">
        <f>LOOKUP(AY79,HM!$V$15:$V$655,HM!$X$15:$X$655)</f>
        <v>0</v>
      </c>
      <c r="BG79" s="96" t="s">
        <v>4517</v>
      </c>
      <c r="BH79" s="157" t="s">
        <v>0</v>
      </c>
      <c r="BI79" s="157"/>
      <c r="BK79" s="96" t="s">
        <v>4517</v>
      </c>
      <c r="BL79" s="157" t="s">
        <v>0</v>
      </c>
      <c r="BM79" s="157"/>
      <c r="BN79" s="157"/>
      <c r="BP79" s="96" t="s">
        <v>4517</v>
      </c>
      <c r="BQ79" s="157" t="s">
        <v>0</v>
      </c>
      <c r="BR79" s="157"/>
      <c r="BS79" s="24"/>
      <c r="BT79" s="214"/>
      <c r="BU79" s="214"/>
      <c r="BV79" s="214"/>
      <c r="BW79" s="214"/>
      <c r="BX79" s="214"/>
      <c r="BY79" s="214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Q79" s="154" t="s">
        <v>5327</v>
      </c>
      <c r="CR79" s="154"/>
      <c r="CS79" s="154"/>
      <c r="CT79" s="154"/>
      <c r="CU79" s="100" t="str">
        <f>LOOKUP(CU67,Sheet3!$D$262:$D$281,Sheet3!$G$262:$G$281)</f>
        <v>nada</v>
      </c>
    </row>
    <row r="80" spans="2:99" ht="7.35" customHeight="1" x14ac:dyDescent="0.2">
      <c r="B80" s="154" t="s">
        <v>0</v>
      </c>
      <c r="C80" s="154"/>
      <c r="D80" s="74" t="s">
        <v>168</v>
      </c>
      <c r="E80" s="154" t="s">
        <v>270</v>
      </c>
      <c r="F80" s="154"/>
      <c r="G80" s="154"/>
      <c r="H80" s="154"/>
      <c r="I80" s="154"/>
      <c r="N80" s="85"/>
      <c r="O80" s="206" t="s">
        <v>288</v>
      </c>
      <c r="P80" s="206"/>
      <c r="Q80" s="74">
        <f>LOOKUP($C$2,Sheet3!$C$100:$V$100,Sheet3!$C$164:$V$164)</f>
        <v>2</v>
      </c>
      <c r="R80" s="74" t="s">
        <v>63</v>
      </c>
      <c r="S80" s="74">
        <f>$E$16</f>
        <v>0</v>
      </c>
      <c r="T80" s="74">
        <v>0</v>
      </c>
      <c r="U80" s="160">
        <f>(LOOKUP($C$2,Sheet3!$C$100:$V$100,Sheet3!C153:V153))*$C$3</f>
        <v>0</v>
      </c>
      <c r="V80" s="159"/>
      <c r="W80" s="74">
        <f>SUM(S80:U80)</f>
        <v>0</v>
      </c>
      <c r="Y80" s="156" t="s">
        <v>5593</v>
      </c>
      <c r="Z80" s="156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7" t="s">
        <v>65</v>
      </c>
      <c r="AH80" s="157"/>
      <c r="AI80" s="2"/>
      <c r="AJ80" s="2"/>
      <c r="AK80" s="156" t="s">
        <v>17</v>
      </c>
      <c r="AL80" s="156"/>
      <c r="AM80" s="158" t="s">
        <v>5592</v>
      </c>
      <c r="AN80" s="157"/>
      <c r="AQ80" s="78"/>
      <c r="AR80" s="78" t="s">
        <v>266</v>
      </c>
      <c r="AS80" s="187" t="str">
        <f>LOOKUP(AR80,HM!$V$15:$V$655,HM!$W$15:$W$655)</f>
        <v>No</v>
      </c>
      <c r="AT80" s="187"/>
      <c r="AU80" s="187"/>
      <c r="AV80" s="187"/>
      <c r="AW80" s="29">
        <f>LOOKUP(AR80,HM!$V$15:$V$655,HM!$X$15:$X$655)</f>
        <v>0</v>
      </c>
      <c r="AX80" s="78"/>
      <c r="AY80" s="191" t="s">
        <v>266</v>
      </c>
      <c r="AZ80" s="193"/>
      <c r="BA80" s="191" t="str">
        <f>LOOKUP(AY80,HM!$V$15:$V$655,HM!$W$15:$W$655)</f>
        <v>No</v>
      </c>
      <c r="BB80" s="192"/>
      <c r="BC80" s="192"/>
      <c r="BD80" s="193"/>
      <c r="BE80" s="29">
        <f>LOOKUP(AY80,HM!$V$15:$V$655,HM!$X$15:$X$655)</f>
        <v>0</v>
      </c>
      <c r="BG80" s="74"/>
      <c r="BH80" s="154"/>
      <c r="BI80" s="154"/>
      <c r="BK80" s="74"/>
      <c r="BL80" s="154"/>
      <c r="BM80" s="154"/>
      <c r="BN80" s="154"/>
      <c r="BP80" s="74"/>
      <c r="BQ80" s="154"/>
      <c r="BR80" s="154"/>
      <c r="BS80" s="24"/>
      <c r="BT80" s="214"/>
      <c r="BU80" s="214"/>
      <c r="BV80" s="214"/>
      <c r="BW80" s="214"/>
      <c r="BX80" s="214"/>
      <c r="BY80" s="214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Q80" s="157" t="s">
        <v>48</v>
      </c>
      <c r="CR80" s="157"/>
      <c r="CS80" s="157"/>
      <c r="CT80" s="157"/>
      <c r="CU80" s="157"/>
    </row>
    <row r="81" spans="2:99" ht="7.35" customHeight="1" x14ac:dyDescent="0.2">
      <c r="B81" s="154" t="s">
        <v>271</v>
      </c>
      <c r="C81" s="154"/>
      <c r="D81" s="154"/>
      <c r="E81" s="154"/>
      <c r="F81" s="154"/>
      <c r="G81" s="154"/>
      <c r="H81" s="154"/>
      <c r="I81" s="154"/>
      <c r="N81" s="85"/>
      <c r="O81" s="154" t="s">
        <v>289</v>
      </c>
      <c r="P81" s="154"/>
      <c r="Q81" s="154"/>
      <c r="R81" s="154"/>
      <c r="S81" s="154"/>
      <c r="T81" s="154"/>
      <c r="U81" s="154"/>
      <c r="V81" s="154"/>
      <c r="W81" s="154"/>
      <c r="Y81" s="157"/>
      <c r="Z81" s="157"/>
      <c r="AA81" s="74"/>
      <c r="AB81" s="74"/>
      <c r="AC81" s="74"/>
      <c r="AD81" s="74"/>
      <c r="AE81" s="74"/>
      <c r="AF81" s="121"/>
      <c r="AG81" s="154"/>
      <c r="AH81" s="154"/>
      <c r="AI81" s="2"/>
      <c r="AJ81" s="2"/>
      <c r="AK81" s="154"/>
      <c r="AL81" s="154"/>
      <c r="AM81" s="159"/>
      <c r="AN81" s="154"/>
      <c r="AQ81" s="78"/>
      <c r="AR81" s="78" t="s">
        <v>266</v>
      </c>
      <c r="AS81" s="187" t="str">
        <f>LOOKUP(AR81,HM!$V$15:$V$655,HM!$W$15:$W$655)</f>
        <v>No</v>
      </c>
      <c r="AT81" s="187"/>
      <c r="AU81" s="187"/>
      <c r="AV81" s="187"/>
      <c r="AW81" s="29">
        <f>LOOKUP(AR81,HM!$V$15:$V$655,HM!$X$15:$X$655)</f>
        <v>0</v>
      </c>
      <c r="AX81" s="78"/>
      <c r="AY81" s="191" t="s">
        <v>266</v>
      </c>
      <c r="AZ81" s="193"/>
      <c r="BA81" s="191" t="str">
        <f>LOOKUP(AY81,HM!$V$15:$V$655,HM!$W$15:$W$655)</f>
        <v>No</v>
      </c>
      <c r="BB81" s="192"/>
      <c r="BC81" s="192"/>
      <c r="BD81" s="193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7" t="s">
        <v>194</v>
      </c>
      <c r="BN81" s="157"/>
      <c r="BP81" s="96" t="s">
        <v>17</v>
      </c>
      <c r="BQ81" s="96" t="s">
        <v>192</v>
      </c>
      <c r="BR81" s="96" t="s">
        <v>194</v>
      </c>
      <c r="BT81" s="214"/>
      <c r="BU81" s="214"/>
      <c r="BV81" s="214"/>
      <c r="BW81" s="214"/>
      <c r="BX81" s="214"/>
      <c r="BY81" s="214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Q81" s="154" t="s">
        <v>5355</v>
      </c>
      <c r="CR81" s="154"/>
      <c r="CS81" s="154"/>
      <c r="CT81" s="154"/>
      <c r="CU81" s="100" t="str">
        <f>LOOKUP(CT69,Sheet3!$J$262:$J$281,Sheet3!$K$262:$K$281)</f>
        <v>25 Kg</v>
      </c>
    </row>
    <row r="82" spans="2:99" ht="7.35" customHeight="1" x14ac:dyDescent="0.2">
      <c r="B82" s="154" t="s">
        <v>164</v>
      </c>
      <c r="C82" s="154"/>
      <c r="D82" s="74">
        <f>(LOOKUP(B82,Sheet3!$AB$111:$AC$119))*(LOOKUP($C$2,Sheet3!$C$100:$V$100,Sheet3!$C$171:$V$171))</f>
        <v>0</v>
      </c>
      <c r="E82" s="154"/>
      <c r="F82" s="154"/>
      <c r="G82" s="154"/>
      <c r="H82" s="154"/>
      <c r="I82" s="154"/>
      <c r="N82" s="85"/>
      <c r="AI82" s="27"/>
      <c r="AJ82" s="27"/>
      <c r="AK82" s="27"/>
      <c r="AL82" s="2"/>
      <c r="AQ82" s="78"/>
      <c r="AR82" s="78" t="s">
        <v>266</v>
      </c>
      <c r="AS82" s="187" t="str">
        <f>LOOKUP(AR82,HM!$V$15:$V$655,HM!$W$15:$W$655)</f>
        <v>No</v>
      </c>
      <c r="AT82" s="187"/>
      <c r="AU82" s="187"/>
      <c r="AV82" s="187"/>
      <c r="AW82" s="29">
        <f>LOOKUP(AR82,HM!$V$15:$V$655,HM!$X$15:$X$655)</f>
        <v>0</v>
      </c>
      <c r="AX82" s="78"/>
      <c r="AY82" s="191" t="s">
        <v>266</v>
      </c>
      <c r="AZ82" s="193"/>
      <c r="BA82" s="191" t="str">
        <f>LOOKUP(AY82,HM!$V$15:$V$655,HM!$W$15:$W$655)</f>
        <v>No</v>
      </c>
      <c r="BB82" s="192"/>
      <c r="BC82" s="192"/>
      <c r="BD82" s="193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4" t="str">
        <f>LOOKUP(BL80,HP!$I$17:$I$141,HP!$L$17:$L$141)</f>
        <v>No</v>
      </c>
      <c r="BN82" s="154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214"/>
      <c r="BU82" s="214"/>
      <c r="BV82" s="214"/>
      <c r="BW82" s="214"/>
      <c r="BX82" s="214"/>
      <c r="BY82" s="214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Q82" s="154" t="s">
        <v>5356</v>
      </c>
      <c r="CR82" s="154"/>
      <c r="CS82" s="154"/>
      <c r="CT82" s="154"/>
      <c r="CU82" s="100" t="str">
        <f>LOOKUP(CT69,Sheet3!$J$262:$J$281,Sheet3!$L$262:$L$281)</f>
        <v>60 Kg</v>
      </c>
    </row>
    <row r="83" spans="2:99" ht="7.35" customHeight="1" x14ac:dyDescent="0.2">
      <c r="B83" s="154" t="s">
        <v>164</v>
      </c>
      <c r="C83" s="154"/>
      <c r="D83" s="74">
        <f>(LOOKUP(B83,Sheet3!$AB$111:$AC$119))*(LOOKUP($C$2,Sheet3!$C$100:$V$100,Sheet3!$C$171:$V$171))</f>
        <v>0</v>
      </c>
      <c r="E83" s="154"/>
      <c r="F83" s="154"/>
      <c r="G83" s="154"/>
      <c r="H83" s="154"/>
      <c r="I83" s="154"/>
      <c r="Y83" s="131" t="s">
        <v>4</v>
      </c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96" t="s">
        <v>5</v>
      </c>
      <c r="AQ83" s="78"/>
      <c r="AR83" s="78" t="s">
        <v>266</v>
      </c>
      <c r="AS83" s="187" t="str">
        <f>LOOKUP(AR83,HM!$V$15:$V$655,HM!$W$15:$W$655)</f>
        <v>No</v>
      </c>
      <c r="AT83" s="187"/>
      <c r="AU83" s="187"/>
      <c r="AV83" s="187"/>
      <c r="AW83" s="29">
        <f>LOOKUP(AR83,HM!$V$15:$V$655,HM!$X$15:$X$655)</f>
        <v>0</v>
      </c>
      <c r="AX83" s="78"/>
      <c r="AY83" s="191" t="s">
        <v>266</v>
      </c>
      <c r="AZ83" s="193"/>
      <c r="BA83" s="191" t="str">
        <f>LOOKUP(AY83,HM!$V$15:$V$655,HM!$W$15:$W$655)</f>
        <v>No</v>
      </c>
      <c r="BB83" s="192"/>
      <c r="BC83" s="192"/>
      <c r="BD83" s="193"/>
      <c r="BE83" s="29">
        <f>LOOKUP(AY83,HM!$V$15:$V$655,HM!$X$15:$X$655)</f>
        <v>0</v>
      </c>
      <c r="BG83" s="157" t="s">
        <v>153</v>
      </c>
      <c r="BH83" s="169" t="str">
        <f>LOOKUP(BH80,HP!$I$17:$I$141,HP!$M$17:$M$141)</f>
        <v>NA</v>
      </c>
      <c r="BI83" s="169"/>
      <c r="BK83" s="157" t="s">
        <v>153</v>
      </c>
      <c r="BL83" s="169" t="str">
        <f>LOOKUP(BL80,HP!$I$17:$I$141,HP!$M$17:$M$141)</f>
        <v>NA</v>
      </c>
      <c r="BM83" s="169"/>
      <c r="BN83" s="169"/>
      <c r="BP83" s="157" t="s">
        <v>153</v>
      </c>
      <c r="BQ83" s="169" t="str">
        <f>LOOKUP(BQ80,HP!$I$17:$I$141,HP!$M$17:$M$141)</f>
        <v>NA</v>
      </c>
      <c r="BR83" s="169"/>
      <c r="BT83" s="214"/>
      <c r="BU83" s="214"/>
      <c r="BV83" s="214"/>
      <c r="BW83" s="214"/>
      <c r="BX83" s="214"/>
      <c r="BY83" s="214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Q83" s="154" t="s">
        <v>5327</v>
      </c>
      <c r="CR83" s="154"/>
      <c r="CS83" s="154"/>
      <c r="CT83" s="154"/>
      <c r="CU83" s="100" t="str">
        <f>LOOKUP(CT69,Sheet3!$J$262:$J$281,Sheet3!$M$262:$M$281)</f>
        <v>nada</v>
      </c>
    </row>
    <row r="84" spans="2:99" ht="7.35" customHeight="1" x14ac:dyDescent="0.2">
      <c r="B84" s="154" t="s">
        <v>164</v>
      </c>
      <c r="C84" s="154"/>
      <c r="D84" s="74">
        <f>(LOOKUP(B84,Sheet3!$AB$111:$AC$119))*(LOOKUP($C$2,Sheet3!$C$100:$V$100,Sheet3!$C$171:$V$171))</f>
        <v>0</v>
      </c>
      <c r="E84" s="154"/>
      <c r="F84" s="154"/>
      <c r="G84" s="154"/>
      <c r="H84" s="154"/>
      <c r="I84" s="154"/>
      <c r="L84" s="155" t="s">
        <v>102</v>
      </c>
      <c r="M84" s="155"/>
      <c r="N84" s="155"/>
      <c r="O84" s="155"/>
      <c r="P84" s="155"/>
      <c r="Q84" s="155"/>
      <c r="S84" s="157" t="s">
        <v>111</v>
      </c>
      <c r="T84" s="157"/>
      <c r="U84" s="157"/>
      <c r="V84" s="157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Q84" s="78"/>
      <c r="AR84" s="78" t="s">
        <v>266</v>
      </c>
      <c r="AS84" s="187" t="str">
        <f>LOOKUP(AR84,HM!$V$15:$V$655,HM!$W$15:$W$655)</f>
        <v>No</v>
      </c>
      <c r="AT84" s="187"/>
      <c r="AU84" s="187"/>
      <c r="AV84" s="187"/>
      <c r="AW84" s="29">
        <f>LOOKUP(AR84,HM!$V$15:$V$655,HM!$X$15:$X$655)</f>
        <v>0</v>
      </c>
      <c r="AX84" s="78"/>
      <c r="AY84" s="191" t="s">
        <v>266</v>
      </c>
      <c r="AZ84" s="193"/>
      <c r="BA84" s="191" t="str">
        <f>LOOKUP(AY84,HM!$V$15:$V$655,HM!$W$15:$W$655)</f>
        <v>No</v>
      </c>
      <c r="BB84" s="192"/>
      <c r="BC84" s="192"/>
      <c r="BD84" s="193"/>
      <c r="BE84" s="29">
        <f>LOOKUP(AY84,HM!$V$15:$V$655,HM!$X$15:$X$655)</f>
        <v>0</v>
      </c>
      <c r="BG84" s="157"/>
      <c r="BH84" s="169"/>
      <c r="BI84" s="169"/>
      <c r="BK84" s="157"/>
      <c r="BL84" s="169"/>
      <c r="BM84" s="169"/>
      <c r="BN84" s="169"/>
      <c r="BP84" s="157"/>
      <c r="BQ84" s="169"/>
      <c r="BR84" s="169"/>
      <c r="BT84" s="214"/>
      <c r="BU84" s="214"/>
      <c r="BV84" s="214"/>
      <c r="BW84" s="214"/>
      <c r="BX84" s="214"/>
      <c r="BY84" s="214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</row>
    <row r="85" spans="2:99" ht="7.35" customHeight="1" x14ac:dyDescent="0.2">
      <c r="B85" s="154" t="s">
        <v>164</v>
      </c>
      <c r="C85" s="154"/>
      <c r="D85" s="74">
        <f>(LOOKUP(B85,Sheet3!$AB$111:$AC$119))*(LOOKUP($C$2,Sheet3!$C$100:$V$100,Sheet3!$C$171:$V$171))</f>
        <v>0</v>
      </c>
      <c r="E85" s="154"/>
      <c r="F85" s="154"/>
      <c r="G85" s="154"/>
      <c r="H85" s="154"/>
      <c r="I85" s="154"/>
      <c r="L85" s="157" t="s">
        <v>107</v>
      </c>
      <c r="M85" s="157"/>
      <c r="N85" s="157"/>
      <c r="O85" s="157"/>
      <c r="P85" s="157" t="s">
        <v>108</v>
      </c>
      <c r="Q85" s="157"/>
      <c r="S85" s="154" t="s">
        <v>92</v>
      </c>
      <c r="T85" s="154"/>
      <c r="U85" s="160">
        <f>$P$90</f>
        <v>1</v>
      </c>
      <c r="V85" s="159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Q85" s="78"/>
      <c r="AR85" s="78" t="s">
        <v>266</v>
      </c>
      <c r="AS85" s="187" t="str">
        <f>LOOKUP(AR85,HM!$V$15:$V$655,HM!$W$15:$W$655)</f>
        <v>No</v>
      </c>
      <c r="AT85" s="187"/>
      <c r="AU85" s="187"/>
      <c r="AV85" s="187"/>
      <c r="AW85" s="29">
        <f>LOOKUP(AR85,HM!$V$15:$V$655,HM!$X$15:$X$655)</f>
        <v>0</v>
      </c>
      <c r="AX85" s="78"/>
      <c r="AY85" s="191" t="s">
        <v>266</v>
      </c>
      <c r="AZ85" s="193"/>
      <c r="BA85" s="191" t="str">
        <f>LOOKUP(AY85,HM!$V$15:$V$655,HM!$W$15:$W$655)</f>
        <v>No</v>
      </c>
      <c r="BB85" s="192"/>
      <c r="BC85" s="192"/>
      <c r="BD85" s="193"/>
      <c r="BE85" s="29">
        <f>LOOKUP(AY85,HM!$V$15:$V$655,HM!$X$15:$X$655)</f>
        <v>0</v>
      </c>
      <c r="BG85" s="157"/>
      <c r="BH85" s="169"/>
      <c r="BI85" s="169"/>
      <c r="BK85" s="157"/>
      <c r="BL85" s="169"/>
      <c r="BM85" s="169"/>
      <c r="BN85" s="169"/>
      <c r="BP85" s="157"/>
      <c r="BQ85" s="169"/>
      <c r="BR85" s="169"/>
      <c r="BT85" s="214"/>
      <c r="BU85" s="214"/>
      <c r="BV85" s="214"/>
      <c r="BW85" s="214"/>
      <c r="BX85" s="214"/>
      <c r="BY85" s="214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</row>
    <row r="86" spans="2:99" ht="7.35" customHeight="1" x14ac:dyDescent="0.2">
      <c r="B86" s="154" t="s">
        <v>277</v>
      </c>
      <c r="C86" s="154"/>
      <c r="D86" s="154"/>
      <c r="E86" s="154"/>
      <c r="F86" s="154"/>
      <c r="G86" s="154"/>
      <c r="H86" s="154"/>
      <c r="I86" s="154"/>
      <c r="L86" s="154" t="s">
        <v>2</v>
      </c>
      <c r="M86" s="154"/>
      <c r="N86" s="154"/>
      <c r="O86" s="74">
        <f>$D$11</f>
        <v>5</v>
      </c>
      <c r="P86" s="74" t="s">
        <v>2</v>
      </c>
      <c r="Q86" s="74">
        <f>D10</f>
        <v>5</v>
      </c>
      <c r="S86" s="154" t="s">
        <v>5391</v>
      </c>
      <c r="T86" s="154"/>
      <c r="U86" s="160">
        <f>LOOKUP($P$90,Sheet3!$B$173:$B$192,Sheet3!$C$173:$C$192)</f>
        <v>10</v>
      </c>
      <c r="V86" s="159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Q86" s="78"/>
      <c r="AR86" s="78" t="s">
        <v>266</v>
      </c>
      <c r="AS86" s="187" t="str">
        <f>LOOKUP(AR86,HM!$V$15:$V$655,HM!$W$15:$W$655)</f>
        <v>No</v>
      </c>
      <c r="AT86" s="187"/>
      <c r="AU86" s="187"/>
      <c r="AV86" s="187"/>
      <c r="AW86" s="29">
        <f>LOOKUP(AR86,HM!$V$15:$V$655,HM!$X$15:$X$655)</f>
        <v>0</v>
      </c>
      <c r="AX86" s="78"/>
      <c r="AY86" s="191" t="s">
        <v>266</v>
      </c>
      <c r="AZ86" s="193"/>
      <c r="BA86" s="191" t="str">
        <f>LOOKUP(AY86,HM!$V$15:$V$655,HM!$W$15:$W$655)</f>
        <v>No</v>
      </c>
      <c r="BB86" s="192"/>
      <c r="BC86" s="192"/>
      <c r="BD86" s="193"/>
      <c r="BE86" s="29">
        <f>LOOKUP(AY86,HM!$V$15:$V$655,HM!$X$15:$X$655)</f>
        <v>0</v>
      </c>
      <c r="BG86" s="74">
        <v>20</v>
      </c>
      <c r="BH86" s="154" t="str">
        <f>LOOKUP(BH80,HP!$I$17:$I$141,HP!$N$17:$N$141)</f>
        <v>NA</v>
      </c>
      <c r="BI86" s="154"/>
      <c r="BK86" s="74">
        <v>20</v>
      </c>
      <c r="BL86" s="154" t="str">
        <f>LOOKUP(BL80,HP!$I$17:$I$141,HP!$N$17:$N$141)</f>
        <v>NA</v>
      </c>
      <c r="BM86" s="154"/>
      <c r="BN86" s="154"/>
      <c r="BP86" s="74">
        <v>20</v>
      </c>
      <c r="BQ86" s="154" t="str">
        <f>LOOKUP(BQ80,HP!$I$17:$I$141,HP!$N$17:$N$141)</f>
        <v>NA</v>
      </c>
      <c r="BR86" s="154"/>
      <c r="BT86" s="214"/>
      <c r="BU86" s="214"/>
      <c r="BV86" s="214"/>
      <c r="BW86" s="214"/>
      <c r="BX86" s="214"/>
      <c r="BY86" s="214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</row>
    <row r="87" spans="2:99" ht="7.35" customHeight="1" x14ac:dyDescent="0.2">
      <c r="B87" s="154" t="s">
        <v>164</v>
      </c>
      <c r="C87" s="154"/>
      <c r="D87" s="74">
        <f>LOOKUP(B87,Sheet3!$Z$119:$AA$131)*(LOOKUP($C$2,Sheet3!$C$100:$V$100,Sheet3!$C$171:$V$171))</f>
        <v>0</v>
      </c>
      <c r="E87" s="154" t="str">
        <f>LOOKUP(B87,Sheet3!$AA$135:$AB$147)</f>
        <v>Ninguna</v>
      </c>
      <c r="F87" s="154"/>
      <c r="G87" s="154"/>
      <c r="H87" s="154"/>
      <c r="I87" s="154"/>
      <c r="L87" s="154" t="s">
        <v>5606</v>
      </c>
      <c r="M87" s="154"/>
      <c r="N87" s="154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54" t="s">
        <v>206</v>
      </c>
      <c r="T87" s="154"/>
      <c r="U87" s="160">
        <f>LOOKUP($P$90,Sheet3!$B$173:$B$192,Sheet3!$D$173:$D$192)</f>
        <v>5</v>
      </c>
      <c r="V87" s="159"/>
      <c r="Y87" s="156" t="s">
        <v>5593</v>
      </c>
      <c r="Z87" s="156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7" t="s">
        <v>65</v>
      </c>
      <c r="AH87" s="157"/>
      <c r="AI87" s="2"/>
      <c r="AJ87" s="2"/>
      <c r="AK87" s="156" t="s">
        <v>17</v>
      </c>
      <c r="AL87" s="156"/>
      <c r="AM87" s="158" t="s">
        <v>5592</v>
      </c>
      <c r="AN87" s="157"/>
      <c r="AQ87" s="78"/>
      <c r="AR87" s="78" t="s">
        <v>266</v>
      </c>
      <c r="AS87" s="187" t="str">
        <f>LOOKUP(AR87,HM!$V$15:$V$655,HM!$W$15:$W$655)</f>
        <v>No</v>
      </c>
      <c r="AT87" s="187"/>
      <c r="AU87" s="187"/>
      <c r="AV87" s="187"/>
      <c r="AW87" s="29">
        <f>LOOKUP(AR87,HM!$V$15:$V$655,HM!$X$15:$X$655)</f>
        <v>0</v>
      </c>
      <c r="AX87" s="78"/>
      <c r="AY87" s="191" t="s">
        <v>266</v>
      </c>
      <c r="AZ87" s="193"/>
      <c r="BA87" s="191" t="str">
        <f>LOOKUP(AY87,HM!$V$15:$V$655,HM!$W$15:$W$655)</f>
        <v>No</v>
      </c>
      <c r="BB87" s="192"/>
      <c r="BC87" s="192"/>
      <c r="BD87" s="193"/>
      <c r="BE87" s="29">
        <f>LOOKUP(AY87,HM!$V$15:$V$655,HM!$X$15:$X$655)</f>
        <v>0</v>
      </c>
      <c r="BG87" s="74">
        <v>40</v>
      </c>
      <c r="BH87" s="154" t="str">
        <f>LOOKUP(BH80,HP!$I$17:$I$141,HP!$O$17:$O$141)</f>
        <v>NA</v>
      </c>
      <c r="BI87" s="154"/>
      <c r="BK87" s="74">
        <v>40</v>
      </c>
      <c r="BL87" s="154" t="str">
        <f>LOOKUP(BL80,HP!$I$17:$I$141,HP!$O$17:$O$141)</f>
        <v>NA</v>
      </c>
      <c r="BM87" s="154"/>
      <c r="BN87" s="154"/>
      <c r="BP87" s="74">
        <v>40</v>
      </c>
      <c r="BQ87" s="154" t="str">
        <f>LOOKUP(BQ80,HP!$I$17:$I$141,HP!$O$17:$O$141)</f>
        <v>NA</v>
      </c>
      <c r="BR87" s="154"/>
      <c r="BT87" s="214"/>
      <c r="BU87" s="214"/>
      <c r="BV87" s="214"/>
      <c r="BW87" s="214"/>
      <c r="BX87" s="214"/>
      <c r="BY87" s="214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</row>
    <row r="88" spans="2:99" ht="7.35" customHeight="1" x14ac:dyDescent="0.2">
      <c r="B88" s="154" t="s">
        <v>164</v>
      </c>
      <c r="C88" s="154"/>
      <c r="D88" s="74">
        <f>LOOKUP(B88,Sheet3!$Z$119:$AA$131)*(LOOKUP($C$2,Sheet3!$C$100:$V$100,Sheet3!$C$171:$V$171))</f>
        <v>0</v>
      </c>
      <c r="E88" s="154" t="str">
        <f>LOOKUP(B88,Sheet3!$AA$135:$AB$147)</f>
        <v>Ninguna</v>
      </c>
      <c r="F88" s="154"/>
      <c r="G88" s="154"/>
      <c r="H88" s="154"/>
      <c r="I88" s="154"/>
      <c r="L88" s="154" t="s">
        <v>77</v>
      </c>
      <c r="M88" s="154"/>
      <c r="N88" s="154"/>
      <c r="O88" s="74">
        <f>(O86-O87)</f>
        <v>5</v>
      </c>
      <c r="P88" s="74" t="s">
        <v>136</v>
      </c>
      <c r="Q88" s="74">
        <v>0</v>
      </c>
      <c r="S88" s="154" t="s">
        <v>209</v>
      </c>
      <c r="T88" s="154"/>
      <c r="U88" s="160">
        <f>LOOKUP($P$90,Sheet3!$B$173:$B$192,Sheet3!$E$173:$E$192)</f>
        <v>-5</v>
      </c>
      <c r="V88" s="159"/>
      <c r="Y88" s="157"/>
      <c r="Z88" s="157"/>
      <c r="AA88" s="74"/>
      <c r="AB88" s="74"/>
      <c r="AC88" s="74"/>
      <c r="AD88" s="74"/>
      <c r="AE88" s="74"/>
      <c r="AF88" s="121"/>
      <c r="AG88" s="154"/>
      <c r="AH88" s="154"/>
      <c r="AI88" s="2"/>
      <c r="AJ88" s="2"/>
      <c r="AK88" s="154"/>
      <c r="AL88" s="154"/>
      <c r="AM88" s="159"/>
      <c r="AN88" s="154"/>
      <c r="AQ88" s="78"/>
      <c r="AR88" s="78" t="s">
        <v>266</v>
      </c>
      <c r="AS88" s="187" t="str">
        <f>LOOKUP(AR88,HM!$V$15:$V$655,HM!$W$15:$W$655)</f>
        <v>No</v>
      </c>
      <c r="AT88" s="187"/>
      <c r="AU88" s="187"/>
      <c r="AV88" s="187"/>
      <c r="AW88" s="29">
        <f>LOOKUP(AR88,HM!$V$15:$V$655,HM!$X$15:$X$655)</f>
        <v>0</v>
      </c>
      <c r="AX88" s="78"/>
      <c r="AY88" s="191" t="s">
        <v>266</v>
      </c>
      <c r="AZ88" s="193"/>
      <c r="BA88" s="191" t="str">
        <f>LOOKUP(AY88,HM!$V$15:$V$655,HM!$W$15:$W$655)</f>
        <v>No</v>
      </c>
      <c r="BB88" s="192"/>
      <c r="BC88" s="192"/>
      <c r="BD88" s="193"/>
      <c r="BE88" s="29">
        <f>LOOKUP(AY88,HM!$V$15:$V$655,HM!$X$15:$X$655)</f>
        <v>0</v>
      </c>
      <c r="BG88" s="74">
        <v>80</v>
      </c>
      <c r="BH88" s="154" t="str">
        <f>LOOKUP(BH80,HP!$I$17:$I$141,HP!$P$17:$P$141)</f>
        <v>NA</v>
      </c>
      <c r="BI88" s="154"/>
      <c r="BK88" s="74">
        <v>80</v>
      </c>
      <c r="BL88" s="154" t="str">
        <f>LOOKUP(BL80,HP!$I$17:$I$141,HP!$P$17:$P$141)</f>
        <v>NA</v>
      </c>
      <c r="BM88" s="154"/>
      <c r="BN88" s="154"/>
      <c r="BP88" s="74">
        <v>80</v>
      </c>
      <c r="BQ88" s="154" t="str">
        <f>LOOKUP(BQ80,HP!$I$17:$I$141,HP!$P$17:$P$141)</f>
        <v>NA</v>
      </c>
      <c r="BR88" s="154"/>
      <c r="BT88" s="214"/>
      <c r="BU88" s="214"/>
      <c r="BV88" s="214"/>
      <c r="BW88" s="214"/>
      <c r="BX88" s="214"/>
      <c r="BY88" s="214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</row>
    <row r="89" spans="2:99" ht="7.35" customHeight="1" x14ac:dyDescent="0.2">
      <c r="B89" s="154" t="s">
        <v>280</v>
      </c>
      <c r="C89" s="154"/>
      <c r="D89" s="154"/>
      <c r="E89" s="154"/>
      <c r="F89" s="154"/>
      <c r="G89" s="154"/>
      <c r="H89" s="154"/>
      <c r="I89" s="154"/>
      <c r="L89" s="154" t="s">
        <v>5398</v>
      </c>
      <c r="M89" s="154"/>
      <c r="N89" s="154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7" t="s">
        <v>108</v>
      </c>
      <c r="T89" s="157"/>
      <c r="U89" s="157"/>
      <c r="V89" s="157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87" t="str">
        <f>LOOKUP(AR89,HM!$V$15:$V$655,HM!$W$15:$W$655)</f>
        <v>No</v>
      </c>
      <c r="AT89" s="187"/>
      <c r="AU89" s="187"/>
      <c r="AV89" s="187"/>
      <c r="AW89" s="29">
        <f>LOOKUP(AR89,HM!$V$15:$V$655,HM!$X$15:$X$655)</f>
        <v>0</v>
      </c>
      <c r="AX89" s="78"/>
      <c r="AY89" s="191" t="s">
        <v>266</v>
      </c>
      <c r="AZ89" s="193"/>
      <c r="BA89" s="191" t="str">
        <f>LOOKUP(AY89,HM!$V$15:$V$655,HM!$W$15:$W$655)</f>
        <v>No</v>
      </c>
      <c r="BB89" s="192"/>
      <c r="BC89" s="192"/>
      <c r="BD89" s="193"/>
      <c r="BE89" s="29">
        <f>LOOKUP(AY89,HM!$V$15:$V$655,HM!$X$15:$X$655)</f>
        <v>0</v>
      </c>
      <c r="BG89" s="74">
        <v>120</v>
      </c>
      <c r="BH89" s="154" t="str">
        <f>LOOKUP(BH80,HP!$I$17:$I$141,HP!$Q$17:$Q$141)</f>
        <v>NA</v>
      </c>
      <c r="BI89" s="154"/>
      <c r="BK89" s="74">
        <v>120</v>
      </c>
      <c r="BL89" s="154" t="str">
        <f>LOOKUP(BL80,HP!$I$17:$I$141,HP!$Q$17:$Q$141)</f>
        <v>NA</v>
      </c>
      <c r="BM89" s="154"/>
      <c r="BN89" s="154"/>
      <c r="BP89" s="74">
        <v>120</v>
      </c>
      <c r="BQ89" s="154" t="str">
        <f>LOOKUP(BQ80,HP!$I$17:$I$141,HP!$Q$17:$Q$141)</f>
        <v>NA</v>
      </c>
      <c r="BR89" s="154"/>
      <c r="BT89" s="214"/>
      <c r="BU89" s="214"/>
      <c r="BV89" s="214"/>
      <c r="BW89" s="214"/>
      <c r="BX89" s="214"/>
      <c r="BY89" s="214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</row>
    <row r="90" spans="2:99" ht="7.35" customHeight="1" x14ac:dyDescent="0.2">
      <c r="B90" s="154" t="s">
        <v>164</v>
      </c>
      <c r="C90" s="154"/>
      <c r="D90" s="74">
        <f>LOOKUP(B90,Sheet3!Y111:Z115)*(LOOKUP($C$2,Sheet3!$C$100:$V$100,Sheet3!$C$171:$V$171))</f>
        <v>0</v>
      </c>
      <c r="E90" s="154"/>
      <c r="F90" s="154"/>
      <c r="G90" s="154"/>
      <c r="H90" s="154"/>
      <c r="I90" s="154"/>
      <c r="L90" s="157" t="s">
        <v>111</v>
      </c>
      <c r="M90" s="157"/>
      <c r="N90" s="157"/>
      <c r="O90" s="157"/>
      <c r="P90" s="154">
        <f>LOOKUP($D$11,Sheet3!$J$1:$K$20)</f>
        <v>1</v>
      </c>
      <c r="Q90" s="154"/>
      <c r="S90" s="154" t="s">
        <v>5326</v>
      </c>
      <c r="T90" s="154"/>
      <c r="U90" s="160" t="str">
        <f>LOOKUP($Q$89,Sheet3!$D$262:$D$281,Sheet3!$F$262:$F$281)</f>
        <v>20m</v>
      </c>
      <c r="V90" s="159"/>
      <c r="Y90" s="131" t="s">
        <v>4</v>
      </c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96" t="s">
        <v>5</v>
      </c>
      <c r="AQ90" s="78"/>
      <c r="AR90" s="78" t="s">
        <v>266</v>
      </c>
      <c r="AS90" s="187" t="str">
        <f>LOOKUP(AR90,HM!$V$15:$V$655,HM!$W$15:$W$655)</f>
        <v>No</v>
      </c>
      <c r="AT90" s="187"/>
      <c r="AU90" s="187"/>
      <c r="AV90" s="187"/>
      <c r="AW90" s="29">
        <f>LOOKUP(AR90,HM!$V$15:$V$655,HM!$X$15:$X$655)</f>
        <v>0</v>
      </c>
      <c r="AX90" s="78"/>
      <c r="AY90" s="191" t="s">
        <v>266</v>
      </c>
      <c r="AZ90" s="193"/>
      <c r="BA90" s="191" t="str">
        <f>LOOKUP(AY90,HM!$V$15:$V$655,HM!$W$15:$W$655)</f>
        <v>No</v>
      </c>
      <c r="BB90" s="192"/>
      <c r="BC90" s="192"/>
      <c r="BD90" s="193"/>
      <c r="BE90" s="29">
        <f>LOOKUP(AY90,HM!$V$15:$V$655,HM!$X$15:$X$655)</f>
        <v>0</v>
      </c>
      <c r="BG90" s="74">
        <v>140</v>
      </c>
      <c r="BH90" s="154" t="str">
        <f>LOOKUP(BH80,HP!$I$17:$I$141,HP!$R$17:$R$141)</f>
        <v>NA</v>
      </c>
      <c r="BI90" s="154"/>
      <c r="BK90" s="74">
        <v>140</v>
      </c>
      <c r="BL90" s="154" t="str">
        <f>LOOKUP(BL80,HP!$I$17:$I$141,HP!$R$17:$R$141)</f>
        <v>NA</v>
      </c>
      <c r="BM90" s="154"/>
      <c r="BN90" s="154"/>
      <c r="BP90" s="74">
        <v>140</v>
      </c>
      <c r="BQ90" s="154" t="str">
        <f>LOOKUP(BQ80,HP!$I$17:$I$141,HP!$R$17:$R$141)</f>
        <v>NA</v>
      </c>
      <c r="BR90" s="154"/>
      <c r="BT90" s="214"/>
      <c r="BU90" s="214"/>
      <c r="BV90" s="214"/>
      <c r="BW90" s="214"/>
      <c r="BX90" s="214"/>
      <c r="BY90" s="214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</row>
    <row r="91" spans="2:99" ht="7.35" customHeight="1" x14ac:dyDescent="0.2">
      <c r="B91" s="154" t="s">
        <v>283</v>
      </c>
      <c r="C91" s="154"/>
      <c r="D91" s="154"/>
      <c r="E91" s="154"/>
      <c r="F91" s="154"/>
      <c r="G91" s="154"/>
      <c r="H91" s="154"/>
      <c r="I91" s="154"/>
      <c r="L91" s="157" t="s">
        <v>5392</v>
      </c>
      <c r="M91" s="157"/>
      <c r="N91" s="157"/>
      <c r="O91" s="157"/>
      <c r="P91" s="154">
        <f>D13</f>
        <v>5</v>
      </c>
      <c r="Q91" s="154"/>
      <c r="S91" s="154" t="s">
        <v>5354</v>
      </c>
      <c r="T91" s="154"/>
      <c r="U91" s="160" t="str">
        <f>LOOKUP($Q$89,Sheet3!$D$262:$D$281,Sheet3!$I$262:$I$281)</f>
        <v>4m</v>
      </c>
      <c r="V91" s="159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W91" s="32"/>
      <c r="AX91" s="32"/>
      <c r="BG91" s="74">
        <v>180</v>
      </c>
      <c r="BH91" s="154" t="str">
        <f>LOOKUP(BH80,HP!$I$17:$I$141,HP!$S$17:$S$141)</f>
        <v>NA</v>
      </c>
      <c r="BI91" s="154"/>
      <c r="BK91" s="74">
        <v>180</v>
      </c>
      <c r="BL91" s="154" t="str">
        <f>LOOKUP(BL80,HP!$I$17:$I$141,HP!$S$17:$S$141)</f>
        <v>NA</v>
      </c>
      <c r="BM91" s="154"/>
      <c r="BN91" s="154"/>
      <c r="BP91" s="74">
        <v>180</v>
      </c>
      <c r="BQ91" s="154" t="str">
        <f>LOOKUP(BQ80,HP!$I$17:$I$141,HP!$S$17:$S$141)</f>
        <v>NA</v>
      </c>
      <c r="BR91" s="154"/>
      <c r="BT91" s="214"/>
      <c r="BU91" s="214"/>
      <c r="BV91" s="214"/>
      <c r="BW91" s="214"/>
      <c r="BX91" s="214"/>
      <c r="BY91" s="214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</row>
    <row r="92" spans="2:99" ht="7.35" customHeight="1" x14ac:dyDescent="0.2">
      <c r="B92" s="154" t="s">
        <v>164</v>
      </c>
      <c r="C92" s="154"/>
      <c r="D92" s="74">
        <f>LOOKUP(B92,Sheet3!$AB$124:$AC$129)*(LOOKUP($C$2,Sheet3!$C$100:$V$100,Sheet3!$C$171:$V$171))</f>
        <v>0</v>
      </c>
      <c r="E92" s="154"/>
      <c r="F92" s="154"/>
      <c r="G92" s="154"/>
      <c r="H92" s="154"/>
      <c r="I92" s="154"/>
      <c r="L92" s="157" t="s">
        <v>5393</v>
      </c>
      <c r="M92" s="157"/>
      <c r="N92" s="157"/>
      <c r="O92" s="157"/>
      <c r="P92" s="154" t="s">
        <v>5394</v>
      </c>
      <c r="Q92" s="154"/>
      <c r="S92" s="154" t="s">
        <v>5327</v>
      </c>
      <c r="T92" s="154"/>
      <c r="U92" s="160" t="str">
        <f>LOOKUP($Q$89,Sheet3!$D$262:$D$281,Sheet3!$G$262:$G$281)</f>
        <v>nada</v>
      </c>
      <c r="V92" s="159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BG92" s="74">
        <v>240</v>
      </c>
      <c r="BH92" s="154" t="str">
        <f>LOOKUP(BH80,HP!$I$17:$I$141,HP!$T$17:$T$141)</f>
        <v>NA</v>
      </c>
      <c r="BI92" s="154"/>
      <c r="BK92" s="74">
        <v>240</v>
      </c>
      <c r="BL92" s="154" t="str">
        <f>LOOKUP(BL80,HP!$I$17:$I$141,HP!$T$17:$T$141)</f>
        <v>NA</v>
      </c>
      <c r="BM92" s="154"/>
      <c r="BN92" s="154"/>
      <c r="BP92" s="74">
        <v>240</v>
      </c>
      <c r="BQ92" s="154" t="str">
        <f>LOOKUP(BQ80,HP!$I$17:$I$141,HP!$T$17:$T$141)</f>
        <v>NA</v>
      </c>
      <c r="BR92" s="154"/>
      <c r="BT92" s="214"/>
      <c r="BU92" s="214"/>
      <c r="BV92" s="214"/>
      <c r="BW92" s="214"/>
      <c r="BX92" s="214"/>
      <c r="BY92" s="214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</row>
    <row r="93" spans="2:99" ht="7.35" customHeight="1" x14ac:dyDescent="0.2">
      <c r="B93" s="154" t="s">
        <v>164</v>
      </c>
      <c r="C93" s="154"/>
      <c r="D93" s="74">
        <f>LOOKUP(B93,Sheet3!$AB$124:$AC$129)*(LOOKUP($C$2,Sheet3!$C$100:$V$100,Sheet3!$C$171:$V$171))</f>
        <v>0</v>
      </c>
      <c r="E93" s="154"/>
      <c r="F93" s="154"/>
      <c r="G93" s="154"/>
      <c r="H93" s="154"/>
      <c r="I93" s="154"/>
      <c r="S93" s="157" t="s">
        <v>48</v>
      </c>
      <c r="T93" s="157"/>
      <c r="U93" s="157"/>
      <c r="V93" s="157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BG93" s="74">
        <v>280</v>
      </c>
      <c r="BH93" s="154" t="str">
        <f>LOOKUP(BH80,HP!$I$17:$I$141,HP!$U$17:$U$141)</f>
        <v>NA</v>
      </c>
      <c r="BI93" s="154"/>
      <c r="BK93" s="74">
        <v>280</v>
      </c>
      <c r="BL93" s="154" t="str">
        <f>LOOKUP(BL80,HP!$I$17:$I$141,HP!$U$17:$U$141)</f>
        <v>NA</v>
      </c>
      <c r="BM93" s="154"/>
      <c r="BN93" s="154"/>
      <c r="BP93" s="74">
        <v>280</v>
      </c>
      <c r="BQ93" s="154" t="str">
        <f>LOOKUP(BQ80,HP!$I$17:$I$141,HP!$U$17:$U$141)</f>
        <v>NA</v>
      </c>
      <c r="BR93" s="154"/>
      <c r="BT93" s="214"/>
      <c r="BU93" s="214"/>
      <c r="BV93" s="214"/>
      <c r="BW93" s="214"/>
      <c r="BX93" s="214"/>
      <c r="BY93" s="214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</row>
    <row r="94" spans="2:99" ht="7.35" customHeight="1" x14ac:dyDescent="0.2">
      <c r="B94" s="154" t="s">
        <v>164</v>
      </c>
      <c r="C94" s="154"/>
      <c r="D94" s="74">
        <f>LOOKUP(B94,Sheet3!$AB$124:$AC$129)*(LOOKUP($C$2,Sheet3!$C$100:$V$100,Sheet3!$C$171:$V$171))</f>
        <v>0</v>
      </c>
      <c r="E94" s="154"/>
      <c r="F94" s="154"/>
      <c r="G94" s="154"/>
      <c r="H94" s="154"/>
      <c r="I94" s="154"/>
      <c r="S94" s="154" t="s">
        <v>5355</v>
      </c>
      <c r="T94" s="154"/>
      <c r="U94" s="160" t="str">
        <f>LOOKUP($P$91,Sheet3!$J$262:$J$281,Sheet3!$K$262:$K$281)</f>
        <v>25 Kg</v>
      </c>
      <c r="V94" s="159"/>
      <c r="Y94" s="156" t="s">
        <v>5593</v>
      </c>
      <c r="Z94" s="156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7" t="s">
        <v>65</v>
      </c>
      <c r="AH94" s="157"/>
      <c r="AI94" s="2"/>
      <c r="AJ94" s="2"/>
      <c r="AK94" s="156" t="s">
        <v>17</v>
      </c>
      <c r="AL94" s="156"/>
      <c r="AM94" s="158" t="s">
        <v>5592</v>
      </c>
      <c r="AN94" s="157"/>
      <c r="BG94" s="74">
        <v>320</v>
      </c>
      <c r="BH94" s="154" t="str">
        <f>LOOKUP(BH80,HP!$I$17:$I$141,HP!$V$17:$V$141)</f>
        <v>NA</v>
      </c>
      <c r="BI94" s="154"/>
      <c r="BK94" s="74">
        <v>320</v>
      </c>
      <c r="BL94" s="154" t="str">
        <f>LOOKUP(BL80,HP!$I$17:$I$141,HP!$V$17:$V$141)</f>
        <v>NA</v>
      </c>
      <c r="BM94" s="154"/>
      <c r="BN94" s="154"/>
      <c r="BP94" s="74">
        <v>320</v>
      </c>
      <c r="BQ94" s="154" t="str">
        <f>LOOKUP(BQ80,HP!$I$17:$I$141,HP!$V$17:$V$141)</f>
        <v>NA</v>
      </c>
      <c r="BR94" s="154"/>
      <c r="BT94" s="214"/>
      <c r="BU94" s="214"/>
      <c r="BV94" s="214"/>
      <c r="BW94" s="214"/>
      <c r="BX94" s="214"/>
      <c r="BY94" s="214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</row>
    <row r="95" spans="2:99" ht="7.35" customHeight="1" x14ac:dyDescent="0.2">
      <c r="S95" s="154" t="s">
        <v>5356</v>
      </c>
      <c r="T95" s="154"/>
      <c r="U95" s="160" t="str">
        <f>LOOKUP($P$91,Sheet3!$J$262:$J$281,Sheet3!$L$262:$L$281)</f>
        <v>60 Kg</v>
      </c>
      <c r="V95" s="159"/>
      <c r="Y95" s="157"/>
      <c r="Z95" s="157"/>
      <c r="AA95" s="74"/>
      <c r="AB95" s="74"/>
      <c r="AC95" s="74"/>
      <c r="AD95" s="74"/>
      <c r="AE95" s="74"/>
      <c r="AF95" s="121"/>
      <c r="AG95" s="154"/>
      <c r="AH95" s="154"/>
      <c r="AI95" s="2"/>
      <c r="AJ95" s="2"/>
      <c r="AK95" s="154"/>
      <c r="AL95" s="154"/>
      <c r="AM95" s="159"/>
      <c r="AN95" s="154"/>
      <c r="BG95" s="74">
        <v>440</v>
      </c>
      <c r="BH95" s="154" t="str">
        <f>LOOKUP(BH80,HP!$I$17:$I$141,HP!$W$17:$W$141)</f>
        <v>NA</v>
      </c>
      <c r="BI95" s="154"/>
      <c r="BK95" s="74">
        <v>440</v>
      </c>
      <c r="BL95" s="154" t="str">
        <f>LOOKUP(BL80,HP!$I$17:$I$141,HP!$W$17:$W$141)</f>
        <v>NA</v>
      </c>
      <c r="BM95" s="154"/>
      <c r="BN95" s="154"/>
      <c r="BP95" s="74">
        <v>440</v>
      </c>
      <c r="BQ95" s="154" t="str">
        <f>LOOKUP(BQ80,HP!$I$17:$I$141,HP!$W$17:$W$141)</f>
        <v>NA</v>
      </c>
      <c r="BR95" s="154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</row>
    <row r="96" spans="2:99" ht="7.35" customHeight="1" x14ac:dyDescent="0.2">
      <c r="S96" s="154" t="s">
        <v>5327</v>
      </c>
      <c r="T96" s="154"/>
      <c r="U96" s="160" t="str">
        <f>LOOKUP($P$91,Sheet3!$J$262:$J$281,Sheet3!$M$262:$M$281)</f>
        <v>nada</v>
      </c>
      <c r="V96" s="159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CO50:CQ50"/>
    <mergeCell ref="CS50:CU50"/>
    <mergeCell ref="DC50:DD50"/>
    <mergeCell ref="CO51:CQ51"/>
    <mergeCell ref="CS51:CU51"/>
    <mergeCell ref="DC51:DD51"/>
    <mergeCell ref="CO48:CQ48"/>
    <mergeCell ref="CS48:CU48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S49:CU49"/>
    <mergeCell ref="DC49:DD49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G9:I9"/>
    <mergeCell ref="AS83:AV83"/>
    <mergeCell ref="AY83:AZ83"/>
    <mergeCell ref="BA81:BD81"/>
    <mergeCell ref="BM81:BN81"/>
    <mergeCell ref="Y47:Z47"/>
    <mergeCell ref="AS82:AV82"/>
    <mergeCell ref="AY82:AZ82"/>
    <mergeCell ref="BA82:BD82"/>
    <mergeCell ref="BM82:BN82"/>
    <mergeCell ref="S86:T86"/>
    <mergeCell ref="S87:T87"/>
    <mergeCell ref="BH76:BI76"/>
    <mergeCell ref="BL76:BN76"/>
    <mergeCell ref="BQ76:BR76"/>
    <mergeCell ref="AY79:AZ79"/>
    <mergeCell ref="BA79:BD79"/>
    <mergeCell ref="U76:V76"/>
    <mergeCell ref="U77:V77"/>
    <mergeCell ref="U78:V78"/>
    <mergeCell ref="U79:V79"/>
    <mergeCell ref="U80:V80"/>
    <mergeCell ref="U85:V85"/>
    <mergeCell ref="U86:V86"/>
    <mergeCell ref="BL86:BN86"/>
    <mergeCell ref="BQ86:BR86"/>
    <mergeCell ref="AS87:AV87"/>
    <mergeCell ref="AY87:AZ87"/>
    <mergeCell ref="G11:H11"/>
    <mergeCell ref="AS85:AV85"/>
    <mergeCell ref="AY85:AZ85"/>
    <mergeCell ref="BA85:BD85"/>
    <mergeCell ref="AS86:AV86"/>
    <mergeCell ref="BQ83:BR85"/>
    <mergeCell ref="G10:H10"/>
    <mergeCell ref="B92:C92"/>
    <mergeCell ref="E92:I92"/>
    <mergeCell ref="O78:P78"/>
    <mergeCell ref="O76:P76"/>
    <mergeCell ref="AS76:AV76"/>
    <mergeCell ref="AY76:AZ76"/>
    <mergeCell ref="AY78:AZ78"/>
    <mergeCell ref="BA78:BD78"/>
    <mergeCell ref="O75:T75"/>
    <mergeCell ref="V75:W7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O81:Q81"/>
    <mergeCell ref="CL41:CM41"/>
    <mergeCell ref="B86:I86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CH39:CJ39"/>
    <mergeCell ref="AY86:AZ86"/>
    <mergeCell ref="AY63:AZ63"/>
    <mergeCell ref="BA63:BD63"/>
    <mergeCell ref="BM63:BN63"/>
    <mergeCell ref="AY57:BB57"/>
    <mergeCell ref="BH57:BI57"/>
    <mergeCell ref="CH36:CJ36"/>
    <mergeCell ref="R81:W81"/>
    <mergeCell ref="AS81:AV81"/>
    <mergeCell ref="AY81:AZ81"/>
    <mergeCell ref="BH79:BI79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O68:R68"/>
    <mergeCell ref="S68:W68"/>
    <mergeCell ref="BL73:BN73"/>
    <mergeCell ref="BQ73:BR73"/>
    <mergeCell ref="AJ66:AK66"/>
    <mergeCell ref="P62:Q62"/>
    <mergeCell ref="AS62:AV62"/>
    <mergeCell ref="AY62:AZ62"/>
    <mergeCell ref="BA62:BD62"/>
    <mergeCell ref="P61:Q61"/>
    <mergeCell ref="BQ58:BR58"/>
    <mergeCell ref="P59:Q59"/>
    <mergeCell ref="BH59:BI59"/>
    <mergeCell ref="BA77:BD77"/>
    <mergeCell ref="AS74:AV74"/>
    <mergeCell ref="AY74:AZ74"/>
    <mergeCell ref="BA74:BD74"/>
    <mergeCell ref="BH74:BI74"/>
    <mergeCell ref="B87:C87"/>
    <mergeCell ref="E87:I87"/>
    <mergeCell ref="O73:R73"/>
    <mergeCell ref="S73:W73"/>
    <mergeCell ref="AS73:AV73"/>
    <mergeCell ref="AY73:AZ73"/>
    <mergeCell ref="BA73:BD73"/>
    <mergeCell ref="BH73:BI73"/>
    <mergeCell ref="AG87:AH87"/>
    <mergeCell ref="Y87:Z88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H77:BI77"/>
    <mergeCell ref="BA86:BD86"/>
    <mergeCell ref="BH86:BI86"/>
    <mergeCell ref="U87:V87"/>
    <mergeCell ref="U88:V88"/>
    <mergeCell ref="AS66:AV66"/>
    <mergeCell ref="AS65:AV65"/>
    <mergeCell ref="BQ70:BR70"/>
    <mergeCell ref="CL40:CM40"/>
    <mergeCell ref="CL38:CM38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BH62:BI62"/>
    <mergeCell ref="BL62:BN62"/>
    <mergeCell ref="BQ62:BR62"/>
    <mergeCell ref="P63:Q63"/>
    <mergeCell ref="AS63:AV63"/>
    <mergeCell ref="CL36:CN36"/>
    <mergeCell ref="B81:I81"/>
    <mergeCell ref="O67:R67"/>
    <mergeCell ref="S67:W67"/>
    <mergeCell ref="AS67:AV67"/>
    <mergeCell ref="BL65:BN67"/>
    <mergeCell ref="BP65:BP67"/>
    <mergeCell ref="BQ65:BR67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P56:Q56"/>
    <mergeCell ref="AW56:AX56"/>
    <mergeCell ref="AY56:BB56"/>
    <mergeCell ref="BH54:BI54"/>
    <mergeCell ref="BL54:BN54"/>
    <mergeCell ref="P55:Q55"/>
    <mergeCell ref="AQ55:AQ56"/>
    <mergeCell ref="AR55:AS56"/>
    <mergeCell ref="AT55:AV58"/>
    <mergeCell ref="BL57:BN57"/>
    <mergeCell ref="G64:H64"/>
    <mergeCell ref="I64:J64"/>
    <mergeCell ref="AL65:AN65"/>
    <mergeCell ref="AY70:AZ70"/>
    <mergeCell ref="BA70:BD70"/>
    <mergeCell ref="C51:F51"/>
    <mergeCell ref="H51:J51"/>
    <mergeCell ref="AT42:AV42"/>
    <mergeCell ref="AW42:AX42"/>
    <mergeCell ref="AR43:AS44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AS69:AV69"/>
    <mergeCell ref="AY69:AZ69"/>
    <mergeCell ref="BA69:BD69"/>
    <mergeCell ref="BH69:BI69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W50:AX50"/>
    <mergeCell ref="AY50:BB50"/>
    <mergeCell ref="BH50:BI50"/>
    <mergeCell ref="BL50:BN50"/>
    <mergeCell ref="BH40:BI40"/>
    <mergeCell ref="BL40:BN40"/>
    <mergeCell ref="BQ40:BR40"/>
    <mergeCell ref="AW45:AX45"/>
    <mergeCell ref="P43:Q43"/>
    <mergeCell ref="AQ43:AQ44"/>
    <mergeCell ref="P41:Q41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J45:AK45"/>
    <mergeCell ref="BQ55:BR55"/>
    <mergeCell ref="BQ54:BR54"/>
    <mergeCell ref="BQ57:BR57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O66:R66"/>
    <mergeCell ref="S66:W66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BH44:BI44"/>
    <mergeCell ref="BL34:BN34"/>
    <mergeCell ref="BQ34:BR34"/>
    <mergeCell ref="BQ32:BR32"/>
    <mergeCell ref="AE46:AH46"/>
    <mergeCell ref="AE47:AH51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BQ41:BR41"/>
    <mergeCell ref="BQ39:BR39"/>
    <mergeCell ref="P40:Q40"/>
    <mergeCell ref="AW40:AX40"/>
    <mergeCell ref="AY40:BB40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L33:BN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CL35:CN35"/>
    <mergeCell ref="CH34:CJ34"/>
    <mergeCell ref="CH35:CJ3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P31:Q31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AR24:AS24"/>
    <mergeCell ref="AT24:AV24"/>
    <mergeCell ref="AW24:AX24"/>
    <mergeCell ref="AY24:BB24"/>
    <mergeCell ref="CE24:CF24"/>
    <mergeCell ref="P25:Q25"/>
    <mergeCell ref="AQ25:AQ26"/>
    <mergeCell ref="BG23:BH23"/>
    <mergeCell ref="BK23:BL23"/>
    <mergeCell ref="BM23:BN23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CE18:CF18"/>
    <mergeCell ref="B22:H22"/>
    <mergeCell ref="P19:Q19"/>
    <mergeCell ref="AE16:AH16"/>
    <mergeCell ref="AQ19:BE22"/>
    <mergeCell ref="BK22:BL22"/>
    <mergeCell ref="BM22:BN22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P17:Q17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BO11:BQ11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Z12:AC12"/>
    <mergeCell ref="BK7:BM7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AX11:AY11"/>
    <mergeCell ref="AZ11:BA11"/>
    <mergeCell ref="BC11:BE16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K1:BM1"/>
    <mergeCell ref="AZ2:BA2"/>
    <mergeCell ref="BC2:BE2"/>
    <mergeCell ref="BK2:BM2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L4:M4"/>
    <mergeCell ref="N4:O4"/>
    <mergeCell ref="AQ4:AR4"/>
    <mergeCell ref="AZ3:BA3"/>
    <mergeCell ref="BG3:BH3"/>
    <mergeCell ref="BK3:BM3"/>
    <mergeCell ref="M22:M23"/>
    <mergeCell ref="K24:M24"/>
    <mergeCell ref="K25:M25"/>
    <mergeCell ref="K26:M26"/>
    <mergeCell ref="K27:M27"/>
    <mergeCell ref="P36:Q36"/>
    <mergeCell ref="G53:H53"/>
    <mergeCell ref="C2:E2"/>
    <mergeCell ref="L2:M2"/>
    <mergeCell ref="N2:O2"/>
    <mergeCell ref="AQ2:AR2"/>
    <mergeCell ref="AX2:AY2"/>
    <mergeCell ref="AQ1:AS1"/>
    <mergeCell ref="AU1:AV1"/>
    <mergeCell ref="AX1:BA1"/>
    <mergeCell ref="BC1:BE1"/>
    <mergeCell ref="BG1:BI2"/>
    <mergeCell ref="B7:C7"/>
    <mergeCell ref="D7:E7"/>
    <mergeCell ref="AZ6:BA6"/>
    <mergeCell ref="BC6:BD6"/>
    <mergeCell ref="BG6:BH6"/>
    <mergeCell ref="C5:E5"/>
    <mergeCell ref="L5:M5"/>
    <mergeCell ref="BC7:BD7"/>
    <mergeCell ref="O12:W12"/>
    <mergeCell ref="AQ12:AR12"/>
    <mergeCell ref="AU12:AV12"/>
    <mergeCell ref="AX12:AY12"/>
    <mergeCell ref="AZ12:BA12"/>
    <mergeCell ref="BG12:BH12"/>
    <mergeCell ref="BG11:BH11"/>
    <mergeCell ref="G12:H12"/>
    <mergeCell ref="G13:H13"/>
    <mergeCell ref="AL54:AN54"/>
    <mergeCell ref="AL55:AN55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S85:T85"/>
    <mergeCell ref="I37:L37"/>
    <mergeCell ref="I38:L38"/>
    <mergeCell ref="I41:L41"/>
    <mergeCell ref="I42:L42"/>
    <mergeCell ref="I39:L39"/>
    <mergeCell ref="I40:L40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I22:L23"/>
    <mergeCell ref="AJ8:AN8"/>
    <mergeCell ref="AJ9:AN9"/>
    <mergeCell ref="AJ10:AN10"/>
    <mergeCell ref="AJ11:AN11"/>
    <mergeCell ref="AJ12:AN12"/>
    <mergeCell ref="AJ13:AN13"/>
    <mergeCell ref="AJ14:AN14"/>
    <mergeCell ref="AJ15:AN15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AJ63:AN63"/>
    <mergeCell ref="AJ64:AK64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CI11:CK11"/>
  </mergeCells>
  <conditionalFormatting sqref="AL82">
    <cfRule type="cellIs" dxfId="83" priority="15" stopIfTrue="1" operator="lessThan">
      <formula>0</formula>
    </cfRule>
  </conditionalFormatting>
  <conditionalFormatting sqref="I38:L38">
    <cfRule type="cellIs" dxfId="82" priority="11" operator="lessThan">
      <formula>$C$37*$C$42+$E$37*$E$42+$G$37*$G$42</formula>
    </cfRule>
  </conditionalFormatting>
  <conditionalFormatting sqref="I40:L40">
    <cfRule type="expression" dxfId="81" priority="10">
      <formula>$I$40&gt;50</formula>
    </cfRule>
  </conditionalFormatting>
  <conditionalFormatting sqref="AB4">
    <cfRule type="cellIs" dxfId="80" priority="7" stopIfTrue="1" operator="lessThan">
      <formula>0</formula>
    </cfRule>
  </conditionalFormatting>
  <conditionalFormatting sqref="AB5">
    <cfRule type="expression" dxfId="79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/>
    <col min="4" max="4" width="12.28515625" style="36" customWidth="1"/>
    <col min="5" max="8" width="11.5703125" style="36"/>
    <col min="9" max="9" width="12.28515625" style="36" customWidth="1"/>
    <col min="10" max="10" width="11.5703125" style="36"/>
    <col min="11" max="11" width="13.140625" style="36" bestFit="1" customWidth="1"/>
    <col min="12" max="52" width="11.5703125" style="36"/>
    <col min="53" max="53" width="17.140625" style="36" customWidth="1"/>
    <col min="54" max="55" width="11.5703125" style="36"/>
    <col min="56" max="56" width="13.5703125" style="36" customWidth="1"/>
    <col min="57" max="69" width="11.5703125" style="36"/>
    <col min="70" max="72" width="14" style="36" customWidth="1"/>
    <col min="73" max="77" width="11.5703125" style="36"/>
    <col min="78" max="78" width="25.42578125" style="36" customWidth="1"/>
    <col min="79" max="79" width="18.7109375" style="36" customWidth="1"/>
    <col min="80" max="80" width="24.5703125" style="36" customWidth="1"/>
    <col min="81" max="82" width="11.5703125" style="36"/>
    <col min="83" max="83" width="13.28515625" style="36" customWidth="1"/>
    <col min="84" max="95" width="11.5703125" style="36"/>
    <col min="96" max="96" width="25.42578125" style="36" customWidth="1"/>
    <col min="97" max="97" width="18.7109375" style="36" customWidth="1"/>
    <col min="98" max="98" width="22.140625" style="36" customWidth="1"/>
    <col min="99" max="100" width="11.5703125" style="36"/>
    <col min="101" max="101" width="13.28515625" style="36" customWidth="1"/>
    <col min="102" max="16384" width="11.5703125" style="36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 t="e">
        <f>LOOKUP(AV1,AT3:AU9)</f>
        <v>#N/A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5</v>
      </c>
      <c r="AH31" s="36">
        <v>-2</v>
      </c>
      <c r="AI31" s="36">
        <f>'Hoja básica'!$H$71</f>
        <v>30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5</v>
      </c>
      <c r="BG46" s="36">
        <v>-2</v>
      </c>
      <c r="BH46" s="36">
        <f>'Hoja básica'!$H$71</f>
        <v>30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7" t="s">
        <v>297</v>
      </c>
      <c r="F238" s="227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7" t="s">
        <v>9</v>
      </c>
      <c r="F239" s="227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7" t="s">
        <v>298</v>
      </c>
      <c r="F240" s="227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7" t="s">
        <v>297</v>
      </c>
      <c r="F241" s="227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7" t="s">
        <v>9</v>
      </c>
      <c r="F242" s="227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7" t="s">
        <v>298</v>
      </c>
      <c r="F243" s="227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1</v>
      </c>
      <c r="J251" s="36">
        <f>('Hoja básica'!I38/2)/'Hoja básica'!C42</f>
        <v>75</v>
      </c>
      <c r="K251" s="36">
        <f>('Hoja básica'!I38/2)/'Hoja básica'!E42</f>
        <v>75</v>
      </c>
      <c r="L251" s="36">
        <f>('Hoja básica'!I38/2)/'Hoja básica'!G42</f>
        <v>75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2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1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/>
    <col min="2" max="2" width="9" style="31" customWidth="1"/>
    <col min="3" max="3" width="10.5703125" style="31" customWidth="1"/>
    <col min="4" max="4" width="17.28515625" style="31" customWidth="1"/>
    <col min="5" max="5" width="60.28515625" style="31" customWidth="1"/>
    <col min="6" max="6" width="15.28515625" style="31" customWidth="1"/>
    <col min="7" max="8" width="4.5703125" style="31"/>
    <col min="9" max="9" width="5" style="31" customWidth="1"/>
    <col min="10" max="11" width="9.140625" style="31" customWidth="1"/>
    <col min="12" max="13" width="6.85546875" style="31" customWidth="1"/>
    <col min="14" max="14" width="7.140625" style="31" customWidth="1"/>
    <col min="15" max="15" width="13.42578125" style="31" customWidth="1"/>
    <col min="16" max="16" width="5.7109375" style="31" customWidth="1"/>
    <col min="17" max="16384" width="4.5703125" style="3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/>
    <col min="8" max="8" width="45.7109375" style="49" customWidth="1"/>
    <col min="9" max="16384" width="11.42578125" style="49"/>
  </cols>
  <sheetData>
    <row r="1" spans="1:17" ht="9.75" customHeight="1" x14ac:dyDescent="0.15">
      <c r="A1" s="2"/>
      <c r="B1" s="201" t="s">
        <v>1483</v>
      </c>
      <c r="C1" s="201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201" t="str">
        <f>LOOKUP(H2,HM!D2:E12)</f>
        <v>Luz</v>
      </c>
      <c r="K2" s="201"/>
      <c r="L2" s="201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201" t="s">
        <v>0</v>
      </c>
      <c r="E3" s="201"/>
      <c r="F3" s="52" t="s">
        <v>17</v>
      </c>
      <c r="G3" s="52" t="s">
        <v>31</v>
      </c>
      <c r="H3" s="34" t="s">
        <v>1489</v>
      </c>
      <c r="I3" s="1"/>
      <c r="J3" s="226" t="s">
        <v>186</v>
      </c>
      <c r="K3" s="226"/>
      <c r="L3" s="226" t="s">
        <v>0</v>
      </c>
      <c r="M3" s="226"/>
      <c r="N3" s="226"/>
      <c r="O3" s="187" t="s">
        <v>17</v>
      </c>
      <c r="P3" s="187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201" t="str">
        <f>LOOKUP(C4,HM!$U$15:$U$655,HM!$V$15:$V$655)</f>
        <v>Fragilidad</v>
      </c>
      <c r="E4" s="201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8">
        <f>LOOKUP($H$2,HM!$D$2:$D$12,HM!$F$2:$F$12)</f>
        <v>1001</v>
      </c>
      <c r="K4" s="228"/>
      <c r="L4" s="201" t="e">
        <f>LOOKUP(J4,HM!$U$15:$U$655,HM!$V$15:$V$655)</f>
        <v>#N/A</v>
      </c>
      <c r="M4" s="201"/>
      <c r="N4" s="201"/>
      <c r="O4" s="201" t="e">
        <f>LOOKUP(J4,HM!$U$15:$U$655,HM!$X$15:$X$655)</f>
        <v>#N/A</v>
      </c>
      <c r="P4" s="201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201" t="str">
        <f>LOOKUP(C5,HM!$U$15:$U$655,HM!$V$15:$V$655)</f>
        <v>Fragilidad</v>
      </c>
      <c r="E5" s="201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201">
        <f>LOOKUP($H$2,HM!$D$2:$D$12,HM!$G$2:$G$12)</f>
        <v>2001</v>
      </c>
      <c r="K5" s="201"/>
      <c r="L5" s="201" t="str">
        <f>LOOKUP(J5,HM!$U$15:$U$655,HM!$V$15:$V$655)</f>
        <v>Fragilidad</v>
      </c>
      <c r="M5" s="201"/>
      <c r="N5" s="201"/>
      <c r="O5" s="201">
        <f>LOOKUP(J5,HM!$U$15:$U$655,HM!$X$15:$X$655)</f>
        <v>2</v>
      </c>
      <c r="P5" s="201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201" t="str">
        <f>LOOKUP(C6,HM!$U$15:$U$655,HM!$V$15:$V$655)</f>
        <v>Fragilidad</v>
      </c>
      <c r="E6" s="201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201">
        <f>LOOKUP($H$2,HM!$D$2:$D$12,HM!$H$2:$H$12)</f>
        <v>3001</v>
      </c>
      <c r="K6" s="201"/>
      <c r="L6" s="201" t="str">
        <f>LOOKUP(J6,HM!$U$15:$U$655,HM!$V$15:$V$655)</f>
        <v>Fragilidad</v>
      </c>
      <c r="M6" s="201"/>
      <c r="N6" s="201"/>
      <c r="O6" s="201">
        <f>LOOKUP(J6,HM!$U$15:$U$655,HM!$X$15:$X$655)</f>
        <v>2</v>
      </c>
      <c r="P6" s="201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201" t="str">
        <f>LOOKUP(C7,HM!$U$15:$U$655,HM!$V$15:$V$655)</f>
        <v>Fragilidad</v>
      </c>
      <c r="E7" s="201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201">
        <f>LOOKUP($H$2,HM!$D$2:$D$12,HM!$I$2:$I$12)</f>
        <v>4001</v>
      </c>
      <c r="K7" s="201"/>
      <c r="L7" s="201" t="str">
        <f>LOOKUP(J7,HM!$U$15:$U$655,HM!$V$15:$V$655)</f>
        <v>Fragilidad</v>
      </c>
      <c r="M7" s="201"/>
      <c r="N7" s="201"/>
      <c r="O7" s="201">
        <f>LOOKUP(J7,HM!$U$15:$U$655,HM!$X$15:$X$655)</f>
        <v>2</v>
      </c>
      <c r="P7" s="201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201" t="str">
        <f>LOOKUP(C8,HM!$U$15:$U$655,HM!$V$15:$V$655)</f>
        <v>Gula</v>
      </c>
      <c r="E8" s="201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201">
        <f>LOOKUP($H$2,HM!$D$2:$D$12,HM!$J$2:$J$12)</f>
        <v>5001</v>
      </c>
      <c r="K8" s="201"/>
      <c r="L8" s="201" t="str">
        <f>LOOKUP(J8,HM!$U$15:$U$655,HM!$V$15:$V$655)</f>
        <v>Gula</v>
      </c>
      <c r="M8" s="201"/>
      <c r="N8" s="201"/>
      <c r="O8" s="201">
        <f>LOOKUP(J8,HM!$U$15:$U$655,HM!$X$15:$X$655)</f>
        <v>24</v>
      </c>
      <c r="P8" s="201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201" t="str">
        <f>LOOKUP(C9,HM!$U$15:$U$655,HM!$V$15:$V$655)</f>
        <v>Gula</v>
      </c>
      <c r="E9" s="201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201">
        <f>LOOKUP($H$2,HM!$D$2:$D$12,HM!$K$2:$K$12)</f>
        <v>6001</v>
      </c>
      <c r="K9" s="201"/>
      <c r="L9" s="201" t="str">
        <f>LOOKUP(J9,HM!$U$15:$U$655,HM!$V$15:$V$655)</f>
        <v>Gula</v>
      </c>
      <c r="M9" s="201"/>
      <c r="N9" s="201"/>
      <c r="O9" s="201">
        <f>LOOKUP(J9,HM!$U$15:$U$655,HM!$X$15:$X$655)</f>
        <v>24</v>
      </c>
      <c r="P9" s="201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201" t="str">
        <f>LOOKUP(C10,HM!$U$15:$U$655,HM!$V$15:$V$655)</f>
        <v>Hablar con los Muertos</v>
      </c>
      <c r="E10" s="201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201">
        <f>LOOKUP($H$2,HM!$D$2:$D$12,HM!$L$2:$L$12)</f>
        <v>7001</v>
      </c>
      <c r="K10" s="201"/>
      <c r="L10" s="201" t="str">
        <f>LOOKUP(J10,HM!$U$15:$U$655,HM!$V$15:$V$655)</f>
        <v>Gula</v>
      </c>
      <c r="M10" s="201"/>
      <c r="N10" s="201"/>
      <c r="O10" s="201">
        <f>LOOKUP(J10,HM!$U$15:$U$655,HM!$X$15:$X$655)</f>
        <v>24</v>
      </c>
      <c r="P10" s="201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201" t="str">
        <f>LOOKUP(C11,HM!$U$15:$U$655,HM!$V$15:$V$655)</f>
        <v>Hablar con los Muertos</v>
      </c>
      <c r="E11" s="201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201">
        <f>LOOKUP($H$2,HM!$D$2:$D$12,HM!$M$2:$M$12)</f>
        <v>8001</v>
      </c>
      <c r="K11" s="201"/>
      <c r="L11" s="201" t="str">
        <f>LOOKUP(J11,HM!$U$15:$U$655,HM!$V$15:$V$655)</f>
        <v>Hablar con los Muertos</v>
      </c>
      <c r="M11" s="201"/>
      <c r="N11" s="201"/>
      <c r="O11" s="201">
        <f>LOOKUP(J11,HM!$U$15:$U$655,HM!$X$15:$X$655)</f>
        <v>18</v>
      </c>
      <c r="P11" s="201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201" t="str">
        <f>LOOKUP(C12,HM!$U$15:$U$655,HM!$V$15:$V$655)</f>
        <v>Hablar con los Muertos</v>
      </c>
      <c r="E12" s="201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201">
        <f>LOOKUP($H$2,HM!$D$2:$D$12,HM!$N$2:$N$12)</f>
        <v>9001</v>
      </c>
      <c r="K12" s="201"/>
      <c r="L12" s="201" t="str">
        <f>LOOKUP(J12,HM!$U$15:$U$655,HM!$V$15:$V$655)</f>
        <v>Hablar con los Muertos</v>
      </c>
      <c r="M12" s="201"/>
      <c r="N12" s="201"/>
      <c r="O12" s="201">
        <f>LOOKUP(J12,HM!$U$15:$U$655,HM!$X$15:$X$655)</f>
        <v>18</v>
      </c>
      <c r="P12" s="201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201" t="str">
        <f>LOOKUP(C13,HM!$U$15:$U$655,HM!$V$15:$V$655)</f>
        <v>Terror</v>
      </c>
      <c r="E13" s="201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201">
        <f>LOOKUP($H$2,HM!$D$2:$D$12,HM!$O$2:$O$12)</f>
        <v>10001</v>
      </c>
      <c r="K13" s="201"/>
      <c r="L13" s="201" t="str">
        <f>LOOKUP(J13,HM!$U$15:$U$655,HM!$V$15:$V$655)</f>
        <v>Terror</v>
      </c>
      <c r="M13" s="201"/>
      <c r="N13" s="201"/>
      <c r="O13" s="201">
        <f>LOOKUP(J13,HM!$U$15:$U$655,HM!$X$15:$X$655)</f>
        <v>64</v>
      </c>
      <c r="P13" s="201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201">
        <f>LOOKUP($H$2,HM!$D$2:$D$12,HM!$P$2:$P$12)</f>
        <v>11001</v>
      </c>
      <c r="K14" s="201"/>
      <c r="L14" s="201" t="str">
        <f>LOOKUP(J14,HM!$U$15:$U$655,HM!$V$15:$V$655)</f>
        <v>Terror</v>
      </c>
      <c r="M14" s="201"/>
      <c r="N14" s="201"/>
      <c r="O14" s="201">
        <f>LOOKUP(J14,HM!$U$15:$U$655,HM!$X$15:$X$655)</f>
        <v>64</v>
      </c>
      <c r="P14" s="201"/>
      <c r="Q14" s="52" t="str">
        <f>LOOKUP(J14,HM!$U$15:$U$655,HM!$Y$15:$Y$655)</f>
        <v>Anímico</v>
      </c>
    </row>
    <row r="15" spans="1:17" ht="9.75" customHeight="1" x14ac:dyDescent="0.15">
      <c r="B15" s="229" t="s">
        <v>1490</v>
      </c>
      <c r="C15" s="229"/>
      <c r="H15" s="1"/>
      <c r="I15" s="1"/>
      <c r="J15" s="201">
        <f>LOOKUP($H$2,HM!$D$2:$D$12,HM!$Q$2:$Q$12)</f>
        <v>12001</v>
      </c>
      <c r="K15" s="201"/>
      <c r="L15" s="201" t="str">
        <f>LOOKUP(J15,HM!$U$15:$U$655,HM!$V$15:$V$655)</f>
        <v>Terror</v>
      </c>
      <c r="M15" s="201"/>
      <c r="N15" s="201"/>
      <c r="O15" s="201">
        <f>LOOKUP(J15,HM!$U$15:$U$655,HM!$X$15:$X$655)</f>
        <v>64</v>
      </c>
      <c r="P15" s="201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201">
        <f>LOOKUP($H$2,HM!$D$2:$D$12,HM!$R$2:$R$12)</f>
        <v>13001</v>
      </c>
      <c r="K16" s="201"/>
      <c r="L16" s="201" t="str">
        <f>LOOKUP(J16,HM!$U$15:$U$655,HM!$V$15:$V$655)</f>
        <v>Terror</v>
      </c>
      <c r="M16" s="201"/>
      <c r="N16" s="201"/>
      <c r="O16" s="201">
        <f>LOOKUP(J16,HM!$U$15:$U$655,HM!$X$15:$X$655)</f>
        <v>64</v>
      </c>
      <c r="P16" s="201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9" t="s">
        <v>0</v>
      </c>
      <c r="E17" s="229"/>
      <c r="F17" s="52" t="s">
        <v>17</v>
      </c>
      <c r="G17" s="52" t="s">
        <v>31</v>
      </c>
      <c r="H17" s="3" t="s">
        <v>1489</v>
      </c>
      <c r="I17" s="1"/>
      <c r="J17" s="201">
        <f>LOOKUP($H$2,HM!$D$2:$D$12,HM!$S$2:$S$12)</f>
        <v>14001</v>
      </c>
      <c r="K17" s="201"/>
      <c r="L17" s="201" t="str">
        <f>LOOKUP(J17,HM!$U$15:$U$655,HM!$V$15:$V$655)</f>
        <v>Terror</v>
      </c>
      <c r="M17" s="201"/>
      <c r="N17" s="201"/>
      <c r="O17" s="201">
        <f>LOOKUP(J17,HM!$U$15:$U$655,HM!$X$15:$X$655)</f>
        <v>64</v>
      </c>
      <c r="P17" s="201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9" t="str">
        <f>LOOKUP(C18,HM!$U$15:$U$655,HM!$V$15:$V$655)</f>
        <v>Fragilidad</v>
      </c>
      <c r="E18" s="229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201">
        <f>LOOKUP($H$2,HM!$D$2:$D$12,HM!$T$2:$T$12)</f>
        <v>15001</v>
      </c>
      <c r="K18" s="201"/>
      <c r="L18" s="201" t="str">
        <f>LOOKUP(J18,HM!$U$15:$U$655,HM!$V$15:$V$655)</f>
        <v>Terror</v>
      </c>
      <c r="M18" s="201"/>
      <c r="N18" s="201"/>
      <c r="O18" s="201">
        <f>LOOKUP(J18,HM!$U$15:$U$655,HM!$X$15:$X$655)</f>
        <v>64</v>
      </c>
      <c r="P18" s="201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9" t="str">
        <f>LOOKUP(C19,HM!$U$15:$U$655,HM!$V$15:$V$655)</f>
        <v>Fragilidad</v>
      </c>
      <c r="E19" s="229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201">
        <f>LOOKUP($H$2,HM!$D$2:$D$12,HM!$U$2:$U$12)</f>
        <v>16001</v>
      </c>
      <c r="K19" s="201"/>
      <c r="L19" s="201" t="str">
        <f>LOOKUP(J19,HM!$U$15:$U$655,HM!$V$15:$V$655)</f>
        <v>Terror</v>
      </c>
      <c r="M19" s="201"/>
      <c r="N19" s="201"/>
      <c r="O19" s="201">
        <f>LOOKUP(J19,HM!$U$15:$U$655,HM!$X$15:$X$655)</f>
        <v>64</v>
      </c>
      <c r="P19" s="201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9" t="str">
        <f>LOOKUP(C20,HM!$U$15:$U$655,HM!$V$15:$V$655)</f>
        <v>Fragilidad</v>
      </c>
      <c r="E20" s="229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201">
        <f>LOOKUP($H$2,HM!$D$2:$D$12,HM!$V$2:$V$12)</f>
        <v>17001</v>
      </c>
      <c r="K20" s="201"/>
      <c r="L20" s="201" t="str">
        <f>LOOKUP(J20,HM!$U$15:$U$655,HM!$V$15:$V$655)</f>
        <v>Terror</v>
      </c>
      <c r="M20" s="201"/>
      <c r="N20" s="201"/>
      <c r="O20" s="201">
        <f>LOOKUP(J20,HM!$U$15:$U$655,HM!$X$15:$X$655)</f>
        <v>64</v>
      </c>
      <c r="P20" s="201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9" t="str">
        <f>LOOKUP(C21,HM!$U$15:$U$655,HM!$V$15:$V$655)</f>
        <v>Fragilidad</v>
      </c>
      <c r="E21" s="229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201">
        <f>LOOKUP($H$2,HM!$D$2:$D$12,HM!$W$2:$W$12)</f>
        <v>18001</v>
      </c>
      <c r="K21" s="201"/>
      <c r="L21" s="201" t="str">
        <f>LOOKUP(J21,HM!$U$15:$U$655,HM!$V$15:$V$655)</f>
        <v>Terror</v>
      </c>
      <c r="M21" s="201"/>
      <c r="N21" s="201"/>
      <c r="O21" s="201">
        <f>LOOKUP(J21,HM!$U$15:$U$655,HM!$X$15:$X$655)</f>
        <v>64</v>
      </c>
      <c r="P21" s="201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9" t="str">
        <f>LOOKUP(C22,HM!$U$15:$U$655,HM!$V$15:$V$655)</f>
        <v>Gula</v>
      </c>
      <c r="E22" s="229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201">
        <f>LOOKUP($H$2,HM!$D$2:$D$12,HM!$X$2:$X$12)</f>
        <v>19001</v>
      </c>
      <c r="K22" s="201"/>
      <c r="L22" s="201" t="str">
        <f>LOOKUP(J22,HM!$U$15:$U$655,HM!$V$15:$V$655)</f>
        <v>Vuelo</v>
      </c>
      <c r="M22" s="201"/>
      <c r="N22" s="201"/>
      <c r="O22" s="201">
        <f>LOOKUP(J22,HM!$U$15:$U$655,HM!$X$15:$X$655)</f>
        <v>30</v>
      </c>
      <c r="P22" s="201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9" t="str">
        <f>LOOKUP(C23,HM!$U$15:$U$655,HM!$V$15:$V$655)</f>
        <v>Gula</v>
      </c>
      <c r="E23" s="229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201">
        <f>LOOKUP($H$2,HM!$D$2:$D$12,HM!$Y$2:$Y$12)</f>
        <v>20001</v>
      </c>
      <c r="K23" s="201"/>
      <c r="L23" s="201" t="str">
        <f>LOOKUP(J23,HM!$U$15:$U$655,HM!$V$15:$V$655)</f>
        <v>Vuelo</v>
      </c>
      <c r="M23" s="201"/>
      <c r="N23" s="201"/>
      <c r="O23" s="201">
        <f>LOOKUP(J23,HM!$U$15:$U$655,HM!$X$15:$X$655)</f>
        <v>30</v>
      </c>
      <c r="P23" s="201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9" t="str">
        <f>LOOKUP(C24,HM!$U$15:$U$655,HM!$V$15:$V$655)</f>
        <v>Hablar con los Muertos</v>
      </c>
      <c r="E24" s="229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201">
        <f>LOOKUP($H$2,HM!$D$2:$D$12,HM!$Z$2:$Z$12)</f>
        <v>21001</v>
      </c>
      <c r="K24" s="201"/>
      <c r="L24" s="201" t="str">
        <f>LOOKUP(J24,HM!$U$15:$U$655,HM!$V$15:$V$655)</f>
        <v>Vuelo</v>
      </c>
      <c r="M24" s="201"/>
      <c r="N24" s="201"/>
      <c r="O24" s="201">
        <f>LOOKUP(J24,HM!$U$15:$U$655,HM!$X$15:$X$655)</f>
        <v>30</v>
      </c>
      <c r="P24" s="201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9" t="str">
        <f>LOOKUP(C25,HM!$U$15:$U$655,HM!$V$15:$V$655)</f>
        <v>Hablar con los Muertos</v>
      </c>
      <c r="E25" s="229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201">
        <f>LOOKUP($H$2,HM!$D$2:$D$12,HM!$AA$2:$AA$12)</f>
        <v>22001</v>
      </c>
      <c r="K25" s="201"/>
      <c r="L25" s="201" t="str">
        <f>LOOKUP(J25,HM!$U$15:$U$655,HM!$V$15:$V$655)</f>
        <v>Vuelo</v>
      </c>
      <c r="M25" s="201"/>
      <c r="N25" s="201"/>
      <c r="O25" s="201">
        <f>LOOKUP(J25,HM!$U$15:$U$655,HM!$X$15:$X$655)</f>
        <v>30</v>
      </c>
      <c r="P25" s="201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9" t="str">
        <f>LOOKUP(C26,HM!$U$15:$U$655,HM!$V$15:$V$655)</f>
        <v>Hablar con los Muertos</v>
      </c>
      <c r="E26" s="229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201">
        <f>LOOKUP($H$2,HM!$D$2:$D$12,HM!$AB$2:$AB$12)</f>
        <v>23001</v>
      </c>
      <c r="K26" s="201"/>
      <c r="L26" s="201" t="str">
        <f>LOOKUP(J26,HM!$U$15:$U$655,HM!$V$15:$V$655)</f>
        <v>Vuelo</v>
      </c>
      <c r="M26" s="201"/>
      <c r="N26" s="201"/>
      <c r="O26" s="201">
        <f>LOOKUP(J26,HM!$U$15:$U$655,HM!$X$15:$X$655)</f>
        <v>30</v>
      </c>
      <c r="P26" s="201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9" t="str">
        <f>LOOKUP(C27,HM!$U$15:$U$655,HM!$V$15:$V$655)</f>
        <v>Terror</v>
      </c>
      <c r="E27" s="229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01">
        <f>LOOKUP($H$2,HM!$D$2:$D$12,HM!$AC$2:$AC$12)</f>
        <v>24001</v>
      </c>
      <c r="K27" s="201"/>
      <c r="L27" s="201" t="str">
        <f>LOOKUP(J27,HM!$U$15:$U$655,HM!$V$15:$V$655)</f>
        <v>Vuelo</v>
      </c>
      <c r="M27" s="201"/>
      <c r="N27" s="201"/>
      <c r="O27" s="201">
        <f>LOOKUP(J27,HM!$U$15:$U$655,HM!$X$15:$X$655)</f>
        <v>30</v>
      </c>
      <c r="P27" s="201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9" t="str">
        <f>LOOKUP(C28,HM!$U$15:$U$655,HM!$V$15:$V$655)</f>
        <v>Terror</v>
      </c>
      <c r="E28" s="229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01">
        <f>LOOKUP($H$2,HM!$D$2:$D$12,HM!$AD$2:$AD$12)</f>
        <v>25001</v>
      </c>
      <c r="K28" s="201"/>
      <c r="L28" s="201" t="str">
        <f>LOOKUP(J28,HM!$U$15:$U$655,HM!$V$15:$V$655)</f>
        <v>Vuelo</v>
      </c>
      <c r="M28" s="201"/>
      <c r="N28" s="201"/>
      <c r="O28" s="201">
        <f>LOOKUP(J28,HM!$U$15:$U$655,HM!$X$15:$X$655)</f>
        <v>30</v>
      </c>
      <c r="P28" s="201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9" t="str">
        <f>LOOKUP(C29,HM!$U$15:$U$655,HM!$V$15:$V$655)</f>
        <v>Terror</v>
      </c>
      <c r="E29" s="229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01">
        <f>LOOKUP($H$2,HM!$D$2:$D$12,HM!$AE$2:$AE$12)</f>
        <v>26001</v>
      </c>
      <c r="K29" s="201"/>
      <c r="L29" s="201" t="str">
        <f>LOOKUP(J29,HM!$U$15:$U$655,HM!$V$15:$V$655)</f>
        <v>Vuelo</v>
      </c>
      <c r="M29" s="201"/>
      <c r="N29" s="201"/>
      <c r="O29" s="201">
        <f>LOOKUP(J29,HM!$U$15:$U$655,HM!$X$15:$X$655)</f>
        <v>30</v>
      </c>
      <c r="P29" s="201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201">
        <f>LOOKUP($H$2,HM!$D$2:$D$12,HM!$AF$2:$AF$12)</f>
        <v>27001</v>
      </c>
      <c r="K30" s="201"/>
      <c r="L30" s="201" t="str">
        <f>LOOKUP(J30,HM!$U$15:$U$655,HM!$V$15:$V$655)</f>
        <v>Vuelo</v>
      </c>
      <c r="M30" s="201"/>
      <c r="N30" s="201"/>
      <c r="O30" s="201">
        <f>LOOKUP(J30,HM!$U$15:$U$655,HM!$X$15:$X$655)</f>
        <v>30</v>
      </c>
      <c r="P30" s="201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201">
        <f>LOOKUP($H$2,HM!$D$2:$D$12,HM!$AG$2:$AG$12)</f>
        <v>28001</v>
      </c>
      <c r="K31" s="201"/>
      <c r="L31" s="201" t="str">
        <f>LOOKUP(J31,HM!$U$15:$U$655,HM!$V$15:$V$655)</f>
        <v>Zona de Ocultación</v>
      </c>
      <c r="M31" s="201"/>
      <c r="N31" s="201"/>
      <c r="O31" s="201">
        <f>LOOKUP(J31,HM!$U$15:$U$655,HM!$X$15:$X$655)</f>
        <v>48</v>
      </c>
      <c r="P31" s="201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201">
        <f>LOOKUP($H$2,HM!$D$2:$D$12,HM!$AH$2:$AH$12)</f>
        <v>29001</v>
      </c>
      <c r="K32" s="201"/>
      <c r="L32" s="201" t="str">
        <f>LOOKUP(J32,HM!$U$15:$U$655,HM!$V$15:$V$655)</f>
        <v>Zona de Ocultación</v>
      </c>
      <c r="M32" s="201"/>
      <c r="N32" s="201"/>
      <c r="O32" s="201">
        <f>LOOKUP(J32,HM!$U$15:$U$655,HM!$X$15:$X$655)</f>
        <v>48</v>
      </c>
      <c r="P32" s="201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201">
        <f>LOOKUP($H$2,HM!$D$2:$D$12,HM!$AI$2:$AI$12)</f>
        <v>30001</v>
      </c>
      <c r="K33" s="201"/>
      <c r="L33" s="201" t="str">
        <f>LOOKUP(J33,HM!$U$15:$U$655,HM!$V$15:$V$655)</f>
        <v>Zona de Ocultación</v>
      </c>
      <c r="M33" s="201"/>
      <c r="N33" s="201"/>
      <c r="O33" s="201">
        <f>LOOKUP(J33,HM!$U$15:$U$655,HM!$X$15:$X$655)</f>
        <v>48</v>
      </c>
      <c r="P33" s="201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201">
        <f>LOOKUP($H$2,HM!$D$2:$D$12,HM!$AJ$2:$AJ$12)</f>
        <v>31001</v>
      </c>
      <c r="K34" s="201"/>
      <c r="L34" s="201" t="str">
        <f>LOOKUP(J34,HM!$U$15:$U$655,HM!$V$15:$V$655)</f>
        <v>Zona de Ocultación</v>
      </c>
      <c r="M34" s="201"/>
      <c r="N34" s="201"/>
      <c r="O34" s="201">
        <f>LOOKUP(J34,HM!$U$15:$U$655,HM!$X$15:$X$655)</f>
        <v>48</v>
      </c>
      <c r="P34" s="201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201">
        <f>LOOKUP($H$2,HM!$D$2:$D$12,HM!$AK$2:$AK$12)</f>
        <v>32001</v>
      </c>
      <c r="K35" s="201"/>
      <c r="L35" s="201" t="str">
        <f>LOOKUP(J35,HM!$U$15:$U$655,HM!$V$15:$V$655)</f>
        <v>Zona de Ocultación</v>
      </c>
      <c r="M35" s="201"/>
      <c r="N35" s="201"/>
      <c r="O35" s="201">
        <f>LOOKUP(J35,HM!$U$15:$U$655,HM!$X$15:$X$655)</f>
        <v>48</v>
      </c>
      <c r="P35" s="201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201">
        <f>LOOKUP($H$2,HM!$D$2:$D$12,HM!$AL$2:$AL$12)</f>
        <v>33001</v>
      </c>
      <c r="K36" s="201"/>
      <c r="L36" s="201" t="str">
        <f>LOOKUP(J36,HM!$U$15:$U$655,HM!$V$15:$V$655)</f>
        <v>Zona de Ocultación</v>
      </c>
      <c r="M36" s="201"/>
      <c r="N36" s="201"/>
      <c r="O36" s="201">
        <f>LOOKUP(J36,HM!$U$15:$U$655,HM!$X$15:$X$655)</f>
        <v>48</v>
      </c>
      <c r="P36" s="201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201">
        <f>LOOKUP($H$2,HM!$D$2:$D$12,HM!$AM$2:$AM$12)</f>
        <v>34001</v>
      </c>
      <c r="K37" s="201"/>
      <c r="L37" s="201" t="str">
        <f>LOOKUP(J37,HM!$U$15:$U$655,HM!$V$15:$V$655)</f>
        <v>Zona Resbaladiza</v>
      </c>
      <c r="M37" s="201"/>
      <c r="N37" s="201"/>
      <c r="O37" s="201" t="str">
        <f>LOOKUP(J37,HM!$U$15:$U$655,HM!$X$15:$X$655)</f>
        <v>10 a 20</v>
      </c>
      <c r="P37" s="201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201">
        <f>LOOKUP($H$2,HM!$D$2:$D$12,HM!$AN$2:$AN$12)</f>
        <v>35001</v>
      </c>
      <c r="K38" s="201"/>
      <c r="L38" s="201" t="str">
        <f>LOOKUP(J38,HM!$U$15:$U$655,HM!$V$15:$V$655)</f>
        <v>Zona Resbaladiza</v>
      </c>
      <c r="M38" s="201"/>
      <c r="N38" s="201"/>
      <c r="O38" s="201" t="str">
        <f>LOOKUP(J38,HM!$U$15:$U$655,HM!$X$15:$X$655)</f>
        <v>10 a 20</v>
      </c>
      <c r="P38" s="201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201">
        <f>LOOKUP($H$2,HM!$D$2:$D$12,HM!$AO$2:$AO$12)</f>
        <v>36001</v>
      </c>
      <c r="K39" s="201"/>
      <c r="L39" s="201" t="str">
        <f>LOOKUP(J39,HM!$U$15:$U$655,HM!$V$15:$V$655)</f>
        <v>Zona Resbaladiza</v>
      </c>
      <c r="M39" s="201"/>
      <c r="N39" s="201"/>
      <c r="O39" s="201" t="str">
        <f>LOOKUP(J39,HM!$U$15:$U$655,HM!$X$15:$X$655)</f>
        <v>10 a 20</v>
      </c>
      <c r="P39" s="201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201">
        <f>LOOKUP($H$2,HM!$D$2:$D$12,HM!$AP$2:$AP$12)</f>
        <v>37001</v>
      </c>
      <c r="K40" s="201"/>
      <c r="L40" s="201" t="str">
        <f>LOOKUP(J40,HM!$U$15:$U$655,HM!$V$15:$V$655)</f>
        <v>Zona Resbaladiza</v>
      </c>
      <c r="M40" s="201"/>
      <c r="N40" s="201"/>
      <c r="O40" s="201" t="str">
        <f>LOOKUP(J40,HM!$U$15:$U$655,HM!$X$15:$X$655)</f>
        <v>10 a 20</v>
      </c>
      <c r="P40" s="201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201">
        <f>LOOKUP($H$2,HM!$D$2:$D$12,HM!$AQ$2:$AQ$12)</f>
        <v>38001</v>
      </c>
      <c r="K41" s="201"/>
      <c r="L41" s="201" t="str">
        <f>LOOKUP(J41,HM!$U$15:$U$655,HM!$V$15:$V$655)</f>
        <v>Zona Resbaladiza</v>
      </c>
      <c r="M41" s="201"/>
      <c r="N41" s="201"/>
      <c r="O41" s="201" t="str">
        <f>LOOKUP(J41,HM!$U$15:$U$655,HM!$X$15:$X$655)</f>
        <v>10 a 20</v>
      </c>
      <c r="P41" s="201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201">
        <f>LOOKUP($H$2,HM!$D$2:$D$12,HM!$AR$2:$AR$12)</f>
        <v>39001</v>
      </c>
      <c r="K42" s="201"/>
      <c r="L42" s="201" t="str">
        <f>LOOKUP(J42,HM!$U$15:$U$655,HM!$V$15:$V$655)</f>
        <v>Zona Resbaladiza</v>
      </c>
      <c r="M42" s="201"/>
      <c r="N42" s="201"/>
      <c r="O42" s="201" t="str">
        <f>LOOKUP(J42,HM!$U$15:$U$655,HM!$X$15:$X$655)</f>
        <v>10 a 20</v>
      </c>
      <c r="P42" s="201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201">
        <f>LOOKUP($H$2,HM!$D$2:$D$12,HM!$AS$2:$AS$12)</f>
        <v>40001</v>
      </c>
      <c r="K43" s="201"/>
      <c r="L43" s="201" t="str">
        <f>LOOKUP(J43,HM!$U$15:$U$655,HM!$V$15:$V$655)</f>
        <v>Zona Resbaladiza</v>
      </c>
      <c r="M43" s="201"/>
      <c r="N43" s="201"/>
      <c r="O43" s="201" t="str">
        <f>LOOKUP(J43,HM!$U$15:$U$655,HM!$X$15:$X$655)</f>
        <v>10 a 20</v>
      </c>
      <c r="P43" s="201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209" t="s">
        <v>0</v>
      </c>
      <c r="C51" s="209"/>
      <c r="D51" s="189" t="s">
        <v>181</v>
      </c>
      <c r="E51" s="189"/>
      <c r="F51" s="189"/>
      <c r="G51" s="209" t="s">
        <v>182</v>
      </c>
      <c r="H51" s="209"/>
      <c r="I51" s="209" t="s">
        <v>181</v>
      </c>
      <c r="J51" s="209"/>
      <c r="K51" s="209"/>
      <c r="L51" s="209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210"/>
      <c r="B52" s="211"/>
      <c r="C52" s="211"/>
      <c r="D52" s="212" t="e">
        <f>LOOKUP(B52,HM!$V$15:$V$655,HM!$W$15:$W$655)</f>
        <v>#N/A</v>
      </c>
      <c r="E52" s="212"/>
      <c r="F52" s="212"/>
      <c r="G52" s="209" t="s">
        <v>2</v>
      </c>
      <c r="H52" s="209"/>
      <c r="I52" s="211" t="e">
        <f>LOOKUP(B52,HM!$V$15:$V$655,HM!$AA$15:$AA$655)</f>
        <v>#N/A</v>
      </c>
      <c r="J52" s="211"/>
      <c r="K52" s="211"/>
      <c r="L52" s="211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210"/>
      <c r="B53" s="211"/>
      <c r="C53" s="211"/>
      <c r="D53" s="212"/>
      <c r="E53" s="212"/>
      <c r="F53" s="212"/>
      <c r="G53" s="209" t="s">
        <v>190</v>
      </c>
      <c r="H53" s="209"/>
      <c r="I53" s="211" t="e">
        <f>LOOKUP(B52,HM!$V$15:$V$655,HM!$AE$15:$AE$655)</f>
        <v>#N/A</v>
      </c>
      <c r="J53" s="211"/>
      <c r="K53" s="211"/>
      <c r="L53" s="211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212"/>
      <c r="E54" s="212"/>
      <c r="F54" s="212"/>
      <c r="G54" s="209" t="s">
        <v>193</v>
      </c>
      <c r="H54" s="209"/>
      <c r="I54" s="211" t="e">
        <f>LOOKUP(B52,HM!$V$15:$V$655,HM!$AI$15:$AI$655)</f>
        <v>#N/A</v>
      </c>
      <c r="J54" s="211"/>
      <c r="K54" s="211"/>
      <c r="L54" s="211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212"/>
      <c r="E55" s="212"/>
      <c r="F55" s="212"/>
      <c r="G55" s="209" t="s">
        <v>196</v>
      </c>
      <c r="H55" s="209"/>
      <c r="I55" s="211" t="e">
        <f>LOOKUP(B52,HM!$V$15:$V$655,HM!$AM$15:$AM$655)</f>
        <v>#N/A</v>
      </c>
      <c r="J55" s="211"/>
      <c r="K55" s="211"/>
      <c r="L55" s="211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2" t="s">
        <v>4516</v>
      </c>
      <c r="B1" s="230" t="s">
        <v>4517</v>
      </c>
      <c r="C1" s="230"/>
    </row>
    <row r="2" spans="1:3" x14ac:dyDescent="0.2">
      <c r="A2" s="62">
        <v>11</v>
      </c>
      <c r="B2" s="230" t="str">
        <f>LOOKUP($A$2,HP!$H$1:$I$14)</f>
        <v>Electromagnetismo</v>
      </c>
      <c r="C2" s="230"/>
    </row>
    <row r="3" spans="1:3" x14ac:dyDescent="0.2">
      <c r="A3" s="230" t="s">
        <v>24</v>
      </c>
      <c r="B3" s="230"/>
      <c r="C3" s="230"/>
    </row>
    <row r="4" spans="1:3" x14ac:dyDescent="0.2">
      <c r="A4" s="62">
        <f>LOOKUP($A$2,HP!$H$1:$H$14,HP!$J$1:$J$14)</f>
        <v>1101</v>
      </c>
      <c r="B4" s="230" t="str">
        <f>LOOKUP(A4,HP!$H$17:$H$141,HP!$I$17:$I$141)</f>
        <v>Localización psíquica</v>
      </c>
      <c r="C4" s="230"/>
    </row>
    <row r="5" spans="1:3" x14ac:dyDescent="0.2">
      <c r="A5" s="62">
        <f>LOOKUP($A$2,HP!$H$1:$H$14,HP!$K$1:$K$14)</f>
        <v>1102</v>
      </c>
      <c r="B5" s="230" t="str">
        <f>LOOKUP(A5,HP!$H$17:$H$141,HP!$I$17:$I$141)</f>
        <v>Localización psíquica</v>
      </c>
      <c r="C5" s="230"/>
    </row>
    <row r="6" spans="1:3" x14ac:dyDescent="0.2">
      <c r="A6" s="62">
        <f>LOOKUP($A$2,HP!$H$1:$H$14,HP!$L$1:$L$14)</f>
        <v>1103</v>
      </c>
      <c r="B6" s="230" t="str">
        <f>LOOKUP(A6,HP!$H$17:$H$141,HP!$I$17:$I$141)</f>
        <v>Localización psíquica</v>
      </c>
      <c r="C6" s="230"/>
    </row>
    <row r="7" spans="1:3" x14ac:dyDescent="0.2">
      <c r="A7" s="62">
        <f>LOOKUP($A$2,HP!$H$1:$H$14,HP!$M$1:$M$14)</f>
        <v>1104</v>
      </c>
      <c r="B7" s="230" t="str">
        <f>LOOKUP(A7,HP!$H$17:$H$141,HP!$I$17:$I$141)</f>
        <v>Manipulación magnética</v>
      </c>
      <c r="C7" s="230"/>
    </row>
    <row r="8" spans="1:3" x14ac:dyDescent="0.2">
      <c r="A8" s="62">
        <f>LOOKUP($A$2,HP!$H$1:$H$14,HP!$N$1:$N$14)</f>
        <v>1105</v>
      </c>
      <c r="B8" s="230" t="str">
        <f>LOOKUP(A8,HP!$H$17:$H$141,HP!$I$17:$I$141)</f>
        <v>Manipulación magnética</v>
      </c>
      <c r="C8" s="230"/>
    </row>
    <row r="9" spans="1:3" x14ac:dyDescent="0.2">
      <c r="A9" s="62">
        <f>LOOKUP($A$2,HP!$H$1:$H$14,HP!$O$1:$O$14)</f>
        <v>1106</v>
      </c>
      <c r="B9" s="230" t="str">
        <f>LOOKUP(A9,HP!$H$17:$H$141,HP!$I$17:$I$141)</f>
        <v>Manipulación magnética</v>
      </c>
      <c r="C9" s="230"/>
    </row>
    <row r="10" spans="1:3" x14ac:dyDescent="0.2">
      <c r="A10" s="62">
        <f>LOOKUP($A$2,HP!$H$1:$H$14,HP!$P$1:$P$14)</f>
        <v>1107</v>
      </c>
      <c r="B10" s="230" t="str">
        <f>LOOKUP(A10,HP!$H$17:$H$141,HP!$I$17:$I$141)</f>
        <v>Manipulación magnética</v>
      </c>
      <c r="C10" s="230"/>
    </row>
    <row r="11" spans="1:3" x14ac:dyDescent="0.2">
      <c r="A11" s="62">
        <f>LOOKUP($A$2,HP!$H$1:$H$14,HP!$Q$1:$Q$14)</f>
        <v>1108</v>
      </c>
      <c r="B11" s="230" t="str">
        <f>LOOKUP(A11,HP!$H$17:$H$141,HP!$I$17:$I$141)</f>
        <v>Manipulación magnética</v>
      </c>
      <c r="C11" s="230"/>
    </row>
    <row r="12" spans="1:3" x14ac:dyDescent="0.2">
      <c r="A12" s="62">
        <f>LOOKUP($A$2,HP!$H$1:$H$14,HP!$R$1:$R$14)</f>
        <v>1109</v>
      </c>
      <c r="B12" s="230" t="str">
        <f>LOOKUP(A12,HP!$H$17:$H$141,HP!$I$17:$I$141)</f>
        <v>Manipulación magnética</v>
      </c>
      <c r="C12" s="230"/>
    </row>
    <row r="13" spans="1:3" x14ac:dyDescent="0.2">
      <c r="A13" s="62">
        <f>LOOKUP($A$2,HP!$H$1:$H$14,HP!$S$1:$S$14)</f>
        <v>0</v>
      </c>
      <c r="B13" s="230">
        <f>LOOKUP(A13,HP!$H$17:$H$141,HP!$I$17:$I$141)</f>
        <v>0</v>
      </c>
      <c r="C13" s="230"/>
    </row>
    <row r="14" spans="1:3" x14ac:dyDescent="0.2">
      <c r="A14" s="62">
        <f>LOOKUP($A$2,HP!$H$1:$H$14,HP!$T$1:$T$14)</f>
        <v>0</v>
      </c>
      <c r="B14" s="230">
        <f>LOOKUP(A14,HP!$H$17:$H$141,HP!$I$17:$I$141)</f>
        <v>0</v>
      </c>
      <c r="C14" s="230"/>
    </row>
    <row r="15" spans="1:3" x14ac:dyDescent="0.2">
      <c r="A15" s="62">
        <f>LOOKUP($A$2,HP!$H$1:$H$14,HP!$U$1:$U$14)</f>
        <v>0</v>
      </c>
      <c r="B15" s="230">
        <f>LOOKUP(A15,HP!$H$17:$H$141,HP!$I$17:$I$141)</f>
        <v>0</v>
      </c>
      <c r="C15" s="230"/>
    </row>
    <row r="16" spans="1:3" x14ac:dyDescent="0.2">
      <c r="A16" s="62">
        <f>LOOKUP($A$2,HP!$H$1:$H$14,HP!$V$1:$V$14)</f>
        <v>0</v>
      </c>
      <c r="B16" s="230">
        <f>LOOKUP(A16,HP!$H$17:$H$141,HP!$I$17:$I$141)</f>
        <v>0</v>
      </c>
      <c r="C16" s="230"/>
    </row>
    <row r="17" spans="1:5" x14ac:dyDescent="0.2">
      <c r="A17" s="62">
        <f>LOOKUP($A$2,HP!$H$1:$H$14,HP!$W$1:$W$14)</f>
        <v>0</v>
      </c>
      <c r="B17" s="230">
        <f>LOOKUP(A17,HP!$H$17:$H$141,HP!$I$17:$I$141)</f>
        <v>0</v>
      </c>
      <c r="C17" s="230"/>
    </row>
    <row r="18" spans="1:5" x14ac:dyDescent="0.2">
      <c r="A18" s="62">
        <f>LOOKUP($A$2,HP!$H$1:$H$14,HP!$X$1:$X$14)</f>
        <v>0</v>
      </c>
      <c r="B18" s="230">
        <f>LOOKUP(A18,HP!$H$17:$H$141,HP!$I$17:$I$141)</f>
        <v>0</v>
      </c>
      <c r="C18" s="230"/>
    </row>
    <row r="19" spans="1:5" x14ac:dyDescent="0.2">
      <c r="A19" s="63"/>
      <c r="B19" s="231"/>
      <c r="C19" s="231"/>
    </row>
    <row r="20" spans="1:5" x14ac:dyDescent="0.2">
      <c r="A20" s="69" t="s">
        <v>186</v>
      </c>
      <c r="B20" s="157" t="s">
        <v>0</v>
      </c>
      <c r="C20" s="157"/>
      <c r="E20" s="99" t="s">
        <v>5477</v>
      </c>
    </row>
    <row r="21" spans="1:5" x14ac:dyDescent="0.2">
      <c r="A21" s="68"/>
      <c r="B21" s="154"/>
      <c r="C21" s="154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7" t="s">
        <v>153</v>
      </c>
      <c r="B24" s="169" t="str">
        <f>LOOKUP(B21,HP!$I$17:$I$141,HP!$M$17:$M$141)</f>
        <v>NA</v>
      </c>
      <c r="C24" s="169"/>
    </row>
    <row r="25" spans="1:5" x14ac:dyDescent="0.2">
      <c r="A25" s="157"/>
      <c r="B25" s="169"/>
      <c r="C25" s="169"/>
    </row>
    <row r="26" spans="1:5" x14ac:dyDescent="0.2">
      <c r="A26" s="157"/>
      <c r="B26" s="169"/>
      <c r="C26" s="169"/>
    </row>
    <row r="27" spans="1:5" x14ac:dyDescent="0.2">
      <c r="A27" s="68">
        <v>20</v>
      </c>
      <c r="B27" s="154" t="str">
        <f>LOOKUP(B21,HP!$I$17:$I$141,HP!$N$17:$N$141)</f>
        <v>NA</v>
      </c>
      <c r="C27" s="154"/>
    </row>
    <row r="28" spans="1:5" x14ac:dyDescent="0.2">
      <c r="A28" s="68">
        <v>40</v>
      </c>
      <c r="B28" s="154" t="str">
        <f>LOOKUP(B21,HP!$I$17:$I$141,HP!$O$17:$O$141)</f>
        <v>NA</v>
      </c>
      <c r="C28" s="154"/>
    </row>
    <row r="29" spans="1:5" x14ac:dyDescent="0.2">
      <c r="A29" s="68">
        <v>80</v>
      </c>
      <c r="B29" s="154" t="str">
        <f>LOOKUP(B21,HP!$I$17:$I$141,HP!$P$17:$P$141)</f>
        <v>NA</v>
      </c>
      <c r="C29" s="154"/>
    </row>
    <row r="30" spans="1:5" x14ac:dyDescent="0.2">
      <c r="A30" s="68">
        <v>120</v>
      </c>
      <c r="B30" s="154" t="str">
        <f>LOOKUP(B21,HP!$I$17:$I$141,HP!$Q$17:$Q$141)</f>
        <v>NA</v>
      </c>
      <c r="C30" s="154"/>
    </row>
    <row r="31" spans="1:5" x14ac:dyDescent="0.2">
      <c r="A31" s="68">
        <v>140</v>
      </c>
      <c r="B31" s="154" t="str">
        <f>LOOKUP(B21,HP!$I$17:$I$141,HP!$R$17:$R$141)</f>
        <v>NA</v>
      </c>
      <c r="C31" s="154"/>
    </row>
    <row r="32" spans="1:5" x14ac:dyDescent="0.2">
      <c r="A32" s="68">
        <v>180</v>
      </c>
      <c r="B32" s="154" t="str">
        <f>LOOKUP(B21,HP!$I$17:$I$141,HP!$S$17:$S$141)</f>
        <v>NA</v>
      </c>
      <c r="C32" s="154"/>
    </row>
    <row r="33" spans="1:4" x14ac:dyDescent="0.2">
      <c r="A33" s="68">
        <v>240</v>
      </c>
      <c r="B33" s="154" t="str">
        <f>LOOKUP(B21,HP!$I$17:$I$141,HP!$T$17:$T$141)</f>
        <v>NA</v>
      </c>
      <c r="C33" s="154"/>
    </row>
    <row r="34" spans="1:4" x14ac:dyDescent="0.2">
      <c r="A34" s="68">
        <v>280</v>
      </c>
      <c r="B34" s="154" t="str">
        <f>LOOKUP(B21,HP!$I$17:$I$141,HP!$U$17:$U$141)</f>
        <v>NA</v>
      </c>
      <c r="C34" s="154"/>
    </row>
    <row r="35" spans="1:4" x14ac:dyDescent="0.2">
      <c r="A35" s="68">
        <v>320</v>
      </c>
      <c r="B35" s="154" t="str">
        <f>LOOKUP(B21,HP!$I$17:$I$141,HP!$V$17:$V$141)</f>
        <v>NA</v>
      </c>
      <c r="C35" s="154"/>
    </row>
    <row r="36" spans="1:4" x14ac:dyDescent="0.2">
      <c r="A36" s="68">
        <v>440</v>
      </c>
      <c r="B36" s="154" t="str">
        <f>LOOKUP(B21,HP!$I$17:$I$141,HP!$W$17:$W$141)</f>
        <v>NA</v>
      </c>
      <c r="C36" s="154"/>
    </row>
    <row r="43" spans="1:4" x14ac:dyDescent="0.2">
      <c r="A43" s="69" t="s">
        <v>186</v>
      </c>
      <c r="B43" s="157" t="s">
        <v>0</v>
      </c>
      <c r="C43" s="157"/>
      <c r="D43" s="157"/>
    </row>
    <row r="44" spans="1:4" x14ac:dyDescent="0.2">
      <c r="A44" s="68"/>
      <c r="B44" s="154"/>
      <c r="C44" s="154"/>
      <c r="D44" s="154"/>
    </row>
    <row r="45" spans="1:4" x14ac:dyDescent="0.2">
      <c r="A45" s="69" t="s">
        <v>17</v>
      </c>
      <c r="B45" s="69" t="s">
        <v>192</v>
      </c>
      <c r="C45" s="157" t="s">
        <v>194</v>
      </c>
      <c r="D45" s="157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4" t="str">
        <f>LOOKUP(B44,HP!$I$17:$I$141,HP!$L$17:$L$141)</f>
        <v>No</v>
      </c>
      <c r="D46" s="154"/>
    </row>
    <row r="47" spans="1:4" x14ac:dyDescent="0.2">
      <c r="A47" s="157" t="s">
        <v>153</v>
      </c>
      <c r="B47" s="169" t="str">
        <f>LOOKUP(B44,HP!$I$17:$I$141,HP!$M$17:$M$141)</f>
        <v>NA</v>
      </c>
      <c r="C47" s="169"/>
      <c r="D47" s="169"/>
    </row>
    <row r="48" spans="1:4" x14ac:dyDescent="0.2">
      <c r="A48" s="157"/>
      <c r="B48" s="169"/>
      <c r="C48" s="169"/>
      <c r="D48" s="169"/>
    </row>
    <row r="49" spans="1:4" x14ac:dyDescent="0.2">
      <c r="A49" s="157"/>
      <c r="B49" s="169"/>
      <c r="C49" s="169"/>
      <c r="D49" s="169"/>
    </row>
    <row r="50" spans="1:4" x14ac:dyDescent="0.2">
      <c r="A50" s="68">
        <v>20</v>
      </c>
      <c r="B50" s="154" t="str">
        <f>LOOKUP(B44,HP!$I$17:$I$141,HP!$N$17:$N$141)</f>
        <v>NA</v>
      </c>
      <c r="C50" s="154"/>
      <c r="D50" s="154"/>
    </row>
    <row r="51" spans="1:4" x14ac:dyDescent="0.2">
      <c r="A51" s="68">
        <v>40</v>
      </c>
      <c r="B51" s="154" t="str">
        <f>LOOKUP(B44,HP!$I$17:$I$141,HP!$O$17:$O$141)</f>
        <v>NA</v>
      </c>
      <c r="C51" s="154"/>
      <c r="D51" s="154"/>
    </row>
    <row r="52" spans="1:4" x14ac:dyDescent="0.2">
      <c r="A52" s="68">
        <v>80</v>
      </c>
      <c r="B52" s="154" t="str">
        <f>LOOKUP(B44,HP!$I$17:$I$141,HP!$P$17:$P$141)</f>
        <v>NA</v>
      </c>
      <c r="C52" s="154"/>
      <c r="D52" s="154"/>
    </row>
    <row r="53" spans="1:4" x14ac:dyDescent="0.2">
      <c r="A53" s="68">
        <v>120</v>
      </c>
      <c r="B53" s="154" t="str">
        <f>LOOKUP(B44,HP!$I$17:$I$141,HP!$Q$17:$Q$141)</f>
        <v>NA</v>
      </c>
      <c r="C53" s="154"/>
      <c r="D53" s="154"/>
    </row>
    <row r="54" spans="1:4" x14ac:dyDescent="0.2">
      <c r="A54" s="68">
        <v>140</v>
      </c>
      <c r="B54" s="154" t="str">
        <f>LOOKUP(B44,HP!$I$17:$I$141,HP!$R$17:$R$141)</f>
        <v>NA</v>
      </c>
      <c r="C54" s="154"/>
      <c r="D54" s="154"/>
    </row>
    <row r="55" spans="1:4" x14ac:dyDescent="0.2">
      <c r="A55" s="68">
        <v>180</v>
      </c>
      <c r="B55" s="154" t="str">
        <f>LOOKUP(B44,HP!$I$17:$I$141,HP!$S$17:$S$141)</f>
        <v>NA</v>
      </c>
      <c r="C55" s="154"/>
      <c r="D55" s="154"/>
    </row>
    <row r="56" spans="1:4" x14ac:dyDescent="0.2">
      <c r="A56" s="68">
        <v>240</v>
      </c>
      <c r="B56" s="154" t="str">
        <f>LOOKUP(B44,HP!$I$17:$I$141,HP!$T$17:$T$141)</f>
        <v>NA</v>
      </c>
      <c r="C56" s="154"/>
      <c r="D56" s="154"/>
    </row>
    <row r="57" spans="1:4" x14ac:dyDescent="0.2">
      <c r="A57" s="68">
        <v>280</v>
      </c>
      <c r="B57" s="154" t="str">
        <f>LOOKUP(B44,HP!$I$17:$I$141,HP!$U$17:$U$141)</f>
        <v>NA</v>
      </c>
      <c r="C57" s="154"/>
      <c r="D57" s="154"/>
    </row>
    <row r="58" spans="1:4" x14ac:dyDescent="0.2">
      <c r="A58" s="68">
        <v>320</v>
      </c>
      <c r="B58" s="154" t="str">
        <f>LOOKUP(B44,HP!$I$17:$I$141,HP!$V$17:$V$141)</f>
        <v>NA</v>
      </c>
      <c r="C58" s="154"/>
      <c r="D58" s="154"/>
    </row>
    <row r="59" spans="1:4" x14ac:dyDescent="0.2">
      <c r="A59" s="68">
        <v>440</v>
      </c>
      <c r="B59" s="154" t="str">
        <f>LOOKUP(B44,HP!$I$17:$I$141,HP!$W$17:$W$141)</f>
        <v>NA</v>
      </c>
      <c r="C59" s="154"/>
      <c r="D59" s="154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/>
    <col min="19" max="19" width="6" style="36" customWidth="1"/>
    <col min="20" max="20" width="18.140625" style="36" customWidth="1"/>
    <col min="21" max="21" width="10.28515625" style="36" customWidth="1"/>
    <col min="22" max="22" width="31.140625" style="36" customWidth="1"/>
    <col min="23" max="23" width="126" style="59" customWidth="1"/>
    <col min="24" max="24" width="8.140625" style="36" customWidth="1"/>
    <col min="25" max="25" width="17.85546875" style="36" customWidth="1"/>
    <col min="26" max="26" width="9.28515625" style="36" customWidth="1"/>
    <col min="27" max="27" width="42.42578125" style="36" customWidth="1"/>
    <col min="28" max="28" width="9.7109375" style="60" customWidth="1"/>
    <col min="29" max="29" width="10.28515625" style="60" customWidth="1"/>
    <col min="30" max="30" width="9.42578125" style="60" customWidth="1"/>
    <col min="31" max="31" width="41.28515625" style="36" customWidth="1"/>
    <col min="32" max="32" width="9" style="60" customWidth="1"/>
    <col min="33" max="33" width="9.5703125" style="60" customWidth="1"/>
    <col min="34" max="34" width="8.7109375" style="60" customWidth="1"/>
    <col min="35" max="35" width="38" style="36" customWidth="1"/>
    <col min="36" max="36" width="10.7109375" style="60" customWidth="1"/>
    <col min="37" max="37" width="11.28515625" style="60" customWidth="1"/>
    <col min="38" max="38" width="10.42578125" style="60" customWidth="1"/>
    <col min="39" max="39" width="51.5703125" style="36" customWidth="1"/>
    <col min="40" max="40" width="10.42578125" style="60" customWidth="1"/>
    <col min="41" max="41" width="11" style="60" customWidth="1"/>
    <col min="42" max="42" width="10.140625" style="60" customWidth="1"/>
    <col min="43" max="43" width="17.7109375" style="36" customWidth="1"/>
    <col min="44" max="16384" width="11.42578125" style="36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2017-11-10T10:54:26Z</dcterms:modified>
</cp:coreProperties>
</file>