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CCFD2C6B-AD7C-4B18-8009-1E97A8A7C500}" xr6:coauthVersionLast="47" xr6:coauthVersionMax="47" xr10:uidLastSave="{00000000-0000-0000-0000-000000000000}"/>
  <bookViews>
    <workbookView xWindow="-108" yWindow="-108" windowWidth="23256" windowHeight="12720" xr2:uid="{EFFD592A-B6F9-484D-AA51-F79BFFF83EBA}"/>
  </bookViews>
  <sheets>
    <sheet name="PWM" sheetId="1" r:id="rId1"/>
    <sheet name="POT_DIG" sheetId="2" r:id="rId2"/>
    <sheet name="Rampas" sheetId="3" r:id="rId3"/>
    <sheet name="Voltage-Current" sheetId="4" r:id="rId4"/>
    <sheet name="Duarcion bateria" sheetId="5" r:id="rId5"/>
    <sheet name="Varilla_pro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F17" i="5" s="1"/>
  <c r="C16" i="5"/>
  <c r="F16" i="5" s="1"/>
  <c r="C15" i="5"/>
  <c r="F15" i="5" s="1"/>
  <c r="C14" i="5"/>
  <c r="F14" i="5" s="1"/>
  <c r="C13" i="5"/>
  <c r="F13" i="5" s="1"/>
  <c r="C12" i="5"/>
  <c r="F12" i="5" s="1"/>
  <c r="F3" i="5"/>
  <c r="F4" i="5"/>
  <c r="F5" i="5"/>
  <c r="F6" i="5"/>
  <c r="F7" i="5"/>
  <c r="F8" i="5"/>
  <c r="E5" i="5"/>
  <c r="E8" i="5"/>
  <c r="C3" i="5"/>
  <c r="D3" i="5" s="1"/>
  <c r="C4" i="5"/>
  <c r="D4" i="5" s="1"/>
  <c r="C5" i="5"/>
  <c r="D5" i="5" s="1"/>
  <c r="C6" i="5"/>
  <c r="C7" i="5"/>
  <c r="C8" i="5"/>
  <c r="M52" i="4"/>
  <c r="H52" i="4"/>
  <c r="C52" i="4"/>
  <c r="M51" i="4"/>
  <c r="H51" i="4"/>
  <c r="C51" i="4"/>
  <c r="M50" i="4"/>
  <c r="H50" i="4"/>
  <c r="C50" i="4"/>
  <c r="M49" i="4"/>
  <c r="H49" i="4"/>
  <c r="C49" i="4"/>
  <c r="M48" i="4"/>
  <c r="H48" i="4"/>
  <c r="C48" i="4"/>
  <c r="M47" i="4"/>
  <c r="H47" i="4"/>
  <c r="C47" i="4"/>
  <c r="M46" i="4"/>
  <c r="H46" i="4"/>
  <c r="C46" i="4"/>
  <c r="M45" i="4"/>
  <c r="H45" i="4"/>
  <c r="C45" i="4"/>
  <c r="M44" i="4"/>
  <c r="H44" i="4"/>
  <c r="C44" i="4"/>
  <c r="M43" i="4"/>
  <c r="K43" i="4"/>
  <c r="N43" i="4" s="1"/>
  <c r="H43" i="4"/>
  <c r="C43" i="4"/>
  <c r="M42" i="4"/>
  <c r="K42" i="4"/>
  <c r="N42" i="4" s="1"/>
  <c r="H42" i="4"/>
  <c r="F42" i="4"/>
  <c r="F43" i="4" s="1"/>
  <c r="C42" i="4"/>
  <c r="M41" i="4"/>
  <c r="K41" i="4"/>
  <c r="N41" i="4" s="1"/>
  <c r="H41" i="4"/>
  <c r="F41" i="4"/>
  <c r="I41" i="4" s="1"/>
  <c r="C41" i="4"/>
  <c r="A41" i="4"/>
  <c r="D41" i="4" s="1"/>
  <c r="N40" i="4"/>
  <c r="M40" i="4"/>
  <c r="I40" i="4"/>
  <c r="H40" i="4"/>
  <c r="D40" i="4"/>
  <c r="C40" i="4"/>
  <c r="N39" i="4"/>
  <c r="M39" i="4"/>
  <c r="I39" i="4"/>
  <c r="H39" i="4"/>
  <c r="D39" i="4"/>
  <c r="C39" i="4"/>
  <c r="M34" i="4"/>
  <c r="H34" i="4"/>
  <c r="C34" i="4"/>
  <c r="M33" i="4"/>
  <c r="H33" i="4"/>
  <c r="C33" i="4"/>
  <c r="M32" i="4"/>
  <c r="H32" i="4"/>
  <c r="C32" i="4"/>
  <c r="M31" i="4"/>
  <c r="H31" i="4"/>
  <c r="C31" i="4"/>
  <c r="M30" i="4"/>
  <c r="H30" i="4"/>
  <c r="C30" i="4"/>
  <c r="M29" i="4"/>
  <c r="H29" i="4"/>
  <c r="C29" i="4"/>
  <c r="M28" i="4"/>
  <c r="H28" i="4"/>
  <c r="C28" i="4"/>
  <c r="M27" i="4"/>
  <c r="H27" i="4"/>
  <c r="C27" i="4"/>
  <c r="M26" i="4"/>
  <c r="H26" i="4"/>
  <c r="C26" i="4"/>
  <c r="M25" i="4"/>
  <c r="H25" i="4"/>
  <c r="C25" i="4"/>
  <c r="M24" i="4"/>
  <c r="I24" i="4"/>
  <c r="H24" i="4"/>
  <c r="F24" i="4"/>
  <c r="F25" i="4" s="1"/>
  <c r="C24" i="4"/>
  <c r="N23" i="4"/>
  <c r="M23" i="4"/>
  <c r="K23" i="4"/>
  <c r="K24" i="4" s="1"/>
  <c r="I23" i="4"/>
  <c r="H23" i="4"/>
  <c r="F23" i="4"/>
  <c r="D23" i="4"/>
  <c r="C23" i="4"/>
  <c r="A23" i="4"/>
  <c r="A24" i="4" s="1"/>
  <c r="N22" i="4"/>
  <c r="M22" i="4"/>
  <c r="I22" i="4"/>
  <c r="H22" i="4"/>
  <c r="D22" i="4"/>
  <c r="C22" i="4"/>
  <c r="N21" i="4"/>
  <c r="M21" i="4"/>
  <c r="I21" i="4"/>
  <c r="H21" i="4"/>
  <c r="D21" i="4"/>
  <c r="C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K5" i="4"/>
  <c r="N3" i="4"/>
  <c r="F5" i="4"/>
  <c r="F6" i="4" s="1"/>
  <c r="D3" i="4"/>
  <c r="A14" i="4"/>
  <c r="A15" i="4" s="1"/>
  <c r="A16" i="4" s="1"/>
  <c r="A11" i="4"/>
  <c r="A12" i="4" s="1"/>
  <c r="A13" i="4" s="1"/>
  <c r="A6" i="4"/>
  <c r="A7" i="4" s="1"/>
  <c r="A8" i="4" s="1"/>
  <c r="A9" i="4" s="1"/>
  <c r="A10" i="4" s="1"/>
  <c r="A5" i="4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3" i="1"/>
  <c r="F3" i="1"/>
  <c r="G3" i="1"/>
  <c r="I3" i="1" s="1"/>
  <c r="C2" i="1"/>
  <c r="F2" i="1"/>
  <c r="G2" i="1"/>
  <c r="I2" i="1" s="1"/>
  <c r="C5" i="1"/>
  <c r="F5" i="1"/>
  <c r="G5" i="1"/>
  <c r="I5" i="1" s="1"/>
  <c r="C4" i="1"/>
  <c r="F4" i="1"/>
  <c r="G4" i="1"/>
  <c r="I4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23" i="1"/>
  <c r="F23" i="1"/>
  <c r="G23" i="1"/>
  <c r="I23" i="1" s="1"/>
  <c r="C22" i="1"/>
  <c r="G22" i="1"/>
  <c r="I22" i="1" s="1"/>
  <c r="F22" i="1"/>
  <c r="F21" i="1"/>
  <c r="G21" i="1"/>
  <c r="I21" i="1" s="1"/>
  <c r="C21" i="1"/>
  <c r="D16" i="5" l="1"/>
  <c r="D15" i="5"/>
  <c r="D13" i="5"/>
  <c r="D12" i="5"/>
  <c r="E12" i="5"/>
  <c r="E15" i="5"/>
  <c r="E13" i="5"/>
  <c r="E16" i="5"/>
  <c r="D14" i="5"/>
  <c r="D17" i="5"/>
  <c r="E14" i="5"/>
  <c r="E17" i="5"/>
  <c r="E7" i="5"/>
  <c r="E6" i="5"/>
  <c r="E4" i="5"/>
  <c r="E3" i="5"/>
  <c r="D8" i="5"/>
  <c r="D7" i="5"/>
  <c r="D6" i="5"/>
  <c r="I43" i="4"/>
  <c r="F44" i="4"/>
  <c r="I42" i="4"/>
  <c r="A42" i="4"/>
  <c r="K44" i="4"/>
  <c r="D24" i="4"/>
  <c r="A25" i="4"/>
  <c r="I25" i="4"/>
  <c r="F26" i="4"/>
  <c r="N24" i="4"/>
  <c r="K25" i="4"/>
  <c r="K6" i="4"/>
  <c r="F7" i="4"/>
  <c r="N44" i="4" l="1"/>
  <c r="K45" i="4"/>
  <c r="D42" i="4"/>
  <c r="A43" i="4"/>
  <c r="F45" i="4"/>
  <c r="I44" i="4"/>
  <c r="N25" i="4"/>
  <c r="K26" i="4"/>
  <c r="I26" i="4"/>
  <c r="F27" i="4"/>
  <c r="D25" i="4"/>
  <c r="A26" i="4"/>
  <c r="K7" i="4"/>
  <c r="F8" i="4"/>
  <c r="N45" i="4" l="1"/>
  <c r="K46" i="4"/>
  <c r="F46" i="4"/>
  <c r="I45" i="4"/>
  <c r="A44" i="4"/>
  <c r="D43" i="4"/>
  <c r="I27" i="4"/>
  <c r="F28" i="4"/>
  <c r="N26" i="4"/>
  <c r="K27" i="4"/>
  <c r="D26" i="4"/>
  <c r="A27" i="4"/>
  <c r="K8" i="4"/>
  <c r="F9" i="4"/>
  <c r="A45" i="4" l="1"/>
  <c r="D44" i="4"/>
  <c r="F47" i="4"/>
  <c r="I46" i="4"/>
  <c r="K47" i="4"/>
  <c r="N46" i="4"/>
  <c r="A28" i="4"/>
  <c r="D27" i="4"/>
  <c r="F29" i="4"/>
  <c r="I28" i="4"/>
  <c r="N27" i="4"/>
  <c r="K28" i="4"/>
  <c r="K9" i="4"/>
  <c r="F10" i="4"/>
  <c r="K48" i="4" l="1"/>
  <c r="N47" i="4"/>
  <c r="I47" i="4"/>
  <c r="F48" i="4"/>
  <c r="A46" i="4"/>
  <c r="D45" i="4"/>
  <c r="N28" i="4"/>
  <c r="K29" i="4"/>
  <c r="I29" i="4"/>
  <c r="F30" i="4"/>
  <c r="D28" i="4"/>
  <c r="A29" i="4"/>
  <c r="K10" i="4"/>
  <c r="F11" i="4"/>
  <c r="D46" i="4" l="1"/>
  <c r="A47" i="4"/>
  <c r="F49" i="4"/>
  <c r="I48" i="4"/>
  <c r="N48" i="4"/>
  <c r="K49" i="4"/>
  <c r="D29" i="4"/>
  <c r="A30" i="4"/>
  <c r="I30" i="4"/>
  <c r="F31" i="4"/>
  <c r="K30" i="4"/>
  <c r="N29" i="4"/>
  <c r="K11" i="4"/>
  <c r="F12" i="4"/>
  <c r="K50" i="4" l="1"/>
  <c r="N49" i="4"/>
  <c r="F50" i="4"/>
  <c r="I49" i="4"/>
  <c r="D47" i="4"/>
  <c r="A48" i="4"/>
  <c r="I31" i="4"/>
  <c r="F32" i="4"/>
  <c r="N30" i="4"/>
  <c r="K31" i="4"/>
  <c r="D30" i="4"/>
  <c r="A31" i="4"/>
  <c r="K12" i="4"/>
  <c r="F13" i="4"/>
  <c r="A49" i="4" l="1"/>
  <c r="D48" i="4"/>
  <c r="I50" i="4"/>
  <c r="F51" i="4"/>
  <c r="K51" i="4"/>
  <c r="N50" i="4"/>
  <c r="D31" i="4"/>
  <c r="A32" i="4"/>
  <c r="N31" i="4"/>
  <c r="K32" i="4"/>
  <c r="F33" i="4"/>
  <c r="I32" i="4"/>
  <c r="K13" i="4"/>
  <c r="F14" i="4"/>
  <c r="K52" i="4" l="1"/>
  <c r="N52" i="4" s="1"/>
  <c r="N51" i="4"/>
  <c r="I51" i="4"/>
  <c r="F52" i="4"/>
  <c r="I52" i="4" s="1"/>
  <c r="A50" i="4"/>
  <c r="D49" i="4"/>
  <c r="I33" i="4"/>
  <c r="F34" i="4"/>
  <c r="I34" i="4" s="1"/>
  <c r="N32" i="4"/>
  <c r="K33" i="4"/>
  <c r="D32" i="4"/>
  <c r="A33" i="4"/>
  <c r="K14" i="4"/>
  <c r="F15" i="4"/>
  <c r="D50" i="4" l="1"/>
  <c r="A51" i="4"/>
  <c r="K34" i="4"/>
  <c r="N34" i="4" s="1"/>
  <c r="N33" i="4"/>
  <c r="D33" i="4"/>
  <c r="A34" i="4"/>
  <c r="D34" i="4" s="1"/>
  <c r="K15" i="4"/>
  <c r="F16" i="4"/>
  <c r="A52" i="4" l="1"/>
  <c r="D52" i="4" s="1"/>
  <c r="D51" i="4"/>
  <c r="K16" i="4"/>
</calcChain>
</file>

<file path=xl/sharedStrings.xml><?xml version="1.0" encoding="utf-8"?>
<sst xmlns="http://schemas.openxmlformats.org/spreadsheetml/2006/main" count="113" uniqueCount="50">
  <si>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</si>
  <si>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</si>
  <si>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</si>
  <si>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</si>
  <si>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</si>
  <si>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</si>
  <si>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</si>
  <si>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</si>
  <si>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</si>
  <si>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</si>
  <si>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</si>
  <si>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</si>
  <si>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</si>
  <si>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</si>
  <si>
    <t>Error Frecuencia (%)</t>
  </si>
  <si>
    <t>Error Amplitud (%)</t>
  </si>
  <si>
    <t>error tiempo de subida (%)</t>
  </si>
  <si>
    <t>error bajada (%)</t>
  </si>
  <si>
    <t>DUTY CYCLE 50%</t>
  </si>
  <si>
    <t>DUTY CYCLE 55%</t>
  </si>
  <si>
    <t>DUTY CYCLE 20%</t>
  </si>
  <si>
    <t>Frecuencia experimental (Hz)</t>
  </si>
  <si>
    <t xml:space="preserve">Frecuencia teórica (Hz) </t>
  </si>
  <si>
    <t>Tiempo Rampa Subida Teórico (s)</t>
  </si>
  <si>
    <t>Tiempo Experimental de Rampa de subida (s)</t>
  </si>
  <si>
    <t>Tiempo Rampa Bajada Teórico (s)</t>
  </si>
  <si>
    <t>Tiempo Experimental de Rampa de bajada (s)</t>
  </si>
  <si>
    <t>Amplitud teórica (V)</t>
  </si>
  <si>
    <t>Amplitud (V)</t>
  </si>
  <si>
    <t>Amplitud Experimental</t>
  </si>
  <si>
    <t>Frecuencia 30 HZ , ciclo de trabajo 55 %</t>
  </si>
  <si>
    <t>Frecuencia 20 HZ, ciclo de trabajo 55 %</t>
  </si>
  <si>
    <t>Frecuencia 10 HZ, ciclo de trabajo 55 %</t>
  </si>
  <si>
    <t>Frecuencia 30 HZ , ciclo de trabajo 50 %</t>
  </si>
  <si>
    <t>Frecuencia 20 HZ, ciclo de trabajo 50 %</t>
  </si>
  <si>
    <t>Frecuencia 10 HZ, ciclo de trabajo 50 %</t>
  </si>
  <si>
    <t>Frecuencia 30 HZ , ciclo de trabajo 20 %</t>
  </si>
  <si>
    <t>Frecuencia 20 HZ, ciclo de trabajo 20 %</t>
  </si>
  <si>
    <t>Frecuencia 10 HZ, ciclo de trabajo 20 %</t>
  </si>
  <si>
    <t>Corriente experimental (mA) a 30Hz</t>
  </si>
  <si>
    <t>Corriente experimental (mA) a 20Hz</t>
  </si>
  <si>
    <t>Corriente experimental (mA) a 10Hz</t>
  </si>
  <si>
    <t>Ciclo de trabajo de 50 %</t>
  </si>
  <si>
    <t>Consumo en uso (mA)</t>
  </si>
  <si>
    <t>Frecuencia (Hz)</t>
  </si>
  <si>
    <t>Consumo estimado (mA)</t>
  </si>
  <si>
    <t>Vida útil bateria 550 mAh (años)</t>
  </si>
  <si>
    <t>Vida útil bateria 1000 mAh (años)</t>
  </si>
  <si>
    <t>Vida útil bateria 4000 mAh (años)</t>
  </si>
  <si>
    <t>Ciclo de trabajo de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</si>
</sst>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3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93"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numFmt numFmtId="173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Frecuencias teóricas vs</a:t>
            </a:r>
            <a:r>
              <a:rPr lang="en-US" baseline="0"/>
              <a:t>  Frecuencias experimentales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5D3-AE5F-E7F5B4B8B1B3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5D3-AE5F-E7F5B4B8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84896"/>
        <c:axId val="101358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37-45D3-AE5F-E7F5B4B8B1B3}"/>
                  </c:ext>
                </c:extLst>
              </c15:ser>
            </c15:filteredLineSeries>
          </c:ext>
        </c:extLst>
      </c:line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50%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E-4B44-A370-53A78A5E8FEC}"/>
            </c:ext>
          </c:extLst>
        </c:ser>
        <c:ser>
          <c:idx val="1"/>
          <c:order val="1"/>
          <c:tx>
            <c:strRef>
              <c:f>Rampas!$B$22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Rampas!$B$23:$B$37</c:f>
              <c:numCache>
                <c:formatCode>General</c:formatCode>
                <c:ptCount val="15"/>
                <c:pt idx="0">
                  <c:v>29.4</c:v>
                </c:pt>
                <c:pt idx="1">
                  <c:v>31.4</c:v>
                </c:pt>
                <c:pt idx="2">
                  <c:v>28.9</c:v>
                </c:pt>
                <c:pt idx="3">
                  <c:v>25.1</c:v>
                </c:pt>
                <c:pt idx="4">
                  <c:v>25.1</c:v>
                </c:pt>
                <c:pt idx="5">
                  <c:v>25</c:v>
                </c:pt>
                <c:pt idx="6">
                  <c:v>19.899999999999999</c:v>
                </c:pt>
                <c:pt idx="7">
                  <c:v>20.3</c:v>
                </c:pt>
                <c:pt idx="8">
                  <c:v>20.2</c:v>
                </c:pt>
                <c:pt idx="9">
                  <c:v>15</c:v>
                </c:pt>
                <c:pt idx="10">
                  <c:v>14.9</c:v>
                </c:pt>
                <c:pt idx="11">
                  <c:v>15</c:v>
                </c:pt>
                <c:pt idx="12">
                  <c:v>9.8000000000000007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E-4B44-A370-53A78A5E8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Rampas!$D$22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Rampas!$D$23:$D$37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D-4884-B35B-33139162925F}"/>
            </c:ext>
          </c:extLst>
        </c:ser>
        <c:ser>
          <c:idx val="1"/>
          <c:order val="1"/>
          <c:tx>
            <c:strRef>
              <c:f>Rampas!$E$22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Rampas!$E$23:$E$37</c:f>
              <c:numCache>
                <c:formatCode>General</c:formatCode>
                <c:ptCount val="15"/>
                <c:pt idx="0">
                  <c:v>3.36</c:v>
                </c:pt>
                <c:pt idx="1">
                  <c:v>2.23</c:v>
                </c:pt>
                <c:pt idx="2">
                  <c:v>1.24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1.23</c:v>
                </c:pt>
                <c:pt idx="6">
                  <c:v>3.2</c:v>
                </c:pt>
                <c:pt idx="7">
                  <c:v>2.2799999999999998</c:v>
                </c:pt>
                <c:pt idx="8">
                  <c:v>1.24</c:v>
                </c:pt>
                <c:pt idx="9">
                  <c:v>3.3</c:v>
                </c:pt>
                <c:pt idx="10">
                  <c:v>2.2000000000000002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D-4884-B35B-33139162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Rampas!$G$22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Rampas!$G$23:$G$37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C-4A42-87CA-EAE60ED504F4}"/>
            </c:ext>
          </c:extLst>
        </c:ser>
        <c:ser>
          <c:idx val="1"/>
          <c:order val="1"/>
          <c:tx>
            <c:strRef>
              <c:f>Rampas!$H$22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Rampas!$A$23:$A$37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Rampas!$H$23:$H$37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1.95</c:v>
                </c:pt>
                <c:pt idx="11">
                  <c:v>2.1</c:v>
                </c:pt>
                <c:pt idx="12">
                  <c:v>1.98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C-4A42-87CA-EAE60ED5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Rampas!$A$41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C-41E0-88BC-7CF2D9D8EE3C}"/>
            </c:ext>
          </c:extLst>
        </c:ser>
        <c:ser>
          <c:idx val="1"/>
          <c:order val="1"/>
          <c:tx>
            <c:strRef>
              <c:f>Rampas!$B$41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Rampas!$B$42:$B$56</c:f>
              <c:numCache>
                <c:formatCode>General</c:formatCode>
                <c:ptCount val="15"/>
                <c:pt idx="0">
                  <c:v>29.6</c:v>
                </c:pt>
                <c:pt idx="1">
                  <c:v>29.4</c:v>
                </c:pt>
                <c:pt idx="2">
                  <c:v>28.8</c:v>
                </c:pt>
                <c:pt idx="3">
                  <c:v>25.2</c:v>
                </c:pt>
                <c:pt idx="4">
                  <c:v>24.8</c:v>
                </c:pt>
                <c:pt idx="5">
                  <c:v>25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20.2</c:v>
                </c:pt>
                <c:pt idx="9">
                  <c:v>15.1</c:v>
                </c:pt>
                <c:pt idx="10">
                  <c:v>14.9</c:v>
                </c:pt>
                <c:pt idx="11">
                  <c:v>14.9</c:v>
                </c:pt>
                <c:pt idx="12">
                  <c:v>9.9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C-41E0-88BC-7CF2D9D8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/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50%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Rampas!$D$41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Rampas!$D$42:$D$56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1-4411-8BBF-7CAAC8239591}"/>
            </c:ext>
          </c:extLst>
        </c:ser>
        <c:ser>
          <c:idx val="1"/>
          <c:order val="1"/>
          <c:tx>
            <c:strRef>
              <c:f>Rampas!$E$41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Rampas!$E$42:$E$56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3.33</c:v>
                </c:pt>
                <c:pt idx="4">
                  <c:v>2.23</c:v>
                </c:pt>
                <c:pt idx="5">
                  <c:v>1.23</c:v>
                </c:pt>
                <c:pt idx="6">
                  <c:v>3.33</c:v>
                </c:pt>
                <c:pt idx="7">
                  <c:v>2.2400000000000002</c:v>
                </c:pt>
                <c:pt idx="8">
                  <c:v>1.25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1.24</c:v>
                </c:pt>
                <c:pt idx="12">
                  <c:v>3.29</c:v>
                </c:pt>
                <c:pt idx="13">
                  <c:v>2.2400000000000002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1-4411-8BBF-7CAAC823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/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Rampas!$G$41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Rampas!$G$42:$G$56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B-471D-B8A9-D47D6601B04F}"/>
            </c:ext>
          </c:extLst>
        </c:ser>
        <c:ser>
          <c:idx val="1"/>
          <c:order val="1"/>
          <c:tx>
            <c:strRef>
              <c:f>Rampas!$H$41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Rampas!$A$42:$A$56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Rampas!$H$42:$H$56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1.98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1.96</c:v>
                </c:pt>
                <c:pt idx="11">
                  <c:v>1.98</c:v>
                </c:pt>
                <c:pt idx="12">
                  <c:v>2.0499999999999998</c:v>
                </c:pt>
                <c:pt idx="13">
                  <c:v>2</c:v>
                </c:pt>
                <c:pt idx="1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B-471D-B8A9-D47D6601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/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'Voltage-Current'!$C$3:$C$16</c:f>
              <c:numCache>
                <c:formatCode>General</c:formatCode>
                <c:ptCount val="14"/>
                <c:pt idx="0">
                  <c:v>3.26</c:v>
                </c:pt>
                <c:pt idx="1">
                  <c:v>3.18</c:v>
                </c:pt>
                <c:pt idx="2">
                  <c:v>2.95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2.21</c:v>
                </c:pt>
                <c:pt idx="6">
                  <c:v>1.97</c:v>
                </c:pt>
                <c:pt idx="7">
                  <c:v>1.74</c:v>
                </c:pt>
                <c:pt idx="8">
                  <c:v>1.49</c:v>
                </c:pt>
                <c:pt idx="9">
                  <c:v>1.23</c:v>
                </c:pt>
                <c:pt idx="10">
                  <c:v>1.02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DE3-939B-27E6C091C7A8}"/>
            </c:ext>
          </c:extLst>
        </c:ser>
        <c:ser>
          <c:idx val="1"/>
          <c:order val="1"/>
          <c:tx>
            <c:strRef>
              <c:f>'Voltage-Current'!$H$2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'Voltage-Current'!$H$3:$H$16</c:f>
              <c:numCache>
                <c:formatCode>General</c:formatCode>
                <c:ptCount val="14"/>
                <c:pt idx="0">
                  <c:v>3.24</c:v>
                </c:pt>
                <c:pt idx="1">
                  <c:v>3.24</c:v>
                </c:pt>
                <c:pt idx="2">
                  <c:v>3.01</c:v>
                </c:pt>
                <c:pt idx="3">
                  <c:v>2.76</c:v>
                </c:pt>
                <c:pt idx="4">
                  <c:v>2.46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</c:v>
                </c:pt>
                <c:pt idx="8">
                  <c:v>1.45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0.52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3-4DE3-939B-27E6C091C7A8}"/>
            </c:ext>
          </c:extLst>
        </c:ser>
        <c:ser>
          <c:idx val="2"/>
          <c:order val="2"/>
          <c:tx>
            <c:strRef>
              <c:f>'Voltage-Current'!$M$2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'Voltage-Current'!$A$3:$A$16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'Voltage-Current'!$M$3:$M$16</c:f>
              <c:numCache>
                <c:formatCode>General</c:formatCode>
                <c:ptCount val="14"/>
                <c:pt idx="0">
                  <c:v>3.26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3-4DE3-939B-27E6C091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'Voltage-Current'!$C$20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'Voltage-Current'!$C$21:$C$34</c:f>
              <c:numCache>
                <c:formatCode>General</c:formatCode>
                <c:ptCount val="14"/>
                <c:pt idx="0">
                  <c:v>3.35</c:v>
                </c:pt>
                <c:pt idx="1">
                  <c:v>3.22</c:v>
                </c:pt>
                <c:pt idx="2">
                  <c:v>2.9</c:v>
                </c:pt>
                <c:pt idx="3">
                  <c:v>2.72</c:v>
                </c:pt>
                <c:pt idx="4">
                  <c:v>2.4500000000000002</c:v>
                </c:pt>
                <c:pt idx="5">
                  <c:v>2.2000000000000002</c:v>
                </c:pt>
                <c:pt idx="6">
                  <c:v>1.95</c:v>
                </c:pt>
                <c:pt idx="7">
                  <c:v>1.74</c:v>
                </c:pt>
                <c:pt idx="8">
                  <c:v>1.45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8-42A2-8F73-2D8159EDF688}"/>
            </c:ext>
          </c:extLst>
        </c:ser>
        <c:ser>
          <c:idx val="1"/>
          <c:order val="1"/>
          <c:tx>
            <c:strRef>
              <c:f>'Voltage-Current'!$H$20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'Voltage-Current'!$H$21:$H$34</c:f>
              <c:numCache>
                <c:formatCode>General</c:formatCode>
                <c:ptCount val="14"/>
                <c:pt idx="0">
                  <c:v>3.36</c:v>
                </c:pt>
                <c:pt idx="1">
                  <c:v>3.28</c:v>
                </c:pt>
                <c:pt idx="2">
                  <c:v>3.1</c:v>
                </c:pt>
                <c:pt idx="3">
                  <c:v>2.75</c:v>
                </c:pt>
                <c:pt idx="4">
                  <c:v>2.4500000000000002</c:v>
                </c:pt>
                <c:pt idx="5">
                  <c:v>2.2400000000000002</c:v>
                </c:pt>
                <c:pt idx="6">
                  <c:v>1.96</c:v>
                </c:pt>
                <c:pt idx="7">
                  <c:v>1.76</c:v>
                </c:pt>
                <c:pt idx="8">
                  <c:v>1.45</c:v>
                </c:pt>
                <c:pt idx="9">
                  <c:v>1.23</c:v>
                </c:pt>
                <c:pt idx="10">
                  <c:v>1</c:v>
                </c:pt>
                <c:pt idx="11">
                  <c:v>0.76</c:v>
                </c:pt>
                <c:pt idx="12">
                  <c:v>0.49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8-42A2-8F73-2D8159EDF688}"/>
            </c:ext>
          </c:extLst>
        </c:ser>
        <c:ser>
          <c:idx val="2"/>
          <c:order val="2"/>
          <c:tx>
            <c:strRef>
              <c:f>'Voltage-Current'!$M$20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'Voltage-Current'!$A$21:$A$34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'Voltage-Current'!$M$21:$M$34</c:f>
              <c:numCache>
                <c:formatCode>General</c:formatCode>
                <c:ptCount val="14"/>
                <c:pt idx="0">
                  <c:v>3.32</c:v>
                </c:pt>
                <c:pt idx="1">
                  <c:v>3.24</c:v>
                </c:pt>
                <c:pt idx="2">
                  <c:v>2.9</c:v>
                </c:pt>
                <c:pt idx="3">
                  <c:v>2.76</c:v>
                </c:pt>
                <c:pt idx="4">
                  <c:v>2.46</c:v>
                </c:pt>
                <c:pt idx="5">
                  <c:v>2.23</c:v>
                </c:pt>
                <c:pt idx="6">
                  <c:v>1.94</c:v>
                </c:pt>
                <c:pt idx="7">
                  <c:v>1.75</c:v>
                </c:pt>
                <c:pt idx="8">
                  <c:v>1.45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8-42A2-8F73-2D8159ED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Corriente de estimulación</a:t>
            </a:r>
            <a:r>
              <a:rPr lang="en-US" baseline="0"/>
              <a:t> experimental a frecuencias de 30Hz, 20Hz, 10Hz y a un ciclo de trabajo de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'Voltage-Current'!$C$38</c:f>
              <c:strCache>
                <c:ptCount val="1"/>
                <c:pt idx="0">
                  <c:v>Corriente experimental (mA) a 30Hz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'Voltage-Current'!$C$39:$C$52</c:f>
              <c:numCache>
                <c:formatCode>General</c:formatCode>
                <c:ptCount val="14"/>
                <c:pt idx="0">
                  <c:v>3.35</c:v>
                </c:pt>
                <c:pt idx="1">
                  <c:v>3.21</c:v>
                </c:pt>
                <c:pt idx="2">
                  <c:v>3.1</c:v>
                </c:pt>
                <c:pt idx="3">
                  <c:v>2.72</c:v>
                </c:pt>
                <c:pt idx="4">
                  <c:v>2.52</c:v>
                </c:pt>
                <c:pt idx="5">
                  <c:v>2.25</c:v>
                </c:pt>
                <c:pt idx="6">
                  <c:v>2.0499999999999998</c:v>
                </c:pt>
                <c:pt idx="7">
                  <c:v>1.76</c:v>
                </c:pt>
                <c:pt idx="8">
                  <c:v>1.46</c:v>
                </c:pt>
                <c:pt idx="9">
                  <c:v>1.21</c:v>
                </c:pt>
                <c:pt idx="10">
                  <c:v>1.02</c:v>
                </c:pt>
                <c:pt idx="11">
                  <c:v>0.76</c:v>
                </c:pt>
                <c:pt idx="12">
                  <c:v>0.51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B-4362-8E02-25E5E32D1EB7}"/>
            </c:ext>
          </c:extLst>
        </c:ser>
        <c:ser>
          <c:idx val="1"/>
          <c:order val="1"/>
          <c:tx>
            <c:strRef>
              <c:f>'Voltage-Current'!$H$38</c:f>
              <c:strCache>
                <c:ptCount val="1"/>
                <c:pt idx="0">
                  <c:v>Corriente experimental (mA) a 20Hz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'Voltage-Current'!$H$39:$H$52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2.74</c:v>
                </c:pt>
                <c:pt idx="4">
                  <c:v>2.4500000000000002</c:v>
                </c:pt>
                <c:pt idx="5">
                  <c:v>2.25</c:v>
                </c:pt>
                <c:pt idx="6">
                  <c:v>1.94</c:v>
                </c:pt>
                <c:pt idx="7">
                  <c:v>1.7</c:v>
                </c:pt>
                <c:pt idx="8">
                  <c:v>1.44</c:v>
                </c:pt>
                <c:pt idx="9">
                  <c:v>1.23</c:v>
                </c:pt>
                <c:pt idx="10">
                  <c:v>0.98</c:v>
                </c:pt>
                <c:pt idx="11">
                  <c:v>0.76</c:v>
                </c:pt>
                <c:pt idx="12">
                  <c:v>0.5</c:v>
                </c:pt>
                <c:pt idx="1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B-4362-8E02-25E5E32D1EB7}"/>
            </c:ext>
          </c:extLst>
        </c:ser>
        <c:ser>
          <c:idx val="2"/>
          <c:order val="2"/>
          <c:tx>
            <c:strRef>
              <c:f>'Voltage-Current'!$M$38</c:f>
              <c:strCache>
                <c:ptCount val="1"/>
                <c:pt idx="0">
                  <c:v>Corriente experimental (mA) a 10Hz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'Voltage-Current'!$K$39:$K$52</c:f>
              <c:numCache>
                <c:formatCode>General</c:formatCode>
                <c:ptCount val="14"/>
                <c:pt idx="0">
                  <c:v>3.3</c:v>
                </c:pt>
                <c:pt idx="1">
                  <c:v>3.25</c:v>
                </c:pt>
                <c:pt idx="2">
                  <c:v>3</c:v>
                </c:pt>
                <c:pt idx="3">
                  <c:v>2.75</c:v>
                </c:pt>
                <c:pt idx="4">
                  <c:v>2.5</c:v>
                </c:pt>
                <c:pt idx="5">
                  <c:v>2.25</c:v>
                </c:pt>
                <c:pt idx="6">
                  <c:v>2</c:v>
                </c:pt>
                <c:pt idx="7">
                  <c:v>1.75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  <c:pt idx="11">
                  <c:v>0.75</c:v>
                </c:pt>
                <c:pt idx="12">
                  <c:v>0.5</c:v>
                </c:pt>
                <c:pt idx="13">
                  <c:v>0.25</c:v>
                </c:pt>
              </c:numCache>
            </c:numRef>
          </c:cat>
          <c:val>
            <c:numRef>
              <c:f>'Voltage-Current'!$M$39:$M$52</c:f>
              <c:numCache>
                <c:formatCode>General</c:formatCode>
                <c:ptCount val="14"/>
                <c:pt idx="0">
                  <c:v>3.3</c:v>
                </c:pt>
                <c:pt idx="1">
                  <c:v>3.2</c:v>
                </c:pt>
                <c:pt idx="2">
                  <c:v>2.9</c:v>
                </c:pt>
                <c:pt idx="3">
                  <c:v>2.7</c:v>
                </c:pt>
                <c:pt idx="4">
                  <c:v>2.46</c:v>
                </c:pt>
                <c:pt idx="5">
                  <c:v>2.21</c:v>
                </c:pt>
                <c:pt idx="6">
                  <c:v>1.93</c:v>
                </c:pt>
                <c:pt idx="7">
                  <c:v>1.76</c:v>
                </c:pt>
                <c:pt idx="8">
                  <c:v>1.46</c:v>
                </c:pt>
                <c:pt idx="9">
                  <c:v>1.26</c:v>
                </c:pt>
                <c:pt idx="10">
                  <c:v>1.01</c:v>
                </c:pt>
                <c:pt idx="11">
                  <c:v>0.74</c:v>
                </c:pt>
                <c:pt idx="12">
                  <c:v>0.51</c:v>
                </c:pt>
                <c:pt idx="1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B-4362-8E02-25E5E32D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95199"/>
        <c:axId val="2142295615"/>
      </c:lineChart>
      <c:catAx>
        <c:axId val="21422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615"/>
        <c:crosses val="autoZero"/>
        <c:auto val="1"/>
        <c:lblAlgn val="ctr"/>
        <c:lblOffset val="100"/>
        <c:noMultiLvlLbl val="0"/>
      </c:catAx>
      <c:valAx>
        <c:axId val="2142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Corriente (</a:t>
                </a:r>
                <a:r>
                  <a:rPr lang="en-US" sz="900"/>
                  <a:t>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F-4E97-B1E3-908E84FBB958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F-4E97-B1E3-908E84FB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022096"/>
        <c:axId val="1025023760"/>
      </c:bar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Comportamiento de Frecuencias teóricas vs  Frecuencias experimentales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PWM!$A$1</c:f>
              <c:strCache>
                <c:ptCount val="1"/>
                <c:pt idx="0">
                  <c:v>Frequencia PWM Teorica (Hz)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0A9-B619-247FC0A17264}"/>
            </c:ext>
          </c:extLst>
        </c:ser>
        <c:ser>
          <c:idx val="1"/>
          <c:order val="1"/>
          <c:tx>
            <c:strRef>
              <c:f>PWM!$B$1</c:f>
              <c:strCache>
                <c:ptCount val="1"/>
                <c:pt idx="0">
                  <c:v>Pomedio PWM (Hz)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cat>
          <c:val>
            <c:numRef>
              <c:f>PWM!$B$2:$B$23</c:f>
              <c:numCache>
                <c:formatCode>General</c:formatCode>
                <c:ptCount val="22"/>
                <c:pt idx="0">
                  <c:v>0.93300000000000005</c:v>
                </c:pt>
                <c:pt idx="1">
                  <c:v>0.83299999999999996</c:v>
                </c:pt>
                <c:pt idx="2">
                  <c:v>2.08</c:v>
                </c:pt>
                <c:pt idx="3">
                  <c:v>2.08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16.7</c:v>
                </c:pt>
                <c:pt idx="11">
                  <c:v>14.6</c:v>
                </c:pt>
                <c:pt idx="12">
                  <c:v>14.6</c:v>
                </c:pt>
                <c:pt idx="13">
                  <c:v>20.8</c:v>
                </c:pt>
                <c:pt idx="14">
                  <c:v>18.8</c:v>
                </c:pt>
                <c:pt idx="15">
                  <c:v>20.8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31.3</c:v>
                </c:pt>
                <c:pt idx="20">
                  <c:v>29.2</c:v>
                </c:pt>
                <c:pt idx="21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0A9-B619-247FC0A1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84896"/>
        <c:axId val="10135886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PWM!$D$1</c15:sqref>
                        </c15:formulaRef>
                      </c:ext>
                    </c:extLst>
                    <c:strCache>
                      <c:ptCount val="1"/>
                      <c:pt idx="0">
                        <c:v>Ciclo de trabajo teorico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PWM!$D$2:$D$23</c15:sqref>
                        </c15:formulaRef>
                      </c:ext>
                    </c:extLst>
                    <c:numCache>
                      <c:formatCode>0.0%</c:formatCode>
                      <c:ptCount val="22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0.55000000000000004</c:v>
                      </c:pt>
                      <c:pt idx="7">
                        <c:v>0.2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0.2</c:v>
                      </c:pt>
                      <c:pt idx="11">
                        <c:v>0.5</c:v>
                      </c:pt>
                      <c:pt idx="12">
                        <c:v>0.55000000000000004</c:v>
                      </c:pt>
                      <c:pt idx="13">
                        <c:v>0.2</c:v>
                      </c:pt>
                      <c:pt idx="14">
                        <c:v>0.5</c:v>
                      </c:pt>
                      <c:pt idx="15">
                        <c:v>0.55000000000000004</c:v>
                      </c:pt>
                      <c:pt idx="16">
                        <c:v>0.2</c:v>
                      </c:pt>
                      <c:pt idx="17">
                        <c:v>0.5</c:v>
                      </c:pt>
                      <c:pt idx="18">
                        <c:v>0.55000000000000004</c:v>
                      </c:pt>
                      <c:pt idx="19" formatCode="0%">
                        <c:v>0.2</c:v>
                      </c:pt>
                      <c:pt idx="20" formatCode="0%">
                        <c:v>0.5</c:v>
                      </c:pt>
                      <c:pt idx="21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D3-40A9-B619-247FC0A17264}"/>
                  </c:ext>
                </c:extLst>
              </c15:ser>
            </c15:filteredBarSeries>
          </c:ext>
        </c:extLst>
      </c:barChart>
      <c:catAx>
        <c:axId val="10135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8640"/>
        <c:crosses val="autoZero"/>
        <c:auto val="1"/>
        <c:lblAlgn val="ctr"/>
        <c:lblOffset val="100"/>
        <c:noMultiLvlLbl val="0"/>
      </c:catAx>
      <c:valAx>
        <c:axId val="10135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del ciclo de trabajo teorico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PWM!$D$1</c:f>
              <c:strCache>
                <c:ptCount val="1"/>
                <c:pt idx="0">
                  <c:v>Ciclo de trabajo teorico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PWM!$D$2:$D$23</c:f>
              <c:numCache>
                <c:formatCode>0.0%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0.55000000000000004</c:v>
                </c:pt>
                <c:pt idx="4">
                  <c:v>0.2</c:v>
                </c:pt>
                <c:pt idx="5">
                  <c:v>0.5</c:v>
                </c:pt>
                <c:pt idx="6">
                  <c:v>0.55000000000000004</c:v>
                </c:pt>
                <c:pt idx="7">
                  <c:v>0.2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0.2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0.2</c:v>
                </c:pt>
                <c:pt idx="17">
                  <c:v>0.5</c:v>
                </c:pt>
                <c:pt idx="18">
                  <c:v>0.55000000000000004</c:v>
                </c:pt>
                <c:pt idx="19" formatCode="0%">
                  <c:v>0.2</c:v>
                </c:pt>
                <c:pt idx="20" formatCode="0%">
                  <c:v>0.5</c:v>
                </c:pt>
                <c:pt idx="2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4-453C-AEBB-7F7208C33EB9}"/>
            </c:ext>
          </c:extLst>
        </c:ser>
        <c:ser>
          <c:idx val="2"/>
          <c:order val="1"/>
          <c:tx>
            <c:strRef>
              <c:f>PWM!$E$1</c:f>
              <c:strCache>
                <c:ptCount val="1"/>
                <c:pt idx="0">
                  <c:v>Promedio ciclo de trabajo (%)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PWM!$E$2:$E$23</c:f>
              <c:numCache>
                <c:formatCode>0.0%</c:formatCode>
                <c:ptCount val="22"/>
                <c:pt idx="0">
                  <c:v>0.48</c:v>
                </c:pt>
                <c:pt idx="1">
                  <c:v>0.56000000000000005</c:v>
                </c:pt>
                <c:pt idx="2">
                  <c:v>0.51</c:v>
                </c:pt>
                <c:pt idx="3">
                  <c:v>0.52</c:v>
                </c:pt>
                <c:pt idx="4">
                  <c:v>0.21</c:v>
                </c:pt>
                <c:pt idx="5">
                  <c:v>0.48</c:v>
                </c:pt>
                <c:pt idx="6">
                  <c:v>0.53</c:v>
                </c:pt>
                <c:pt idx="7">
                  <c:v>0.21</c:v>
                </c:pt>
                <c:pt idx="8">
                  <c:v>0.48</c:v>
                </c:pt>
                <c:pt idx="9">
                  <c:v>0.52</c:v>
                </c:pt>
                <c:pt idx="10">
                  <c:v>0.23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0.17</c:v>
                </c:pt>
                <c:pt idx="14">
                  <c:v>0.52</c:v>
                </c:pt>
                <c:pt idx="15">
                  <c:v>0.54</c:v>
                </c:pt>
                <c:pt idx="16">
                  <c:v>0.22</c:v>
                </c:pt>
                <c:pt idx="17">
                  <c:v>0.49</c:v>
                </c:pt>
                <c:pt idx="18">
                  <c:v>0.53</c:v>
                </c:pt>
                <c:pt idx="19" formatCode="0%">
                  <c:v>0.21</c:v>
                </c:pt>
                <c:pt idx="20" formatCode="0%">
                  <c:v>0.51</c:v>
                </c:pt>
                <c:pt idx="21" formatCode="0%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4-453C-AEBB-7F7208C3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22096"/>
        <c:axId val="1025023760"/>
      </c:lineChart>
      <c:catAx>
        <c:axId val="10250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3760"/>
        <c:crosses val="autoZero"/>
        <c:auto val="1"/>
        <c:lblAlgn val="ctr"/>
        <c:lblOffset val="100"/>
        <c:noMultiLvlLbl val="0"/>
      </c:catAx>
      <c:valAx>
        <c:axId val="10250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Ciclo de trabajo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9-4D60-B0E4-7455643FA135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9-4D60-B0E4-7455643FA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028896"/>
        <c:axId val="818032224"/>
      </c:bar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Ancho de pulso teórico vs Ancho de pulso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PWM!$G$1</c:f>
              <c:strCache>
                <c:ptCount val="1"/>
                <c:pt idx="0">
                  <c:v>Ancho de pulso teorico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PWM!$G$2:$G$23</c:f>
              <c:numCache>
                <c:formatCode>0.00</c:formatCode>
                <c:ptCount val="22"/>
                <c:pt idx="0">
                  <c:v>500</c:v>
                </c:pt>
                <c:pt idx="1">
                  <c:v>550</c:v>
                </c:pt>
                <c:pt idx="2">
                  <c:v>250</c:v>
                </c:pt>
                <c:pt idx="3">
                  <c:v>275</c:v>
                </c:pt>
                <c:pt idx="4">
                  <c:v>40.000000000000007</c:v>
                </c:pt>
                <c:pt idx="5">
                  <c:v>100</c:v>
                </c:pt>
                <c:pt idx="6">
                  <c:v>110.00000000000001</c:v>
                </c:pt>
                <c:pt idx="7">
                  <c:v>20.000000000000004</c:v>
                </c:pt>
                <c:pt idx="8">
                  <c:v>50</c:v>
                </c:pt>
                <c:pt idx="9">
                  <c:v>55.000000000000007</c:v>
                </c:pt>
                <c:pt idx="10">
                  <c:v>13.333333333333334</c:v>
                </c:pt>
                <c:pt idx="11">
                  <c:v>33.333333333333336</c:v>
                </c:pt>
                <c:pt idx="12">
                  <c:v>36.666666666666664</c:v>
                </c:pt>
                <c:pt idx="13">
                  <c:v>10.000000000000002</c:v>
                </c:pt>
                <c:pt idx="14">
                  <c:v>25</c:v>
                </c:pt>
                <c:pt idx="15">
                  <c:v>27.500000000000004</c:v>
                </c:pt>
                <c:pt idx="16">
                  <c:v>8</c:v>
                </c:pt>
                <c:pt idx="17">
                  <c:v>20</c:v>
                </c:pt>
                <c:pt idx="18">
                  <c:v>22.000000000000004</c:v>
                </c:pt>
                <c:pt idx="19">
                  <c:v>6.666666666666667</c:v>
                </c:pt>
                <c:pt idx="20">
                  <c:v>16.666666666666668</c:v>
                </c:pt>
                <c:pt idx="21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0-497D-92CD-342BF094B1DB}"/>
            </c:ext>
          </c:extLst>
        </c:ser>
        <c:ser>
          <c:idx val="1"/>
          <c:order val="1"/>
          <c:tx>
            <c:strRef>
              <c:f>PWM!$H$1</c:f>
              <c:strCache>
                <c:ptCount val="1"/>
                <c:pt idx="0">
                  <c:v>Promedio Ancho de pulso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PWM!$A$2:$A$23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</c:numCache>
            </c:numRef>
          </c:cat>
          <c:val>
            <c:numRef>
              <c:f>PWM!$H$2:$H$23</c:f>
              <c:numCache>
                <c:formatCode>General</c:formatCode>
                <c:ptCount val="22"/>
                <c:pt idx="0">
                  <c:v>490</c:v>
                </c:pt>
                <c:pt idx="1">
                  <c:v>560</c:v>
                </c:pt>
                <c:pt idx="2">
                  <c:v>248</c:v>
                </c:pt>
                <c:pt idx="3">
                  <c:v>280</c:v>
                </c:pt>
                <c:pt idx="4">
                  <c:v>40</c:v>
                </c:pt>
                <c:pt idx="5">
                  <c:v>100</c:v>
                </c:pt>
                <c:pt idx="6">
                  <c:v>113</c:v>
                </c:pt>
                <c:pt idx="7">
                  <c:v>19.399999999999999</c:v>
                </c:pt>
                <c:pt idx="8">
                  <c:v>49.6</c:v>
                </c:pt>
                <c:pt idx="9">
                  <c:v>55.2</c:v>
                </c:pt>
                <c:pt idx="10">
                  <c:v>12.8</c:v>
                </c:pt>
                <c:pt idx="11">
                  <c:v>33.6</c:v>
                </c:pt>
                <c:pt idx="12">
                  <c:v>36.799999999999997</c:v>
                </c:pt>
                <c:pt idx="13">
                  <c:v>9.5</c:v>
                </c:pt>
                <c:pt idx="14">
                  <c:v>24.8</c:v>
                </c:pt>
                <c:pt idx="15">
                  <c:v>28.8</c:v>
                </c:pt>
                <c:pt idx="16">
                  <c:v>8</c:v>
                </c:pt>
                <c:pt idx="17">
                  <c:v>20</c:v>
                </c:pt>
                <c:pt idx="18">
                  <c:v>22.1</c:v>
                </c:pt>
                <c:pt idx="19">
                  <c:v>6.4</c:v>
                </c:pt>
                <c:pt idx="20">
                  <c:v>15.2</c:v>
                </c:pt>
                <c:pt idx="2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0-497D-92CD-342BF094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28896"/>
        <c:axId val="818032224"/>
      </c:lineChart>
      <c:catAx>
        <c:axId val="81802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2224"/>
        <c:crosses val="autoZero"/>
        <c:auto val="1"/>
        <c:lblAlgn val="ctr"/>
        <c:lblOffset val="100"/>
        <c:noMultiLvlLbl val="0"/>
      </c:catAx>
      <c:valAx>
        <c:axId val="81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 de pulso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Frecuencia teórica vs frecuencia experimental en Rampa con potenciometro digital con 55% de ciclo de trabajo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Rampas!$A$2</c:f>
              <c:strCache>
                <c:ptCount val="1"/>
                <c:pt idx="0">
                  <c:v>Frecuencia teórica (Hz)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6-479A-854F-69C860843D0D}"/>
            </c:ext>
          </c:extLst>
        </c:ser>
        <c:ser>
          <c:idx val="1"/>
          <c:order val="1"/>
          <c:tx>
            <c:strRef>
              <c:f>Rampas!$B$2</c:f>
              <c:strCache>
                <c:ptCount val="1"/>
                <c:pt idx="0">
                  <c:v>Frecuencia experimental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cat>
          <c:val>
            <c:numRef>
              <c:f>Rampas!$B$3:$B$17</c:f>
              <c:numCache>
                <c:formatCode>General</c:formatCode>
                <c:ptCount val="15"/>
                <c:pt idx="0">
                  <c:v>29.6</c:v>
                </c:pt>
                <c:pt idx="1">
                  <c:v>29.6</c:v>
                </c:pt>
                <c:pt idx="2">
                  <c:v>30</c:v>
                </c:pt>
                <c:pt idx="3">
                  <c:v>25.1</c:v>
                </c:pt>
                <c:pt idx="4">
                  <c:v>24.4</c:v>
                </c:pt>
                <c:pt idx="5">
                  <c:v>25</c:v>
                </c:pt>
                <c:pt idx="6">
                  <c:v>19.8</c:v>
                </c:pt>
                <c:pt idx="7">
                  <c:v>20.5</c:v>
                </c:pt>
                <c:pt idx="8">
                  <c:v>20.100000000000001</c:v>
                </c:pt>
                <c:pt idx="9">
                  <c:v>14.9</c:v>
                </c:pt>
                <c:pt idx="10">
                  <c:v>15</c:v>
                </c:pt>
                <c:pt idx="11">
                  <c:v>15.1</c:v>
                </c:pt>
                <c:pt idx="12">
                  <c:v>9.5</c:v>
                </c:pt>
                <c:pt idx="13">
                  <c:v>9.8000000000000007</c:v>
                </c:pt>
                <c:pt idx="14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79A-854F-69C86084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264672"/>
        <c:axId val="8282671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Rampas!$D$2</c15:sqref>
                        </c15:formulaRef>
                      </c:ext>
                    </c:extLst>
                    <c:strCache>
                      <c:ptCount val="1"/>
                      <c:pt idx="0">
                        <c:v>Amplitud teórica (V)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3.3</c:v>
                      </c:pt>
                      <c:pt idx="1">
                        <c:v>2.25</c:v>
                      </c:pt>
                      <c:pt idx="2">
                        <c:v>1.25</c:v>
                      </c:pt>
                      <c:pt idx="3">
                        <c:v>3.3</c:v>
                      </c:pt>
                      <c:pt idx="4">
                        <c:v>2.25</c:v>
                      </c:pt>
                      <c:pt idx="5">
                        <c:v>1.25</c:v>
                      </c:pt>
                      <c:pt idx="6">
                        <c:v>3.3</c:v>
                      </c:pt>
                      <c:pt idx="7">
                        <c:v>2.25</c:v>
                      </c:pt>
                      <c:pt idx="8">
                        <c:v>1.25</c:v>
                      </c:pt>
                      <c:pt idx="9">
                        <c:v>3.3</c:v>
                      </c:pt>
                      <c:pt idx="10">
                        <c:v>2.25</c:v>
                      </c:pt>
                      <c:pt idx="11">
                        <c:v>1.25</c:v>
                      </c:pt>
                      <c:pt idx="12">
                        <c:v>3.3</c:v>
                      </c:pt>
                      <c:pt idx="13">
                        <c:v>2.25</c:v>
                      </c:pt>
                      <c:pt idx="14">
                        <c:v>1.25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46-479A-854F-69C860843D0D}"/>
                  </c:ext>
                </c:extLst>
              </c15:ser>
            </c15:filteredLineSeries>
          </c:ext>
        </c:extLst>
      </c:lineChart>
      <c:catAx>
        <c:axId val="8282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7168"/>
        <c:crosses val="autoZero"/>
        <c:auto val="1"/>
        <c:lblAlgn val="ctr"/>
        <c:lblOffset val="100"/>
        <c:noMultiLvlLbl val="0"/>
      </c:catAx>
      <c:valAx>
        <c:axId val="8282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64672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Comportamiento de amplitud teórica vs amplitud experimental a distintas</a:t>
            </a:r>
            <a:r>
              <a:rPr lang="en-US" baseline="0"/>
              <a:t> frecuencias en rampa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Rampas!$D$2</c:f>
              <c:strCache>
                <c:ptCount val="1"/>
                <c:pt idx="0">
                  <c:v>Amplitud teórica 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Rampas!$D$3:$D$17</c:f>
              <c:numCache>
                <c:formatCode>General</c:formatCode>
                <c:ptCount val="15"/>
                <c:pt idx="0">
                  <c:v>3.3</c:v>
                </c:pt>
                <c:pt idx="1">
                  <c:v>2.25</c:v>
                </c:pt>
                <c:pt idx="2">
                  <c:v>1.25</c:v>
                </c:pt>
                <c:pt idx="3">
                  <c:v>3.3</c:v>
                </c:pt>
                <c:pt idx="4">
                  <c:v>2.25</c:v>
                </c:pt>
                <c:pt idx="5">
                  <c:v>1.25</c:v>
                </c:pt>
                <c:pt idx="6">
                  <c:v>3.3</c:v>
                </c:pt>
                <c:pt idx="7">
                  <c:v>2.25</c:v>
                </c:pt>
                <c:pt idx="8">
                  <c:v>1.25</c:v>
                </c:pt>
                <c:pt idx="9">
                  <c:v>3.3</c:v>
                </c:pt>
                <c:pt idx="10">
                  <c:v>2.25</c:v>
                </c:pt>
                <c:pt idx="11">
                  <c:v>1.25</c:v>
                </c:pt>
                <c:pt idx="12">
                  <c:v>3.3</c:v>
                </c:pt>
                <c:pt idx="13">
                  <c:v>2.25</c:v>
                </c:pt>
                <c:pt idx="1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895-9D38-0865FA5B14A1}"/>
            </c:ext>
          </c:extLst>
        </c:ser>
        <c:ser>
          <c:idx val="2"/>
          <c:order val="2"/>
          <c:tx>
            <c:strRef>
              <c:f>Rampas!$E$2</c:f>
              <c:strCache>
                <c:ptCount val="1"/>
                <c:pt idx="0">
                  <c:v>Amplitud experimental (V)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Rampas!$E$3:$E$17</c:f>
              <c:numCache>
                <c:formatCode>General</c:formatCode>
                <c:ptCount val="15"/>
                <c:pt idx="0">
                  <c:v>3.28</c:v>
                </c:pt>
                <c:pt idx="1">
                  <c:v>2.2400000000000002</c:v>
                </c:pt>
                <c:pt idx="2">
                  <c:v>1.2</c:v>
                </c:pt>
                <c:pt idx="3">
                  <c:v>3.32</c:v>
                </c:pt>
                <c:pt idx="4">
                  <c:v>2.2400000000000002</c:v>
                </c:pt>
                <c:pt idx="5">
                  <c:v>1.2</c:v>
                </c:pt>
                <c:pt idx="6">
                  <c:v>3.33</c:v>
                </c:pt>
                <c:pt idx="7">
                  <c:v>2.2000000000000002</c:v>
                </c:pt>
                <c:pt idx="8">
                  <c:v>1.23</c:v>
                </c:pt>
                <c:pt idx="9">
                  <c:v>3.33</c:v>
                </c:pt>
                <c:pt idx="10">
                  <c:v>2.2400000000000002</c:v>
                </c:pt>
                <c:pt idx="11">
                  <c:v>1.2</c:v>
                </c:pt>
                <c:pt idx="12">
                  <c:v>3.28</c:v>
                </c:pt>
                <c:pt idx="13">
                  <c:v>2.2400000000000002</c:v>
                </c:pt>
                <c:pt idx="1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7-4895-9D38-0865FA5B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2896"/>
        <c:axId val="1016982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37-4895-9D38-0865FA5B14A1}"/>
                  </c:ext>
                </c:extLst>
              </c15:ser>
            </c15:filteredLineSeries>
          </c:ext>
        </c:extLst>
      </c:lineChart>
      <c:catAx>
        <c:axId val="101699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496"/>
        <c:crosses val="autoZero"/>
        <c:auto val="1"/>
        <c:lblAlgn val="ctr"/>
        <c:lblOffset val="100"/>
        <c:noMultiLvlLbl val="0"/>
      </c:catAx>
      <c:valAx>
        <c:axId val="10169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Voltajes de amplitud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Tiempos de subida y bajada de rampas, teorico vs</a:t>
            </a:r>
            <a:r>
              <a:rPr lang="en-US" baseline="0"/>
              <a:t> experimental con 55% de ciclo de trabajo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Rampas!$G$2</c:f>
              <c:strCache>
                <c:ptCount val="1"/>
                <c:pt idx="0">
                  <c:v>Tiempo Rampa Subida Teórico 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Rampas!$G$3:$G$17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8-4B5C-901F-E9F60658F9E9}"/>
            </c:ext>
          </c:extLst>
        </c:ser>
        <c:ser>
          <c:idx val="2"/>
          <c:order val="2"/>
          <c:tx>
            <c:strRef>
              <c:f>Rampas!$H$2</c:f>
              <c:strCache>
                <c:ptCount val="1"/>
                <c:pt idx="0">
                  <c:v>Tiempo Experimental de Rampa de subida (s)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Rampas!$A$3:$A$17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cat>
          <c:val>
            <c:numRef>
              <c:f>Rampas!$H$3:$H$17</c:f>
              <c:numCache>
                <c:formatCode>General</c:formatCode>
                <c:ptCount val="15"/>
                <c:pt idx="0">
                  <c:v>1.98</c:v>
                </c:pt>
                <c:pt idx="1">
                  <c:v>2.08</c:v>
                </c:pt>
                <c:pt idx="2">
                  <c:v>1.92</c:v>
                </c:pt>
                <c:pt idx="3">
                  <c:v>1.98</c:v>
                </c:pt>
                <c:pt idx="4">
                  <c:v>1.95</c:v>
                </c:pt>
                <c:pt idx="5">
                  <c:v>1.94</c:v>
                </c:pt>
                <c:pt idx="6">
                  <c:v>2</c:v>
                </c:pt>
                <c:pt idx="7">
                  <c:v>1.98</c:v>
                </c:pt>
                <c:pt idx="8">
                  <c:v>1.98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</c:v>
                </c:pt>
                <c:pt idx="13">
                  <c:v>1.98</c:v>
                </c:pt>
                <c:pt idx="14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8-4B5C-901F-E9F60658F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30352"/>
        <c:axId val="1017529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Rampas!$A$2</c15:sqref>
                        </c15:formulaRef>
                      </c:ext>
                    </c:extLst>
                    <c:strCache>
                      <c:ptCount val="1"/>
                      <c:pt idx="0">
                        <c:v>Frecuencia teórica (Hz)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Rampas!$A$3:$A$17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8-4B5C-901F-E9F60658F9E9}"/>
                  </c:ext>
                </c:extLst>
              </c15:ser>
            </c15:filteredLineSeries>
          </c:ext>
        </c:extLst>
      </c:lineChart>
      <c:catAx>
        <c:axId val="1017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Frecuencias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29104"/>
        <c:crosses val="autoZero"/>
        <c:auto val="1"/>
        <c:lblAlgn val="ctr"/>
        <c:lblOffset val="100"/>
        <c:noMultiLvlLbl val="0"/>
      </c:catAx>
      <c:valAx>
        <c:axId val="1017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</xdr:row>
      <xdr:rowOff>91440</xdr:rowOff>
    </xdr:from>
    <xdr:to>
      <xdr:col>4</xdr:col>
      <xdr:colOff>464820</xdr:colOff>
      <xdr:row>49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3D25A2-E8E7-884E-D717-B4975A64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581297</xdr:colOff>
      <xdr:row>49</xdr:row>
      <xdr:rowOff>105590</xdr:rowOff>
    </xdr:from>
    <xdr:to>
      <xdr:col>8</xdr:col>
      <xdr:colOff>261257</xdr:colOff>
      <xdr:row>69</xdr:row>
      <xdr:rowOff>174170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9865C8-F254-35F2-CFD0-AB5BE3DB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26</xdr:row>
      <xdr:rowOff>106680</xdr:rowOff>
    </xdr:from>
    <xdr:to>
      <xdr:col>8</xdr:col>
      <xdr:colOff>281940</xdr:colOff>
      <xdr:row>49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D4C81-5529-483F-8EE6-4737B603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544285</xdr:colOff>
      <xdr:row>49</xdr:row>
      <xdr:rowOff>54429</xdr:rowOff>
    </xdr:from>
    <xdr:to>
      <xdr:col>4</xdr:col>
      <xdr:colOff>441960</xdr:colOff>
      <xdr:row>69</xdr:row>
      <xdr:rowOff>123009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0F0D25-A76C-48F0-9108-76F45191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649535</xdr:colOff>
      <xdr:row>70</xdr:row>
      <xdr:rowOff>154030</xdr:rowOff>
    </xdr:from>
    <xdr:to>
      <xdr:col>8</xdr:col>
      <xdr:colOff>207818</xdr:colOff>
      <xdr:row>88</xdr:row>
      <xdr:rowOff>166255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98CC5C-0DEF-D7A4-8606-3A17C24D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651164</xdr:colOff>
      <xdr:row>70</xdr:row>
      <xdr:rowOff>96982</xdr:rowOff>
    </xdr:from>
    <xdr:to>
      <xdr:col>4</xdr:col>
      <xdr:colOff>431119</xdr:colOff>
      <xdr:row>88</xdr:row>
      <xdr:rowOff>109207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B5CA6CC-4E3E-44DF-9002-2827416BE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121921</xdr:colOff>
      <xdr:row>0</xdr:row>
      <xdr:rowOff>1</xdr:rowOff>
    </xdr:from>
    <xdr:to>
      <xdr:col>18</xdr:col>
      <xdr:colOff>620486</xdr:colOff>
      <xdr:row>17</xdr:row>
      <xdr:rowOff>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F43A8-ED75-6534-ADE3-8539121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643344</xdr:colOff>
      <xdr:row>0</xdr:row>
      <xdr:rowOff>0</xdr:rowOff>
    </xdr:from>
    <xdr:to>
      <xdr:col>25</xdr:col>
      <xdr:colOff>141513</xdr:colOff>
      <xdr:row>17</xdr:row>
      <xdr:rowOff>23949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B6B4BB-2587-F05C-04F9-7EFC700C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166565</xdr:colOff>
      <xdr:row>0</xdr:row>
      <xdr:rowOff>0</xdr:rowOff>
    </xdr:from>
    <xdr:to>
      <xdr:col>31</xdr:col>
      <xdr:colOff>590550</xdr:colOff>
      <xdr:row>17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871764-96DB-C915-CB94-B76BDC8E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110836</xdr:colOff>
      <xdr:row>20</xdr:row>
      <xdr:rowOff>55418</xdr:rowOff>
    </xdr:from>
    <xdr:to>
      <xdr:col>18</xdr:col>
      <xdr:colOff>609401</xdr:colOff>
      <xdr:row>37</xdr:row>
      <xdr:rowOff>63038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644B67-E551-4204-A2A7-54EEA0F9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651164</xdr:colOff>
      <xdr:row>20</xdr:row>
      <xdr:rowOff>55418</xdr:rowOff>
    </xdr:from>
    <xdr:to>
      <xdr:col>25</xdr:col>
      <xdr:colOff>149333</xdr:colOff>
      <xdr:row>37</xdr:row>
      <xdr:rowOff>79367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6CF50B-2C75-4733-B902-7AC7BD4DF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207819</xdr:colOff>
      <xdr:row>20</xdr:row>
      <xdr:rowOff>55418</xdr:rowOff>
    </xdr:from>
    <xdr:to>
      <xdr:col>31</xdr:col>
      <xdr:colOff>631804</xdr:colOff>
      <xdr:row>37</xdr:row>
      <xdr:rowOff>131618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78199A1-2839-4856-9CF2-18B6BFEE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138545</xdr:colOff>
      <xdr:row>39</xdr:row>
      <xdr:rowOff>41563</xdr:rowOff>
    </xdr:from>
    <xdr:to>
      <xdr:col>18</xdr:col>
      <xdr:colOff>637110</xdr:colOff>
      <xdr:row>56</xdr:row>
      <xdr:rowOff>49182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E51040-D2F7-46E7-97CF-A556184D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692727</xdr:colOff>
      <xdr:row>39</xdr:row>
      <xdr:rowOff>41563</xdr:rowOff>
    </xdr:from>
    <xdr:to>
      <xdr:col>25</xdr:col>
      <xdr:colOff>190896</xdr:colOff>
      <xdr:row>56</xdr:row>
      <xdr:rowOff>65511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CB6443-366B-40D8-9ECC-B8A0187A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318654</xdr:colOff>
      <xdr:row>39</xdr:row>
      <xdr:rowOff>27709</xdr:rowOff>
    </xdr:from>
    <xdr:to>
      <xdr:col>31</xdr:col>
      <xdr:colOff>742639</xdr:colOff>
      <xdr:row>56</xdr:row>
      <xdr:rowOff>103908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5D0D7C2-DBBA-4E68-985F-16C61758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387927</xdr:colOff>
      <xdr:row>0</xdr:row>
      <xdr:rowOff>76545</xdr:rowOff>
    </xdr:from>
    <xdr:to>
      <xdr:col>20</xdr:col>
      <xdr:colOff>324678</xdr:colOff>
      <xdr:row>15</xdr:row>
      <xdr:rowOff>145773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3162E8-4A84-9C9A-3104-3898C9AA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477079</xdr:colOff>
      <xdr:row>18</xdr:row>
      <xdr:rowOff>57149</xdr:rowOff>
    </xdr:from>
    <xdr:to>
      <xdr:col>20</xdr:col>
      <xdr:colOff>147637</xdr:colOff>
      <xdr:row>33</xdr:row>
      <xdr:rowOff>138113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892C97-547C-49CB-8DB0-3ACBCA879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331305</xdr:colOff>
      <xdr:row>36</xdr:row>
      <xdr:rowOff>33130</xdr:rowOff>
    </xdr:from>
    <xdr:to>
      <xdr:col>20</xdr:col>
      <xdr:colOff>290512</xdr:colOff>
      <xdr:row>51</xdr:row>
      <xdr:rowOff>176213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4F24F4-558C-4F5F-8C17-E59D3D83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92" dataDxfId="91">
  <autoFilter ref="A1:J23" xr:uid="{4DB0725B-06C7-40AB-8951-220298407BB2}"/>
  <sortState xmlns:xlrd2="http://schemas.microsoft.com/office/spreadsheetml/2017/richdata2" ref="A2:J23">
    <sortCondition ref="A1:A23"/>
  </sortState>
  <tableColumns count="10">
    <tableColumn id="1" xr3:uid="{D8BE834C-C6A0-4D47-BBA1-05DAD44C12B6}" name="Frequencia PWM Teorica (Hz)" dataDxfId="90"/>
    <tableColumn id="2" xr3:uid="{E3D22371-E809-4283-A1E6-06CCF407C76F}" name="Pomedio PWM (Hz)" dataDxfId="89"/>
    <tableColumn id="3" xr3:uid="{27EE4F05-B556-4BCF-B7F8-6EDA21BE7791}" name="Error (%)" dataDxfId="88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87" dataCellStyle="Porcentaje"/>
    <tableColumn id="9" xr3:uid="{D2FC5D2D-9F0F-40CD-92B9-A87E4EF0119F}" name="Promedio ciclo de trabajo (%)" dataDxfId="86" dataCellStyle="Porcentaje"/>
    <tableColumn id="10" xr3:uid="{5ED67E0A-997F-46E6-BF33-45D8CF858762}" name="Error ciclo de trabajo (%)" dataDxfId="85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84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83"/>
    <tableColumn id="7" xr3:uid="{8C38799C-6282-4F30-8155-2F925A8104B1}" name="Error ancho de pulso (%)" dataDxfId="82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8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EE0C2A2-CA42-4475-824D-BC4E29980EFF}" name="Tabla5920" displayName="Tabla5920" ref="F20:I34" totalsRowShown="0">
  <autoFilter ref="F20:I34" xr:uid="{EEE0C2A2-CA42-4475-824D-BC4E29980EFF}"/>
  <tableColumns count="4">
    <tableColumn id="1" xr3:uid="{5ABF9541-0684-4B12-876F-C11ABB1D0BAE}" name="Amplitud (V)">
      <calculatedColumnFormula>F20-0.25</calculatedColumnFormula>
    </tableColumn>
    <tableColumn id="2" xr3:uid="{647A2252-27DB-4B7E-BAD9-AC7BE668E149}" name="Amplitud Experimental"/>
    <tableColumn id="3" xr3:uid="{BD053EE5-57D7-458A-BCB4-B4BBE64DE4E0}" name="Corriente experimental (mA) a 20Hz" dataDxfId="23">
      <calculatedColumnFormula>Tabla5920[[#This Row],[Amplitud Experimental]]</calculatedColumnFormula>
    </tableColumn>
    <tableColumn id="4" xr3:uid="{D465D2CF-CB0D-4F8B-8B38-F782CAEA766C}" name="Error (%)" dataDxfId="22">
      <calculatedColumnFormula>ABS((Tabla5920[[#This Row],[Amplitud Experimental]]-Tabla5920[[#This Row],[Amplitud (V)]])/Tabla5920[[#This Row],[Amplitud (V)]])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FC840-8839-4A67-A422-4DA44126351F}" name="Tabla51021" displayName="Tabla51021" ref="K20:N34" totalsRowShown="0">
  <autoFilter ref="K20:N34" xr:uid="{5D0FC840-8839-4A67-A422-4DA44126351F}"/>
  <tableColumns count="4">
    <tableColumn id="1" xr3:uid="{B9051FC2-C9EC-4F1D-AF25-3DD4263C628A}" name="Amplitud (V)">
      <calculatedColumnFormula>K20-0.25</calculatedColumnFormula>
    </tableColumn>
    <tableColumn id="2" xr3:uid="{ED27F1B4-89E2-437B-A677-16F3157ED352}" name="Amplitud Experimental"/>
    <tableColumn id="3" xr3:uid="{4496C6BA-A830-4CF9-948B-F7B9ED94F700}" name="Corriente experimental (mA) a 10Hz" dataDxfId="21">
      <calculatedColumnFormula>Tabla51021[[#This Row],[Amplitud Experimental]]</calculatedColumnFormula>
    </tableColumn>
    <tableColumn id="4" xr3:uid="{6FE5A946-D7C4-45E7-8497-C3C0CC6F09C1}" name="Error (%)" dataDxfId="20">
      <calculatedColumnFormula>ABS((Tabla51021[[#This Row],[Amplitud Experimental]]-Tabla51021[[#This Row],[Amplitud (V)]])/Tabla51021[[#This Row],[Amplitud (V)]])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0B4E03-9F55-4B1E-B0D8-5CF8ECDCEE04}" name="Tabla522" displayName="Tabla522" ref="A38:D52" totalsRowShown="0">
  <autoFilter ref="A38:D52" xr:uid="{C10B4E03-9F55-4B1E-B0D8-5CF8ECDCEE04}"/>
  <tableColumns count="4">
    <tableColumn id="1" xr3:uid="{2D1E8B25-60C6-4E0C-A97A-55289AEA4DE6}" name="Amplitud (V)">
      <calculatedColumnFormula>A38-0.25</calculatedColumnFormula>
    </tableColumn>
    <tableColumn id="2" xr3:uid="{ADA40132-4642-4890-B28E-FCB760ED7A68}" name="Amplitud Experimental"/>
    <tableColumn id="3" xr3:uid="{79943565-18BC-4704-AB80-BA26F8A6DCA7}" name="Corriente experimental (mA) a 30Hz" dataDxfId="19">
      <calculatedColumnFormula>Tabla522[[#This Row],[Amplitud Experimental]]</calculatedColumnFormula>
    </tableColumn>
    <tableColumn id="4" xr3:uid="{11B4289A-A449-4422-8DFD-1D47B2425677}" name="Error (%)" dataDxfId="18">
      <calculatedColumnFormula>ABS((Tabla522[[#This Row],[Amplitud Experimental]]-Tabla522[[#This Row],[Amplitud (V)]])/Tabla522[[#This Row],[Amplitud (V)]])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896430D-909F-42DE-AD2E-60222EEBF9C6}" name="Tabla5923" displayName="Tabla5923" ref="F38:I52" totalsRowShown="0">
  <autoFilter ref="F38:I52" xr:uid="{D896430D-909F-42DE-AD2E-60222EEBF9C6}"/>
  <tableColumns count="4">
    <tableColumn id="1" xr3:uid="{7FB8EFBA-DDAC-4206-8A2F-1126D9B2E213}" name="Amplitud (V)">
      <calculatedColumnFormula>F38-0.25</calculatedColumnFormula>
    </tableColumn>
    <tableColumn id="2" xr3:uid="{0ED2D2DA-227C-4982-881D-3E4288781B2E}" name="Amplitud Experimental"/>
    <tableColumn id="3" xr3:uid="{9798B942-CEB9-4945-82FD-DBE231C53CE3}" name="Corriente experimental (mA) a 20Hz" dataDxfId="17">
      <calculatedColumnFormula>Tabla5923[[#This Row],[Amplitud Experimental]]</calculatedColumnFormula>
    </tableColumn>
    <tableColumn id="4" xr3:uid="{83AE26B0-DD36-4094-884B-F225013EF1EC}" name="Error (%)" dataDxfId="16">
      <calculatedColumnFormula>ABS((Tabla5923[[#This Row],[Amplitud Experimental]]-Tabla5923[[#This Row],[Amplitud (V)]])/Tabla5923[[#This Row],[Amplitud (V)]])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C4683D-089A-4254-AD93-B507A3364333}" name="Tabla51024" displayName="Tabla51024" ref="K38:N52" totalsRowShown="0">
  <autoFilter ref="K38:N52" xr:uid="{8DC4683D-089A-4254-AD93-B507A3364333}"/>
  <tableColumns count="4">
    <tableColumn id="1" xr3:uid="{0561B2BA-B024-4155-A7DE-574CB649B95F}" name="Amplitud (V)">
      <calculatedColumnFormula>K38-0.25</calculatedColumnFormula>
    </tableColumn>
    <tableColumn id="2" xr3:uid="{2CD90928-CB75-48EC-9302-E35ED29925C8}" name="Amplitud Experimental"/>
    <tableColumn id="3" xr3:uid="{347EA2DC-4908-42C1-91D1-651E27451F60}" name="Corriente experimental (mA) a 10Hz" dataDxfId="15">
      <calculatedColumnFormula>Tabla51024[[#This Row],[Amplitud Experimental]]</calculatedColumnFormula>
    </tableColumn>
    <tableColumn id="4" xr3:uid="{BE14CB09-49D2-4099-AAB5-1AC95E059925}" name="Error (%)" dataDxfId="14">
      <calculatedColumnFormula>ABS((Tabla51024[[#This Row],[Amplitud Experimental]]-Tabla51024[[#This Row],[Amplitud (V)]])/Tabla51024[[#This Row],[Amplitud (V)]])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EC235A-F303-43BB-9A0C-C42A9F1B1A6B}" name="Tabla4" displayName="Tabla4" ref="A2:F8" totalsRowShown="0" dataDxfId="11">
  <autoFilter ref="A2:F8" xr:uid="{87EC235A-F303-43BB-9A0C-C42A9F1B1A6B}"/>
  <tableColumns count="6">
    <tableColumn id="1" xr3:uid="{9177FB28-A459-4360-BDE6-5CB3066A120A}" name="Frecuencia (Hz)" dataDxfId="13"/>
    <tableColumn id="2" xr3:uid="{CC0F49CE-A62A-407E-A873-95B73557592C}" name="Consumo en uso (mA)" dataDxfId="12"/>
    <tableColumn id="3" xr3:uid="{68365ED9-5C0D-4C70-8D4B-912525987E2E}" name="Consumo estimado (mA)" dataDxfId="10">
      <calculatedColumnFormula>((Tabla4[[#This Row],[Consumo en uso (mA)]]*10^-3*9.09%) + (0.22*10^-3*90.91%))*10^3</calculatedColumnFormula>
    </tableColumn>
    <tableColumn id="4" xr3:uid="{55B8D523-B322-462D-9EFC-4E06A8AB49B9}" name="Vida útil bateria 550 mAh (años)" dataDxfId="9">
      <calculatedColumnFormula>(550/Tabla4[[#This Row],[Consumo estimado (mA)]])*0.000114155</calculatedColumnFormula>
    </tableColumn>
    <tableColumn id="5" xr3:uid="{4586B5ED-E812-4032-AFDF-B044923DFC22}" name="Vida útil bateria 1000 mAh (años)" dataDxfId="8">
      <calculatedColumnFormula>(1000/Tabla4[[#This Row],[Consumo estimado (mA)]])*0.000114155</calculatedColumnFormula>
    </tableColumn>
    <tableColumn id="6" xr3:uid="{3F6A5C9D-7C5D-4DE2-BF06-405B67867A0C}" name="Vida útil bateria 4000 mAh (años)" dataDxfId="7">
      <calculatedColumnFormula>(4000/Tabla4[[#This Row],[Consumo estimado (mA)]])*0.000114155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15146-B16C-4770-BC25-0E328057E3ED}" name="Tabla47" displayName="Tabla47" ref="A11:F17" totalsRowShown="0" dataDxfId="6">
  <autoFilter ref="A11:F17" xr:uid="{1BC15146-B16C-4770-BC25-0E328057E3ED}"/>
  <tableColumns count="6">
    <tableColumn id="1" xr3:uid="{FB1BCBCE-3C4A-4954-BF7C-A0A5DBF85C1B}" name="Frecuencia (Hz)" dataDxfId="5"/>
    <tableColumn id="2" xr3:uid="{7FBBE901-2877-4031-A0C0-BBCB1930D38A}" name="Consumo en uso (mA)" dataDxfId="4"/>
    <tableColumn id="3" xr3:uid="{144ABDE7-6511-49EF-B972-31FBD76FA86D}" name="Consumo estimado (mA)" dataDxfId="3">
      <calculatedColumnFormula>((Tabla47[[#This Row],[Consumo en uso (mA)]]*10^-3*9.09%) + (0.22*10^-3*90.91%))*10^3</calculatedColumnFormula>
    </tableColumn>
    <tableColumn id="4" xr3:uid="{C8E5D5A2-0B0C-426C-A003-1BDB8C64EFA1}" name="Vida útil bateria 550 mAh (años)" dataDxfId="2">
      <calculatedColumnFormula>(550/Tabla47[[#This Row],[Consumo estimado (mA)]])*0.000114155</calculatedColumnFormula>
    </tableColumn>
    <tableColumn id="5" xr3:uid="{8E767442-23E1-44A3-A69D-777D7377AECA}" name="Vida útil bateria 1000 mAh (años)" dataDxfId="1">
      <calculatedColumnFormula>(1000/Tabla47[[#This Row],[Consumo estimado (mA)]])*0.000114155</calculatedColumnFormula>
    </tableColumn>
    <tableColumn id="6" xr3:uid="{4B5B4ED8-2A1F-49A6-A60C-C1D0C9D3C477}" name="Vida útil bateria 4000 mAh (años)" dataDxfId="0">
      <calculatedColumnFormula>(4000/Tabla47[[#This Row],[Consumo estimado (mA)]])*0.000114155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80" dataDxfId="79">
  <autoFilter ref="A1:E16" xr:uid="{541620B9-3328-4E80-87D7-6993CCFCC757}"/>
  <tableColumns count="5">
    <tableColumn id="1" xr3:uid="{C17AFB38-CE22-46D7-8F22-0682A82000DC}" name="Amplitud  teórica (V)" dataDxfId="78">
      <calculatedColumnFormula>A1-0.25</calculatedColumnFormula>
    </tableColumn>
    <tableColumn id="2" xr3:uid="{CAC73A74-053C-4BEA-BFA3-0EF61C871549}" name="Amplitud experimental (V)" dataDxfId="77"/>
    <tableColumn id="3" xr3:uid="{58572678-C524-4439-815F-B36F210BCB44}" name="Error (%)" dataDxfId="76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75" dataCellStyle="Porcentaje">
      <calculatedColumnFormula>(Tabla2[[#This Row],[Value sent (0 - 255)]]*100/255)*0.01</calculatedColumnFormula>
    </tableColumn>
    <tableColumn id="5" xr3:uid="{6E5851DF-90B5-4596-B293-DB5BB1C46723}" name="Value sent (0 - 255)" dataDxfId="74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73" dataDxfId="72">
  <autoFilter ref="A2:L17" xr:uid="{5BBDF8BE-AC6E-4031-9579-29D05467F7BF}"/>
  <tableColumns count="12">
    <tableColumn id="1" xr3:uid="{9F71D84F-9878-4D36-8936-9D003F31027F}" name="Frecuencia teórica (Hz) " dataDxfId="71"/>
    <tableColumn id="2" xr3:uid="{5282C3EA-F82F-4E75-BDCF-1084006587B3}" name="Frecuencia experimental (Hz)" dataDxfId="70"/>
    <tableColumn id="3" xr3:uid="{ED172ABE-988C-4750-854D-F9F0691C9376}" name="Error Frecuencia (%)" dataDxfId="69" dataCellStyle="Porcentaje">
      <calculatedColumnFormula>ABS((Tabla3[[#This Row],[Frecuencia experimental (Hz)]]-Tabla3[[#This Row],[Frecuencia teórica (Hz) ]])/Tabla3[[#This Row],[Frecuencia teórica (Hz) ]])</calculatedColumnFormula>
    </tableColumn>
    <tableColumn id="4" xr3:uid="{88E66329-9A9A-4F1D-81CC-884B1C7872B9}" name="Amplitud teórica (V)" dataDxfId="68"/>
    <tableColumn id="11" xr3:uid="{09F1E6EF-B67B-451B-9DE2-1EE82D3585CB}" name="Amplitud experimental (V)" dataDxfId="67"/>
    <tableColumn id="12" xr3:uid="{C80D96D2-FC0F-48F2-9D46-C0DFF83B2CD7}" name="Error Amplitud (%)" dataDxfId="66">
      <calculatedColumnFormula>ABS((Tabla3[[#This Row],[Amplitud experimental (V)]]-Tabla3[[#This Row],[Amplitud teórica (V)]])/Tabla3[[#This Row],[Amplitud teórica (V)]])</calculatedColumnFormula>
    </tableColumn>
    <tableColumn id="5" xr3:uid="{D4F0D9EB-B70D-4932-A0EB-05BFE46B43ED}" name="Tiempo Rampa Subida Teórico (s)" dataDxfId="65"/>
    <tableColumn id="6" xr3:uid="{2EBD1AB8-5FE1-4887-AE3B-19D56A70A9EF}" name="Tiempo Experimental de Rampa de subida (s)" dataDxfId="64"/>
    <tableColumn id="7" xr3:uid="{CCAC1463-901C-4C7D-A762-180D99650D11}" name="error tiempo de subida (%)" dataDxfId="63">
      <calculatedColumnFormula>ABS((Tabla3[[#This Row],[Tiempo Experimental de Rampa de subida (s)]]-Tabla3[[#This Row],[Tiempo Rampa Subida Teórico (s)]])/Tabla3[[#This Row],[Tiempo Rampa Subida Teórico (s)]])</calculatedColumnFormula>
    </tableColumn>
    <tableColumn id="8" xr3:uid="{30C74FAF-B5D2-44CA-BF59-EB5E6D7B1A9C}" name="Tiempo Rampa Bajada Teórico (s)" dataDxfId="62"/>
    <tableColumn id="9" xr3:uid="{1891CEE3-E6E8-47C1-98E4-60A57F883566}" name="Tiempo Experimental de Rampa de bajada (s)" dataDxfId="61">
      <calculatedColumnFormula>Tabla3[[#This Row],[Tiempo Experimental de Rampa de subida (s)]]</calculatedColumnFormula>
    </tableColumn>
    <tableColumn id="10" xr3:uid="{16438C67-DAE6-4F33-8725-B2B824DE7049}" name="error bajada (%)" dataDxfId="60">
      <calculatedColumnFormula>ABS((Tabla3[[#This Row],[Tiempo Experimental de Rampa de bajada (s)]]-Tabla3[[#This Row],[Tiempo Rampa Bajada Teórico (s)]])/Tabla3[[#This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59" dataDxfId="58">
  <autoFilter ref="A22:L37" xr:uid="{04551ECA-EF0C-4696-9301-5248DE3C38A9}"/>
  <tableColumns count="12">
    <tableColumn id="1" xr3:uid="{954A970E-0EE2-41A4-96CD-DF54CD9B89BD}" name="Frecuencia teórica (Hz) " dataDxfId="57"/>
    <tableColumn id="2" xr3:uid="{4F819BC9-EAF4-4102-98E5-2D695C220C79}" name="Frecuencia experimental (Hz)" dataDxfId="56"/>
    <tableColumn id="3" xr3:uid="{3EA23BCF-637E-4183-951D-AE5A4E1B4996}" name="Error Frecuencia (%)" dataDxfId="55" dataCellStyle="Porcentaje">
      <calculatedColumnFormula>ABS((Tabla311[[#This Row],[Frecuencia experimental (Hz)]]-Tabla311[[#This Row],[Frecuencia teórica (Hz) ]])/Tabla311[[#This Row],[Frecuencia teórica (Hz) ]])</calculatedColumnFormula>
    </tableColumn>
    <tableColumn id="4" xr3:uid="{57FDEE6C-38A0-4878-90E5-D462DC893965}" name="Amplitud teórica (V)" dataDxfId="54"/>
    <tableColumn id="11" xr3:uid="{A1EA1D9B-8E35-45C2-BC97-1F7531639C8E}" name="Amplitud experimental (V)" dataDxfId="53"/>
    <tableColumn id="12" xr3:uid="{5C5B86F0-2C62-4EC7-90DB-16CD3F02F215}" name="Error Amplitud (%)" dataDxfId="52">
      <calculatedColumnFormula>ABS((Tabla311[[#This Row],[Amplitud experimental (V)]]-Tabla311[[#This Row],[Amplitud teórica (V)]])/Tabla311[[#This Row],[Amplitud teórica (V)]])</calculatedColumnFormula>
    </tableColumn>
    <tableColumn id="5" xr3:uid="{A196DC78-24A3-49DB-8F89-7372B726AF8D}" name="Tiempo Rampa Subida Teórico (s)" dataDxfId="51"/>
    <tableColumn id="6" xr3:uid="{61205670-DD09-4734-9B60-2A19181A3B09}" name="Tiempo Experimental de Rampa de subida (s)" dataDxfId="50"/>
    <tableColumn id="7" xr3:uid="{CB6D4961-C564-4255-A528-66DC8939E53F}" name="error tiempo de subida (%)" dataDxfId="49">
      <calculatedColumnFormula>ABS((Tabla311[[#This Row],[Tiempo Experimental de Rampa de subida (s)]]-Tabla311[[#This Row],[Tiempo Rampa Subida Teórico (s)]])/Tabla311[[#This Row],[Tiempo Rampa Subida Teórico (s)]])</calculatedColumnFormula>
    </tableColumn>
    <tableColumn id="8" xr3:uid="{82C89E9A-C54F-45D9-BA16-F7CA53FDAD9C}" name="Tiempo Rampa Bajada Teórico (s)" dataDxfId="48"/>
    <tableColumn id="9" xr3:uid="{AADECCD1-0E47-4899-B4DB-3980D5EB4FA0}" name="Tiempo Experimental de Rampa de bajada (s)" dataDxfId="47">
      <calculatedColumnFormula>Tabla311[[#This Row],[Tiempo Experimental de Rampa de subida (s)]]</calculatedColumnFormula>
    </tableColumn>
    <tableColumn id="10" xr3:uid="{B9442908-7763-415B-A1D9-3FDB69AA335D}" name="error bajada (%)" dataDxfId="46">
      <calculatedColumnFormula>ABS((Tabla311[[#This Row],[Tiempo Experimental de Rampa de bajada (s)]]-Tabla311[[#This Row],[Tiempo Rampa Bajada Teórico (s)]])/Tabla311[[#This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45" dataDxfId="44">
  <autoFilter ref="A41:L56" xr:uid="{FD84326B-B51B-43E3-A954-A199DB93B556}"/>
  <tableColumns count="12">
    <tableColumn id="1" xr3:uid="{9EA3655E-189F-41AE-BB30-A54F6B6FBD31}" name="Frecuencia teórica (Hz) " dataDxfId="43"/>
    <tableColumn id="2" xr3:uid="{43A90E76-0F57-46ED-9A57-AA589374EFAC}" name="Frecuencia experimental (Hz)" dataDxfId="42"/>
    <tableColumn id="3" xr3:uid="{402459F6-1584-430A-83A0-BCD4F9F04646}" name="Error Frecuencia (%)" dataDxfId="41" dataCellStyle="Porcentaje">
      <calculatedColumnFormula>ABS((Tabla312[[#This Row],[Frecuencia experimental (Hz)]]-Tabla312[[#This Row],[Frecuencia teórica (Hz) ]])/Tabla312[[#This Row],[Frecuencia teórica (Hz) ]])</calculatedColumnFormula>
    </tableColumn>
    <tableColumn id="4" xr3:uid="{57E12FE0-ED8A-4975-B183-AD60486386D0}" name="Amplitud teórica (V)" dataDxfId="40"/>
    <tableColumn id="11" xr3:uid="{8BB747FA-A49A-40D7-8EB0-CE09BDEFD4C6}" name="Amplitud experimental (V)" dataDxfId="39"/>
    <tableColumn id="12" xr3:uid="{5AD41EFA-DE50-4D69-927C-30DDC6471368}" name="Error Amplitud (%)" dataDxfId="38">
      <calculatedColumnFormula>ABS((Tabla312[[#This Row],[Amplitud experimental (V)]]-Tabla312[[#This Row],[Amplitud teórica (V)]])/Tabla312[[#This Row],[Amplitud teórica (V)]])</calculatedColumnFormula>
    </tableColumn>
    <tableColumn id="5" xr3:uid="{8F77CD90-8B24-4F57-B9D9-D92BD38EEF90}" name="Tiempo Rampa Subida Teórico (s)" dataDxfId="37"/>
    <tableColumn id="6" xr3:uid="{369A3313-8A54-4DE9-ABDF-57550D7CA766}" name="Tiempo Experimental de Rampa de subida (s)" dataDxfId="36"/>
    <tableColumn id="7" xr3:uid="{623ED2C3-F247-4060-B588-027666E64CEF}" name="error tiempo de subida (%)" dataDxfId="35">
      <calculatedColumnFormula>ABS((Tabla312[[#This Row],[Tiempo Experimental de Rampa de subida (s)]]-Tabla312[[#This Row],[Tiempo Rampa Subida Teórico (s)]])/Tabla312[[#This Row],[Tiempo Rampa Subida Teórico (s)]])</calculatedColumnFormula>
    </tableColumn>
    <tableColumn id="8" xr3:uid="{E3C34122-9074-4143-952B-814317832A8D}" name="Tiempo Rampa Bajada Teórico (s)" dataDxfId="34"/>
    <tableColumn id="9" xr3:uid="{60537B1A-AA51-4135-9C45-7A7737C1206F}" name="Tiempo Experimental de Rampa de bajada (s)" dataDxfId="33">
      <calculatedColumnFormula>Tabla312[[#This Row],[Tiempo Experimental de Rampa de subida (s)]]</calculatedColumnFormula>
    </tableColumn>
    <tableColumn id="10" xr3:uid="{AC06E1BE-4CD9-4E21-87BD-693B0C461F93}" name="error bajada (%)" dataDxfId="32">
      <calculatedColumnFormula>ABS((Tabla312[[#This Row],[Tiempo Experimental de Rampa de bajada (s)]]-Tabla312[[#This Row],[Tiempo Rampa Bajada Teórico (s)]])/Tabla312[[#This Row],[Tiempo Rampa Bajada Teórico (s)]])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C4D5CF-0DA4-4292-B4CC-F194FE85F401}" name="Tabla5" displayName="Tabla5" ref="A2:D16" totalsRowShown="0">
  <autoFilter ref="A2:D16" xr:uid="{BFC4D5CF-0DA4-4292-B4CC-F194FE85F401}"/>
  <tableColumns count="4">
    <tableColumn id="1" xr3:uid="{E14F42C8-F607-4205-BFF6-45237EE183F1}" name="Amplitud (V)">
      <calculatedColumnFormula>A2-0.25</calculatedColumnFormula>
    </tableColumn>
    <tableColumn id="2" xr3:uid="{49D13144-65CF-4487-8945-80595D1BA005}" name="Amplitud Experimental"/>
    <tableColumn id="3" xr3:uid="{A0130B50-85CF-4CCC-8EE3-A1C864608501}" name="Corriente experimental (mA) a 30Hz" dataDxfId="31">
      <calculatedColumnFormula>Tabla5[[#This Row],[Amplitud Experimental]]</calculatedColumnFormula>
    </tableColumn>
    <tableColumn id="4" xr3:uid="{21D4FE8D-0201-4AB3-8FD4-43280EA755BD}" name="Error (%)" dataDxfId="30">
      <calculatedColumnFormula>ABS((Tabla5[[#This Row],[Amplitud Experimental]]-Tabla5[[#This Row],[Amplitud (V)]])/Tabla5[[#This Row],[Amplitud (V)]])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B3A1EA-B727-4921-BEB0-8D065A13F91F}" name="Tabla59" displayName="Tabla59" ref="F2:I16" totalsRowShown="0">
  <autoFilter ref="F2:I16" xr:uid="{78B3A1EA-B727-4921-BEB0-8D065A13F91F}"/>
  <tableColumns count="4">
    <tableColumn id="1" xr3:uid="{62AE73ED-6EE6-4816-A97F-6C0FBCFB5561}" name="Amplitud (V)">
      <calculatedColumnFormula>F2-0.25</calculatedColumnFormula>
    </tableColumn>
    <tableColumn id="2" xr3:uid="{457B3A8B-A885-48AB-B98E-5C02BB656D53}" name="Amplitud Experimental"/>
    <tableColumn id="3" xr3:uid="{E1B2A27D-0272-40DA-A4BF-C79E307D9164}" name="Corriente experimental (mA) a 20Hz" dataDxfId="29">
      <calculatedColumnFormula>Tabla59[[#This Row],[Amplitud Experimental]]</calculatedColumnFormula>
    </tableColumn>
    <tableColumn id="4" xr3:uid="{47588B50-F8BD-4B30-9D7E-81347F05E2DE}" name="Error (%)" dataDxfId="28">
      <calculatedColumnFormula>ABS((Tabla59[[#This Row],[Amplitud Experimental]]-Tabla59[[#This Row],[Amplitud (V)]])/Tabla59[[#This Row],[Amplitud (V)]])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A1318F-F1D6-4205-9B12-47F6D49EB3EF}" name="Tabla510" displayName="Tabla510" ref="K2:N16" totalsRowShown="0">
  <autoFilter ref="K2:N16" xr:uid="{3DA1318F-F1D6-4205-9B12-47F6D49EB3EF}"/>
  <tableColumns count="4">
    <tableColumn id="1" xr3:uid="{392186D2-FA77-44E2-9D79-2476D2CA1E2F}" name="Amplitud (V)">
      <calculatedColumnFormula>K2-0.25</calculatedColumnFormula>
    </tableColumn>
    <tableColumn id="2" xr3:uid="{D8ACF535-D0C1-46E2-A6E4-8E3909AA46F4}" name="Amplitud Experimental"/>
    <tableColumn id="3" xr3:uid="{0BAEFC13-7D82-4E71-9D41-4344A6090939}" name="Corriente experimental (mA) a 10Hz" dataDxfId="27">
      <calculatedColumnFormula>Tabla510[[#This Row],[Amplitud Experimental]]</calculatedColumnFormula>
    </tableColumn>
    <tableColumn id="4" xr3:uid="{DECD44A5-2474-4759-B8DD-BEAD84262CC3}" name="Error (%)" dataDxfId="26">
      <calculatedColumnFormula>ABS((Tabla510[[#This Row],[Amplitud Experimental]]-Tabla510[[#This Row],[Amplitud (V)]])/Tabla510[[#This Row],[Amplitud (V)]])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A2204F-9041-4D27-8CAE-FC7B5AD60412}" name="Tabla519" displayName="Tabla519" ref="A20:D34" totalsRowShown="0">
  <autoFilter ref="A20:D34" xr:uid="{41A2204F-9041-4D27-8CAE-FC7B5AD60412}"/>
  <tableColumns count="4">
    <tableColumn id="1" xr3:uid="{991BBD3A-F460-47DB-B66B-4BE79EFB6AA4}" name="Amplitud (V)">
      <calculatedColumnFormula>A20-0.25</calculatedColumnFormula>
    </tableColumn>
    <tableColumn id="2" xr3:uid="{CBEB5000-9EE8-4462-AF3E-18FDA130F585}" name="Amplitud Experimental"/>
    <tableColumn id="3" xr3:uid="{4903257E-67AD-415D-B34E-1448DE1DC636}" name="Corriente experimental (mA) a 30Hz" dataDxfId="25">
      <calculatedColumnFormula>Tabla519[[#This Row],[Amplitud Experimental]]</calculatedColumnFormula>
    </tableColumn>
    <tableColumn id="4" xr3:uid="{7196AC0B-F8B1-44E4-856C-BBA135EE34CB}" name="Error (%)" dataDxfId="24">
      <calculatedColumnFormula>ABS((Tabla519[[#This Row],[Amplitud Experimental]]-Tabla519[[#This Row],[Amplitud (V)]])/Tabla519[[#This Row],[Amplitud (V)]])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tabSelected="1" topLeftCell="B1" zoomScaleNormal="100" workbookViewId="0">
      <selection activeCell="K25" sqref="K25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1</v>
      </c>
      <c r="B2" s="1">
        <v>0.93300000000000005</v>
      </c>
      <c r="C2" s="3">
        <f>ABS((Tabla1[[#This Row],[Pomedio PWM (Hz)]]-Tabla1[[#This Row],[Frequencia PWM Teorica (Hz)]])/Tabla1[[#This Row],[Frequencia PWM Teorica (Hz)]])</f>
        <v>6.6999999999999948E-2</v>
      </c>
      <c r="D2" s="3">
        <v>0.5</v>
      </c>
      <c r="E2" s="3">
        <v>0.48</v>
      </c>
      <c r="F2" s="3">
        <f>ABS((Tabla1[[#This Row],[Promedio ciclo de trabajo (%)]]-Tabla1[[#This Row],[Ciclo de trabajo teorico]])/Tabla1[[#This Row],[Ciclo de trabajo teorico]])</f>
        <v>4.0000000000000036E-2</v>
      </c>
      <c r="G2" s="5">
        <f>(1/Tabla1[[#This Row],[Frequencia PWM Teorica (Hz)]])*Tabla1[[#This Row],[Ciclo de trabajo teorico]]*1000</f>
        <v>500</v>
      </c>
      <c r="H2" s="1">
        <v>490</v>
      </c>
      <c r="I2" s="3">
        <f>ABS((Tabla1[[#This Row],[Promedio Ancho de pulso (ms)]]-Tabla1[[#This Row],[Ancho de pulso teorico (ms)]])/Tabla1[[#This Row],[Ancho de pulso teorico (ms)]])</f>
        <v>0.02</v>
      </c>
      <c r="J2" s="1">
        <v>3.3</v>
      </c>
    </row>
    <row r="3" spans="1:10" x14ac:dyDescent="0.3">
      <c r="A3" s="2">
        <v>1</v>
      </c>
      <c r="B3" s="1">
        <v>0.83299999999999996</v>
      </c>
      <c r="C3" s="3">
        <f>ABS((Tabla1[[#This Row],[Pomedio PWM (Hz)]]-Tabla1[[#This Row],[Frequencia PWM Teorica (Hz)]])/Tabla1[[#This Row],[Frequencia PWM Teorica (Hz)]])</f>
        <v>0.16700000000000004</v>
      </c>
      <c r="D3" s="3">
        <v>0.55000000000000004</v>
      </c>
      <c r="E3" s="3">
        <v>0.56000000000000005</v>
      </c>
      <c r="F3" s="3">
        <f>ABS((Tabla1[[#This Row],[Promedio ciclo de trabajo (%)]]-Tabla1[[#This Row],[Ciclo de trabajo teorico]])/Tabla1[[#This Row],[Ciclo de trabajo teorico]])</f>
        <v>1.8181818181818195E-2</v>
      </c>
      <c r="G3" s="5">
        <f>(1/Tabla1[[#This Row],[Frequencia PWM Teorica (Hz)]])*Tabla1[[#This Row],[Ciclo de trabajo teorico]]*1000</f>
        <v>550</v>
      </c>
      <c r="H3" s="1">
        <v>560</v>
      </c>
      <c r="I3" s="3">
        <f>ABS((Tabla1[[#This Row],[Promedio Ancho de pulso (ms)]]-Tabla1[[#This Row],[Ancho de pulso teorico (ms)]])/Tabla1[[#This Row],[Ancho de pulso teorico (ms)]])</f>
        <v>1.8181818181818181E-2</v>
      </c>
      <c r="J3" s="1">
        <v>3.32</v>
      </c>
    </row>
    <row r="4" spans="1:10" x14ac:dyDescent="0.3">
      <c r="A4" s="2">
        <v>2</v>
      </c>
      <c r="B4" s="1">
        <v>2.08</v>
      </c>
      <c r="C4" s="3">
        <f>ABS((Tabla1[[#This Row],[Pomedio PWM (Hz)]]-Tabla1[[#This Row],[Frequencia PWM Teorica (Hz)]])/Tabla1[[#This Row],[Frequencia PWM Teorica (Hz)]])</f>
        <v>4.0000000000000036E-2</v>
      </c>
      <c r="D4" s="3">
        <v>0.5</v>
      </c>
      <c r="E4" s="3">
        <v>0.51</v>
      </c>
      <c r="F4" s="3">
        <f>ABS((Tabla1[[#This Row],[Promedio ciclo de trabajo (%)]]-Tabla1[[#This Row],[Ciclo de trabajo teorico]])/Tabla1[[#This Row],[Ciclo de trabajo teorico]])</f>
        <v>2.0000000000000018E-2</v>
      </c>
      <c r="G4" s="5">
        <f>(1/Tabla1[[#This Row],[Frequencia PWM Teorica (Hz)]])*Tabla1[[#This Row],[Ciclo de trabajo teorico]]*1000</f>
        <v>250</v>
      </c>
      <c r="H4" s="1">
        <v>248</v>
      </c>
      <c r="I4" s="3">
        <f>ABS((Tabla1[[#This Row],[Promedio Ancho de pulso (ms)]]-Tabla1[[#This Row],[Ancho de pulso teorico (ms)]])/Tabla1[[#This Row],[Ancho de pulso teorico (ms)]])</f>
        <v>8.0000000000000002E-3</v>
      </c>
      <c r="J4" s="1">
        <v>3.3</v>
      </c>
    </row>
    <row r="5" spans="1:10" x14ac:dyDescent="0.3">
      <c r="A5" s="2">
        <v>2</v>
      </c>
      <c r="B5" s="1">
        <v>2.08</v>
      </c>
      <c r="C5" s="3">
        <f>ABS((Tabla1[[#This Row],[Pomedio PWM (Hz)]]-Tabla1[[#This Row],[Frequencia PWM Teorica (Hz)]])/Tabla1[[#This Row],[Frequencia PWM Teorica (Hz)]])</f>
        <v>4.0000000000000036E-2</v>
      </c>
      <c r="D5" s="3">
        <v>0.55000000000000004</v>
      </c>
      <c r="E5" s="3">
        <v>0.52</v>
      </c>
      <c r="F5" s="3">
        <f>ABS((Tabla1[[#This Row],[Promedio ciclo de trabajo (%)]]-Tabla1[[#This Row],[Ciclo de trabajo teorico]])/Tabla1[[#This Row],[Ciclo de trabajo teorico]])</f>
        <v>5.4545454545454591E-2</v>
      </c>
      <c r="G5" s="5">
        <f>(1/Tabla1[[#This Row],[Frequencia PWM Teorica (Hz)]])*Tabla1[[#This Row],[Ciclo de trabajo teorico]]*1000</f>
        <v>275</v>
      </c>
      <c r="H5" s="1">
        <v>280</v>
      </c>
      <c r="I5" s="3">
        <f>ABS((Tabla1[[#This Row],[Promedio Ancho de pulso (ms)]]-Tabla1[[#This Row],[Ancho de pulso teorico (ms)]])/Tabla1[[#This Row],[Ancho de pulso teorico (ms)]])</f>
        <v>1.8181818181818181E-2</v>
      </c>
      <c r="J5" s="1">
        <v>3.3</v>
      </c>
    </row>
    <row r="6" spans="1:10" x14ac:dyDescent="0.3">
      <c r="A6" s="2">
        <v>5</v>
      </c>
      <c r="B6" s="1">
        <v>5</v>
      </c>
      <c r="C6" s="3">
        <f>ABS((Tabla1[[#This Row],[Pomedio PWM (Hz)]]-Tabla1[[#This Row],[Frequencia PWM Teorica (Hz)]])/Tabla1[[#This Row],[Frequencia PWM Teorica (Hz)]])</f>
        <v>0</v>
      </c>
      <c r="D6" s="3">
        <v>0.2</v>
      </c>
      <c r="E6" s="3">
        <v>0.21</v>
      </c>
      <c r="F6" s="3">
        <f>ABS((Tabla1[[#This Row],[Promedio ciclo de trabajo (%)]]-Tabla1[[#This Row],[Ciclo de trabajo teorico]])/Tabla1[[#This Row],[Ciclo de trabajo teorico]])</f>
        <v>4.9999999999999906E-2</v>
      </c>
      <c r="G6" s="5">
        <f>(1/Tabla1[[#This Row],[Frequencia PWM Teorica (Hz)]])*Tabla1[[#This Row],[Ciclo de trabajo teorico]]*1000</f>
        <v>40.000000000000007</v>
      </c>
      <c r="H6" s="1">
        <v>40</v>
      </c>
      <c r="I6" s="3">
        <f>ABS((Tabla1[[#This Row],[Promedio Ancho de pulso (ms)]]-Tabla1[[#This Row],[Ancho de pulso teorico (ms)]])/Tabla1[[#This Row],[Ancho de pulso teorico (ms)]])</f>
        <v>1.7763568394002501E-16</v>
      </c>
      <c r="J6" s="1">
        <v>3.28</v>
      </c>
    </row>
    <row r="7" spans="1:10" x14ac:dyDescent="0.3">
      <c r="A7" s="2">
        <v>5</v>
      </c>
      <c r="B7" s="1">
        <v>5</v>
      </c>
      <c r="C7" s="3">
        <f>ABS((Tabla1[[#This Row],[Pomedio PWM (Hz)]]-Tabla1[[#This Row],[Frequencia PWM Teorica (Hz)]])/Tabla1[[#This Row],[Frequencia PWM Teorica (Hz)]])</f>
        <v>0</v>
      </c>
      <c r="D7" s="3">
        <v>0.5</v>
      </c>
      <c r="E7" s="3">
        <v>0.48</v>
      </c>
      <c r="F7" s="3">
        <f>ABS((Tabla1[[#This Row],[Promedio ciclo de trabajo (%)]]-Tabla1[[#This Row],[Ciclo de trabajo teorico]])/Tabla1[[#This Row],[Ciclo de trabajo teorico]])</f>
        <v>4.0000000000000036E-2</v>
      </c>
      <c r="G7" s="5">
        <f>(1/Tabla1[[#This Row],[Frequencia PWM Teorica (Hz)]])*Tabla1[[#This Row],[Ciclo de trabajo teorico]]*1000</f>
        <v>100</v>
      </c>
      <c r="H7" s="1">
        <v>100</v>
      </c>
      <c r="I7" s="3">
        <f>ABS((Tabla1[[#This Row],[Promedio Ancho de pulso (ms)]]-Tabla1[[#This Row],[Ancho de pulso teorico (ms)]])/Tabla1[[#This Row],[Ancho de pulso teorico (ms)]])</f>
        <v>0</v>
      </c>
      <c r="J7" s="1">
        <v>3.3</v>
      </c>
    </row>
    <row r="8" spans="1:10" x14ac:dyDescent="0.3">
      <c r="A8" s="2">
        <v>5</v>
      </c>
      <c r="B8" s="1">
        <v>5</v>
      </c>
      <c r="C8" s="3">
        <f>ABS((Tabla1[[#This Row],[Pomedio PWM (Hz)]]-Tabla1[[#This Row],[Frequencia PWM Teorica (Hz)]])/Tabla1[[#This Row],[Frequencia PWM Teorica (Hz)]])</f>
        <v>0</v>
      </c>
      <c r="D8" s="3">
        <v>0.55000000000000004</v>
      </c>
      <c r="E8" s="3">
        <v>0.53</v>
      </c>
      <c r="F8" s="3">
        <f>ABS((Tabla1[[#This Row],[Promedio ciclo de trabajo (%)]]-Tabla1[[#This Row],[Ciclo de trabajo teorico]])/Tabla1[[#This Row],[Ciclo de trabajo teorico]])</f>
        <v>3.636363636363639E-2</v>
      </c>
      <c r="G8" s="5">
        <f>(1/Tabla1[[#This Row],[Frequencia PWM Teorica (Hz)]])*Tabla1[[#This Row],[Ciclo de trabajo teorico]]*1000</f>
        <v>110.00000000000001</v>
      </c>
      <c r="H8" s="1">
        <v>113</v>
      </c>
      <c r="I8" s="3">
        <f>ABS((Tabla1[[#This Row],[Promedio Ancho de pulso (ms)]]-Tabla1[[#This Row],[Ancho de pulso teorico (ms)]])/Tabla1[[#This Row],[Ancho de pulso teorico (ms)]])</f>
        <v>2.727272727272714E-2</v>
      </c>
      <c r="J8" s="1">
        <v>3.3</v>
      </c>
    </row>
    <row r="9" spans="1:10" x14ac:dyDescent="0.3">
      <c r="A9" s="2">
        <v>10</v>
      </c>
      <c r="B9" s="1">
        <v>10.4</v>
      </c>
      <c r="C9" s="3">
        <f>ABS((Tabla1[[#This Row],[Pomedio PWM (Hz)]]-Tabla1[[#This Row],[Frequencia PWM Teorica (Hz)]])/Tabla1[[#This Row],[Frequencia PWM Teorica (Hz)]])</f>
        <v>4.0000000000000036E-2</v>
      </c>
      <c r="D9" s="3">
        <v>0.2</v>
      </c>
      <c r="E9" s="3">
        <v>0.21</v>
      </c>
      <c r="F9" s="3">
        <f>ABS((Tabla1[[#This Row],[Promedio ciclo de trabajo (%)]]-Tabla1[[#This Row],[Ciclo de trabajo teorico]])/Tabla1[[#This Row],[Ciclo de trabajo teorico]])</f>
        <v>4.9999999999999906E-2</v>
      </c>
      <c r="G9" s="5">
        <f>(1/Tabla1[[#This Row],[Frequencia PWM Teorica (Hz)]])*Tabla1[[#This Row],[Ciclo de trabajo teorico]]*1000</f>
        <v>20.000000000000004</v>
      </c>
      <c r="H9" s="1">
        <v>19.399999999999999</v>
      </c>
      <c r="I9" s="3">
        <f>ABS((Tabla1[[#This Row],[Promedio Ancho de pulso (ms)]]-Tabla1[[#This Row],[Ancho de pulso teorico (ms)]])/Tabla1[[#This Row],[Ancho de pulso teorico (ms)]])</f>
        <v>3.0000000000000242E-2</v>
      </c>
      <c r="J9" s="1">
        <v>3.3</v>
      </c>
    </row>
    <row r="10" spans="1:10" x14ac:dyDescent="0.3">
      <c r="A10" s="2">
        <v>10</v>
      </c>
      <c r="B10" s="1">
        <v>10.4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</v>
      </c>
      <c r="E10" s="3">
        <v>0.48</v>
      </c>
      <c r="F10" s="3">
        <f>ABS((Tabla1[[#This Row],[Promedio ciclo de trabajo (%)]]-Tabla1[[#This Row],[Ciclo de trabajo teorico]])/Tabla1[[#This Row],[Ciclo de trabajo teorico]])</f>
        <v>4.0000000000000036E-2</v>
      </c>
      <c r="G10" s="5">
        <f>(1/Tabla1[[#This Row],[Frequencia PWM Teorica (Hz)]])*Tabla1[[#This Row],[Ciclo de trabajo teorico]]*1000</f>
        <v>50</v>
      </c>
      <c r="H10" s="1">
        <v>49.6</v>
      </c>
      <c r="I10" s="3">
        <f>ABS((Tabla1[[#This Row],[Promedio Ancho de pulso (ms)]]-Tabla1[[#This Row],[Ancho de pulso teorico (ms)]])/Tabla1[[#This Row],[Ancho de pulso teorico (ms)]])</f>
        <v>7.9999999999999724E-3</v>
      </c>
      <c r="J10" s="1">
        <v>3.31</v>
      </c>
    </row>
    <row r="11" spans="1:10" x14ac:dyDescent="0.3">
      <c r="A11" s="2">
        <v>10</v>
      </c>
      <c r="B11" s="1">
        <v>10.4</v>
      </c>
      <c r="C11" s="3">
        <f>ABS((Tabla1[[#This Row],[Pomedio PWM (Hz)]]-Tabla1[[#This Row],[Frequencia PWM Teorica (Hz)]])/Tabla1[[#This Row],[Frequencia PWM Teorica (Hz)]])</f>
        <v>4.0000000000000036E-2</v>
      </c>
      <c r="D11" s="3">
        <v>0.55000000000000004</v>
      </c>
      <c r="E11" s="3">
        <v>0.52</v>
      </c>
      <c r="F11" s="3">
        <f>ABS((Tabla1[[#This Row],[Promedio ciclo de trabajo (%)]]-Tabla1[[#This Row],[Ciclo de trabajo teorico]])/Tabla1[[#This Row],[Ciclo de trabajo teorico]])</f>
        <v>5.4545454545454591E-2</v>
      </c>
      <c r="G11" s="5">
        <f>(1/Tabla1[[#This Row],[Frequencia PWM Teorica (Hz)]])*Tabla1[[#This Row],[Ciclo de trabajo teorico]]*1000</f>
        <v>55.000000000000007</v>
      </c>
      <c r="H11" s="1">
        <v>55.2</v>
      </c>
      <c r="I11" s="3">
        <f>ABS((Tabla1[[#This Row],[Promedio Ancho de pulso (ms)]]-Tabla1[[#This Row],[Ancho de pulso teorico (ms)]])/Tabla1[[#This Row],[Ancho de pulso teorico (ms)]])</f>
        <v>3.6363636363635583E-3</v>
      </c>
      <c r="J11" s="1">
        <v>3.31</v>
      </c>
    </row>
    <row r="12" spans="1:10" x14ac:dyDescent="0.3">
      <c r="A12" s="2">
        <v>15</v>
      </c>
      <c r="B12" s="1">
        <v>16.7</v>
      </c>
      <c r="C12" s="3">
        <f>ABS((Tabla1[[#This Row],[Pomedio PWM (Hz)]]-Tabla1[[#This Row],[Frequencia PWM Teorica (Hz)]])/Tabla1[[#This Row],[Frequencia PWM Teorica (Hz)]])</f>
        <v>0.11333333333333329</v>
      </c>
      <c r="D12" s="3">
        <v>0.2</v>
      </c>
      <c r="E12" s="3">
        <v>0.23</v>
      </c>
      <c r="F12" s="3">
        <f>ABS((Tabla1[[#This Row],[Promedio ciclo de trabajo (%)]]-Tabla1[[#This Row],[Ciclo de trabajo teorico]])/Tabla1[[#This Row],[Ciclo de trabajo teorico]])</f>
        <v>0.15</v>
      </c>
      <c r="G12" s="5">
        <f>(1/Tabla1[[#This Row],[Frequencia PWM Teorica (Hz)]])*Tabla1[[#This Row],[Ciclo de trabajo teorico]]*1000</f>
        <v>13.333333333333334</v>
      </c>
      <c r="H12" s="1">
        <v>12.8</v>
      </c>
      <c r="I12" s="3">
        <f>ABS((Tabla1[[#This Row],[Promedio Ancho de pulso (ms)]]-Tabla1[[#This Row],[Ancho de pulso teorico (ms)]])/Tabla1[[#This Row],[Ancho de pulso teorico (ms)]])</f>
        <v>3.9999999999999987E-2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</v>
      </c>
      <c r="E13" s="3">
        <v>0.47</v>
      </c>
      <c r="F13" s="3">
        <f>ABS((Tabla1[[#This Row],[Promedio ciclo de trabajo (%)]]-Tabla1[[#This Row],[Ciclo de trabajo teorico]])/Tabla1[[#This Row],[Ciclo de trabajo teorico]])</f>
        <v>6.0000000000000053E-2</v>
      </c>
      <c r="G13" s="5">
        <f>(1/Tabla1[[#This Row],[Frequencia PWM Teorica (Hz)]])*Tabla1[[#This Row],[Ciclo de trabajo teorico]]*1000</f>
        <v>33.333333333333336</v>
      </c>
      <c r="H13" s="1">
        <v>33.6</v>
      </c>
      <c r="I13" s="3">
        <f>ABS((Tabla1[[#This Row],[Promedio Ancho de pulso (ms)]]-Tabla1[[#This Row],[Ancho de pulso teorico (ms)]])/Tabla1[[#This Row],[Ancho de pulso teorico (ms)]])</f>
        <v>7.9999999999999707E-3</v>
      </c>
      <c r="J13" s="1">
        <v>3.26</v>
      </c>
    </row>
    <row r="14" spans="1:10" x14ac:dyDescent="0.3">
      <c r="A14" s="2">
        <v>15</v>
      </c>
      <c r="B14" s="1">
        <v>14.6</v>
      </c>
      <c r="C14" s="3">
        <f>ABS((Tabla1[[#This Row],[Pomedio PWM (Hz)]]-Tabla1[[#This Row],[Frequencia PWM Teorica (Hz)]])/Tabla1[[#This Row],[Frequencia PWM Teorica (Hz)]])</f>
        <v>2.6666666666666689E-2</v>
      </c>
      <c r="D14" s="3">
        <v>0.55000000000000004</v>
      </c>
      <c r="E14" s="3">
        <v>0.56999999999999995</v>
      </c>
      <c r="F14" s="3">
        <f>ABS((Tabla1[[#This Row],[Promedio ciclo de trabajo (%)]]-Tabla1[[#This Row],[Ciclo de trabajo teorico]])/Tabla1[[#This Row],[Ciclo de trabajo teorico]])</f>
        <v>3.6363636363636188E-2</v>
      </c>
      <c r="G14" s="5">
        <f>(1/Tabla1[[#This Row],[Frequencia PWM Teorica (Hz)]])*Tabla1[[#This Row],[Ciclo de trabajo teorico]]*1000</f>
        <v>36.666666666666664</v>
      </c>
      <c r="H14" s="1">
        <v>36.799999999999997</v>
      </c>
      <c r="I14" s="3">
        <f>ABS((Tabla1[[#This Row],[Promedio Ancho de pulso (ms)]]-Tabla1[[#This Row],[Ancho de pulso teorico (ms)]])/Tabla1[[#This Row],[Ancho de pulso teorico (ms)]])</f>
        <v>3.6363636363636238E-3</v>
      </c>
      <c r="J14" s="1">
        <v>3.3</v>
      </c>
    </row>
    <row r="15" spans="1:10" x14ac:dyDescent="0.3">
      <c r="A15" s="2">
        <v>20</v>
      </c>
      <c r="B15" s="1">
        <v>20.8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0.2</v>
      </c>
      <c r="E15" s="3">
        <v>0.17</v>
      </c>
      <c r="F15" s="3">
        <f>ABS((Tabla1[[#This Row],[Promedio ciclo de trabajo (%)]]-Tabla1[[#This Row],[Ciclo de trabajo teorico]])/Tabla1[[#This Row],[Ciclo de trabajo teorico]])</f>
        <v>0.15</v>
      </c>
      <c r="G15" s="5">
        <f>(1/Tabla1[[#This Row],[Frequencia PWM Teorica (Hz)]])*Tabla1[[#This Row],[Ciclo de trabajo teorico]]*1000</f>
        <v>10.000000000000002</v>
      </c>
      <c r="H15" s="1">
        <v>9.5</v>
      </c>
      <c r="I15" s="3">
        <f>ABS((Tabla1[[#This Row],[Promedio Ancho de pulso (ms)]]-Tabla1[[#This Row],[Ancho de pulso teorico (ms)]])/Tabla1[[#This Row],[Ancho de pulso teorico (ms)]])</f>
        <v>5.0000000000000169E-2</v>
      </c>
      <c r="J15" s="1">
        <v>3.22</v>
      </c>
    </row>
    <row r="16" spans="1:10" x14ac:dyDescent="0.3">
      <c r="A16" s="2">
        <v>20</v>
      </c>
      <c r="B16" s="1">
        <v>18.8</v>
      </c>
      <c r="C16" s="3">
        <f>ABS((Tabla1[[#This Row],[Pomedio PWM (Hz)]]-Tabla1[[#This Row],[Frequencia PWM Teorica (Hz)]])/Tabla1[[#This Row],[Frequencia PWM Teorica (Hz)]])</f>
        <v>5.9999999999999963E-2</v>
      </c>
      <c r="D16" s="3">
        <v>0.5</v>
      </c>
      <c r="E16" s="3">
        <v>0.52</v>
      </c>
      <c r="F16" s="3">
        <f>ABS((Tabla1[[#This Row],[Promedio ciclo de trabajo (%)]]-Tabla1[[#This Row],[Ciclo de trabajo teorico]])/Tabla1[[#This Row],[Ciclo de trabajo teorico]])</f>
        <v>4.0000000000000036E-2</v>
      </c>
      <c r="G16" s="5">
        <f>(1/Tabla1[[#This Row],[Frequencia PWM Teorica (Hz)]])*Tabla1[[#This Row],[Ciclo de trabajo teorico]]*1000</f>
        <v>25</v>
      </c>
      <c r="H16" s="1">
        <v>24.8</v>
      </c>
      <c r="I16" s="3">
        <f>ABS((Tabla1[[#This Row],[Promedio Ancho de pulso (ms)]]-Tabla1[[#This Row],[Ancho de pulso teorico (ms)]])/Tabla1[[#This Row],[Ancho de pulso teorico (ms)]])</f>
        <v>7.9999999999999724E-3</v>
      </c>
      <c r="J16" s="1">
        <v>3.33</v>
      </c>
    </row>
    <row r="17" spans="1:10" x14ac:dyDescent="0.3">
      <c r="A17" s="2">
        <v>20</v>
      </c>
      <c r="B17" s="1">
        <v>20.8</v>
      </c>
      <c r="C17" s="3">
        <f>ABS((Tabla1[[#This Row],[Pomedio PWM (Hz)]]-Tabla1[[#This Row],[Frequencia PWM Teorica (Hz)]])/Tabla1[[#This Row],[Frequencia PWM Teorica (Hz)]])</f>
        <v>4.0000000000000036E-2</v>
      </c>
      <c r="D17" s="3">
        <v>0.55000000000000004</v>
      </c>
      <c r="E17" s="3">
        <v>0.54</v>
      </c>
      <c r="F17" s="3">
        <f>ABS((Tabla1[[#This Row],[Promedio ciclo de trabajo (%)]]-Tabla1[[#This Row],[Ciclo de trabajo teorico]])/Tabla1[[#This Row],[Ciclo de trabajo teorico]])</f>
        <v>1.8181818181818195E-2</v>
      </c>
      <c r="G17" s="5">
        <f>(1/Tabla1[[#This Row],[Frequencia PWM Teorica (Hz)]])*Tabla1[[#This Row],[Ciclo de trabajo teorico]]*1000</f>
        <v>27.500000000000004</v>
      </c>
      <c r="H17" s="1">
        <v>28.8</v>
      </c>
      <c r="I17" s="3">
        <f>ABS((Tabla1[[#This Row],[Promedio Ancho de pulso (ms)]]-Tabla1[[#This Row],[Ancho de pulso teorico (ms)]])/Tabla1[[#This Row],[Ancho de pulso teorico (ms)]])</f>
        <v>4.7272727272727161E-2</v>
      </c>
      <c r="J17" s="1">
        <v>3.31</v>
      </c>
    </row>
    <row r="18" spans="1:10" x14ac:dyDescent="0.3">
      <c r="A18" s="2">
        <v>25</v>
      </c>
      <c r="B18" s="1">
        <v>25</v>
      </c>
      <c r="C18" s="3">
        <f>ABS((Tabla1[[#This Row],[Pomedio PWM (Hz)]]-Tabla1[[#This Row],[Frequencia PWM Teorica (Hz)]])/Tabla1[[#This Row],[Frequencia PWM Teorica (Hz)]])</f>
        <v>0</v>
      </c>
      <c r="D18" s="3">
        <v>0.2</v>
      </c>
      <c r="E18" s="3">
        <v>0.22</v>
      </c>
      <c r="F18" s="3">
        <f>ABS((Tabla1[[#This Row],[Promedio ciclo de trabajo (%)]]-Tabla1[[#This Row],[Ciclo de trabajo teorico]])/Tabla1[[#This Row],[Ciclo de trabajo teorico]])</f>
        <v>9.999999999999995E-2</v>
      </c>
      <c r="G18" s="5">
        <f>(1/Tabla1[[#This Row],[Frequencia PWM Teorica (Hz)]])*Tabla1[[#This Row],[Ciclo de trabajo teorico]]*1000</f>
        <v>8</v>
      </c>
      <c r="H18" s="1">
        <v>8</v>
      </c>
      <c r="I18" s="3">
        <f>ABS((Tabla1[[#This Row],[Promedio Ancho de pulso (ms)]]-Tabla1[[#This Row],[Ancho de pulso teorico (ms)]])/Tabla1[[#This Row],[Ancho de pulso teorico (ms)]])</f>
        <v>0</v>
      </c>
      <c r="J18" s="1">
        <v>3.25</v>
      </c>
    </row>
    <row r="19" spans="1:10" x14ac:dyDescent="0.3">
      <c r="A19" s="2">
        <v>25</v>
      </c>
      <c r="B19" s="1">
        <v>25</v>
      </c>
      <c r="C19" s="3">
        <f>ABS((Tabla1[[#This Row],[Pomedio PWM (Hz)]]-Tabla1[[#This Row],[Frequencia PWM Teorica (Hz)]])/Tabla1[[#This Row],[Frequencia PWM Teorica (Hz)]])</f>
        <v>0</v>
      </c>
      <c r="D19" s="3">
        <v>0.5</v>
      </c>
      <c r="E19" s="3">
        <v>0.49</v>
      </c>
      <c r="F19" s="3">
        <f>ABS((Tabla1[[#This Row],[Promedio ciclo de trabajo (%)]]-Tabla1[[#This Row],[Ciclo de trabajo teorico]])/Tabla1[[#This Row],[Ciclo de trabajo teorico]])</f>
        <v>2.0000000000000018E-2</v>
      </c>
      <c r="G19" s="5">
        <f>(1/Tabla1[[#This Row],[Frequencia PWM Teorica (Hz)]])*Tabla1[[#This Row],[Ciclo de trabajo teorico]]*1000</f>
        <v>20</v>
      </c>
      <c r="H19" s="1">
        <v>20</v>
      </c>
      <c r="I19" s="3">
        <f>ABS((Tabla1[[#This Row],[Promedio Ancho de pulso (ms)]]-Tabla1[[#This Row],[Ancho de pulso teorico (ms)]])/Tabla1[[#This Row],[Ancho de pulso teorico (ms)]])</f>
        <v>0</v>
      </c>
      <c r="J19" s="1">
        <v>3.28</v>
      </c>
    </row>
    <row r="20" spans="1:10" x14ac:dyDescent="0.3">
      <c r="A20" s="2">
        <v>25</v>
      </c>
      <c r="B20" s="1">
        <v>25</v>
      </c>
      <c r="C20" s="3">
        <f>ABS((Tabla1[[#This Row],[Pomedio PWM (Hz)]]-Tabla1[[#This Row],[Frequencia PWM Teorica (Hz)]])/Tabla1[[#This Row],[Frequencia PWM Teorica (Hz)]])</f>
        <v>0</v>
      </c>
      <c r="D20" s="3">
        <v>0.55000000000000004</v>
      </c>
      <c r="E20" s="3">
        <v>0.53</v>
      </c>
      <c r="F20" s="3">
        <f>ABS((Tabla1[[#This Row],[Promedio ciclo de trabajo (%)]]-Tabla1[[#This Row],[Ciclo de trabajo teorico]])/Tabla1[[#This Row],[Ciclo de trabajo teorico]])</f>
        <v>3.636363636363639E-2</v>
      </c>
      <c r="G20" s="5">
        <f>(1/Tabla1[[#This Row],[Frequencia PWM Teorica (Hz)]])*Tabla1[[#This Row],[Ciclo de trabajo teorico]]*1000</f>
        <v>22.000000000000004</v>
      </c>
      <c r="H20" s="1">
        <v>22.1</v>
      </c>
      <c r="I20" s="3">
        <f>ABS((Tabla1[[#This Row],[Promedio Ancho de pulso (ms)]]-Tabla1[[#This Row],[Ancho de pulso teorico (ms)]])/Tabla1[[#This Row],[Ancho de pulso teorico (ms)]])</f>
        <v>4.5454545454544481E-3</v>
      </c>
      <c r="J20" s="1">
        <v>3.32</v>
      </c>
    </row>
    <row r="21" spans="1:10" x14ac:dyDescent="0.3">
      <c r="A21" s="2">
        <v>30</v>
      </c>
      <c r="B21" s="1">
        <v>31.3</v>
      </c>
      <c r="C21" s="3">
        <f>ABS((Tabla1[[#This Row],[Pomedio PWM (Hz)]]-Tabla1[[#This Row],[Frequencia PWM Teorica (Hz)]])/Tabla1[[#This Row],[Frequencia PWM Teorica (Hz)]])</f>
        <v>4.3333333333333356E-2</v>
      </c>
      <c r="D21" s="4">
        <v>0.2</v>
      </c>
      <c r="E21" s="4">
        <v>0.21</v>
      </c>
      <c r="F21" s="4">
        <f>ABS((Tabla1[[#This Row],[Promedio ciclo de trabajo (%)]]-Tabla1[[#This Row],[Ciclo de trabajo teorico]])/Tabla1[[#This Row],[Ciclo de trabajo teorico]])</f>
        <v>4.9999999999999906E-2</v>
      </c>
      <c r="G21" s="5">
        <f>(1/Tabla1[[#This Row],[Frequencia PWM Teorica (Hz)]])*Tabla1[[#This Row],[Ciclo de trabajo teorico]]*1000</f>
        <v>6.666666666666667</v>
      </c>
      <c r="H21" s="1">
        <v>6.4</v>
      </c>
      <c r="I21" s="3">
        <f>ABS((Tabla1[[#This Row],[Promedio Ancho de pulso (ms)]]-Tabla1[[#This Row],[Ancho de pulso teorico (ms)]])/Tabla1[[#This Row],[Ancho de pulso teorico (ms)]])</f>
        <v>3.9999999999999987E-2</v>
      </c>
      <c r="J21" s="1">
        <v>3.26</v>
      </c>
    </row>
    <row r="22" spans="1:10" x14ac:dyDescent="0.3">
      <c r="A22" s="2">
        <v>30</v>
      </c>
      <c r="B22" s="1">
        <v>29.2</v>
      </c>
      <c r="C22" s="3">
        <f>ABS((Tabla1[[#This Row],[Pomedio PWM (Hz)]]-Tabla1[[#This Row],[Frequencia PWM Teorica (Hz)]])/Tabla1[[#This Row],[Frequencia PWM Teorica (Hz)]])</f>
        <v>2.6666666666666689E-2</v>
      </c>
      <c r="D22" s="4">
        <v>0.5</v>
      </c>
      <c r="E22" s="4">
        <v>0.51</v>
      </c>
      <c r="F22" s="4">
        <f>ABS((Tabla1[[#This Row],[Promedio ciclo de trabajo (%)]]-Tabla1[[#This Row],[Ciclo de trabajo teorico]])/Tabla1[[#This Row],[Ciclo de trabajo teorico]])</f>
        <v>2.0000000000000018E-2</v>
      </c>
      <c r="G22" s="5">
        <f>(1/Tabla1[[#This Row],[Frequencia PWM Teorica (Hz)]])*Tabla1[[#This Row],[Ciclo de trabajo teorico]]*1000</f>
        <v>16.666666666666668</v>
      </c>
      <c r="H22" s="1">
        <v>15.2</v>
      </c>
      <c r="I22" s="3">
        <f>ABS((Tabla1[[#This Row],[Promedio Ancho de pulso (ms)]]-Tabla1[[#This Row],[Ancho de pulso teorico (ms)]])/Tabla1[[#This Row],[Ancho de pulso teorico (ms)]])</f>
        <v>8.8000000000000106E-2</v>
      </c>
      <c r="J22" s="1">
        <v>3.3</v>
      </c>
    </row>
    <row r="23" spans="1:10" x14ac:dyDescent="0.3">
      <c r="A23" s="2">
        <v>30</v>
      </c>
      <c r="B23" s="1">
        <v>29.2</v>
      </c>
      <c r="C23" s="3">
        <f>ABS((Tabla1[[#This Row],[Pomedio PWM (Hz)]]-Tabla1[[#This Row],[Frequencia PWM Teorica (Hz)]])/Tabla1[[#This Row],[Frequencia PWM Teorica (Hz)]])</f>
        <v>2.6666666666666689E-2</v>
      </c>
      <c r="D23" s="3">
        <v>0.55000000000000004</v>
      </c>
      <c r="E23" s="4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18.333333333333332</v>
      </c>
      <c r="H23" s="1">
        <v>18.399999999999999</v>
      </c>
      <c r="I23" s="3">
        <f>ABS((Tabla1[[#This Row],[Promedio Ancho de pulso (ms)]]-Tabla1[[#This Row],[Ancho de pulso teorico (ms)]])/Tabla1[[#This Row],[Ancho de pulso teorico (ms)]])</f>
        <v>3.6363636363636238E-3</v>
      </c>
      <c r="J23" s="1">
        <v>3.32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E2" sqref="E2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:L56"/>
  <sheetViews>
    <sheetView topLeftCell="H1" zoomScale="55" zoomScaleNormal="55" workbookViewId="0">
      <selection activeCell="AG46" sqref="AG46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57.6" x14ac:dyDescent="0.3">
      <c r="A2" s="6" t="s">
        <v>22</v>
      </c>
      <c r="B2" s="6" t="s">
        <v>21</v>
      </c>
      <c r="C2" s="6" t="s">
        <v>14</v>
      </c>
      <c r="D2" s="6" t="s">
        <v>27</v>
      </c>
      <c r="E2" s="6" t="s">
        <v>13</v>
      </c>
      <c r="F2" s="6" t="s">
        <v>15</v>
      </c>
      <c r="G2" s="6" t="s">
        <v>23</v>
      </c>
      <c r="H2" s="6" t="s">
        <v>24</v>
      </c>
      <c r="I2" s="6" t="s">
        <v>16</v>
      </c>
      <c r="J2" s="6" t="s">
        <v>25</v>
      </c>
      <c r="K2" s="6" t="s">
        <v>26</v>
      </c>
      <c r="L2" s="6" t="s">
        <v>17</v>
      </c>
    </row>
    <row r="3" spans="1:12" x14ac:dyDescent="0.3">
      <c r="A3" s="2">
        <v>30</v>
      </c>
      <c r="B3" s="2">
        <v>29.6</v>
      </c>
      <c r="C3" s="10">
        <f>ABS((Tabla3[[#This Row],[Frecuencia experimental (Hz)]]-Tabla3[[#This Row],[Frecuencia teórica (Hz) ]])/Tabla3[[#This Row],[Frecuencia teórica (Hz) ]])</f>
        <v>1.3333333333333286E-2</v>
      </c>
      <c r="D3" s="2">
        <v>3.3</v>
      </c>
      <c r="E3" s="2">
        <v>3.28</v>
      </c>
      <c r="F3" s="10">
        <f>ABS((Tabla3[[#This Row],[Amplitud experimental (V)]]-Tabla3[[#This Row],[Amplitud teórica (V)]])/Tabla3[[#This Row],[Amplitud teórica (V)]])</f>
        <v>6.0606060606060667E-3</v>
      </c>
      <c r="G3" s="2">
        <v>2</v>
      </c>
      <c r="H3" s="2">
        <v>1.98</v>
      </c>
      <c r="I3" s="10">
        <f>ABS((Tabla3[[#This Row],[Tiempo Experimental de Rampa de subida (s)]]-Tabla3[[#This Row],[Tiempo Rampa Subida Teórico (s)]])/Tabla3[[#This Row],[Tiempo Rampa Subida Teórico (s)]])</f>
        <v>1.0000000000000009E-2</v>
      </c>
      <c r="J3" s="2">
        <v>2</v>
      </c>
      <c r="K3" s="2">
        <f>Tabla3[[#This Row],[Tiempo Experimental de Rampa de subida (s)]]</f>
        <v>1.98</v>
      </c>
      <c r="L3" s="10">
        <f>ABS((Tabla3[[#This Row],[Tiempo Experimental de Rampa de bajada (s)]]-Tabla3[[#This Row],[Tiempo Rampa Bajada Teórico (s)]])/Tabla3[[#This Row],[Tiempo Rampa Bajada Teórico (s)]])</f>
        <v>1.0000000000000009E-2</v>
      </c>
    </row>
    <row r="4" spans="1:12" x14ac:dyDescent="0.3">
      <c r="A4" s="2">
        <v>30</v>
      </c>
      <c r="B4" s="2">
        <v>29.6</v>
      </c>
      <c r="C4" s="10">
        <f>ABS((Tabla3[[#This Row],[Frecuencia experimental (Hz)]]-Tabla3[[#This Row],[Frecuencia teórica (Hz) ]])/Tabla3[[#This Row],[Frecuencia teórica (Hz) ]])</f>
        <v>1.3333333333333286E-2</v>
      </c>
      <c r="D4" s="2">
        <v>2.25</v>
      </c>
      <c r="E4" s="2">
        <v>2.2400000000000002</v>
      </c>
      <c r="F4" s="10">
        <f>ABS((Tabla3[[#This Row],[Amplitud experimental (V)]]-Tabla3[[#This Row],[Amplitud teórica (V)]])/Tabla3[[#This Row],[Amplitud teórica (V)]])</f>
        <v>4.4444444444443499E-3</v>
      </c>
      <c r="G4" s="2">
        <v>2</v>
      </c>
      <c r="H4" s="2">
        <v>2.08</v>
      </c>
      <c r="I4" s="10">
        <f>ABS((Tabla3[[#This Row],[Tiempo Experimental de Rampa de subida (s)]]-Tabla3[[#This Row],[Tiempo Rampa Subida Teórico (s)]])/Tabla3[[#This Row],[Tiempo Rampa Subida Teórico (s)]])</f>
        <v>4.0000000000000036E-2</v>
      </c>
      <c r="J4" s="2">
        <v>2</v>
      </c>
      <c r="K4" s="2">
        <f>Tabla3[[#This Row],[Tiempo Experimental de Rampa de subida (s)]]</f>
        <v>2.08</v>
      </c>
      <c r="L4" s="10">
        <f>ABS((Tabla3[[#This Row],[Tiempo Experimental de Rampa de bajada (s)]]-Tabla3[[#This Row],[Tiempo Rampa Bajada Teórico (s)]])/Tabla3[[#This Row],[Tiempo Rampa Bajada Teórico (s)]])</f>
        <v>4.0000000000000036E-2</v>
      </c>
    </row>
    <row r="5" spans="1:12" x14ac:dyDescent="0.3">
      <c r="A5" s="2">
        <v>30</v>
      </c>
      <c r="B5" s="2">
        <v>30</v>
      </c>
      <c r="C5" s="10">
        <f>ABS((Tabla3[[#This Row],[Frecuencia experimental (Hz)]]-Tabla3[[#This Row],[Frecuencia teórica (Hz) ]])/Tabla3[[#This Row],[Frecuencia teórica (Hz) ]])</f>
        <v>0</v>
      </c>
      <c r="D5" s="2">
        <v>1.25</v>
      </c>
      <c r="E5" s="2">
        <v>1.2</v>
      </c>
      <c r="F5" s="10">
        <f>ABS((Tabla3[[#This Row],[Amplitud experimental (V)]]-Tabla3[[#This Row],[Amplitud teórica (V)]])/Tabla3[[#This Row],[Amplitud teórica (V)]])</f>
        <v>4.0000000000000036E-2</v>
      </c>
      <c r="G5" s="2">
        <v>2</v>
      </c>
      <c r="H5" s="2">
        <v>1.92</v>
      </c>
      <c r="I5" s="10">
        <f>ABS((Tabla3[[#This Row],[Tiempo Experimental de Rampa de subida (s)]]-Tabla3[[#This Row],[Tiempo Rampa Subida Teórico (s)]])/Tabla3[[#This Row],[Tiempo Rampa Subida Teórico (s)]])</f>
        <v>4.0000000000000036E-2</v>
      </c>
      <c r="J5" s="2">
        <v>2</v>
      </c>
      <c r="K5" s="2">
        <f>Tabla3[[#This Row],[Tiempo Experimental de Rampa de subida (s)]]</f>
        <v>1.92</v>
      </c>
      <c r="L5" s="10">
        <f>ABS((Tabla3[[#This Row],[Tiempo Experimental de Rampa de bajada (s)]]-Tabla3[[#This Row],[Tiempo Rampa Bajada Teórico (s)]])/Tabla3[[#This Row],[Tiempo Rampa Bajada Teórico (s)]])</f>
        <v>4.0000000000000036E-2</v>
      </c>
    </row>
    <row r="6" spans="1:12" x14ac:dyDescent="0.3">
      <c r="A6" s="2">
        <v>25</v>
      </c>
      <c r="B6" s="2">
        <v>25.1</v>
      </c>
      <c r="C6" s="10">
        <f>ABS((Tabla3[[#This Row],[Frecuencia experimental (Hz)]]-Tabla3[[#This Row],[Frecuencia teórica (Hz) ]])/Tabla3[[#This Row],[Frecuencia teórica (Hz) ]])</f>
        <v>4.0000000000000565E-3</v>
      </c>
      <c r="D6" s="2">
        <v>3.3</v>
      </c>
      <c r="E6" s="2">
        <v>3.32</v>
      </c>
      <c r="F6" s="10">
        <f>ABS((Tabla3[[#This Row],[Amplitud experimental (V)]]-Tabla3[[#This Row],[Amplitud teórica (V)]])/Tabla3[[#This Row],[Amplitud teórica (V)]])</f>
        <v>6.0606060606060667E-3</v>
      </c>
      <c r="G6" s="2">
        <v>2</v>
      </c>
      <c r="H6" s="2">
        <v>1.98</v>
      </c>
      <c r="I6" s="10">
        <f>ABS((Tabla3[[#This Row],[Tiempo Experimental de Rampa de subida (s)]]-Tabla3[[#This Row],[Tiempo Rampa Subida Teórico (s)]])/Tabla3[[#This Row],[Tiempo Rampa Subida Teórico (s)]])</f>
        <v>1.0000000000000009E-2</v>
      </c>
      <c r="J6" s="2">
        <v>2</v>
      </c>
      <c r="K6" s="2">
        <f>Tabla3[[#This Row],[Tiempo Experimental de Rampa de subida (s)]]</f>
        <v>1.98</v>
      </c>
      <c r="L6" s="10">
        <f>ABS((Tabla3[[#This Row],[Tiempo Experimental de Rampa de bajada (s)]]-Tabla3[[#This Row],[Tiempo Rampa Bajada Teórico (s)]])/Tabla3[[#This Row],[Tiempo Rampa Bajada Teórico (s)]])</f>
        <v>1.0000000000000009E-2</v>
      </c>
    </row>
    <row r="7" spans="1:12" x14ac:dyDescent="0.3">
      <c r="A7" s="2">
        <v>25</v>
      </c>
      <c r="B7" s="2">
        <v>24.4</v>
      </c>
      <c r="C7" s="10">
        <f>ABS((Tabla3[[#This Row],[Frecuencia experimental (Hz)]]-Tabla3[[#This Row],[Frecuencia teórica (Hz) ]])/Tabla3[[#This Row],[Frecuencia teórica (Hz) ]])</f>
        <v>2.4000000000000056E-2</v>
      </c>
      <c r="D7" s="2">
        <v>2.25</v>
      </c>
      <c r="E7" s="2">
        <v>2.2400000000000002</v>
      </c>
      <c r="F7" s="10">
        <f>ABS((Tabla3[[#This Row],[Amplitud experimental (V)]]-Tabla3[[#This Row],[Amplitud teórica (V)]])/Tabla3[[#This Row],[Amplitud teórica (V)]])</f>
        <v>4.4444444444443499E-3</v>
      </c>
      <c r="G7" s="2">
        <v>2</v>
      </c>
      <c r="H7" s="2">
        <v>1.95</v>
      </c>
      <c r="I7" s="10">
        <f>ABS((Tabla3[[#This Row],[Tiempo Experimental de Rampa de subida (s)]]-Tabla3[[#This Row],[Tiempo Rampa Subida Teórico (s)]])/Tabla3[[#This Row],[Tiempo Rampa Subida Teórico (s)]])</f>
        <v>2.5000000000000022E-2</v>
      </c>
      <c r="J7" s="2">
        <v>2</v>
      </c>
      <c r="K7" s="2">
        <f>Tabla3[[#This Row],[Tiempo Experimental de Rampa de subida (s)]]</f>
        <v>1.95</v>
      </c>
      <c r="L7" s="10">
        <f>ABS((Tabla3[[#This Row],[Tiempo Experimental de Rampa de bajada (s)]]-Tabla3[[#This Row],[Tiempo Rampa Bajada Teórico (s)]])/Tabla3[[#This Row],[Tiempo Rampa Bajada Teórico (s)]])</f>
        <v>2.5000000000000022E-2</v>
      </c>
    </row>
    <row r="8" spans="1:12" x14ac:dyDescent="0.3">
      <c r="A8" s="2">
        <v>25</v>
      </c>
      <c r="B8" s="2">
        <v>25</v>
      </c>
      <c r="C8" s="10">
        <f>ABS((Tabla3[[#This Row],[Frecuencia experimental (Hz)]]-Tabla3[[#This Row],[Frecuencia teórica (Hz) ]])/Tabla3[[#This Row],[Frecuencia teórica (Hz) ]])</f>
        <v>0</v>
      </c>
      <c r="D8" s="2">
        <v>1.25</v>
      </c>
      <c r="E8" s="2">
        <v>1.2</v>
      </c>
      <c r="F8" s="10">
        <f>ABS((Tabla3[[#This Row],[Amplitud experimental (V)]]-Tabla3[[#This Row],[Amplitud teórica (V)]])/Tabla3[[#This Row],[Amplitud teórica (V)]])</f>
        <v>4.0000000000000036E-2</v>
      </c>
      <c r="G8" s="2">
        <v>2</v>
      </c>
      <c r="H8" s="2">
        <v>1.94</v>
      </c>
      <c r="I8" s="10">
        <f>ABS((Tabla3[[#This Row],[Tiempo Experimental de Rampa de subida (s)]]-Tabla3[[#This Row],[Tiempo Rampa Subida Teórico (s)]])/Tabla3[[#This Row],[Tiempo Rampa Subida Teórico (s)]])</f>
        <v>3.0000000000000027E-2</v>
      </c>
      <c r="J8" s="2">
        <v>2</v>
      </c>
      <c r="K8" s="2">
        <f>Tabla3[[#This Row],[Tiempo Experimental de Rampa de subida (s)]]</f>
        <v>1.94</v>
      </c>
      <c r="L8" s="10">
        <f>ABS((Tabla3[[#This Row],[Tiempo Experimental de Rampa de bajada (s)]]-Tabla3[[#This Row],[Tiempo Rampa Bajada Teórico (s)]])/Tabla3[[#This Row],[Tiempo Rampa Bajada Teórico (s)]])</f>
        <v>3.0000000000000027E-2</v>
      </c>
    </row>
    <row r="9" spans="1:12" x14ac:dyDescent="0.3">
      <c r="A9" s="2">
        <v>20</v>
      </c>
      <c r="B9" s="2">
        <v>19.8</v>
      </c>
      <c r="C9" s="10">
        <f>ABS((Tabla3[[#This Row],[Frecuencia experimental (Hz)]]-Tabla3[[#This Row],[Frecuencia teórica (Hz) ]])/Tabla3[[#This Row],[Frecuencia teórica (Hz) ]])</f>
        <v>9.9999999999999638E-3</v>
      </c>
      <c r="D9" s="2">
        <v>3.3</v>
      </c>
      <c r="E9" s="2">
        <v>3.33</v>
      </c>
      <c r="F9" s="10">
        <f>ABS((Tabla3[[#This Row],[Amplitud experimental (V)]]-Tabla3[[#This Row],[Amplitud teórica (V)]])/Tabla3[[#This Row],[Amplitud teórica (V)]])</f>
        <v>9.0909090909091668E-3</v>
      </c>
      <c r="G9" s="2">
        <v>2</v>
      </c>
      <c r="H9" s="2">
        <v>2</v>
      </c>
      <c r="I9" s="10">
        <f>ABS((Tabla3[[#This Row],[Tiempo Experimental de Rampa de subida (s)]]-Tabla3[[#This Row],[Tiempo Rampa Subida Teórico (s)]])/Tabla3[[#This Row],[Tiempo Rampa Subida Teórico (s)]])</f>
        <v>0</v>
      </c>
      <c r="J9" s="2">
        <v>2</v>
      </c>
      <c r="K9" s="2">
        <f>Tabla3[[#This Row],[Tiempo Experimental de Rampa de subida (s)]]</f>
        <v>2</v>
      </c>
      <c r="L9" s="10">
        <f>ABS((Tabla3[[#This Row],[Tiempo Experimental de Rampa de bajada (s)]]-Tabla3[[#This Row],[Tiempo Rampa Bajada Teórico (s)]])/Tabla3[[#This Row],[Tiempo Rampa Bajada Teórico (s)]])</f>
        <v>0</v>
      </c>
    </row>
    <row r="10" spans="1:12" x14ac:dyDescent="0.3">
      <c r="A10" s="2">
        <v>20</v>
      </c>
      <c r="B10" s="2">
        <v>20.5</v>
      </c>
      <c r="C10" s="10">
        <f>ABS((Tabla3[[#This Row],[Frecuencia experimental (Hz)]]-Tabla3[[#This Row],[Frecuencia teórica (Hz) ]])/Tabla3[[#This Row],[Frecuencia teórica (Hz) ]])</f>
        <v>2.5000000000000001E-2</v>
      </c>
      <c r="D10" s="2">
        <v>2.25</v>
      </c>
      <c r="E10" s="2">
        <v>2.2000000000000002</v>
      </c>
      <c r="F10" s="10">
        <f>ABS((Tabla3[[#This Row],[Amplitud experimental (V)]]-Tabla3[[#This Row],[Amplitud teórica (V)]])/Tabla3[[#This Row],[Amplitud teórica (V)]])</f>
        <v>2.2222222222222143E-2</v>
      </c>
      <c r="G10" s="2">
        <v>2</v>
      </c>
      <c r="H10" s="2">
        <v>1.98</v>
      </c>
      <c r="I10" s="10">
        <f>ABS((Tabla3[[#This Row],[Tiempo Experimental de Rampa de subida (s)]]-Tabla3[[#This Row],[Tiempo Rampa Subida Teórico (s)]])/Tabla3[[#This Row],[Tiempo Rampa Subida Teórico (s)]])</f>
        <v>1.0000000000000009E-2</v>
      </c>
      <c r="J10" s="2">
        <v>2</v>
      </c>
      <c r="K10" s="2">
        <f>Tabla3[[#This Row],[Tiempo Experimental de Rampa de subida (s)]]</f>
        <v>1.98</v>
      </c>
      <c r="L10" s="10">
        <f>ABS((Tabla3[[#This Row],[Tiempo Experimental de Rampa de bajada (s)]]-Tabla3[[#This Row],[Tiempo Rampa Bajada Teórico (s)]])/Tabla3[[#This Row],[Tiempo Rampa Bajada Teórico (s)]])</f>
        <v>1.0000000000000009E-2</v>
      </c>
    </row>
    <row r="11" spans="1:12" x14ac:dyDescent="0.3">
      <c r="A11" s="2">
        <v>20</v>
      </c>
      <c r="B11" s="2">
        <v>20.100000000000001</v>
      </c>
      <c r="C11" s="10">
        <f>ABS((Tabla3[[#This Row],[Frecuencia experimental (Hz)]]-Tabla3[[#This Row],[Frecuencia teórica (Hz) ]])/Tabla3[[#This Row],[Frecuencia teórica (Hz) ]])</f>
        <v>5.0000000000000712E-3</v>
      </c>
      <c r="D11" s="2">
        <v>1.25</v>
      </c>
      <c r="E11" s="2">
        <v>1.23</v>
      </c>
      <c r="F11" s="10">
        <f>ABS((Tabla3[[#This Row],[Amplitud experimental (V)]]-Tabla3[[#This Row],[Amplitud teórica (V)]])/Tabla3[[#This Row],[Amplitud teórica (V)]])</f>
        <v>1.6000000000000014E-2</v>
      </c>
      <c r="G11" s="2">
        <v>2</v>
      </c>
      <c r="H11" s="2">
        <v>1.98</v>
      </c>
      <c r="I11" s="10">
        <f>ABS((Tabla3[[#This Row],[Tiempo Experimental de Rampa de subida (s)]]-Tabla3[[#This Row],[Tiempo Rampa Subida Teórico (s)]])/Tabla3[[#This Row],[Tiempo Rampa Subida Teórico (s)]])</f>
        <v>1.0000000000000009E-2</v>
      </c>
      <c r="J11" s="2">
        <v>2</v>
      </c>
      <c r="K11" s="2">
        <f>Tabla3[[#This Row],[Tiempo Experimental de Rampa de subida (s)]]</f>
        <v>1.98</v>
      </c>
      <c r="L11" s="10">
        <f>ABS((Tabla3[[#This Row],[Tiempo Experimental de Rampa de bajada (s)]]-Tabla3[[#This Row],[Tiempo Rampa Bajada Teórico (s)]])/Tabla3[[#This Row],[Tiempo Rampa Bajada Teórico (s)]])</f>
        <v>1.0000000000000009E-2</v>
      </c>
    </row>
    <row r="12" spans="1:12" x14ac:dyDescent="0.3">
      <c r="A12" s="2">
        <v>15</v>
      </c>
      <c r="B12" s="2">
        <v>14.9</v>
      </c>
      <c r="C12" s="10">
        <f>ABS((Tabla3[[#This Row],[Frecuencia experimental (Hz)]]-Tabla3[[#This Row],[Frecuencia teórica (Hz) ]])/Tabla3[[#This Row],[Frecuencia teórica (Hz) ]])</f>
        <v>6.6666666666666428E-3</v>
      </c>
      <c r="D12" s="2">
        <v>3.3</v>
      </c>
      <c r="E12" s="2">
        <v>3.33</v>
      </c>
      <c r="F12" s="10">
        <f>ABS((Tabla3[[#This Row],[Amplitud experimental (V)]]-Tabla3[[#This Row],[Amplitud teórica (V)]])/Tabla3[[#This Row],[Amplitud teórica (V)]])</f>
        <v>9.0909090909091668E-3</v>
      </c>
      <c r="G12" s="2">
        <v>2</v>
      </c>
      <c r="H12" s="2">
        <v>2</v>
      </c>
      <c r="I12" s="10">
        <f>ABS((Tabla3[[#This Row],[Tiempo Experimental de Rampa de subida (s)]]-Tabla3[[#This Row],[Tiempo Rampa Subida Teórico (s)]])/Tabla3[[#This Row],[Tiempo Rampa Subida Teórico (s)]])</f>
        <v>0</v>
      </c>
      <c r="J12" s="2">
        <v>2</v>
      </c>
      <c r="K12" s="2">
        <f>Tabla3[[#This Row],[Tiempo Experimental de Rampa de subida (s)]]</f>
        <v>2</v>
      </c>
      <c r="L12" s="10">
        <f>ABS((Tabla3[[#This Row],[Tiempo Experimental de Rampa de bajada (s)]]-Tabla3[[#This Row],[Tiempo Rampa Bajada Teórico (s)]])/Tabla3[[#This Row],[Tiempo Rampa Bajada Teórico (s)]])</f>
        <v>0</v>
      </c>
    </row>
    <row r="13" spans="1:12" x14ac:dyDescent="0.3">
      <c r="A13" s="2">
        <v>15</v>
      </c>
      <c r="B13" s="2">
        <v>15</v>
      </c>
      <c r="C13" s="10">
        <f>ABS((Tabla3[[#This Row],[Frecuencia experimental (Hz)]]-Tabla3[[#This Row],[Frecuencia teórica (Hz) ]])/Tabla3[[#This Row],[Frecuencia teórica (Hz) ]])</f>
        <v>0</v>
      </c>
      <c r="D13" s="2">
        <v>2.25</v>
      </c>
      <c r="E13" s="2">
        <v>2.2400000000000002</v>
      </c>
      <c r="F13" s="10">
        <f>ABS((Tabla3[[#This Row],[Amplitud experimental (V)]]-Tabla3[[#This Row],[Amplitud teórica (V)]])/Tabla3[[#This Row],[Amplitud teórica (V)]])</f>
        <v>4.4444444444443499E-3</v>
      </c>
      <c r="G13" s="2">
        <v>2</v>
      </c>
      <c r="H13" s="2">
        <v>2.1</v>
      </c>
      <c r="I13" s="10">
        <f>ABS((Tabla3[[#This Row],[Tiempo Experimental de Rampa de subida (s)]]-Tabla3[[#This Row],[Tiempo Rampa Subida Teórico (s)]])/Tabla3[[#This Row],[Tiempo Rampa Subida Teórico (s)]])</f>
        <v>5.0000000000000044E-2</v>
      </c>
      <c r="J13" s="2">
        <v>2</v>
      </c>
      <c r="K13" s="2">
        <f>Tabla3[[#This Row],[Tiempo Experimental de Rampa de subida (s)]]</f>
        <v>2.1</v>
      </c>
      <c r="L13" s="10">
        <f>ABS((Tabla3[[#This Row],[Tiempo Experimental de Rampa de bajada (s)]]-Tabla3[[#This Row],[Tiempo Rampa Bajada Teórico (s)]])/Tabla3[[#This Row],[Tiempo Rampa Bajada Teórico (s)]])</f>
        <v>5.0000000000000044E-2</v>
      </c>
    </row>
    <row r="14" spans="1:12" x14ac:dyDescent="0.3">
      <c r="A14" s="2">
        <v>15</v>
      </c>
      <c r="B14" s="2">
        <v>15.1</v>
      </c>
      <c r="C14" s="10">
        <f>ABS((Tabla3[[#This Row],[Frecuencia experimental (Hz)]]-Tabla3[[#This Row],[Frecuencia teórica (Hz) ]])/Tabla3[[#This Row],[Frecuencia teórica (Hz) ]])</f>
        <v>6.6666666666666428E-3</v>
      </c>
      <c r="D14" s="2">
        <v>1.25</v>
      </c>
      <c r="E14" s="2">
        <v>1.2</v>
      </c>
      <c r="F14" s="10">
        <f>ABS((Tabla3[[#This Row],[Amplitud experimental (V)]]-Tabla3[[#This Row],[Amplitud teórica (V)]])/Tabla3[[#This Row],[Amplitud teórica (V)]])</f>
        <v>4.0000000000000036E-2</v>
      </c>
      <c r="G14" s="2">
        <v>2</v>
      </c>
      <c r="H14" s="2">
        <v>2.1</v>
      </c>
      <c r="I14" s="10">
        <f>ABS((Tabla3[[#This Row],[Tiempo Experimental de Rampa de subida (s)]]-Tabla3[[#This Row],[Tiempo Rampa Subida Teórico (s)]])/Tabla3[[#This Row],[Tiempo Rampa Subida Teórico (s)]])</f>
        <v>5.0000000000000044E-2</v>
      </c>
      <c r="J14" s="2">
        <v>2</v>
      </c>
      <c r="K14" s="2">
        <f>Tabla3[[#This Row],[Tiempo Experimental de Rampa de subida (s)]]</f>
        <v>2.1</v>
      </c>
      <c r="L14" s="10">
        <f>ABS((Tabla3[[#This Row],[Tiempo Experimental de Rampa de bajada (s)]]-Tabla3[[#This Row],[Tiempo Rampa Bajada Teórico (s)]])/Tabla3[[#This Row],[Tiempo Rampa Bajada Teórico (s)]])</f>
        <v>5.0000000000000044E-2</v>
      </c>
    </row>
    <row r="15" spans="1:12" x14ac:dyDescent="0.3">
      <c r="A15" s="2">
        <v>10</v>
      </c>
      <c r="B15" s="2">
        <v>9.5</v>
      </c>
      <c r="C15" s="10">
        <f>ABS((Tabla3[[#This Row],[Frecuencia experimental (Hz)]]-Tabla3[[#This Row],[Frecuencia teórica (Hz) ]])/Tabla3[[#This Row],[Frecuencia teórica (Hz) ]])</f>
        <v>0.05</v>
      </c>
      <c r="D15" s="2">
        <v>3.3</v>
      </c>
      <c r="E15" s="2">
        <v>3.28</v>
      </c>
      <c r="F15" s="10">
        <f>ABS((Tabla3[[#This Row],[Amplitud experimental (V)]]-Tabla3[[#This Row],[Amplitud teórica (V)]])/Tabla3[[#This Row],[Amplitud teórica (V)]])</f>
        <v>6.0606060606060667E-3</v>
      </c>
      <c r="G15" s="2">
        <v>2</v>
      </c>
      <c r="H15" s="2">
        <v>2</v>
      </c>
      <c r="I15" s="10">
        <f>ABS((Tabla3[[#This Row],[Tiempo Experimental de Rampa de subida (s)]]-Tabla3[[#This Row],[Tiempo Rampa Subida Teórico (s)]])/Tabla3[[#This Row],[Tiempo Rampa Subida Teórico (s)]])</f>
        <v>0</v>
      </c>
      <c r="J15" s="2">
        <v>2</v>
      </c>
      <c r="K15" s="2">
        <f>Tabla3[[#This Row],[Tiempo Experimental de Rampa de subida (s)]]</f>
        <v>2</v>
      </c>
      <c r="L15" s="10">
        <f>ABS((Tabla3[[#This Row],[Tiempo Experimental de Rampa de bajada (s)]]-Tabla3[[#This Row],[Tiempo Rampa Bajada Teórico (s)]])/Tabla3[[#This Row],[Tiempo Rampa Bajada Teórico (s)]])</f>
        <v>0</v>
      </c>
    </row>
    <row r="16" spans="1:12" x14ac:dyDescent="0.3">
      <c r="A16" s="2">
        <v>10</v>
      </c>
      <c r="B16" s="2">
        <v>9.8000000000000007</v>
      </c>
      <c r="C16" s="10">
        <f>ABS((Tabla3[[#This Row],[Frecuencia experimental (Hz)]]-Tabla3[[#This Row],[Frecuencia teórica (Hz) ]])/Tabla3[[#This Row],[Frecuencia teórica (Hz) ]])</f>
        <v>1.9999999999999928E-2</v>
      </c>
      <c r="D16" s="2">
        <v>2.25</v>
      </c>
      <c r="E16" s="2">
        <v>2.2400000000000002</v>
      </c>
      <c r="F16" s="10">
        <f>ABS((Tabla3[[#This Row],[Amplitud experimental (V)]]-Tabla3[[#This Row],[Amplitud teórica (V)]])/Tabla3[[#This Row],[Amplitud teórica (V)]])</f>
        <v>4.4444444444443499E-3</v>
      </c>
      <c r="G16" s="2">
        <v>2</v>
      </c>
      <c r="H16" s="2">
        <v>1.98</v>
      </c>
      <c r="I16" s="10">
        <f>ABS((Tabla3[[#This Row],[Tiempo Experimental de Rampa de subida (s)]]-Tabla3[[#This Row],[Tiempo Rampa Subida Teórico (s)]])/Tabla3[[#This Row],[Tiempo Rampa Subida Teórico (s)]])</f>
        <v>1.0000000000000009E-2</v>
      </c>
      <c r="J16" s="2">
        <v>2</v>
      </c>
      <c r="K16" s="2">
        <f>Tabla3[[#This Row],[Tiempo Experimental de Rampa de subida (s)]]</f>
        <v>1.98</v>
      </c>
      <c r="L16" s="10">
        <f>ABS((Tabla3[[#This Row],[Tiempo Experimental de Rampa de bajada (s)]]-Tabla3[[#This Row],[Tiempo Rampa Bajada Teórico (s)]])/Tabla3[[#This Row],[Tiempo Rampa Bajada Teórico (s)]])</f>
        <v>1.0000000000000009E-2</v>
      </c>
    </row>
    <row r="17" spans="1:12" x14ac:dyDescent="0.3">
      <c r="A17" s="2">
        <v>10</v>
      </c>
      <c r="B17" s="2">
        <v>9.8000000000000007</v>
      </c>
      <c r="C17" s="10">
        <f>ABS((Tabla3[[#This Row],[Frecuencia experimental (Hz)]]-Tabla3[[#This Row],[Frecuencia teórica (Hz) ]])/Tabla3[[#This Row],[Frecuencia teórica (Hz) ]])</f>
        <v>1.9999999999999928E-2</v>
      </c>
      <c r="D17" s="2">
        <v>1.25</v>
      </c>
      <c r="E17" s="2">
        <v>1.22</v>
      </c>
      <c r="F17" s="10">
        <f>ABS((Tabla3[[#This Row],[Amplitud experimental (V)]]-Tabla3[[#This Row],[Amplitud teórica (V)]])/Tabla3[[#This Row],[Amplitud teórica (V)]])</f>
        <v>2.4000000000000021E-2</v>
      </c>
      <c r="G17" s="2">
        <v>2</v>
      </c>
      <c r="H17" s="2">
        <v>1.99</v>
      </c>
      <c r="I17" s="10">
        <f>ABS((Tabla3[[#This Row],[Tiempo Experimental de Rampa de subida (s)]]-Tabla3[[#This Row],[Tiempo Rampa Subida Teórico (s)]])/Tabla3[[#This Row],[Tiempo Rampa Subida Teórico (s)]])</f>
        <v>5.0000000000000044E-3</v>
      </c>
      <c r="J17" s="2">
        <v>2</v>
      </c>
      <c r="K17" s="2">
        <f>Tabla3[[#This Row],[Tiempo Experimental de Rampa de subida (s)]]</f>
        <v>1.99</v>
      </c>
      <c r="L17" s="10">
        <f>ABS((Tabla3[[#This Row],[Tiempo Experimental de Rampa de bajada (s)]]-Tabla3[[#This Row],[Tiempo Rampa Bajada Teórico (s)]])/Tabla3[[#This Row],[Tiempo Rampa Bajada Teórico (s)]])</f>
        <v>5.0000000000000044E-3</v>
      </c>
    </row>
    <row r="21" spans="1:12" x14ac:dyDescent="0.3">
      <c r="A21" s="12" t="s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57.6" x14ac:dyDescent="0.3">
      <c r="A22" s="6" t="s">
        <v>22</v>
      </c>
      <c r="B22" s="6" t="s">
        <v>21</v>
      </c>
      <c r="C22" s="6" t="s">
        <v>14</v>
      </c>
      <c r="D22" s="6" t="s">
        <v>27</v>
      </c>
      <c r="E22" s="6" t="s">
        <v>13</v>
      </c>
      <c r="F22" s="6" t="s">
        <v>15</v>
      </c>
      <c r="G22" s="6" t="s">
        <v>23</v>
      </c>
      <c r="H22" s="6" t="s">
        <v>24</v>
      </c>
      <c r="I22" s="6" t="s">
        <v>16</v>
      </c>
      <c r="J22" s="6" t="s">
        <v>25</v>
      </c>
      <c r="K22" s="6" t="s">
        <v>26</v>
      </c>
      <c r="L22" s="6" t="s">
        <v>17</v>
      </c>
    </row>
    <row r="23" spans="1:12" x14ac:dyDescent="0.3">
      <c r="A23" s="2">
        <v>30</v>
      </c>
      <c r="B23" s="2">
        <v>29.4</v>
      </c>
      <c r="C23" s="10">
        <f>ABS((Tabla311[[#This Row],[Frecuencia experimental (Hz)]]-Tabla311[[#This Row],[Frecuencia teórica (Hz) ]])/Tabla311[[#This Row],[Frecuencia teórica (Hz) ]])</f>
        <v>2.0000000000000049E-2</v>
      </c>
      <c r="D23" s="2">
        <v>3.3</v>
      </c>
      <c r="E23" s="2">
        <v>3.36</v>
      </c>
      <c r="F23" s="10">
        <f>ABS((Tabla311[[#This Row],[Amplitud experimental (V)]]-Tabla311[[#This Row],[Amplitud teórica (V)]])/Tabla311[[#This Row],[Amplitud teórica (V)]])</f>
        <v>1.8181818181818198E-2</v>
      </c>
      <c r="G23" s="2">
        <v>2</v>
      </c>
      <c r="H23" s="2">
        <v>1.98</v>
      </c>
      <c r="I23" s="10">
        <f>ABS((Tabla311[[#This Row],[Tiempo Experimental de Rampa de subida (s)]]-Tabla311[[#This Row],[Tiempo Rampa Subida Teórico (s)]])/Tabla311[[#This Row],[Tiempo Rampa Subida Teórico (s)]])</f>
        <v>1.0000000000000009E-2</v>
      </c>
      <c r="J23" s="2">
        <v>2</v>
      </c>
      <c r="K23" s="2">
        <f>Tabla311[[#This Row],[Tiempo Experimental de Rampa de subida (s)]]</f>
        <v>1.98</v>
      </c>
      <c r="L23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4" spans="1:12" x14ac:dyDescent="0.3">
      <c r="A24" s="2">
        <v>30</v>
      </c>
      <c r="B24" s="2">
        <v>31.4</v>
      </c>
      <c r="C24" s="10">
        <f>ABS((Tabla311[[#This Row],[Frecuencia experimental (Hz)]]-Tabla311[[#This Row],[Frecuencia teórica (Hz) ]])/Tabla311[[#This Row],[Frecuencia teórica (Hz) ]])</f>
        <v>4.666666666666662E-2</v>
      </c>
      <c r="D24" s="2">
        <v>2.25</v>
      </c>
      <c r="E24" s="2">
        <v>2.23</v>
      </c>
      <c r="F24" s="10">
        <f>ABS((Tabla311[[#This Row],[Amplitud experimental (V)]]-Tabla311[[#This Row],[Amplitud teórica (V)]])/Tabla311[[#This Row],[Amplitud teórica (V)]])</f>
        <v>8.8888888888888976E-3</v>
      </c>
      <c r="G24" s="2">
        <v>2</v>
      </c>
      <c r="H24" s="2">
        <v>2.08</v>
      </c>
      <c r="I24" s="10">
        <f>ABS((Tabla311[[#This Row],[Tiempo Experimental de Rampa de subida (s)]]-Tabla311[[#This Row],[Tiempo Rampa Subida Teórico (s)]])/Tabla311[[#This Row],[Tiempo Rampa Subida Teórico (s)]])</f>
        <v>4.0000000000000036E-2</v>
      </c>
      <c r="J24" s="2">
        <v>2</v>
      </c>
      <c r="K24" s="2">
        <f>Tabla311[[#This Row],[Tiempo Experimental de Rampa de subida (s)]]</f>
        <v>2.08</v>
      </c>
      <c r="L24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5" spans="1:12" x14ac:dyDescent="0.3">
      <c r="A25" s="2">
        <v>30</v>
      </c>
      <c r="B25" s="2">
        <v>28.9</v>
      </c>
      <c r="C25" s="10">
        <f>ABS((Tabla311[[#This Row],[Frecuencia experimental (Hz)]]-Tabla311[[#This Row],[Frecuencia teórica (Hz) ]])/Tabla311[[#This Row],[Frecuencia teórica (Hz) ]])</f>
        <v>3.6666666666666715E-2</v>
      </c>
      <c r="D25" s="2">
        <v>1.25</v>
      </c>
      <c r="E25" s="2">
        <v>1.24</v>
      </c>
      <c r="F25" s="10">
        <f>ABS((Tabla311[[#This Row],[Amplitud experimental (V)]]-Tabla311[[#This Row],[Amplitud teórica (V)]])/Tabla311[[#This Row],[Amplitud teórica (V)]])</f>
        <v>8.0000000000000071E-3</v>
      </c>
      <c r="G25" s="2">
        <v>2</v>
      </c>
      <c r="H25" s="2">
        <v>1.92</v>
      </c>
      <c r="I25" s="10">
        <f>ABS((Tabla311[[#This Row],[Tiempo Experimental de Rampa de subida (s)]]-Tabla311[[#This Row],[Tiempo Rampa Subida Teórico (s)]])/Tabla311[[#This Row],[Tiempo Rampa Subida Teórico (s)]])</f>
        <v>4.0000000000000036E-2</v>
      </c>
      <c r="J25" s="2">
        <v>2</v>
      </c>
      <c r="K25" s="2">
        <f>Tabla311[[#This Row],[Tiempo Experimental de Rampa de subida (s)]]</f>
        <v>1.92</v>
      </c>
      <c r="L25" s="9">
        <f>ABS((Tabla311[[#This Row],[Tiempo Experimental de Rampa de bajada (s)]]-Tabla311[[#This Row],[Tiempo Rampa Bajada Teórico (s)]])/Tabla311[[#This Row],[Tiempo Rampa Bajada Teórico (s)]])</f>
        <v>4.0000000000000036E-2</v>
      </c>
    </row>
    <row r="26" spans="1:12" x14ac:dyDescent="0.3">
      <c r="A26" s="2">
        <v>25</v>
      </c>
      <c r="B26" s="2">
        <v>25.1</v>
      </c>
      <c r="C26" s="10">
        <f>ABS((Tabla311[[#This Row],[Frecuencia experimental (Hz)]]-Tabla311[[#This Row],[Frecuencia teórica (Hz) ]])/Tabla311[[#This Row],[Frecuencia teórica (Hz) ]])</f>
        <v>4.0000000000000565E-3</v>
      </c>
      <c r="D26" s="2">
        <v>3.3</v>
      </c>
      <c r="E26" s="2">
        <v>3.32</v>
      </c>
      <c r="F26" s="10">
        <f>ABS((Tabla311[[#This Row],[Amplitud experimental (V)]]-Tabla311[[#This Row],[Amplitud teórica (V)]])/Tabla311[[#This Row],[Amplitud teórica (V)]])</f>
        <v>6.0606060606060667E-3</v>
      </c>
      <c r="G26" s="2">
        <v>2</v>
      </c>
      <c r="H26" s="2">
        <v>1.98</v>
      </c>
      <c r="I26" s="10">
        <f>ABS((Tabla311[[#This Row],[Tiempo Experimental de Rampa de subida (s)]]-Tabla311[[#This Row],[Tiempo Rampa Subida Teórico (s)]])/Tabla311[[#This Row],[Tiempo Rampa Subida Teórico (s)]])</f>
        <v>1.0000000000000009E-2</v>
      </c>
      <c r="J26" s="2">
        <v>2</v>
      </c>
      <c r="K26" s="2">
        <f>Tabla311[[#This Row],[Tiempo Experimental de Rampa de subida (s)]]</f>
        <v>1.98</v>
      </c>
      <c r="L26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27" spans="1:12" x14ac:dyDescent="0.3">
      <c r="A27" s="2">
        <v>25</v>
      </c>
      <c r="B27" s="2">
        <v>25.1</v>
      </c>
      <c r="C27" s="10">
        <f>ABS((Tabla311[[#This Row],[Frecuencia experimental (Hz)]]-Tabla311[[#This Row],[Frecuencia teórica (Hz) ]])/Tabla311[[#This Row],[Frecuencia teórica (Hz) ]])</f>
        <v>4.0000000000000565E-3</v>
      </c>
      <c r="D27" s="2">
        <v>2.25</v>
      </c>
      <c r="E27" s="2">
        <v>2.2400000000000002</v>
      </c>
      <c r="F27" s="10">
        <f>ABS((Tabla311[[#This Row],[Amplitud experimental (V)]]-Tabla311[[#This Row],[Amplitud teórica (V)]])/Tabla311[[#This Row],[Amplitud teórica (V)]])</f>
        <v>4.4444444444443499E-3</v>
      </c>
      <c r="G27" s="2">
        <v>2</v>
      </c>
      <c r="H27" s="2">
        <v>1.95</v>
      </c>
      <c r="I27" s="10">
        <f>ABS((Tabla311[[#This Row],[Tiempo Experimental de Rampa de subida (s)]]-Tabla311[[#This Row],[Tiempo Rampa Subida Teórico (s)]])/Tabla311[[#This Row],[Tiempo Rampa Subida Teórico (s)]])</f>
        <v>2.5000000000000022E-2</v>
      </c>
      <c r="J27" s="2">
        <v>2</v>
      </c>
      <c r="K27" s="2">
        <f>Tabla311[[#This Row],[Tiempo Experimental de Rampa de subida (s)]]</f>
        <v>1.95</v>
      </c>
      <c r="L27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28" spans="1:12" x14ac:dyDescent="0.3">
      <c r="A28" s="2">
        <v>25</v>
      </c>
      <c r="B28" s="2">
        <v>25</v>
      </c>
      <c r="C28" s="10">
        <f>ABS((Tabla311[[#This Row],[Frecuencia experimental (Hz)]]-Tabla311[[#This Row],[Frecuencia teórica (Hz) ]])/Tabla311[[#This Row],[Frecuencia teórica (Hz) ]])</f>
        <v>0</v>
      </c>
      <c r="D28" s="2">
        <v>1.25</v>
      </c>
      <c r="E28" s="2">
        <v>1.23</v>
      </c>
      <c r="F28" s="10">
        <f>ABS((Tabla311[[#This Row],[Amplitud experimental (V)]]-Tabla311[[#This Row],[Amplitud teórica (V)]])/Tabla311[[#This Row],[Amplitud teórica (V)]])</f>
        <v>1.6000000000000014E-2</v>
      </c>
      <c r="G28" s="2">
        <v>2</v>
      </c>
      <c r="H28" s="2">
        <v>1.94</v>
      </c>
      <c r="I28" s="10">
        <f>ABS((Tabla311[[#This Row],[Tiempo Experimental de Rampa de subida (s)]]-Tabla311[[#This Row],[Tiempo Rampa Subida Teórico (s)]])/Tabla311[[#This Row],[Tiempo Rampa Subida Teórico (s)]])</f>
        <v>3.0000000000000027E-2</v>
      </c>
      <c r="J28" s="2">
        <v>2</v>
      </c>
      <c r="K28" s="2">
        <f>Tabla311[[#This Row],[Tiempo Experimental de Rampa de subida (s)]]</f>
        <v>1.94</v>
      </c>
      <c r="L28" s="9">
        <f>ABS((Tabla311[[#This Row],[Tiempo Experimental de Rampa de bajada (s)]]-Tabla311[[#This Row],[Tiempo Rampa Bajada Teórico (s)]])/Tabla311[[#This Row],[Tiempo Rampa Bajada Teórico (s)]])</f>
        <v>3.0000000000000027E-2</v>
      </c>
    </row>
    <row r="29" spans="1:12" x14ac:dyDescent="0.3">
      <c r="A29" s="2">
        <v>20</v>
      </c>
      <c r="B29" s="2">
        <v>19.899999999999999</v>
      </c>
      <c r="C29" s="10">
        <f>ABS((Tabla311[[#This Row],[Frecuencia experimental (Hz)]]-Tabla311[[#This Row],[Frecuencia teórica (Hz) ]])/Tabla311[[#This Row],[Frecuencia teórica (Hz) ]])</f>
        <v>5.0000000000000712E-3</v>
      </c>
      <c r="D29" s="2">
        <v>3.3</v>
      </c>
      <c r="E29" s="2">
        <v>3.2</v>
      </c>
      <c r="F29" s="10">
        <f>ABS((Tabla311[[#This Row],[Amplitud experimental (V)]]-Tabla311[[#This Row],[Amplitud teórica (V)]])/Tabla311[[#This Row],[Amplitud teórica (V)]])</f>
        <v>3.0303030303030196E-2</v>
      </c>
      <c r="G29" s="2">
        <v>2</v>
      </c>
      <c r="H29" s="2">
        <v>2</v>
      </c>
      <c r="I29" s="10">
        <f>ABS((Tabla311[[#This Row],[Tiempo Experimental de Rampa de subida (s)]]-Tabla311[[#This Row],[Tiempo Rampa Subida Teórico (s)]])/Tabla311[[#This Row],[Tiempo Rampa Subida Teórico (s)]])</f>
        <v>0</v>
      </c>
      <c r="J29" s="2">
        <v>2</v>
      </c>
      <c r="K29" s="2">
        <f>Tabla311[[#This Row],[Tiempo Experimental de Rampa de subida (s)]]</f>
        <v>2</v>
      </c>
      <c r="L29" s="9">
        <f>ABS((Tabla311[[#This Row],[Tiempo Experimental de Rampa de bajada (s)]]-Tabla311[[#This Row],[Tiempo Rampa Bajada Teórico (s)]])/Tabla311[[#This Row],[Tiempo Rampa Bajada Teórico (s)]])</f>
        <v>0</v>
      </c>
    </row>
    <row r="30" spans="1:12" x14ac:dyDescent="0.3">
      <c r="A30" s="2">
        <v>20</v>
      </c>
      <c r="B30" s="2">
        <v>20.3</v>
      </c>
      <c r="C30" s="10">
        <f>ABS((Tabla311[[#This Row],[Frecuencia experimental (Hz)]]-Tabla311[[#This Row],[Frecuencia teórica (Hz) ]])/Tabla311[[#This Row],[Frecuencia teórica (Hz) ]])</f>
        <v>1.5000000000000036E-2</v>
      </c>
      <c r="D30" s="2">
        <v>2.25</v>
      </c>
      <c r="E30" s="2">
        <v>2.2799999999999998</v>
      </c>
      <c r="F30" s="10">
        <f>ABS((Tabla311[[#This Row],[Amplitud experimental (V)]]-Tabla311[[#This Row],[Amplitud teórica (V)]])/Tabla311[[#This Row],[Amplitud teórica (V)]])</f>
        <v>1.3333333333333246E-2</v>
      </c>
      <c r="G30" s="2">
        <v>2</v>
      </c>
      <c r="H30" s="2">
        <v>1.98</v>
      </c>
      <c r="I30" s="10">
        <f>ABS((Tabla311[[#This Row],[Tiempo Experimental de Rampa de subida (s)]]-Tabla311[[#This Row],[Tiempo Rampa Subida Teórico (s)]])/Tabla311[[#This Row],[Tiempo Rampa Subida Teórico (s)]])</f>
        <v>1.0000000000000009E-2</v>
      </c>
      <c r="J30" s="2">
        <v>2</v>
      </c>
      <c r="K30" s="2">
        <f>Tabla311[[#This Row],[Tiempo Experimental de Rampa de subida (s)]]</f>
        <v>1.98</v>
      </c>
      <c r="L30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1" spans="1:12" x14ac:dyDescent="0.3">
      <c r="A31" s="2">
        <v>20</v>
      </c>
      <c r="B31" s="2">
        <v>20.2</v>
      </c>
      <c r="C31" s="10">
        <f>ABS((Tabla311[[#This Row],[Frecuencia experimental (Hz)]]-Tabla311[[#This Row],[Frecuencia teórica (Hz) ]])/Tabla311[[#This Row],[Frecuencia teórica (Hz) ]])</f>
        <v>9.9999999999999638E-3</v>
      </c>
      <c r="D31" s="2">
        <v>1.25</v>
      </c>
      <c r="E31" s="2">
        <v>1.24</v>
      </c>
      <c r="F31" s="10">
        <f>ABS((Tabla311[[#This Row],[Amplitud experimental (V)]]-Tabla311[[#This Row],[Amplitud teórica (V)]])/Tabla311[[#This Row],[Amplitud teórica (V)]])</f>
        <v>8.0000000000000071E-3</v>
      </c>
      <c r="G31" s="2">
        <v>2</v>
      </c>
      <c r="H31" s="2">
        <v>1.99</v>
      </c>
      <c r="I31" s="10">
        <f>ABS((Tabla311[[#This Row],[Tiempo Experimental de Rampa de subida (s)]]-Tabla311[[#This Row],[Tiempo Rampa Subida Teórico (s)]])/Tabla311[[#This Row],[Tiempo Rampa Subida Teórico (s)]])</f>
        <v>5.0000000000000044E-3</v>
      </c>
      <c r="J31" s="2">
        <v>2</v>
      </c>
      <c r="K31" s="2">
        <f>Tabla311[[#This Row],[Tiempo Experimental de Rampa de subida (s)]]</f>
        <v>1.99</v>
      </c>
      <c r="L31" s="9">
        <f>ABS((Tabla311[[#This Row],[Tiempo Experimental de Rampa de bajada (s)]]-Tabla311[[#This Row],[Tiempo Rampa Bajada Teórico (s)]])/Tabla311[[#This Row],[Tiempo Rampa Bajada Teórico (s)]])</f>
        <v>5.0000000000000044E-3</v>
      </c>
    </row>
    <row r="32" spans="1:12" x14ac:dyDescent="0.3">
      <c r="A32" s="2">
        <v>15</v>
      </c>
      <c r="B32" s="2">
        <v>15</v>
      </c>
      <c r="C32" s="10">
        <f>ABS((Tabla311[[#This Row],[Frecuencia experimental (Hz)]]-Tabla311[[#This Row],[Frecuencia teórica (Hz) ]])/Tabla311[[#This Row],[Frecuencia teórica (Hz) ]])</f>
        <v>0</v>
      </c>
      <c r="D32" s="2">
        <v>3.3</v>
      </c>
      <c r="E32" s="2">
        <v>3.3</v>
      </c>
      <c r="F32" s="10">
        <f>ABS((Tabla311[[#This Row],[Amplitud experimental (V)]]-Tabla311[[#This Row],[Amplitud teórica (V)]])/Tabla311[[#This Row],[Amplitud teórica (V)]])</f>
        <v>0</v>
      </c>
      <c r="G32" s="2">
        <v>2</v>
      </c>
      <c r="H32" s="2">
        <v>2</v>
      </c>
      <c r="I32" s="10">
        <f>ABS((Tabla311[[#This Row],[Tiempo Experimental de Rampa de subida (s)]]-Tabla311[[#This Row],[Tiempo Rampa Subida Teórico (s)]])/Tabla311[[#This Row],[Tiempo Rampa Subida Teórico (s)]])</f>
        <v>0</v>
      </c>
      <c r="J32" s="2">
        <v>2</v>
      </c>
      <c r="K32" s="2">
        <f>Tabla311[[#This Row],[Tiempo Experimental de Rampa de subida (s)]]</f>
        <v>2</v>
      </c>
      <c r="L32" s="9">
        <f>ABS((Tabla311[[#This Row],[Tiempo Experimental de Rampa de bajada (s)]]-Tabla311[[#This Row],[Tiempo Rampa Bajada Teórico (s)]])/Tabla311[[#This Row],[Tiempo Rampa Bajada Teórico (s)]])</f>
        <v>0</v>
      </c>
    </row>
    <row r="33" spans="1:12" x14ac:dyDescent="0.3">
      <c r="A33" s="2">
        <v>15</v>
      </c>
      <c r="B33" s="2">
        <v>14.9</v>
      </c>
      <c r="C33" s="10">
        <f>ABS((Tabla311[[#This Row],[Frecuencia experimental (Hz)]]-Tabla311[[#This Row],[Frecuencia teórica (Hz) ]])/Tabla311[[#This Row],[Frecuencia teórica (Hz) ]])</f>
        <v>6.6666666666666428E-3</v>
      </c>
      <c r="D33" s="2">
        <v>2.25</v>
      </c>
      <c r="E33" s="2">
        <v>2.2000000000000002</v>
      </c>
      <c r="F33" s="10">
        <f>ABS((Tabla311[[#This Row],[Amplitud experimental (V)]]-Tabla311[[#This Row],[Amplitud teórica (V)]])/Tabla311[[#This Row],[Amplitud teórica (V)]])</f>
        <v>2.2222222222222143E-2</v>
      </c>
      <c r="G33" s="2">
        <v>2</v>
      </c>
      <c r="H33" s="2">
        <v>1.95</v>
      </c>
      <c r="I33" s="10">
        <f>ABS((Tabla311[[#This Row],[Tiempo Experimental de Rampa de subida (s)]]-Tabla311[[#This Row],[Tiempo Rampa Subida Teórico (s)]])/Tabla311[[#This Row],[Tiempo Rampa Subida Teórico (s)]])</f>
        <v>2.5000000000000022E-2</v>
      </c>
      <c r="J33" s="2">
        <v>2</v>
      </c>
      <c r="K33" s="2">
        <f>Tabla311[[#This Row],[Tiempo Experimental de Rampa de subida (s)]]</f>
        <v>1.95</v>
      </c>
      <c r="L33" s="9">
        <f>ABS((Tabla311[[#This Row],[Tiempo Experimental de Rampa de bajada (s)]]-Tabla311[[#This Row],[Tiempo Rampa Bajada Teórico (s)]])/Tabla311[[#This Row],[Tiempo Rampa Bajada Teórico (s)]])</f>
        <v>2.5000000000000022E-2</v>
      </c>
    </row>
    <row r="34" spans="1:12" x14ac:dyDescent="0.3">
      <c r="A34" s="2">
        <v>15</v>
      </c>
      <c r="B34" s="2">
        <v>15</v>
      </c>
      <c r="C34" s="10">
        <f>ABS((Tabla311[[#This Row],[Frecuencia experimental (Hz)]]-Tabla311[[#This Row],[Frecuencia teórica (Hz) ]])/Tabla311[[#This Row],[Frecuencia teórica (Hz) ]])</f>
        <v>0</v>
      </c>
      <c r="D34" s="2">
        <v>1.25</v>
      </c>
      <c r="E34" s="2">
        <v>1.2</v>
      </c>
      <c r="F34" s="10">
        <f>ABS((Tabla311[[#This Row],[Amplitud experimental (V)]]-Tabla311[[#This Row],[Amplitud teórica (V)]])/Tabla311[[#This Row],[Amplitud teórica (V)]])</f>
        <v>4.0000000000000036E-2</v>
      </c>
      <c r="G34" s="2">
        <v>2</v>
      </c>
      <c r="H34" s="2">
        <v>2.1</v>
      </c>
      <c r="I34" s="10">
        <f>ABS((Tabla311[[#This Row],[Tiempo Experimental de Rampa de subida (s)]]-Tabla311[[#This Row],[Tiempo Rampa Subida Teórico (s)]])/Tabla311[[#This Row],[Tiempo Rampa Subida Teórico (s)]])</f>
        <v>5.0000000000000044E-2</v>
      </c>
      <c r="J34" s="2">
        <v>2</v>
      </c>
      <c r="K34" s="2">
        <f>Tabla311[[#This Row],[Tiempo Experimental de Rampa de subida (s)]]</f>
        <v>2.1</v>
      </c>
      <c r="L34" s="9">
        <f>ABS((Tabla311[[#This Row],[Tiempo Experimental de Rampa de bajada (s)]]-Tabla311[[#This Row],[Tiempo Rampa Bajada Teórico (s)]])/Tabla311[[#This Row],[Tiempo Rampa Bajada Teórico (s)]])</f>
        <v>5.0000000000000044E-2</v>
      </c>
    </row>
    <row r="35" spans="1:12" x14ac:dyDescent="0.3">
      <c r="A35" s="2">
        <v>10</v>
      </c>
      <c r="B35" s="2">
        <v>9.8000000000000007</v>
      </c>
      <c r="C35" s="10">
        <f>ABS((Tabla311[[#This Row],[Frecuencia experimental (Hz)]]-Tabla311[[#This Row],[Frecuencia teórica (Hz) ]])/Tabla311[[#This Row],[Frecuencia teórica (Hz) ]])</f>
        <v>1.9999999999999928E-2</v>
      </c>
      <c r="D35" s="2">
        <v>3.3</v>
      </c>
      <c r="E35" s="2">
        <v>3.28</v>
      </c>
      <c r="F35" s="10">
        <f>ABS((Tabla311[[#This Row],[Amplitud experimental (V)]]-Tabla311[[#This Row],[Amplitud teórica (V)]])/Tabla311[[#This Row],[Amplitud teórica (V)]])</f>
        <v>6.0606060606060667E-3</v>
      </c>
      <c r="G35" s="2">
        <v>2</v>
      </c>
      <c r="H35" s="2">
        <v>1.98</v>
      </c>
      <c r="I35" s="10">
        <f>ABS((Tabla311[[#This Row],[Tiempo Experimental de Rampa de subida (s)]]-Tabla311[[#This Row],[Tiempo Rampa Subida Teórico (s)]])/Tabla311[[#This Row],[Tiempo Rampa Subida Teórico (s)]])</f>
        <v>1.0000000000000009E-2</v>
      </c>
      <c r="J35" s="2">
        <v>2</v>
      </c>
      <c r="K35" s="2">
        <f>Tabla311[[#This Row],[Tiempo Experimental de Rampa de subida (s)]]</f>
        <v>1.98</v>
      </c>
      <c r="L35" s="9">
        <f>ABS((Tabla311[[#This Row],[Tiempo Experimental de Rampa de bajada (s)]]-Tabla311[[#This Row],[Tiempo Rampa Bajada Teórico (s)]])/Tabla311[[#This Row],[Tiempo Rampa Bajada Teórico (s)]])</f>
        <v>1.0000000000000009E-2</v>
      </c>
    </row>
    <row r="36" spans="1:12" x14ac:dyDescent="0.3">
      <c r="A36" s="2">
        <v>10</v>
      </c>
      <c r="B36" s="2">
        <v>10</v>
      </c>
      <c r="C36" s="10">
        <f>ABS((Tabla311[[#This Row],[Frecuencia experimental (Hz)]]-Tabla311[[#This Row],[Frecuencia teórica (Hz) ]])/Tabla311[[#This Row],[Frecuencia teórica (Hz) ]])</f>
        <v>0</v>
      </c>
      <c r="D36" s="2">
        <v>2.25</v>
      </c>
      <c r="E36" s="2">
        <v>2.2400000000000002</v>
      </c>
      <c r="F36" s="10">
        <f>ABS((Tabla311[[#This Row],[Amplitud experimental (V)]]-Tabla311[[#This Row],[Amplitud teórica (V)]])/Tabla311[[#This Row],[Amplitud teórica (V)]])</f>
        <v>4.4444444444443499E-3</v>
      </c>
      <c r="G36" s="2">
        <v>2</v>
      </c>
      <c r="H36" s="2">
        <v>2</v>
      </c>
      <c r="I36" s="10">
        <f>ABS((Tabla311[[#This Row],[Tiempo Experimental de Rampa de subida (s)]]-Tabla311[[#This Row],[Tiempo Rampa Subida Teórico (s)]])/Tabla311[[#This Row],[Tiempo Rampa Subida Teórico (s)]])</f>
        <v>0</v>
      </c>
      <c r="J36" s="2">
        <v>2</v>
      </c>
      <c r="K36" s="2">
        <f>Tabla311[[#This Row],[Tiempo Experimental de Rampa de subida (s)]]</f>
        <v>2</v>
      </c>
      <c r="L36" s="9">
        <f>ABS((Tabla311[[#This Row],[Tiempo Experimental de Rampa de bajada (s)]]-Tabla311[[#This Row],[Tiempo Rampa Bajada Teórico (s)]])/Tabla311[[#This Row],[Tiempo Rampa Bajada Teórico (s)]])</f>
        <v>0</v>
      </c>
    </row>
    <row r="37" spans="1:12" x14ac:dyDescent="0.3">
      <c r="A37" s="2">
        <v>10</v>
      </c>
      <c r="B37" s="2">
        <v>10</v>
      </c>
      <c r="C37" s="10">
        <f>ABS((Tabla311[[#This Row],[Frecuencia experimental (Hz)]]-Tabla311[[#This Row],[Frecuencia teórica (Hz) ]])/Tabla311[[#This Row],[Frecuencia teórica (Hz) ]])</f>
        <v>0</v>
      </c>
      <c r="D37" s="2">
        <v>1.25</v>
      </c>
      <c r="E37" s="2">
        <v>1.25</v>
      </c>
      <c r="F37" s="10">
        <f>ABS((Tabla311[[#This Row],[Amplitud experimental (V)]]-Tabla311[[#This Row],[Amplitud teórica (V)]])/Tabla311[[#This Row],[Amplitud teórica (V)]])</f>
        <v>0</v>
      </c>
      <c r="G37" s="2">
        <v>2</v>
      </c>
      <c r="H37" s="2">
        <v>2</v>
      </c>
      <c r="I37" s="10">
        <f>ABS((Tabla311[[#This Row],[Tiempo Experimental de Rampa de subida (s)]]-Tabla311[[#This Row],[Tiempo Rampa Subida Teórico (s)]])/Tabla311[[#This Row],[Tiempo Rampa Subida Teórico (s)]])</f>
        <v>0</v>
      </c>
      <c r="J37" s="2">
        <v>2</v>
      </c>
      <c r="K37" s="2">
        <f>Tabla311[[#This Row],[Tiempo Experimental de Rampa de subida (s)]]</f>
        <v>2</v>
      </c>
      <c r="L37" s="9">
        <f>ABS((Tabla311[[#This Row],[Tiempo Experimental de Rampa de bajada (s)]]-Tabla311[[#This Row],[Tiempo Rampa Bajada Teórico (s)]])/Tabla311[[#This Row],[Tiempo Rampa Bajada Teórico (s)]])</f>
        <v>0</v>
      </c>
    </row>
    <row r="40" spans="1:12" x14ac:dyDescent="0.3">
      <c r="A40" s="12" t="s">
        <v>20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ht="57.6" x14ac:dyDescent="0.3">
      <c r="A41" s="6" t="s">
        <v>22</v>
      </c>
      <c r="B41" s="6" t="s">
        <v>21</v>
      </c>
      <c r="C41" s="6" t="s">
        <v>14</v>
      </c>
      <c r="D41" s="6" t="s">
        <v>27</v>
      </c>
      <c r="E41" s="6" t="s">
        <v>13</v>
      </c>
      <c r="F41" s="6" t="s">
        <v>15</v>
      </c>
      <c r="G41" s="6" t="s">
        <v>23</v>
      </c>
      <c r="H41" s="6" t="s">
        <v>24</v>
      </c>
      <c r="I41" s="6" t="s">
        <v>16</v>
      </c>
      <c r="J41" s="6" t="s">
        <v>25</v>
      </c>
      <c r="K41" s="6" t="s">
        <v>26</v>
      </c>
      <c r="L41" s="6" t="s">
        <v>17</v>
      </c>
    </row>
    <row r="42" spans="1:12" x14ac:dyDescent="0.3">
      <c r="A42" s="2">
        <v>30</v>
      </c>
      <c r="B42" s="2">
        <v>29.6</v>
      </c>
      <c r="C42" s="10">
        <f>ABS((Tabla312[[#This Row],[Frecuencia experimental (Hz)]]-Tabla312[[#This Row],[Frecuencia teórica (Hz) ]])/Tabla312[[#This Row],[Frecuencia teórica (Hz) ]])</f>
        <v>1.3333333333333286E-2</v>
      </c>
      <c r="D42" s="2">
        <v>3.3</v>
      </c>
      <c r="E42" s="2">
        <v>3.28</v>
      </c>
      <c r="F42" s="10">
        <f>ABS((Tabla312[[#This Row],[Amplitud experimental (V)]]-Tabla312[[#This Row],[Amplitud teórica (V)]])/Tabla312[[#This Row],[Amplitud teórica (V)]])</f>
        <v>6.0606060606060667E-3</v>
      </c>
      <c r="G42" s="2">
        <v>2</v>
      </c>
      <c r="H42" s="2">
        <v>1.98</v>
      </c>
      <c r="I42" s="10">
        <f>ABS((Tabla312[[#This Row],[Tiempo Experimental de Rampa de subida (s)]]-Tabla312[[#This Row],[Tiempo Rampa Subida Teórico (s)]])/Tabla312[[#This Row],[Tiempo Rampa Subida Teórico (s)]])</f>
        <v>1.0000000000000009E-2</v>
      </c>
      <c r="J42" s="2">
        <v>2</v>
      </c>
      <c r="K42" s="2">
        <f>Tabla312[[#This Row],[Tiempo Experimental de Rampa de subida (s)]]</f>
        <v>1.98</v>
      </c>
      <c r="L42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3" spans="1:12" x14ac:dyDescent="0.3">
      <c r="A43" s="2">
        <v>30</v>
      </c>
      <c r="B43" s="2">
        <v>29.4</v>
      </c>
      <c r="C43" s="10">
        <f>ABS((Tabla312[[#This Row],[Frecuencia experimental (Hz)]]-Tabla312[[#This Row],[Frecuencia teórica (Hz) ]])/Tabla312[[#This Row],[Frecuencia teórica (Hz) ]])</f>
        <v>2.0000000000000049E-2</v>
      </c>
      <c r="D43" s="2">
        <v>2.25</v>
      </c>
      <c r="E43" s="2">
        <v>2.2400000000000002</v>
      </c>
      <c r="F43" s="10">
        <f>ABS((Tabla312[[#This Row],[Amplitud experimental (V)]]-Tabla312[[#This Row],[Amplitud teórica (V)]])/Tabla312[[#This Row],[Amplitud teórica (V)]])</f>
        <v>4.4444444444443499E-3</v>
      </c>
      <c r="G43" s="2">
        <v>2</v>
      </c>
      <c r="H43" s="2">
        <v>2.08</v>
      </c>
      <c r="I43" s="10">
        <f>ABS((Tabla312[[#This Row],[Tiempo Experimental de Rampa de subida (s)]]-Tabla312[[#This Row],[Tiempo Rampa Subida Teórico (s)]])/Tabla312[[#This Row],[Tiempo Rampa Subida Teórico (s)]])</f>
        <v>4.0000000000000036E-2</v>
      </c>
      <c r="J43" s="2">
        <v>2</v>
      </c>
      <c r="K43" s="2">
        <f>Tabla312[[#This Row],[Tiempo Experimental de Rampa de subida (s)]]</f>
        <v>2.08</v>
      </c>
      <c r="L43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4" spans="1:12" x14ac:dyDescent="0.3">
      <c r="A44" s="2">
        <v>30</v>
      </c>
      <c r="B44" s="2">
        <v>28.8</v>
      </c>
      <c r="C44" s="10">
        <f>ABS((Tabla312[[#This Row],[Frecuencia experimental (Hz)]]-Tabla312[[#This Row],[Frecuencia teórica (Hz) ]])/Tabla312[[#This Row],[Frecuencia teórica (Hz) ]])</f>
        <v>3.9999999999999973E-2</v>
      </c>
      <c r="D44" s="2">
        <v>1.25</v>
      </c>
      <c r="E44" s="2">
        <v>1.2</v>
      </c>
      <c r="F44" s="10">
        <f>ABS((Tabla312[[#This Row],[Amplitud experimental (V)]]-Tabla312[[#This Row],[Amplitud teórica (V)]])/Tabla312[[#This Row],[Amplitud teórica (V)]])</f>
        <v>4.0000000000000036E-2</v>
      </c>
      <c r="G44" s="2">
        <v>2</v>
      </c>
      <c r="H44" s="2">
        <v>1.92</v>
      </c>
      <c r="I44" s="10">
        <f>ABS((Tabla312[[#This Row],[Tiempo Experimental de Rampa de subida (s)]]-Tabla312[[#This Row],[Tiempo Rampa Subida Teórico (s)]])/Tabla312[[#This Row],[Tiempo Rampa Subida Teórico (s)]])</f>
        <v>4.0000000000000036E-2</v>
      </c>
      <c r="J44" s="2">
        <v>2</v>
      </c>
      <c r="K44" s="2">
        <f>Tabla312[[#This Row],[Tiempo Experimental de Rampa de subida (s)]]</f>
        <v>1.92</v>
      </c>
      <c r="L44" s="9">
        <f>ABS((Tabla312[[#This Row],[Tiempo Experimental de Rampa de bajada (s)]]-Tabla312[[#This Row],[Tiempo Rampa Bajada Teórico (s)]])/Tabla312[[#This Row],[Tiempo Rampa Bajada Teórico (s)]])</f>
        <v>4.0000000000000036E-2</v>
      </c>
    </row>
    <row r="45" spans="1:12" x14ac:dyDescent="0.3">
      <c r="A45" s="2">
        <v>25</v>
      </c>
      <c r="B45" s="2">
        <v>25.2</v>
      </c>
      <c r="C45" s="10">
        <f>ABS((Tabla312[[#This Row],[Frecuencia experimental (Hz)]]-Tabla312[[#This Row],[Frecuencia teórica (Hz) ]])/Tabla312[[#This Row],[Frecuencia teórica (Hz) ]])</f>
        <v>7.9999999999999724E-3</v>
      </c>
      <c r="D45" s="2">
        <v>3.3</v>
      </c>
      <c r="E45" s="2">
        <v>3.33</v>
      </c>
      <c r="F45" s="10">
        <f>ABS((Tabla312[[#This Row],[Amplitud experimental (V)]]-Tabla312[[#This Row],[Amplitud teórica (V)]])/Tabla312[[#This Row],[Amplitud teórica (V)]])</f>
        <v>9.0909090909091668E-3</v>
      </c>
      <c r="G45" s="2">
        <v>2</v>
      </c>
      <c r="H45" s="2">
        <v>1.98</v>
      </c>
      <c r="I45" s="10">
        <f>ABS((Tabla312[[#This Row],[Tiempo Experimental de Rampa de subida (s)]]-Tabla312[[#This Row],[Tiempo Rampa Subida Teórico (s)]])/Tabla312[[#This Row],[Tiempo Rampa Subida Teórico (s)]])</f>
        <v>1.0000000000000009E-2</v>
      </c>
      <c r="J45" s="2">
        <v>2</v>
      </c>
      <c r="K45" s="2">
        <f>Tabla312[[#This Row],[Tiempo Experimental de Rampa de subida (s)]]</f>
        <v>1.98</v>
      </c>
      <c r="L45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6" spans="1:12" x14ac:dyDescent="0.3">
      <c r="A46" s="2">
        <v>25</v>
      </c>
      <c r="B46" s="2">
        <v>24.8</v>
      </c>
      <c r="C46" s="10">
        <f>ABS((Tabla312[[#This Row],[Frecuencia experimental (Hz)]]-Tabla312[[#This Row],[Frecuencia teórica (Hz) ]])/Tabla312[[#This Row],[Frecuencia teórica (Hz) ]])</f>
        <v>7.9999999999999724E-3</v>
      </c>
      <c r="D46" s="2">
        <v>2.25</v>
      </c>
      <c r="E46" s="2">
        <v>2.23</v>
      </c>
      <c r="F46" s="10">
        <f>ABS((Tabla312[[#This Row],[Amplitud experimental (V)]]-Tabla312[[#This Row],[Amplitud teórica (V)]])/Tabla312[[#This Row],[Amplitud teórica (V)]])</f>
        <v>8.8888888888888976E-3</v>
      </c>
      <c r="G46" s="2">
        <v>2</v>
      </c>
      <c r="H46" s="2">
        <v>1.95</v>
      </c>
      <c r="I46" s="10">
        <f>ABS((Tabla312[[#This Row],[Tiempo Experimental de Rampa de subida (s)]]-Tabla312[[#This Row],[Tiempo Rampa Subida Teórico (s)]])/Tabla312[[#This Row],[Tiempo Rampa Subida Teórico (s)]])</f>
        <v>2.5000000000000022E-2</v>
      </c>
      <c r="J46" s="2">
        <v>2</v>
      </c>
      <c r="K46" s="2">
        <f>Tabla312[[#This Row],[Tiempo Experimental de Rampa de subida (s)]]</f>
        <v>1.95</v>
      </c>
      <c r="L46" s="9">
        <f>ABS((Tabla312[[#This Row],[Tiempo Experimental de Rampa de bajada (s)]]-Tabla312[[#This Row],[Tiempo Rampa Bajada Teórico (s)]])/Tabla312[[#This Row],[Tiempo Rampa Bajada Teórico (s)]])</f>
        <v>2.5000000000000022E-2</v>
      </c>
    </row>
    <row r="47" spans="1:12" x14ac:dyDescent="0.3">
      <c r="A47" s="2">
        <v>25</v>
      </c>
      <c r="B47" s="2">
        <v>25</v>
      </c>
      <c r="C47" s="10">
        <f>ABS((Tabla312[[#This Row],[Frecuencia experimental (Hz)]]-Tabla312[[#This Row],[Frecuencia teórica (Hz) ]])/Tabla312[[#This Row],[Frecuencia teórica (Hz) ]])</f>
        <v>0</v>
      </c>
      <c r="D47" s="2">
        <v>1.25</v>
      </c>
      <c r="E47" s="2">
        <v>1.23</v>
      </c>
      <c r="F47" s="10">
        <f>ABS((Tabla312[[#This Row],[Amplitud experimental (V)]]-Tabla312[[#This Row],[Amplitud teórica (V)]])/Tabla312[[#This Row],[Amplitud teórica (V)]])</f>
        <v>1.6000000000000014E-2</v>
      </c>
      <c r="G47" s="2">
        <v>2</v>
      </c>
      <c r="H47" s="2">
        <v>1.94</v>
      </c>
      <c r="I47" s="10">
        <f>ABS((Tabla312[[#This Row],[Tiempo Experimental de Rampa de subida (s)]]-Tabla312[[#This Row],[Tiempo Rampa Subida Teórico (s)]])/Tabla312[[#This Row],[Tiempo Rampa Subida Teórico (s)]])</f>
        <v>3.0000000000000027E-2</v>
      </c>
      <c r="J47" s="2">
        <v>2</v>
      </c>
      <c r="K47" s="2">
        <f>Tabla312[[#This Row],[Tiempo Experimental de Rampa de subida (s)]]</f>
        <v>1.94</v>
      </c>
      <c r="L47" s="9">
        <f>ABS((Tabla312[[#This Row],[Tiempo Experimental de Rampa de bajada (s)]]-Tabla312[[#This Row],[Tiempo Rampa Bajada Teórico (s)]])/Tabla312[[#This Row],[Tiempo Rampa Bajada Teórico (s)]])</f>
        <v>3.0000000000000027E-2</v>
      </c>
    </row>
    <row r="48" spans="1:12" x14ac:dyDescent="0.3">
      <c r="A48" s="2">
        <v>20</v>
      </c>
      <c r="B48" s="2">
        <v>20.100000000000001</v>
      </c>
      <c r="C48" s="10">
        <f>ABS((Tabla312[[#This Row],[Frecuencia experimental (Hz)]]-Tabla312[[#This Row],[Frecuencia teórica (Hz) ]])/Tabla312[[#This Row],[Frecuencia teórica (Hz) ]])</f>
        <v>5.0000000000000712E-3</v>
      </c>
      <c r="D48" s="2">
        <v>3.3</v>
      </c>
      <c r="E48" s="2">
        <v>3.33</v>
      </c>
      <c r="F48" s="10">
        <f>ABS((Tabla312[[#This Row],[Amplitud experimental (V)]]-Tabla312[[#This Row],[Amplitud teórica (V)]])/Tabla312[[#This Row],[Amplitud teórica (V)]])</f>
        <v>9.0909090909091668E-3</v>
      </c>
      <c r="G48" s="2">
        <v>2</v>
      </c>
      <c r="H48" s="2">
        <v>1.98</v>
      </c>
      <c r="I48" s="10">
        <f>ABS((Tabla312[[#This Row],[Tiempo Experimental de Rampa de subida (s)]]-Tabla312[[#This Row],[Tiempo Rampa Subida Teórico (s)]])/Tabla312[[#This Row],[Tiempo Rampa Subida Teórico (s)]])</f>
        <v>1.0000000000000009E-2</v>
      </c>
      <c r="J48" s="2">
        <v>2</v>
      </c>
      <c r="K48" s="2">
        <f>Tabla312[[#This Row],[Tiempo Experimental de Rampa de subida (s)]]</f>
        <v>1.98</v>
      </c>
      <c r="L48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49" spans="1:12" x14ac:dyDescent="0.3">
      <c r="A49" s="2">
        <v>20</v>
      </c>
      <c r="B49" s="2">
        <v>20.2</v>
      </c>
      <c r="C49" s="10">
        <f>ABS((Tabla312[[#This Row],[Frecuencia experimental (Hz)]]-Tabla312[[#This Row],[Frecuencia teórica (Hz) ]])/Tabla312[[#This Row],[Frecuencia teórica (Hz) ]])</f>
        <v>9.9999999999999638E-3</v>
      </c>
      <c r="D49" s="2">
        <v>2.25</v>
      </c>
      <c r="E49" s="2">
        <v>2.2400000000000002</v>
      </c>
      <c r="F49" s="10">
        <f>ABS((Tabla312[[#This Row],[Amplitud experimental (V)]]-Tabla312[[#This Row],[Amplitud teórica (V)]])/Tabla312[[#This Row],[Amplitud teórica (V)]])</f>
        <v>4.4444444444443499E-3</v>
      </c>
      <c r="G49" s="2">
        <v>2</v>
      </c>
      <c r="H49" s="2">
        <v>2</v>
      </c>
      <c r="I49" s="10">
        <f>ABS((Tabla312[[#This Row],[Tiempo Experimental de Rampa de subida (s)]]-Tabla312[[#This Row],[Tiempo Rampa Subida Teórico (s)]])/Tabla312[[#This Row],[Tiempo Rampa Subida Teórico (s)]])</f>
        <v>0</v>
      </c>
      <c r="J49" s="2">
        <v>2</v>
      </c>
      <c r="K49" s="2">
        <f>Tabla312[[#This Row],[Tiempo Experimental de Rampa de subida (s)]]</f>
        <v>2</v>
      </c>
      <c r="L49" s="9">
        <f>ABS((Tabla312[[#This Row],[Tiempo Experimental de Rampa de bajada (s)]]-Tabla312[[#This Row],[Tiempo Rampa Bajada Teórico (s)]])/Tabla312[[#This Row],[Tiempo Rampa Bajada Teórico (s)]])</f>
        <v>0</v>
      </c>
    </row>
    <row r="50" spans="1:12" x14ac:dyDescent="0.3">
      <c r="A50" s="2">
        <v>20</v>
      </c>
      <c r="B50" s="2">
        <v>20.2</v>
      </c>
      <c r="C50" s="10">
        <f>ABS((Tabla312[[#This Row],[Frecuencia experimental (Hz)]]-Tabla312[[#This Row],[Frecuencia teórica (Hz) ]])/Tabla312[[#This Row],[Frecuencia teórica (Hz) ]])</f>
        <v>9.9999999999999638E-3</v>
      </c>
      <c r="D50" s="2">
        <v>1.25</v>
      </c>
      <c r="E50" s="2">
        <v>1.25</v>
      </c>
      <c r="F50" s="10">
        <f>ABS((Tabla312[[#This Row],[Amplitud experimental (V)]]-Tabla312[[#This Row],[Amplitud teórica (V)]])/Tabla312[[#This Row],[Amplitud teórica (V)]])</f>
        <v>0</v>
      </c>
      <c r="G50" s="2">
        <v>2</v>
      </c>
      <c r="H50" s="2">
        <v>2</v>
      </c>
      <c r="I50" s="10">
        <f>ABS((Tabla312[[#This Row],[Tiempo Experimental de Rampa de subida (s)]]-Tabla312[[#This Row],[Tiempo Rampa Subida Teórico (s)]])/Tabla312[[#This Row],[Tiempo Rampa Subida Teórico (s)]])</f>
        <v>0</v>
      </c>
      <c r="J50" s="2">
        <v>2</v>
      </c>
      <c r="K50" s="2">
        <f>Tabla312[[#This Row],[Tiempo Experimental de Rampa de subida (s)]]</f>
        <v>2</v>
      </c>
      <c r="L50" s="9">
        <f>ABS((Tabla312[[#This Row],[Tiempo Experimental de Rampa de bajada (s)]]-Tabla312[[#This Row],[Tiempo Rampa Bajada Teórico (s)]])/Tabla312[[#This Row],[Tiempo Rampa Bajada Teórico (s)]])</f>
        <v>0</v>
      </c>
    </row>
    <row r="51" spans="1:12" x14ac:dyDescent="0.3">
      <c r="A51" s="2">
        <v>15</v>
      </c>
      <c r="B51" s="2">
        <v>15.1</v>
      </c>
      <c r="C51" s="10">
        <f>ABS((Tabla312[[#This Row],[Frecuencia experimental (Hz)]]-Tabla312[[#This Row],[Frecuencia teórica (Hz) ]])/Tabla312[[#This Row],[Frecuencia teórica (Hz) ]])</f>
        <v>6.6666666666666428E-3</v>
      </c>
      <c r="D51" s="2">
        <v>3.3</v>
      </c>
      <c r="E51" s="2">
        <v>3.33</v>
      </c>
      <c r="F51" s="10">
        <f>ABS((Tabla312[[#This Row],[Amplitud experimental (V)]]-Tabla312[[#This Row],[Amplitud teórica (V)]])/Tabla312[[#This Row],[Amplitud teórica (V)]])</f>
        <v>9.0909090909091668E-3</v>
      </c>
      <c r="G51" s="2">
        <v>2</v>
      </c>
      <c r="H51" s="2">
        <v>2.1</v>
      </c>
      <c r="I51" s="10">
        <f>ABS((Tabla312[[#This Row],[Tiempo Experimental de Rampa de subida (s)]]-Tabla312[[#This Row],[Tiempo Rampa Subida Teórico (s)]])/Tabla312[[#This Row],[Tiempo Rampa Subida Teórico (s)]])</f>
        <v>5.0000000000000044E-2</v>
      </c>
      <c r="J51" s="2">
        <v>2</v>
      </c>
      <c r="K51" s="2">
        <f>Tabla312[[#This Row],[Tiempo Experimental de Rampa de subida (s)]]</f>
        <v>2.1</v>
      </c>
      <c r="L51" s="9">
        <f>ABS((Tabla312[[#This Row],[Tiempo Experimental de Rampa de bajada (s)]]-Tabla312[[#This Row],[Tiempo Rampa Bajada Teórico (s)]])/Tabla312[[#This Row],[Tiempo Rampa Bajada Teórico (s)]])</f>
        <v>5.0000000000000044E-2</v>
      </c>
    </row>
    <row r="52" spans="1:12" x14ac:dyDescent="0.3">
      <c r="A52" s="2">
        <v>15</v>
      </c>
      <c r="B52" s="2">
        <v>14.9</v>
      </c>
      <c r="C52" s="10">
        <f>ABS((Tabla312[[#This Row],[Frecuencia experimental (Hz)]]-Tabla312[[#This Row],[Frecuencia teórica (Hz) ]])/Tabla312[[#This Row],[Frecuencia teórica (Hz) ]])</f>
        <v>6.6666666666666428E-3</v>
      </c>
      <c r="D52" s="2">
        <v>2.25</v>
      </c>
      <c r="E52" s="2">
        <v>2.2400000000000002</v>
      </c>
      <c r="F52" s="10">
        <f>ABS((Tabla312[[#This Row],[Amplitud experimental (V)]]-Tabla312[[#This Row],[Amplitud teórica (V)]])/Tabla312[[#This Row],[Amplitud teórica (V)]])</f>
        <v>4.4444444444443499E-3</v>
      </c>
      <c r="G52" s="2">
        <v>2</v>
      </c>
      <c r="H52" s="2">
        <v>1.96</v>
      </c>
      <c r="I52" s="10">
        <f>ABS((Tabla312[[#This Row],[Tiempo Experimental de Rampa de subida (s)]]-Tabla312[[#This Row],[Tiempo Rampa Subida Teórico (s)]])/Tabla312[[#This Row],[Tiempo Rampa Subida Teórico (s)]])</f>
        <v>2.0000000000000018E-2</v>
      </c>
      <c r="J52" s="2">
        <v>2</v>
      </c>
      <c r="K52" s="2">
        <f>Tabla312[[#This Row],[Tiempo Experimental de Rampa de subida (s)]]</f>
        <v>1.96</v>
      </c>
      <c r="L52" s="9">
        <f>ABS((Tabla312[[#This Row],[Tiempo Experimental de Rampa de bajada (s)]]-Tabla312[[#This Row],[Tiempo Rampa Bajada Teórico (s)]])/Tabla312[[#This Row],[Tiempo Rampa Bajada Teórico (s)]])</f>
        <v>2.0000000000000018E-2</v>
      </c>
    </row>
    <row r="53" spans="1:12" x14ac:dyDescent="0.3">
      <c r="A53" s="2">
        <v>15</v>
      </c>
      <c r="B53" s="2">
        <v>14.9</v>
      </c>
      <c r="C53" s="10">
        <f>ABS((Tabla312[[#This Row],[Frecuencia experimental (Hz)]]-Tabla312[[#This Row],[Frecuencia teórica (Hz) ]])/Tabla312[[#This Row],[Frecuencia teórica (Hz) ]])</f>
        <v>6.6666666666666428E-3</v>
      </c>
      <c r="D53" s="2">
        <v>1.25</v>
      </c>
      <c r="E53" s="2">
        <v>1.24</v>
      </c>
      <c r="F53" s="10">
        <f>ABS((Tabla312[[#This Row],[Amplitud experimental (V)]]-Tabla312[[#This Row],[Amplitud teórica (V)]])/Tabla312[[#This Row],[Amplitud teórica (V)]])</f>
        <v>8.0000000000000071E-3</v>
      </c>
      <c r="G53" s="2">
        <v>2</v>
      </c>
      <c r="H53" s="2">
        <v>1.98</v>
      </c>
      <c r="I53" s="10">
        <f>ABS((Tabla312[[#This Row],[Tiempo Experimental de Rampa de subida (s)]]-Tabla312[[#This Row],[Tiempo Rampa Subida Teórico (s)]])/Tabla312[[#This Row],[Tiempo Rampa Subida Teórico (s)]])</f>
        <v>1.0000000000000009E-2</v>
      </c>
      <c r="J53" s="2">
        <v>2</v>
      </c>
      <c r="K53" s="2">
        <f>Tabla312[[#This Row],[Tiempo Experimental de Rampa de subida (s)]]</f>
        <v>1.98</v>
      </c>
      <c r="L53" s="9">
        <f>ABS((Tabla312[[#This Row],[Tiempo Experimental de Rampa de bajada (s)]]-Tabla312[[#This Row],[Tiempo Rampa Bajada Teórico (s)]])/Tabla312[[#This Row],[Tiempo Rampa Bajada Teórico (s)]])</f>
        <v>1.0000000000000009E-2</v>
      </c>
    </row>
    <row r="54" spans="1:12" x14ac:dyDescent="0.3">
      <c r="A54" s="2">
        <v>10</v>
      </c>
      <c r="B54" s="2">
        <v>9.9</v>
      </c>
      <c r="C54" s="10">
        <f>ABS((Tabla312[[#This Row],[Frecuencia experimental (Hz)]]-Tabla312[[#This Row],[Frecuencia teórica (Hz) ]])/Tabla312[[#This Row],[Frecuencia teórica (Hz) ]])</f>
        <v>9.9999999999999638E-3</v>
      </c>
      <c r="D54" s="2">
        <v>3.3</v>
      </c>
      <c r="E54" s="2">
        <v>3.29</v>
      </c>
      <c r="F54" s="10">
        <f>ABS((Tabla312[[#This Row],[Amplitud experimental (V)]]-Tabla312[[#This Row],[Amplitud teórica (V)]])/Tabla312[[#This Row],[Amplitud teórica (V)]])</f>
        <v>3.0303030303029657E-3</v>
      </c>
      <c r="G54" s="2">
        <v>2</v>
      </c>
      <c r="H54" s="2">
        <v>2.0499999999999998</v>
      </c>
      <c r="I54" s="10">
        <f>ABS((Tabla312[[#This Row],[Tiempo Experimental de Rampa de subida (s)]]-Tabla312[[#This Row],[Tiempo Rampa Subida Teórico (s)]])/Tabla312[[#This Row],[Tiempo Rampa Subida Teórico (s)]])</f>
        <v>2.4999999999999911E-2</v>
      </c>
      <c r="J54" s="2">
        <v>2</v>
      </c>
      <c r="K54" s="2">
        <f>Tabla312[[#This Row],[Tiempo Experimental de Rampa de subida (s)]]</f>
        <v>2.0499999999999998</v>
      </c>
      <c r="L54" s="9">
        <f>ABS((Tabla312[[#This Row],[Tiempo Experimental de Rampa de bajada (s)]]-Tabla312[[#This Row],[Tiempo Rampa Bajada Teórico (s)]])/Tabla312[[#This Row],[Tiempo Rampa Bajada Teórico (s)]])</f>
        <v>2.4999999999999911E-2</v>
      </c>
    </row>
    <row r="55" spans="1:12" x14ac:dyDescent="0.3">
      <c r="A55" s="2">
        <v>10</v>
      </c>
      <c r="B55" s="2">
        <v>10</v>
      </c>
      <c r="C55" s="10">
        <f>ABS((Tabla312[[#This Row],[Frecuencia experimental (Hz)]]-Tabla312[[#This Row],[Frecuencia teórica (Hz) ]])/Tabla312[[#This Row],[Frecuencia teórica (Hz) ]])</f>
        <v>0</v>
      </c>
      <c r="D55" s="2">
        <v>2.25</v>
      </c>
      <c r="E55" s="2">
        <v>2.2400000000000002</v>
      </c>
      <c r="F55" s="10">
        <f>ABS((Tabla312[[#This Row],[Amplitud experimental (V)]]-Tabla312[[#This Row],[Amplitud teórica (V)]])/Tabla312[[#This Row],[Amplitud teórica (V)]])</f>
        <v>4.4444444444443499E-3</v>
      </c>
      <c r="G55" s="2">
        <v>2</v>
      </c>
      <c r="H55" s="2">
        <v>2</v>
      </c>
      <c r="I55" s="10">
        <f>ABS((Tabla312[[#This Row],[Tiempo Experimental de Rampa de subida (s)]]-Tabla312[[#This Row],[Tiempo Rampa Subida Teórico (s)]])/Tabla312[[#This Row],[Tiempo Rampa Subida Teórico (s)]])</f>
        <v>0</v>
      </c>
      <c r="J55" s="2">
        <v>2</v>
      </c>
      <c r="K55" s="2">
        <f>Tabla312[[#This Row],[Tiempo Experimental de Rampa de subida (s)]]</f>
        <v>2</v>
      </c>
      <c r="L55" s="9">
        <f>ABS((Tabla312[[#This Row],[Tiempo Experimental de Rampa de bajada (s)]]-Tabla312[[#This Row],[Tiempo Rampa Bajada Teórico (s)]])/Tabla312[[#This Row],[Tiempo Rampa Bajada Teórico (s)]])</f>
        <v>0</v>
      </c>
    </row>
    <row r="56" spans="1:12" x14ac:dyDescent="0.3">
      <c r="A56" s="2">
        <v>10</v>
      </c>
      <c r="B56" s="2">
        <v>10</v>
      </c>
      <c r="C56" s="10">
        <f>ABS((Tabla312[[#This Row],[Frecuencia experimental (Hz)]]-Tabla312[[#This Row],[Frecuencia teórica (Hz) ]])/Tabla312[[#This Row],[Frecuencia teórica (Hz) ]])</f>
        <v>0</v>
      </c>
      <c r="D56" s="2">
        <v>1.25</v>
      </c>
      <c r="E56" s="2">
        <v>1.25</v>
      </c>
      <c r="F56" s="10">
        <f>ABS((Tabla312[[#This Row],[Amplitud experimental (V)]]-Tabla312[[#This Row],[Amplitud teórica (V)]])/Tabla312[[#This Row],[Amplitud teórica (V)]])</f>
        <v>0</v>
      </c>
      <c r="G56" s="2">
        <v>2</v>
      </c>
      <c r="H56" s="2">
        <v>1.98</v>
      </c>
      <c r="I56" s="10">
        <f>ABS((Tabla312[[#This Row],[Tiempo Experimental de Rampa de subida (s)]]-Tabla312[[#This Row],[Tiempo Rampa Subida Teórico (s)]])/Tabla312[[#This Row],[Tiempo Rampa Subida Teórico (s)]])</f>
        <v>1.0000000000000009E-2</v>
      </c>
      <c r="J56" s="2">
        <v>2</v>
      </c>
      <c r="K56" s="2">
        <f>Tabla312[[#This Row],[Tiempo Experimental de Rampa de subida (s)]]</f>
        <v>1.98</v>
      </c>
      <c r="L56" s="9">
        <f>ABS((Tabla312[[#This Row],[Tiempo Experimental de Rampa de bajada (s)]]-Tabla312[[#This Row],[Tiempo Rampa Bajada Teórico (s)]])/Tabla312[[#This Row],[Tiempo Rampa Bajada Teórico (s)]])</f>
        <v>1.0000000000000009E-2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F958-7A20-48E8-9383-AD55C95A9BE2}">
  <dimension ref="A1:N52"/>
  <sheetViews>
    <sheetView zoomScale="55" zoomScaleNormal="55" workbookViewId="0">
      <selection activeCell="U50" sqref="U50"/>
    </sheetView>
  </sheetViews>
  <sheetFormatPr baseColWidth="10" defaultRowHeight="14.4" x14ac:dyDescent="0.3"/>
  <cols>
    <col min="1" max="1" width="13.6640625" customWidth="1"/>
    <col min="2" max="2" width="22.109375" customWidth="1"/>
    <col min="3" max="3" width="26.77734375" customWidth="1"/>
    <col min="6" max="6" width="14" bestFit="1" customWidth="1"/>
    <col min="7" max="7" width="22.5546875" bestFit="1" customWidth="1"/>
    <col min="8" max="8" width="27.33203125" bestFit="1" customWidth="1"/>
    <col min="11" max="11" width="14" bestFit="1" customWidth="1"/>
    <col min="12" max="12" width="22.5546875" bestFit="1" customWidth="1"/>
    <col min="13" max="13" width="27.33203125" bestFit="1" customWidth="1"/>
  </cols>
  <sheetData>
    <row r="1" spans="1:14" x14ac:dyDescent="0.3">
      <c r="A1" s="13" t="s">
        <v>30</v>
      </c>
      <c r="B1" s="13"/>
      <c r="C1" s="13"/>
      <c r="D1" s="13"/>
      <c r="F1" s="13" t="s">
        <v>31</v>
      </c>
      <c r="G1" s="13"/>
      <c r="H1" s="13"/>
      <c r="I1" s="13"/>
      <c r="K1" s="13" t="s">
        <v>32</v>
      </c>
      <c r="L1" s="13"/>
      <c r="M1" s="13"/>
      <c r="N1" s="13"/>
    </row>
    <row r="2" spans="1:14" x14ac:dyDescent="0.3">
      <c r="A2" t="s">
        <v>28</v>
      </c>
      <c r="B2" t="s">
        <v>29</v>
      </c>
      <c r="C2" t="s">
        <v>39</v>
      </c>
      <c r="D2" t="s">
        <v>0</v>
      </c>
      <c r="F2" t="s">
        <v>28</v>
      </c>
      <c r="G2" t="s">
        <v>29</v>
      </c>
      <c r="H2" t="s">
        <v>40</v>
      </c>
      <c r="I2" t="s">
        <v>0</v>
      </c>
      <c r="K2" t="s">
        <v>28</v>
      </c>
      <c r="L2" t="s">
        <v>29</v>
      </c>
      <c r="M2" t="s">
        <v>41</v>
      </c>
      <c r="N2" t="s">
        <v>0</v>
      </c>
    </row>
    <row r="3" spans="1:14" x14ac:dyDescent="0.3">
      <c r="A3">
        <v>3.3</v>
      </c>
      <c r="B3">
        <v>3.26</v>
      </c>
      <c r="C3">
        <f>Tabla5[[#This Row],[Amplitud Experimental]]</f>
        <v>3.26</v>
      </c>
      <c r="D3" s="11">
        <f>ABS((Tabla5[[#This Row],[Amplitud Experimental]]-Tabla5[[#This Row],[Amplitud (V)]])/Tabla5[[#This Row],[Amplitud (V)]])</f>
        <v>1.2121212121212133E-2</v>
      </c>
      <c r="F3">
        <v>3.3</v>
      </c>
      <c r="G3">
        <v>3.24</v>
      </c>
      <c r="H3">
        <f>Tabla59[[#This Row],[Amplitud Experimental]]</f>
        <v>3.24</v>
      </c>
      <c r="I3" s="11">
        <f>ABS((Tabla59[[#This Row],[Amplitud Experimental]]-Tabla59[[#This Row],[Amplitud (V)]])/Tabla59[[#This Row],[Amplitud (V)]])</f>
        <v>1.8181818181818063E-2</v>
      </c>
      <c r="K3">
        <v>3.3</v>
      </c>
      <c r="L3">
        <v>3.26</v>
      </c>
      <c r="M3">
        <f>Tabla510[[#This Row],[Amplitud Experimental]]</f>
        <v>3.26</v>
      </c>
      <c r="N3" s="11">
        <f>ABS((Tabla510[[#This Row],[Amplitud Experimental]]-Tabla510[[#This Row],[Amplitud (V)]])/Tabla510[[#This Row],[Amplitud (V)]])</f>
        <v>1.2121212121212133E-2</v>
      </c>
    </row>
    <row r="4" spans="1:14" x14ac:dyDescent="0.3">
      <c r="A4">
        <v>3.25</v>
      </c>
      <c r="B4">
        <v>3.18</v>
      </c>
      <c r="C4">
        <f>Tabla5[[#This Row],[Amplitud Experimental]]</f>
        <v>3.18</v>
      </c>
      <c r="D4" s="11">
        <f>ABS((Tabla5[[#This Row],[Amplitud Experimental]]-Tabla5[[#This Row],[Amplitud (V)]])/Tabla5[[#This Row],[Amplitud (V)]])</f>
        <v>2.1538461538461489E-2</v>
      </c>
      <c r="F4">
        <v>3.25</v>
      </c>
      <c r="G4">
        <v>3.24</v>
      </c>
      <c r="H4">
        <f>Tabla59[[#This Row],[Amplitud Experimental]]</f>
        <v>3.24</v>
      </c>
      <c r="I4" s="11">
        <f>ABS((Tabla59[[#This Row],[Amplitud Experimental]]-Tabla59[[#This Row],[Amplitud (V)]])/Tabla59[[#This Row],[Amplitud (V)]])</f>
        <v>3.0769230769230114E-3</v>
      </c>
      <c r="K4">
        <v>3.25</v>
      </c>
      <c r="L4">
        <v>3.2</v>
      </c>
      <c r="M4">
        <f>Tabla510[[#This Row],[Amplitud Experimental]]</f>
        <v>3.2</v>
      </c>
      <c r="N4" s="11">
        <f>ABS((Tabla510[[#This Row],[Amplitud Experimental]]-Tabla510[[#This Row],[Amplitud (V)]])/Tabla510[[#This Row],[Amplitud (V)]])</f>
        <v>1.538461538461533E-2</v>
      </c>
    </row>
    <row r="5" spans="1:14" x14ac:dyDescent="0.3">
      <c r="A5">
        <f>A4-0.25</f>
        <v>3</v>
      </c>
      <c r="B5">
        <v>2.95</v>
      </c>
      <c r="C5">
        <f>Tabla5[[#This Row],[Amplitud Experimental]]</f>
        <v>2.95</v>
      </c>
      <c r="D5" s="11">
        <f>ABS((Tabla5[[#This Row],[Amplitud Experimental]]-Tabla5[[#This Row],[Amplitud (V)]])/Tabla5[[#This Row],[Amplitud (V)]])</f>
        <v>1.6666666666666607E-2</v>
      </c>
      <c r="F5">
        <f>F4-0.25</f>
        <v>3</v>
      </c>
      <c r="G5">
        <v>3.01</v>
      </c>
      <c r="H5">
        <f>Tabla59[[#This Row],[Amplitud Experimental]]</f>
        <v>3.01</v>
      </c>
      <c r="I5" s="11">
        <f>ABS((Tabla59[[#This Row],[Amplitud Experimental]]-Tabla59[[#This Row],[Amplitud (V)]])/Tabla59[[#This Row],[Amplitud (V)]])</f>
        <v>3.3333333333332624E-3</v>
      </c>
      <c r="K5">
        <f>K4-0.25</f>
        <v>3</v>
      </c>
      <c r="L5">
        <v>2.9</v>
      </c>
      <c r="M5">
        <f>Tabla510[[#This Row],[Amplitud Experimental]]</f>
        <v>2.9</v>
      </c>
      <c r="N5" s="11">
        <f>ABS((Tabla510[[#This Row],[Amplitud Experimental]]-Tabla510[[#This Row],[Amplitud (V)]])/Tabla510[[#This Row],[Amplitud (V)]])</f>
        <v>3.3333333333333361E-2</v>
      </c>
    </row>
    <row r="6" spans="1:14" x14ac:dyDescent="0.3">
      <c r="A6">
        <f t="shared" ref="A6:A16" si="0">A5-0.25</f>
        <v>2.75</v>
      </c>
      <c r="B6">
        <v>2.72</v>
      </c>
      <c r="C6">
        <f>Tabla5[[#This Row],[Amplitud Experimental]]</f>
        <v>2.72</v>
      </c>
      <c r="D6" s="11">
        <f>ABS((Tabla5[[#This Row],[Amplitud Experimental]]-Tabla5[[#This Row],[Amplitud (V)]])/Tabla5[[#This Row],[Amplitud (V)]])</f>
        <v>1.0909090909090839E-2</v>
      </c>
      <c r="F6">
        <f t="shared" ref="F6:F10" si="1">F5-0.25</f>
        <v>2.75</v>
      </c>
      <c r="G6">
        <v>2.76</v>
      </c>
      <c r="H6">
        <f>Tabla59[[#This Row],[Amplitud Experimental]]</f>
        <v>2.76</v>
      </c>
      <c r="I6" s="11">
        <f>ABS((Tabla59[[#This Row],[Amplitud Experimental]]-Tabla59[[#This Row],[Amplitud (V)]])/Tabla59[[#This Row],[Amplitud (V)]])</f>
        <v>3.6363636363635587E-3</v>
      </c>
      <c r="K6">
        <f t="shared" ref="K6:K10" si="2">K5-0.25</f>
        <v>2.75</v>
      </c>
      <c r="L6">
        <v>2.7</v>
      </c>
      <c r="M6">
        <f>Tabla510[[#This Row],[Amplitud Experimental]]</f>
        <v>2.7</v>
      </c>
      <c r="N6" s="11">
        <f>ABS((Tabla510[[#This Row],[Amplitud Experimental]]-Tabla510[[#This Row],[Amplitud (V)]])/Tabla510[[#This Row],[Amplitud (V)]])</f>
        <v>1.8181818181818118E-2</v>
      </c>
    </row>
    <row r="7" spans="1:14" x14ac:dyDescent="0.3">
      <c r="A7">
        <f t="shared" si="0"/>
        <v>2.5</v>
      </c>
      <c r="B7">
        <v>2.4500000000000002</v>
      </c>
      <c r="C7">
        <f>Tabla5[[#This Row],[Amplitud Experimental]]</f>
        <v>2.4500000000000002</v>
      </c>
      <c r="D7" s="11">
        <f>ABS((Tabla5[[#This Row],[Amplitud Experimental]]-Tabla5[[#This Row],[Amplitud (V)]])/Tabla5[[#This Row],[Amplitud (V)]])</f>
        <v>1.9999999999999928E-2</v>
      </c>
      <c r="F7">
        <f t="shared" si="1"/>
        <v>2.5</v>
      </c>
      <c r="G7">
        <v>2.46</v>
      </c>
      <c r="H7">
        <f>Tabla59[[#This Row],[Amplitud Experimental]]</f>
        <v>2.46</v>
      </c>
      <c r="I7" s="11">
        <f>ABS((Tabla59[[#This Row],[Amplitud Experimental]]-Tabla59[[#This Row],[Amplitud (V)]])/Tabla59[[#This Row],[Amplitud (V)]])</f>
        <v>1.6000000000000014E-2</v>
      </c>
      <c r="K7">
        <f t="shared" si="2"/>
        <v>2.5</v>
      </c>
      <c r="L7">
        <v>2.46</v>
      </c>
      <c r="M7">
        <f>Tabla510[[#This Row],[Amplitud Experimental]]</f>
        <v>2.46</v>
      </c>
      <c r="N7" s="11">
        <f>ABS((Tabla510[[#This Row],[Amplitud Experimental]]-Tabla510[[#This Row],[Amplitud (V)]])/Tabla510[[#This Row],[Amplitud (V)]])</f>
        <v>1.6000000000000014E-2</v>
      </c>
    </row>
    <row r="8" spans="1:14" x14ac:dyDescent="0.3">
      <c r="A8">
        <f t="shared" si="0"/>
        <v>2.25</v>
      </c>
      <c r="B8">
        <v>2.21</v>
      </c>
      <c r="C8">
        <f>Tabla5[[#This Row],[Amplitud Experimental]]</f>
        <v>2.21</v>
      </c>
      <c r="D8" s="11">
        <f>ABS((Tabla5[[#This Row],[Amplitud Experimental]]-Tabla5[[#This Row],[Amplitud (V)]])/Tabla5[[#This Row],[Amplitud (V)]])</f>
        <v>1.7777777777777795E-2</v>
      </c>
      <c r="F8">
        <f t="shared" si="1"/>
        <v>2.25</v>
      </c>
      <c r="G8">
        <v>2.2000000000000002</v>
      </c>
      <c r="H8">
        <f>Tabla59[[#This Row],[Amplitud Experimental]]</f>
        <v>2.2000000000000002</v>
      </c>
      <c r="I8" s="11">
        <f>ABS((Tabla59[[#This Row],[Amplitud Experimental]]-Tabla59[[#This Row],[Amplitud (V)]])/Tabla59[[#This Row],[Amplitud (V)]])</f>
        <v>2.2222222222222143E-2</v>
      </c>
      <c r="K8">
        <f t="shared" si="2"/>
        <v>2.25</v>
      </c>
      <c r="L8">
        <v>2.21</v>
      </c>
      <c r="M8">
        <f>Tabla510[[#This Row],[Amplitud Experimental]]</f>
        <v>2.21</v>
      </c>
      <c r="N8" s="11">
        <f>ABS((Tabla510[[#This Row],[Amplitud Experimental]]-Tabla510[[#This Row],[Amplitud (V)]])/Tabla510[[#This Row],[Amplitud (V)]])</f>
        <v>1.7777777777777795E-2</v>
      </c>
    </row>
    <row r="9" spans="1:14" x14ac:dyDescent="0.3">
      <c r="A9">
        <f t="shared" si="0"/>
        <v>2</v>
      </c>
      <c r="B9">
        <v>1.97</v>
      </c>
      <c r="C9">
        <f>Tabla5[[#This Row],[Amplitud Experimental]]</f>
        <v>1.97</v>
      </c>
      <c r="D9" s="11">
        <f>ABS((Tabla5[[#This Row],[Amplitud Experimental]]-Tabla5[[#This Row],[Amplitud (V)]])/Tabla5[[#This Row],[Amplitud (V)]])</f>
        <v>1.5000000000000013E-2</v>
      </c>
      <c r="F9">
        <f t="shared" si="1"/>
        <v>2</v>
      </c>
      <c r="G9">
        <v>1.95</v>
      </c>
      <c r="H9">
        <f>Tabla59[[#This Row],[Amplitud Experimental]]</f>
        <v>1.95</v>
      </c>
      <c r="I9" s="11">
        <f>ABS((Tabla59[[#This Row],[Amplitud Experimental]]-Tabla59[[#This Row],[Amplitud (V)]])/Tabla59[[#This Row],[Amplitud (V)]])</f>
        <v>2.5000000000000022E-2</v>
      </c>
      <c r="K9">
        <f t="shared" si="2"/>
        <v>2</v>
      </c>
      <c r="L9">
        <v>1.93</v>
      </c>
      <c r="M9">
        <f>Tabla510[[#This Row],[Amplitud Experimental]]</f>
        <v>1.93</v>
      </c>
      <c r="N9" s="11">
        <f>ABS((Tabla510[[#This Row],[Amplitud Experimental]]-Tabla510[[#This Row],[Amplitud (V)]])/Tabla510[[#This Row],[Amplitud (V)]])</f>
        <v>3.5000000000000031E-2</v>
      </c>
    </row>
    <row r="10" spans="1:14" x14ac:dyDescent="0.3">
      <c r="A10">
        <f t="shared" si="0"/>
        <v>1.75</v>
      </c>
      <c r="B10">
        <v>1.74</v>
      </c>
      <c r="C10">
        <f>Tabla5[[#This Row],[Amplitud Experimental]]</f>
        <v>1.74</v>
      </c>
      <c r="D10" s="11">
        <f>ABS((Tabla5[[#This Row],[Amplitud Experimental]]-Tabla5[[#This Row],[Amplitud (V)]])/Tabla5[[#This Row],[Amplitud (V)]])</f>
        <v>5.7142857142857195E-3</v>
      </c>
      <c r="F10">
        <f t="shared" si="1"/>
        <v>1.75</v>
      </c>
      <c r="G10">
        <v>1.7</v>
      </c>
      <c r="H10">
        <f>Tabla59[[#This Row],[Amplitud Experimental]]</f>
        <v>1.7</v>
      </c>
      <c r="I10" s="11">
        <f>ABS((Tabla59[[#This Row],[Amplitud Experimental]]-Tabla59[[#This Row],[Amplitud (V)]])/Tabla59[[#This Row],[Amplitud (V)]])</f>
        <v>2.8571428571428598E-2</v>
      </c>
      <c r="K10">
        <f t="shared" si="2"/>
        <v>1.75</v>
      </c>
      <c r="L10">
        <v>1.76</v>
      </c>
      <c r="M10">
        <f>Tabla510[[#This Row],[Amplitud Experimental]]</f>
        <v>1.76</v>
      </c>
      <c r="N10" s="11">
        <f>ABS((Tabla510[[#This Row],[Amplitud Experimental]]-Tabla510[[#This Row],[Amplitud (V)]])/Tabla510[[#This Row],[Amplitud (V)]])</f>
        <v>5.7142857142857195E-3</v>
      </c>
    </row>
    <row r="11" spans="1:14" x14ac:dyDescent="0.3">
      <c r="A11">
        <f>A10-0.25</f>
        <v>1.5</v>
      </c>
      <c r="B11">
        <v>1.49</v>
      </c>
      <c r="C11">
        <f>Tabla5[[#This Row],[Amplitud Experimental]]</f>
        <v>1.49</v>
      </c>
      <c r="D11" s="11">
        <f>ABS((Tabla5[[#This Row],[Amplitud Experimental]]-Tabla5[[#This Row],[Amplitud (V)]])/Tabla5[[#This Row],[Amplitud (V)]])</f>
        <v>6.6666666666666723E-3</v>
      </c>
      <c r="F11">
        <f>F10-0.25</f>
        <v>1.5</v>
      </c>
      <c r="G11">
        <v>1.45</v>
      </c>
      <c r="H11">
        <f>Tabla59[[#This Row],[Amplitud Experimental]]</f>
        <v>1.45</v>
      </c>
      <c r="I11" s="11">
        <f>ABS((Tabla59[[#This Row],[Amplitud Experimental]]-Tabla59[[#This Row],[Amplitud (V)]])/Tabla59[[#This Row],[Amplitud (V)]])</f>
        <v>3.3333333333333361E-2</v>
      </c>
      <c r="K11">
        <f>K10-0.25</f>
        <v>1.5</v>
      </c>
      <c r="L11">
        <v>1.46</v>
      </c>
      <c r="M11">
        <f>Tabla510[[#This Row],[Amplitud Experimental]]</f>
        <v>1.46</v>
      </c>
      <c r="N11" s="11">
        <f>ABS((Tabla510[[#This Row],[Amplitud Experimental]]-Tabla510[[#This Row],[Amplitud (V)]])/Tabla510[[#This Row],[Amplitud (V)]])</f>
        <v>2.6666666666666689E-2</v>
      </c>
    </row>
    <row r="12" spans="1:14" x14ac:dyDescent="0.3">
      <c r="A12">
        <f t="shared" si="0"/>
        <v>1.25</v>
      </c>
      <c r="B12">
        <v>1.23</v>
      </c>
      <c r="C12">
        <f>Tabla5[[#This Row],[Amplitud Experimental]]</f>
        <v>1.23</v>
      </c>
      <c r="D12" s="11">
        <f>ABS((Tabla5[[#This Row],[Amplitud Experimental]]-Tabla5[[#This Row],[Amplitud (V)]])/Tabla5[[#This Row],[Amplitud (V)]])</f>
        <v>1.6000000000000014E-2</v>
      </c>
      <c r="F12">
        <f t="shared" ref="F12:F13" si="3">F11-0.25</f>
        <v>1.25</v>
      </c>
      <c r="G12">
        <v>1.23</v>
      </c>
      <c r="H12">
        <f>Tabla59[[#This Row],[Amplitud Experimental]]</f>
        <v>1.23</v>
      </c>
      <c r="I12" s="11">
        <f>ABS((Tabla59[[#This Row],[Amplitud Experimental]]-Tabla59[[#This Row],[Amplitud (V)]])/Tabla59[[#This Row],[Amplitud (V)]])</f>
        <v>1.6000000000000014E-2</v>
      </c>
      <c r="K12">
        <f t="shared" ref="K12:K13" si="4">K11-0.25</f>
        <v>1.25</v>
      </c>
      <c r="L12">
        <v>1.26</v>
      </c>
      <c r="M12">
        <f>Tabla510[[#This Row],[Amplitud Experimental]]</f>
        <v>1.26</v>
      </c>
      <c r="N12" s="11">
        <f>ABS((Tabla510[[#This Row],[Amplitud Experimental]]-Tabla510[[#This Row],[Amplitud (V)]])/Tabla510[[#This Row],[Amplitud (V)]])</f>
        <v>8.0000000000000071E-3</v>
      </c>
    </row>
    <row r="13" spans="1:14" x14ac:dyDescent="0.3">
      <c r="A13">
        <f t="shared" si="0"/>
        <v>1</v>
      </c>
      <c r="B13">
        <v>1.02</v>
      </c>
      <c r="C13">
        <f>Tabla5[[#This Row],[Amplitud Experimental]]</f>
        <v>1.02</v>
      </c>
      <c r="D13" s="11">
        <f>ABS((Tabla5[[#This Row],[Amplitud Experimental]]-Tabla5[[#This Row],[Amplitud (V)]])/Tabla5[[#This Row],[Amplitud (V)]])</f>
        <v>2.0000000000000018E-2</v>
      </c>
      <c r="F13">
        <f t="shared" si="3"/>
        <v>1</v>
      </c>
      <c r="G13">
        <v>0.98</v>
      </c>
      <c r="H13">
        <f>Tabla59[[#This Row],[Amplitud Experimental]]</f>
        <v>0.98</v>
      </c>
      <c r="I13" s="11">
        <f>ABS((Tabla59[[#This Row],[Amplitud Experimental]]-Tabla59[[#This Row],[Amplitud (V)]])/Tabla59[[#This Row],[Amplitud (V)]])</f>
        <v>2.0000000000000018E-2</v>
      </c>
      <c r="K13">
        <f t="shared" si="4"/>
        <v>1</v>
      </c>
      <c r="L13">
        <v>1.01</v>
      </c>
      <c r="M13">
        <f>Tabla510[[#This Row],[Amplitud Experimental]]</f>
        <v>1.01</v>
      </c>
      <c r="N13" s="11">
        <f>ABS((Tabla510[[#This Row],[Amplitud Experimental]]-Tabla510[[#This Row],[Amplitud (V)]])/Tabla510[[#This Row],[Amplitud (V)]])</f>
        <v>1.0000000000000009E-2</v>
      </c>
    </row>
    <row r="14" spans="1:14" x14ac:dyDescent="0.3">
      <c r="A14">
        <f>A13-0.25</f>
        <v>0.75</v>
      </c>
      <c r="B14">
        <v>0.76</v>
      </c>
      <c r="C14">
        <f>Tabla5[[#This Row],[Amplitud Experimental]]</f>
        <v>0.76</v>
      </c>
      <c r="D14" s="11">
        <f>ABS((Tabla5[[#This Row],[Amplitud Experimental]]-Tabla5[[#This Row],[Amplitud (V)]])/Tabla5[[#This Row],[Amplitud (V)]])</f>
        <v>1.3333333333333345E-2</v>
      </c>
      <c r="F14">
        <f>F13-0.25</f>
        <v>0.75</v>
      </c>
      <c r="G14">
        <v>0.76</v>
      </c>
      <c r="H14">
        <f>Tabla59[[#This Row],[Amplitud Experimental]]</f>
        <v>0.76</v>
      </c>
      <c r="I14" s="11">
        <f>ABS((Tabla59[[#This Row],[Amplitud Experimental]]-Tabla59[[#This Row],[Amplitud (V)]])/Tabla59[[#This Row],[Amplitud (V)]])</f>
        <v>1.3333333333333345E-2</v>
      </c>
      <c r="K14">
        <f>K13-0.25</f>
        <v>0.75</v>
      </c>
      <c r="L14">
        <v>0.74</v>
      </c>
      <c r="M14">
        <f>Tabla510[[#This Row],[Amplitud Experimental]]</f>
        <v>0.74</v>
      </c>
      <c r="N14" s="11">
        <f>ABS((Tabla510[[#This Row],[Amplitud Experimental]]-Tabla510[[#This Row],[Amplitud (V)]])/Tabla510[[#This Row],[Amplitud (V)]])</f>
        <v>1.3333333333333345E-2</v>
      </c>
    </row>
    <row r="15" spans="1:14" x14ac:dyDescent="0.3">
      <c r="A15">
        <f t="shared" si="0"/>
        <v>0.5</v>
      </c>
      <c r="B15">
        <v>0.52</v>
      </c>
      <c r="C15">
        <f>Tabla5[[#This Row],[Amplitud Experimental]]</f>
        <v>0.52</v>
      </c>
      <c r="D15" s="11">
        <f>ABS((Tabla5[[#This Row],[Amplitud Experimental]]-Tabla5[[#This Row],[Amplitud (V)]])/Tabla5[[#This Row],[Amplitud (V)]])</f>
        <v>4.0000000000000036E-2</v>
      </c>
      <c r="F15">
        <f t="shared" ref="F15:F16" si="5">F14-0.25</f>
        <v>0.5</v>
      </c>
      <c r="G15">
        <v>0.52</v>
      </c>
      <c r="H15">
        <f>Tabla59[[#This Row],[Amplitud Experimental]]</f>
        <v>0.52</v>
      </c>
      <c r="I15" s="11">
        <f>ABS((Tabla59[[#This Row],[Amplitud Experimental]]-Tabla59[[#This Row],[Amplitud (V)]])/Tabla59[[#This Row],[Amplitud (V)]])</f>
        <v>4.0000000000000036E-2</v>
      </c>
      <c r="K15">
        <f t="shared" ref="K15:K16" si="6">K14-0.25</f>
        <v>0.5</v>
      </c>
      <c r="L15">
        <v>0.51</v>
      </c>
      <c r="M15">
        <f>Tabla510[[#This Row],[Amplitud Experimental]]</f>
        <v>0.51</v>
      </c>
      <c r="N15" s="11">
        <f>ABS((Tabla510[[#This Row],[Amplitud Experimental]]-Tabla510[[#This Row],[Amplitud (V)]])/Tabla510[[#This Row],[Amplitud (V)]])</f>
        <v>2.0000000000000018E-2</v>
      </c>
    </row>
    <row r="16" spans="1:14" x14ac:dyDescent="0.3">
      <c r="A16">
        <f t="shared" si="0"/>
        <v>0.25</v>
      </c>
      <c r="B16">
        <v>0.26</v>
      </c>
      <c r="C16">
        <f>Tabla5[[#This Row],[Amplitud Experimental]]</f>
        <v>0.26</v>
      </c>
      <c r="D16" s="11">
        <f>ABS((Tabla5[[#This Row],[Amplitud Experimental]]-Tabla5[[#This Row],[Amplitud (V)]])/Tabla5[[#This Row],[Amplitud (V)]])</f>
        <v>4.0000000000000036E-2</v>
      </c>
      <c r="F16">
        <f t="shared" si="5"/>
        <v>0.25</v>
      </c>
      <c r="G16">
        <v>0.26</v>
      </c>
      <c r="H16">
        <f>Tabla59[[#This Row],[Amplitud Experimental]]</f>
        <v>0.26</v>
      </c>
      <c r="I16" s="11">
        <f>ABS((Tabla59[[#This Row],[Amplitud Experimental]]-Tabla59[[#This Row],[Amplitud (V)]])/Tabla59[[#This Row],[Amplitud (V)]])</f>
        <v>4.0000000000000036E-2</v>
      </c>
      <c r="K16">
        <f t="shared" si="6"/>
        <v>0.25</v>
      </c>
      <c r="L16">
        <v>0.25</v>
      </c>
      <c r="M16">
        <f>Tabla510[[#This Row],[Amplitud Experimental]]</f>
        <v>0.25</v>
      </c>
      <c r="N16" s="11">
        <f>ABS((Tabla510[[#This Row],[Amplitud Experimental]]-Tabla510[[#This Row],[Amplitud (V)]])/Tabla510[[#This Row],[Amplitud (V)]])</f>
        <v>0</v>
      </c>
    </row>
    <row r="19" spans="1:14" ht="14.4" customHeight="1" x14ac:dyDescent="0.3">
      <c r="A19" s="13" t="s">
        <v>33</v>
      </c>
      <c r="B19" s="13"/>
      <c r="C19" s="13"/>
      <c r="D19" s="13"/>
      <c r="F19" s="13" t="s">
        <v>34</v>
      </c>
      <c r="G19" s="13"/>
      <c r="H19" s="13"/>
      <c r="I19" s="13"/>
      <c r="K19" s="13" t="s">
        <v>35</v>
      </c>
      <c r="L19" s="13"/>
      <c r="M19" s="13"/>
      <c r="N19" s="13"/>
    </row>
    <row r="20" spans="1:14" x14ac:dyDescent="0.3">
      <c r="A20" t="s">
        <v>28</v>
      </c>
      <c r="B20" t="s">
        <v>29</v>
      </c>
      <c r="C20" t="s">
        <v>39</v>
      </c>
      <c r="D20" t="s">
        <v>0</v>
      </c>
      <c r="F20" t="s">
        <v>28</v>
      </c>
      <c r="G20" t="s">
        <v>29</v>
      </c>
      <c r="H20" t="s">
        <v>40</v>
      </c>
      <c r="I20" t="s">
        <v>0</v>
      </c>
      <c r="K20" t="s">
        <v>28</v>
      </c>
      <c r="L20" t="s">
        <v>29</v>
      </c>
      <c r="M20" t="s">
        <v>41</v>
      </c>
      <c r="N20" t="s">
        <v>0</v>
      </c>
    </row>
    <row r="21" spans="1:14" x14ac:dyDescent="0.3">
      <c r="A21">
        <v>3.3</v>
      </c>
      <c r="B21">
        <v>3.35</v>
      </c>
      <c r="C21">
        <f>Tabla519[[#This Row],[Amplitud Experimental]]</f>
        <v>3.35</v>
      </c>
      <c r="D21" s="11">
        <f>ABS((Tabla519[[#This Row],[Amplitud Experimental]]-Tabla519[[#This Row],[Amplitud (V)]])/Tabla519[[#This Row],[Amplitud (V)]])</f>
        <v>1.5151515151515233E-2</v>
      </c>
      <c r="F21">
        <v>3.3</v>
      </c>
      <c r="G21">
        <v>3.36</v>
      </c>
      <c r="H21">
        <f>Tabla5920[[#This Row],[Amplitud Experimental]]</f>
        <v>3.36</v>
      </c>
      <c r="I21" s="11">
        <f>ABS((Tabla5920[[#This Row],[Amplitud Experimental]]-Tabla5920[[#This Row],[Amplitud (V)]])/Tabla5920[[#This Row],[Amplitud (V)]])</f>
        <v>1.8181818181818198E-2</v>
      </c>
      <c r="K21">
        <v>3.3</v>
      </c>
      <c r="L21">
        <v>3.32</v>
      </c>
      <c r="M21">
        <f>Tabla51021[[#This Row],[Amplitud Experimental]]</f>
        <v>3.32</v>
      </c>
      <c r="N21" s="11">
        <f>ABS((Tabla51021[[#This Row],[Amplitud Experimental]]-Tabla51021[[#This Row],[Amplitud (V)]])/Tabla51021[[#This Row],[Amplitud (V)]])</f>
        <v>6.0606060606060667E-3</v>
      </c>
    </row>
    <row r="22" spans="1:14" x14ac:dyDescent="0.3">
      <c r="A22">
        <v>3.25</v>
      </c>
      <c r="B22">
        <v>3.22</v>
      </c>
      <c r="C22">
        <f>Tabla519[[#This Row],[Amplitud Experimental]]</f>
        <v>3.22</v>
      </c>
      <c r="D22" s="11">
        <f>ABS((Tabla519[[#This Row],[Amplitud Experimental]]-Tabla519[[#This Row],[Amplitud (V)]])/Tabla519[[#This Row],[Amplitud (V)]])</f>
        <v>9.2307692307691709E-3</v>
      </c>
      <c r="F22">
        <v>3.25</v>
      </c>
      <c r="G22">
        <v>3.28</v>
      </c>
      <c r="H22">
        <f>Tabla5920[[#This Row],[Amplitud Experimental]]</f>
        <v>3.28</v>
      </c>
      <c r="I22" s="11">
        <f>ABS((Tabla5920[[#This Row],[Amplitud Experimental]]-Tabla5920[[#This Row],[Amplitud (V)]])/Tabla5920[[#This Row],[Amplitud (V)]])</f>
        <v>9.2307692307691709E-3</v>
      </c>
      <c r="K22">
        <v>3.25</v>
      </c>
      <c r="L22">
        <v>3.24</v>
      </c>
      <c r="M22">
        <f>Tabla51021[[#This Row],[Amplitud Experimental]]</f>
        <v>3.24</v>
      </c>
      <c r="N22" s="11">
        <f>ABS((Tabla51021[[#This Row],[Amplitud Experimental]]-Tabla51021[[#This Row],[Amplitud (V)]])/Tabla51021[[#This Row],[Amplitud (V)]])</f>
        <v>3.0769230769230114E-3</v>
      </c>
    </row>
    <row r="23" spans="1:14" x14ac:dyDescent="0.3">
      <c r="A23">
        <f>A22-0.25</f>
        <v>3</v>
      </c>
      <c r="B23">
        <v>2.9</v>
      </c>
      <c r="C23">
        <f>Tabla519[[#This Row],[Amplitud Experimental]]</f>
        <v>2.9</v>
      </c>
      <c r="D23" s="11">
        <f>ABS((Tabla519[[#This Row],[Amplitud Experimental]]-Tabla519[[#This Row],[Amplitud (V)]])/Tabla519[[#This Row],[Amplitud (V)]])</f>
        <v>3.3333333333333361E-2</v>
      </c>
      <c r="F23">
        <f>F22-0.25</f>
        <v>3</v>
      </c>
      <c r="G23">
        <v>3.1</v>
      </c>
      <c r="H23">
        <f>Tabla5920[[#This Row],[Amplitud Experimental]]</f>
        <v>3.1</v>
      </c>
      <c r="I23" s="11">
        <f>ABS((Tabla5920[[#This Row],[Amplitud Experimental]]-Tabla5920[[#This Row],[Amplitud (V)]])/Tabla5920[[#This Row],[Amplitud (V)]])</f>
        <v>3.3333333333333361E-2</v>
      </c>
      <c r="K23">
        <f>K22-0.25</f>
        <v>3</v>
      </c>
      <c r="L23">
        <v>2.9</v>
      </c>
      <c r="M23">
        <f>Tabla51021[[#This Row],[Amplitud Experimental]]</f>
        <v>2.9</v>
      </c>
      <c r="N23" s="11">
        <f>ABS((Tabla51021[[#This Row],[Amplitud Experimental]]-Tabla51021[[#This Row],[Amplitud (V)]])/Tabla51021[[#This Row],[Amplitud (V)]])</f>
        <v>3.3333333333333361E-2</v>
      </c>
    </row>
    <row r="24" spans="1:14" x14ac:dyDescent="0.3">
      <c r="A24">
        <f t="shared" ref="A24:A28" si="7">A23-0.25</f>
        <v>2.75</v>
      </c>
      <c r="B24">
        <v>2.72</v>
      </c>
      <c r="C24">
        <f>Tabla519[[#This Row],[Amplitud Experimental]]</f>
        <v>2.72</v>
      </c>
      <c r="D24" s="11">
        <f>ABS((Tabla519[[#This Row],[Amplitud Experimental]]-Tabla519[[#This Row],[Amplitud (V)]])/Tabla519[[#This Row],[Amplitud (V)]])</f>
        <v>1.0909090909090839E-2</v>
      </c>
      <c r="F24">
        <f t="shared" ref="F24:F28" si="8">F23-0.25</f>
        <v>2.75</v>
      </c>
      <c r="G24">
        <v>2.75</v>
      </c>
      <c r="H24">
        <f>Tabla5920[[#This Row],[Amplitud Experimental]]</f>
        <v>2.75</v>
      </c>
      <c r="I24" s="11">
        <f>ABS((Tabla5920[[#This Row],[Amplitud Experimental]]-Tabla5920[[#This Row],[Amplitud (V)]])/Tabla5920[[#This Row],[Amplitud (V)]])</f>
        <v>0</v>
      </c>
      <c r="K24">
        <f t="shared" ref="K24:K28" si="9">K23-0.25</f>
        <v>2.75</v>
      </c>
      <c r="L24">
        <v>2.76</v>
      </c>
      <c r="M24">
        <f>Tabla51021[[#This Row],[Amplitud Experimental]]</f>
        <v>2.76</v>
      </c>
      <c r="N24" s="11">
        <f>ABS((Tabla51021[[#This Row],[Amplitud Experimental]]-Tabla51021[[#This Row],[Amplitud (V)]])/Tabla51021[[#This Row],[Amplitud (V)]])</f>
        <v>3.6363636363635587E-3</v>
      </c>
    </row>
    <row r="25" spans="1:14" x14ac:dyDescent="0.3">
      <c r="A25">
        <f t="shared" si="7"/>
        <v>2.5</v>
      </c>
      <c r="B25">
        <v>2.4500000000000002</v>
      </c>
      <c r="C25">
        <f>Tabla519[[#This Row],[Amplitud Experimental]]</f>
        <v>2.4500000000000002</v>
      </c>
      <c r="D25" s="11">
        <f>ABS((Tabla519[[#This Row],[Amplitud Experimental]]-Tabla519[[#This Row],[Amplitud (V)]])/Tabla519[[#This Row],[Amplitud (V)]])</f>
        <v>1.9999999999999928E-2</v>
      </c>
      <c r="F25">
        <f t="shared" si="8"/>
        <v>2.5</v>
      </c>
      <c r="G25">
        <v>2.4500000000000002</v>
      </c>
      <c r="H25">
        <f>Tabla5920[[#This Row],[Amplitud Experimental]]</f>
        <v>2.4500000000000002</v>
      </c>
      <c r="I25" s="11">
        <f>ABS((Tabla5920[[#This Row],[Amplitud Experimental]]-Tabla5920[[#This Row],[Amplitud (V)]])/Tabla5920[[#This Row],[Amplitud (V)]])</f>
        <v>1.9999999999999928E-2</v>
      </c>
      <c r="K25">
        <f t="shared" si="9"/>
        <v>2.5</v>
      </c>
      <c r="L25">
        <v>2.46</v>
      </c>
      <c r="M25">
        <f>Tabla51021[[#This Row],[Amplitud Experimental]]</f>
        <v>2.46</v>
      </c>
      <c r="N25" s="11">
        <f>ABS((Tabla51021[[#This Row],[Amplitud Experimental]]-Tabla51021[[#This Row],[Amplitud (V)]])/Tabla51021[[#This Row],[Amplitud (V)]])</f>
        <v>1.6000000000000014E-2</v>
      </c>
    </row>
    <row r="26" spans="1:14" x14ac:dyDescent="0.3">
      <c r="A26">
        <f t="shared" si="7"/>
        <v>2.25</v>
      </c>
      <c r="B26">
        <v>2.2000000000000002</v>
      </c>
      <c r="C26">
        <f>Tabla519[[#This Row],[Amplitud Experimental]]</f>
        <v>2.2000000000000002</v>
      </c>
      <c r="D26" s="11">
        <f>ABS((Tabla519[[#This Row],[Amplitud Experimental]]-Tabla519[[#This Row],[Amplitud (V)]])/Tabla519[[#This Row],[Amplitud (V)]])</f>
        <v>2.2222222222222143E-2</v>
      </c>
      <c r="F26">
        <f t="shared" si="8"/>
        <v>2.25</v>
      </c>
      <c r="G26">
        <v>2.2400000000000002</v>
      </c>
      <c r="H26">
        <f>Tabla5920[[#This Row],[Amplitud Experimental]]</f>
        <v>2.2400000000000002</v>
      </c>
      <c r="I26" s="11">
        <f>ABS((Tabla5920[[#This Row],[Amplitud Experimental]]-Tabla5920[[#This Row],[Amplitud (V)]])/Tabla5920[[#This Row],[Amplitud (V)]])</f>
        <v>4.4444444444443499E-3</v>
      </c>
      <c r="K26">
        <f t="shared" si="9"/>
        <v>2.25</v>
      </c>
      <c r="L26">
        <v>2.23</v>
      </c>
      <c r="M26">
        <f>Tabla51021[[#This Row],[Amplitud Experimental]]</f>
        <v>2.23</v>
      </c>
      <c r="N26" s="11">
        <f>ABS((Tabla51021[[#This Row],[Amplitud Experimental]]-Tabla51021[[#This Row],[Amplitud (V)]])/Tabla51021[[#This Row],[Amplitud (V)]])</f>
        <v>8.8888888888888976E-3</v>
      </c>
    </row>
    <row r="27" spans="1:14" x14ac:dyDescent="0.3">
      <c r="A27">
        <f t="shared" si="7"/>
        <v>2</v>
      </c>
      <c r="B27">
        <v>1.95</v>
      </c>
      <c r="C27">
        <f>Tabla519[[#This Row],[Amplitud Experimental]]</f>
        <v>1.95</v>
      </c>
      <c r="D27" s="11">
        <f>ABS((Tabla519[[#This Row],[Amplitud Experimental]]-Tabla519[[#This Row],[Amplitud (V)]])/Tabla519[[#This Row],[Amplitud (V)]])</f>
        <v>2.5000000000000022E-2</v>
      </c>
      <c r="F27">
        <f t="shared" si="8"/>
        <v>2</v>
      </c>
      <c r="G27">
        <v>1.96</v>
      </c>
      <c r="H27">
        <f>Tabla5920[[#This Row],[Amplitud Experimental]]</f>
        <v>1.96</v>
      </c>
      <c r="I27" s="11">
        <f>ABS((Tabla5920[[#This Row],[Amplitud Experimental]]-Tabla5920[[#This Row],[Amplitud (V)]])/Tabla5920[[#This Row],[Amplitud (V)]])</f>
        <v>2.0000000000000018E-2</v>
      </c>
      <c r="K27">
        <f t="shared" si="9"/>
        <v>2</v>
      </c>
      <c r="L27">
        <v>1.94</v>
      </c>
      <c r="M27">
        <f>Tabla51021[[#This Row],[Amplitud Experimental]]</f>
        <v>1.94</v>
      </c>
      <c r="N27" s="11">
        <f>ABS((Tabla51021[[#This Row],[Amplitud Experimental]]-Tabla51021[[#This Row],[Amplitud (V)]])/Tabla51021[[#This Row],[Amplitud (V)]])</f>
        <v>3.0000000000000027E-2</v>
      </c>
    </row>
    <row r="28" spans="1:14" x14ac:dyDescent="0.3">
      <c r="A28">
        <f t="shared" si="7"/>
        <v>1.75</v>
      </c>
      <c r="B28">
        <v>1.74</v>
      </c>
      <c r="C28">
        <f>Tabla519[[#This Row],[Amplitud Experimental]]</f>
        <v>1.74</v>
      </c>
      <c r="D28" s="11">
        <f>ABS((Tabla519[[#This Row],[Amplitud Experimental]]-Tabla519[[#This Row],[Amplitud (V)]])/Tabla519[[#This Row],[Amplitud (V)]])</f>
        <v>5.7142857142857195E-3</v>
      </c>
      <c r="F28">
        <f t="shared" si="8"/>
        <v>1.75</v>
      </c>
      <c r="G28">
        <v>1.76</v>
      </c>
      <c r="H28">
        <f>Tabla5920[[#This Row],[Amplitud Experimental]]</f>
        <v>1.76</v>
      </c>
      <c r="I28" s="11">
        <f>ABS((Tabla5920[[#This Row],[Amplitud Experimental]]-Tabla5920[[#This Row],[Amplitud (V)]])/Tabla5920[[#This Row],[Amplitud (V)]])</f>
        <v>5.7142857142857195E-3</v>
      </c>
      <c r="K28">
        <f t="shared" si="9"/>
        <v>1.75</v>
      </c>
      <c r="L28">
        <v>1.75</v>
      </c>
      <c r="M28">
        <f>Tabla51021[[#This Row],[Amplitud Experimental]]</f>
        <v>1.75</v>
      </c>
      <c r="N28" s="11">
        <f>ABS((Tabla51021[[#This Row],[Amplitud Experimental]]-Tabla51021[[#This Row],[Amplitud (V)]])/Tabla51021[[#This Row],[Amplitud (V)]])</f>
        <v>0</v>
      </c>
    </row>
    <row r="29" spans="1:14" x14ac:dyDescent="0.3">
      <c r="A29">
        <f>A28-0.25</f>
        <v>1.5</v>
      </c>
      <c r="B29">
        <v>1.45</v>
      </c>
      <c r="C29">
        <f>Tabla519[[#This Row],[Amplitud Experimental]]</f>
        <v>1.45</v>
      </c>
      <c r="D29" s="11">
        <f>ABS((Tabla519[[#This Row],[Amplitud Experimental]]-Tabla519[[#This Row],[Amplitud (V)]])/Tabla519[[#This Row],[Amplitud (V)]])</f>
        <v>3.3333333333333361E-2</v>
      </c>
      <c r="F29">
        <f>F28-0.25</f>
        <v>1.5</v>
      </c>
      <c r="G29">
        <v>1.45</v>
      </c>
      <c r="H29">
        <f>Tabla5920[[#This Row],[Amplitud Experimental]]</f>
        <v>1.45</v>
      </c>
      <c r="I29" s="11">
        <f>ABS((Tabla5920[[#This Row],[Amplitud Experimental]]-Tabla5920[[#This Row],[Amplitud (V)]])/Tabla5920[[#This Row],[Amplitud (V)]])</f>
        <v>3.3333333333333361E-2</v>
      </c>
      <c r="K29">
        <f>K28-0.25</f>
        <v>1.5</v>
      </c>
      <c r="L29">
        <v>1.45</v>
      </c>
      <c r="M29">
        <f>Tabla51021[[#This Row],[Amplitud Experimental]]</f>
        <v>1.45</v>
      </c>
      <c r="N29" s="11">
        <f>ABS((Tabla51021[[#This Row],[Amplitud Experimental]]-Tabla51021[[#This Row],[Amplitud (V)]])/Tabla51021[[#This Row],[Amplitud (V)]])</f>
        <v>3.3333333333333361E-2</v>
      </c>
    </row>
    <row r="30" spans="1:14" x14ac:dyDescent="0.3">
      <c r="A30">
        <f t="shared" ref="A30:A31" si="10">A29-0.25</f>
        <v>1.25</v>
      </c>
      <c r="B30">
        <v>1.21</v>
      </c>
      <c r="C30">
        <f>Tabla519[[#This Row],[Amplitud Experimental]]</f>
        <v>1.21</v>
      </c>
      <c r="D30" s="11">
        <f>ABS((Tabla519[[#This Row],[Amplitud Experimental]]-Tabla519[[#This Row],[Amplitud (V)]])/Tabla519[[#This Row],[Amplitud (V)]])</f>
        <v>3.2000000000000028E-2</v>
      </c>
      <c r="F30">
        <f t="shared" ref="F30:F31" si="11">F29-0.25</f>
        <v>1.25</v>
      </c>
      <c r="G30">
        <v>1.23</v>
      </c>
      <c r="H30">
        <f>Tabla5920[[#This Row],[Amplitud Experimental]]</f>
        <v>1.23</v>
      </c>
      <c r="I30" s="11">
        <f>ABS((Tabla5920[[#This Row],[Amplitud Experimental]]-Tabla5920[[#This Row],[Amplitud (V)]])/Tabla5920[[#This Row],[Amplitud (V)]])</f>
        <v>1.6000000000000014E-2</v>
      </c>
      <c r="K30">
        <f t="shared" ref="K30:K31" si="12">K29-0.25</f>
        <v>1.25</v>
      </c>
      <c r="L30">
        <v>1.26</v>
      </c>
      <c r="M30">
        <f>Tabla51021[[#This Row],[Amplitud Experimental]]</f>
        <v>1.26</v>
      </c>
      <c r="N30" s="11">
        <f>ABS((Tabla51021[[#This Row],[Amplitud Experimental]]-Tabla51021[[#This Row],[Amplitud (V)]])/Tabla51021[[#This Row],[Amplitud (V)]])</f>
        <v>8.0000000000000071E-3</v>
      </c>
    </row>
    <row r="31" spans="1:14" x14ac:dyDescent="0.3">
      <c r="A31">
        <f t="shared" si="10"/>
        <v>1</v>
      </c>
      <c r="B31">
        <v>1.02</v>
      </c>
      <c r="C31">
        <f>Tabla519[[#This Row],[Amplitud Experimental]]</f>
        <v>1.02</v>
      </c>
      <c r="D31" s="11">
        <f>ABS((Tabla519[[#This Row],[Amplitud Experimental]]-Tabla519[[#This Row],[Amplitud (V)]])/Tabla519[[#This Row],[Amplitud (V)]])</f>
        <v>2.0000000000000018E-2</v>
      </c>
      <c r="F31">
        <f t="shared" si="11"/>
        <v>1</v>
      </c>
      <c r="G31">
        <v>1</v>
      </c>
      <c r="H31">
        <f>Tabla5920[[#This Row],[Amplitud Experimental]]</f>
        <v>1</v>
      </c>
      <c r="I31" s="11">
        <f>ABS((Tabla5920[[#This Row],[Amplitud Experimental]]-Tabla5920[[#This Row],[Amplitud (V)]])/Tabla5920[[#This Row],[Amplitud (V)]])</f>
        <v>0</v>
      </c>
      <c r="K31">
        <f t="shared" si="12"/>
        <v>1</v>
      </c>
      <c r="L31">
        <v>1.01</v>
      </c>
      <c r="M31">
        <f>Tabla51021[[#This Row],[Amplitud Experimental]]</f>
        <v>1.01</v>
      </c>
      <c r="N31" s="11">
        <f>ABS((Tabla51021[[#This Row],[Amplitud Experimental]]-Tabla51021[[#This Row],[Amplitud (V)]])/Tabla51021[[#This Row],[Amplitud (V)]])</f>
        <v>1.0000000000000009E-2</v>
      </c>
    </row>
    <row r="32" spans="1:14" x14ac:dyDescent="0.3">
      <c r="A32">
        <f>A31-0.25</f>
        <v>0.75</v>
      </c>
      <c r="B32">
        <v>0.76</v>
      </c>
      <c r="C32">
        <f>Tabla519[[#This Row],[Amplitud Experimental]]</f>
        <v>0.76</v>
      </c>
      <c r="D32" s="11">
        <f>ABS((Tabla519[[#This Row],[Amplitud Experimental]]-Tabla519[[#This Row],[Amplitud (V)]])/Tabla519[[#This Row],[Amplitud (V)]])</f>
        <v>1.3333333333333345E-2</v>
      </c>
      <c r="F32">
        <f>F31-0.25</f>
        <v>0.75</v>
      </c>
      <c r="G32">
        <v>0.76</v>
      </c>
      <c r="H32">
        <f>Tabla5920[[#This Row],[Amplitud Experimental]]</f>
        <v>0.76</v>
      </c>
      <c r="I32" s="11">
        <f>ABS((Tabla5920[[#This Row],[Amplitud Experimental]]-Tabla5920[[#This Row],[Amplitud (V)]])/Tabla5920[[#This Row],[Amplitud (V)]])</f>
        <v>1.3333333333333345E-2</v>
      </c>
      <c r="K32">
        <f>K31-0.25</f>
        <v>0.75</v>
      </c>
      <c r="L32">
        <v>0.74</v>
      </c>
      <c r="M32">
        <f>Tabla51021[[#This Row],[Amplitud Experimental]]</f>
        <v>0.74</v>
      </c>
      <c r="N32" s="11">
        <f>ABS((Tabla51021[[#This Row],[Amplitud Experimental]]-Tabla51021[[#This Row],[Amplitud (V)]])/Tabla51021[[#This Row],[Amplitud (V)]])</f>
        <v>1.3333333333333345E-2</v>
      </c>
    </row>
    <row r="33" spans="1:14" x14ac:dyDescent="0.3">
      <c r="A33">
        <f t="shared" ref="A33:A34" si="13">A32-0.25</f>
        <v>0.5</v>
      </c>
      <c r="B33">
        <v>0.51</v>
      </c>
      <c r="C33">
        <f>Tabla519[[#This Row],[Amplitud Experimental]]</f>
        <v>0.51</v>
      </c>
      <c r="D33" s="11">
        <f>ABS((Tabla519[[#This Row],[Amplitud Experimental]]-Tabla519[[#This Row],[Amplitud (V)]])/Tabla519[[#This Row],[Amplitud (V)]])</f>
        <v>2.0000000000000018E-2</v>
      </c>
      <c r="F33">
        <f t="shared" ref="F33:F34" si="14">F32-0.25</f>
        <v>0.5</v>
      </c>
      <c r="G33">
        <v>0.49</v>
      </c>
      <c r="H33">
        <f>Tabla5920[[#This Row],[Amplitud Experimental]]</f>
        <v>0.49</v>
      </c>
      <c r="I33" s="11">
        <f>ABS((Tabla5920[[#This Row],[Amplitud Experimental]]-Tabla5920[[#This Row],[Amplitud (V)]])/Tabla5920[[#This Row],[Amplitud (V)]])</f>
        <v>2.0000000000000018E-2</v>
      </c>
      <c r="K33">
        <f t="shared" ref="K33:K34" si="15">K32-0.25</f>
        <v>0.5</v>
      </c>
      <c r="L33">
        <v>0.51</v>
      </c>
      <c r="M33">
        <f>Tabla51021[[#This Row],[Amplitud Experimental]]</f>
        <v>0.51</v>
      </c>
      <c r="N33" s="11">
        <f>ABS((Tabla51021[[#This Row],[Amplitud Experimental]]-Tabla51021[[#This Row],[Amplitud (V)]])/Tabla51021[[#This Row],[Amplitud (V)]])</f>
        <v>2.0000000000000018E-2</v>
      </c>
    </row>
    <row r="34" spans="1:14" x14ac:dyDescent="0.3">
      <c r="A34">
        <f t="shared" si="13"/>
        <v>0.25</v>
      </c>
      <c r="B34">
        <v>0.25</v>
      </c>
      <c r="C34">
        <f>Tabla519[[#This Row],[Amplitud Experimental]]</f>
        <v>0.25</v>
      </c>
      <c r="D34" s="11">
        <f>ABS((Tabla519[[#This Row],[Amplitud Experimental]]-Tabla519[[#This Row],[Amplitud (V)]])/Tabla519[[#This Row],[Amplitud (V)]])</f>
        <v>0</v>
      </c>
      <c r="F34">
        <f t="shared" si="14"/>
        <v>0.25</v>
      </c>
      <c r="G34">
        <v>0.25</v>
      </c>
      <c r="H34">
        <f>Tabla5920[[#This Row],[Amplitud Experimental]]</f>
        <v>0.25</v>
      </c>
      <c r="I34" s="11">
        <f>ABS((Tabla5920[[#This Row],[Amplitud Experimental]]-Tabla5920[[#This Row],[Amplitud (V)]])/Tabla5920[[#This Row],[Amplitud (V)]])</f>
        <v>0</v>
      </c>
      <c r="K34">
        <f t="shared" si="15"/>
        <v>0.25</v>
      </c>
      <c r="L34">
        <v>0.25</v>
      </c>
      <c r="M34">
        <f>Tabla51021[[#This Row],[Amplitud Experimental]]</f>
        <v>0.25</v>
      </c>
      <c r="N34" s="11">
        <f>ABS((Tabla51021[[#This Row],[Amplitud Experimental]]-Tabla51021[[#This Row],[Amplitud (V)]])/Tabla51021[[#This Row],[Amplitud (V)]])</f>
        <v>0</v>
      </c>
    </row>
    <row r="37" spans="1:14" ht="14.4" customHeight="1" x14ac:dyDescent="0.3">
      <c r="A37" s="13" t="s">
        <v>36</v>
      </c>
      <c r="B37" s="13"/>
      <c r="C37" s="13"/>
      <c r="D37" s="13"/>
      <c r="F37" s="13" t="s">
        <v>37</v>
      </c>
      <c r="G37" s="13"/>
      <c r="H37" s="13"/>
      <c r="I37" s="13"/>
      <c r="K37" s="13" t="s">
        <v>38</v>
      </c>
      <c r="L37" s="13"/>
      <c r="M37" s="13"/>
      <c r="N37" s="13"/>
    </row>
    <row r="38" spans="1:14" x14ac:dyDescent="0.3">
      <c r="A38" t="s">
        <v>28</v>
      </c>
      <c r="B38" t="s">
        <v>29</v>
      </c>
      <c r="C38" t="s">
        <v>39</v>
      </c>
      <c r="D38" t="s">
        <v>0</v>
      </c>
      <c r="F38" t="s">
        <v>28</v>
      </c>
      <c r="G38" t="s">
        <v>29</v>
      </c>
      <c r="H38" t="s">
        <v>40</v>
      </c>
      <c r="I38" t="s">
        <v>0</v>
      </c>
      <c r="K38" t="s">
        <v>28</v>
      </c>
      <c r="L38" t="s">
        <v>29</v>
      </c>
      <c r="M38" t="s">
        <v>41</v>
      </c>
      <c r="N38" t="s">
        <v>0</v>
      </c>
    </row>
    <row r="39" spans="1:14" x14ac:dyDescent="0.3">
      <c r="A39">
        <v>3.3</v>
      </c>
      <c r="B39">
        <v>3.35</v>
      </c>
      <c r="C39">
        <f>Tabla522[[#This Row],[Amplitud Experimental]]</f>
        <v>3.35</v>
      </c>
      <c r="D39" s="11">
        <f>ABS((Tabla522[[#This Row],[Amplitud Experimental]]-Tabla522[[#This Row],[Amplitud (V)]])/Tabla522[[#This Row],[Amplitud (V)]])</f>
        <v>1.5151515151515233E-2</v>
      </c>
      <c r="F39">
        <v>3.3</v>
      </c>
      <c r="G39">
        <v>3.3</v>
      </c>
      <c r="H39">
        <f>Tabla5923[[#This Row],[Amplitud Experimental]]</f>
        <v>3.3</v>
      </c>
      <c r="I39" s="11">
        <f>ABS((Tabla5923[[#This Row],[Amplitud Experimental]]-Tabla5923[[#This Row],[Amplitud (V)]])/Tabla5923[[#This Row],[Amplitud (V)]])</f>
        <v>0</v>
      </c>
      <c r="K39">
        <v>3.3</v>
      </c>
      <c r="L39">
        <v>3.3</v>
      </c>
      <c r="M39">
        <f>Tabla51024[[#This Row],[Amplitud Experimental]]</f>
        <v>3.3</v>
      </c>
      <c r="N39" s="11">
        <f>ABS((Tabla51024[[#This Row],[Amplitud Experimental]]-Tabla51024[[#This Row],[Amplitud (V)]])/Tabla51024[[#This Row],[Amplitud (V)]])</f>
        <v>0</v>
      </c>
    </row>
    <row r="40" spans="1:14" x14ac:dyDescent="0.3">
      <c r="A40">
        <v>3.25</v>
      </c>
      <c r="B40">
        <v>3.21</v>
      </c>
      <c r="C40">
        <f>Tabla522[[#This Row],[Amplitud Experimental]]</f>
        <v>3.21</v>
      </c>
      <c r="D40" s="11">
        <f>ABS((Tabla522[[#This Row],[Amplitud Experimental]]-Tabla522[[#This Row],[Amplitud (V)]])/Tabla522[[#This Row],[Amplitud (V)]])</f>
        <v>1.2307692307692318E-2</v>
      </c>
      <c r="F40">
        <v>3.25</v>
      </c>
      <c r="G40">
        <v>3.2</v>
      </c>
      <c r="H40">
        <f>Tabla5923[[#This Row],[Amplitud Experimental]]</f>
        <v>3.2</v>
      </c>
      <c r="I40" s="11">
        <f>ABS((Tabla5923[[#This Row],[Amplitud Experimental]]-Tabla5923[[#This Row],[Amplitud (V)]])/Tabla5923[[#This Row],[Amplitud (V)]])</f>
        <v>1.538461538461533E-2</v>
      </c>
      <c r="K40">
        <v>3.25</v>
      </c>
      <c r="L40">
        <v>3.2</v>
      </c>
      <c r="M40">
        <f>Tabla51024[[#This Row],[Amplitud Experimental]]</f>
        <v>3.2</v>
      </c>
      <c r="N40" s="11">
        <f>ABS((Tabla51024[[#This Row],[Amplitud Experimental]]-Tabla51024[[#This Row],[Amplitud (V)]])/Tabla51024[[#This Row],[Amplitud (V)]])</f>
        <v>1.538461538461533E-2</v>
      </c>
    </row>
    <row r="41" spans="1:14" x14ac:dyDescent="0.3">
      <c r="A41">
        <f>A40-0.25</f>
        <v>3</v>
      </c>
      <c r="B41">
        <v>3.1</v>
      </c>
      <c r="C41">
        <f>Tabla522[[#This Row],[Amplitud Experimental]]</f>
        <v>3.1</v>
      </c>
      <c r="D41" s="11">
        <f>ABS((Tabla522[[#This Row],[Amplitud Experimental]]-Tabla522[[#This Row],[Amplitud (V)]])/Tabla522[[#This Row],[Amplitud (V)]])</f>
        <v>3.3333333333333361E-2</v>
      </c>
      <c r="F41">
        <f>F40-0.25</f>
        <v>3</v>
      </c>
      <c r="G41">
        <v>2.9</v>
      </c>
      <c r="H41">
        <f>Tabla5923[[#This Row],[Amplitud Experimental]]</f>
        <v>2.9</v>
      </c>
      <c r="I41" s="11">
        <f>ABS((Tabla5923[[#This Row],[Amplitud Experimental]]-Tabla5923[[#This Row],[Amplitud (V)]])/Tabla5923[[#This Row],[Amplitud (V)]])</f>
        <v>3.3333333333333361E-2</v>
      </c>
      <c r="K41">
        <f>K40-0.25</f>
        <v>3</v>
      </c>
      <c r="L41">
        <v>2.9</v>
      </c>
      <c r="M41">
        <f>Tabla51024[[#This Row],[Amplitud Experimental]]</f>
        <v>2.9</v>
      </c>
      <c r="N41" s="11">
        <f>ABS((Tabla51024[[#This Row],[Amplitud Experimental]]-Tabla51024[[#This Row],[Amplitud (V)]])/Tabla51024[[#This Row],[Amplitud (V)]])</f>
        <v>3.3333333333333361E-2</v>
      </c>
    </row>
    <row r="42" spans="1:14" x14ac:dyDescent="0.3">
      <c r="A42">
        <f t="shared" ref="A42:A46" si="16">A41-0.25</f>
        <v>2.75</v>
      </c>
      <c r="B42">
        <v>2.72</v>
      </c>
      <c r="C42">
        <f>Tabla522[[#This Row],[Amplitud Experimental]]</f>
        <v>2.72</v>
      </c>
      <c r="D42" s="11">
        <f>ABS((Tabla522[[#This Row],[Amplitud Experimental]]-Tabla522[[#This Row],[Amplitud (V)]])/Tabla522[[#This Row],[Amplitud (V)]])</f>
        <v>1.0909090909090839E-2</v>
      </c>
      <c r="F42">
        <f t="shared" ref="F42:F46" si="17">F41-0.25</f>
        <v>2.75</v>
      </c>
      <c r="G42">
        <v>2.74</v>
      </c>
      <c r="H42">
        <f>Tabla5923[[#This Row],[Amplitud Experimental]]</f>
        <v>2.74</v>
      </c>
      <c r="I42" s="11">
        <f>ABS((Tabla5923[[#This Row],[Amplitud Experimental]]-Tabla5923[[#This Row],[Amplitud (V)]])/Tabla5923[[#This Row],[Amplitud (V)]])</f>
        <v>3.6363636363635587E-3</v>
      </c>
      <c r="K42">
        <f t="shared" ref="K42:K46" si="18">K41-0.25</f>
        <v>2.75</v>
      </c>
      <c r="L42">
        <v>2.7</v>
      </c>
      <c r="M42">
        <f>Tabla51024[[#This Row],[Amplitud Experimental]]</f>
        <v>2.7</v>
      </c>
      <c r="N42" s="11">
        <f>ABS((Tabla51024[[#This Row],[Amplitud Experimental]]-Tabla51024[[#This Row],[Amplitud (V)]])/Tabla51024[[#This Row],[Amplitud (V)]])</f>
        <v>1.8181818181818118E-2</v>
      </c>
    </row>
    <row r="43" spans="1:14" x14ac:dyDescent="0.3">
      <c r="A43">
        <f t="shared" si="16"/>
        <v>2.5</v>
      </c>
      <c r="B43">
        <v>2.52</v>
      </c>
      <c r="C43">
        <f>Tabla522[[#This Row],[Amplitud Experimental]]</f>
        <v>2.52</v>
      </c>
      <c r="D43" s="11">
        <f>ABS((Tabla522[[#This Row],[Amplitud Experimental]]-Tabla522[[#This Row],[Amplitud (V)]])/Tabla522[[#This Row],[Amplitud (V)]])</f>
        <v>8.0000000000000071E-3</v>
      </c>
      <c r="F43">
        <f t="shared" si="17"/>
        <v>2.5</v>
      </c>
      <c r="G43">
        <v>2.4500000000000002</v>
      </c>
      <c r="H43">
        <f>Tabla5923[[#This Row],[Amplitud Experimental]]</f>
        <v>2.4500000000000002</v>
      </c>
      <c r="I43" s="11">
        <f>ABS((Tabla5923[[#This Row],[Amplitud Experimental]]-Tabla5923[[#This Row],[Amplitud (V)]])/Tabla5923[[#This Row],[Amplitud (V)]])</f>
        <v>1.9999999999999928E-2</v>
      </c>
      <c r="K43">
        <f t="shared" si="18"/>
        <v>2.5</v>
      </c>
      <c r="L43">
        <v>2.46</v>
      </c>
      <c r="M43">
        <f>Tabla51024[[#This Row],[Amplitud Experimental]]</f>
        <v>2.46</v>
      </c>
      <c r="N43" s="11">
        <f>ABS((Tabla51024[[#This Row],[Amplitud Experimental]]-Tabla51024[[#This Row],[Amplitud (V)]])/Tabla51024[[#This Row],[Amplitud (V)]])</f>
        <v>1.6000000000000014E-2</v>
      </c>
    </row>
    <row r="44" spans="1:14" x14ac:dyDescent="0.3">
      <c r="A44">
        <f t="shared" si="16"/>
        <v>2.25</v>
      </c>
      <c r="B44">
        <v>2.25</v>
      </c>
      <c r="C44">
        <f>Tabla522[[#This Row],[Amplitud Experimental]]</f>
        <v>2.25</v>
      </c>
      <c r="D44" s="11">
        <f>ABS((Tabla522[[#This Row],[Amplitud Experimental]]-Tabla522[[#This Row],[Amplitud (V)]])/Tabla522[[#This Row],[Amplitud (V)]])</f>
        <v>0</v>
      </c>
      <c r="F44">
        <f t="shared" si="17"/>
        <v>2.25</v>
      </c>
      <c r="G44">
        <v>2.25</v>
      </c>
      <c r="H44">
        <f>Tabla5923[[#This Row],[Amplitud Experimental]]</f>
        <v>2.25</v>
      </c>
      <c r="I44" s="11">
        <f>ABS((Tabla5923[[#This Row],[Amplitud Experimental]]-Tabla5923[[#This Row],[Amplitud (V)]])/Tabla5923[[#This Row],[Amplitud (V)]])</f>
        <v>0</v>
      </c>
      <c r="K44">
        <f t="shared" si="18"/>
        <v>2.25</v>
      </c>
      <c r="L44">
        <v>2.21</v>
      </c>
      <c r="M44">
        <f>Tabla51024[[#This Row],[Amplitud Experimental]]</f>
        <v>2.21</v>
      </c>
      <c r="N44" s="11">
        <f>ABS((Tabla51024[[#This Row],[Amplitud Experimental]]-Tabla51024[[#This Row],[Amplitud (V)]])/Tabla51024[[#This Row],[Amplitud (V)]])</f>
        <v>1.7777777777777795E-2</v>
      </c>
    </row>
    <row r="45" spans="1:14" x14ac:dyDescent="0.3">
      <c r="A45">
        <f t="shared" si="16"/>
        <v>2</v>
      </c>
      <c r="B45">
        <v>2.0499999999999998</v>
      </c>
      <c r="C45">
        <f>Tabla522[[#This Row],[Amplitud Experimental]]</f>
        <v>2.0499999999999998</v>
      </c>
      <c r="D45" s="11">
        <f>ABS((Tabla522[[#This Row],[Amplitud Experimental]]-Tabla522[[#This Row],[Amplitud (V)]])/Tabla522[[#This Row],[Amplitud (V)]])</f>
        <v>2.4999999999999911E-2</v>
      </c>
      <c r="F45">
        <f t="shared" si="17"/>
        <v>2</v>
      </c>
      <c r="G45">
        <v>1.94</v>
      </c>
      <c r="H45">
        <f>Tabla5923[[#This Row],[Amplitud Experimental]]</f>
        <v>1.94</v>
      </c>
      <c r="I45" s="11">
        <f>ABS((Tabla5923[[#This Row],[Amplitud Experimental]]-Tabla5923[[#This Row],[Amplitud (V)]])/Tabla5923[[#This Row],[Amplitud (V)]])</f>
        <v>3.0000000000000027E-2</v>
      </c>
      <c r="K45">
        <f t="shared" si="18"/>
        <v>2</v>
      </c>
      <c r="L45">
        <v>1.93</v>
      </c>
      <c r="M45">
        <f>Tabla51024[[#This Row],[Amplitud Experimental]]</f>
        <v>1.93</v>
      </c>
      <c r="N45" s="11">
        <f>ABS((Tabla51024[[#This Row],[Amplitud Experimental]]-Tabla51024[[#This Row],[Amplitud (V)]])/Tabla51024[[#This Row],[Amplitud (V)]])</f>
        <v>3.5000000000000031E-2</v>
      </c>
    </row>
    <row r="46" spans="1:14" x14ac:dyDescent="0.3">
      <c r="A46">
        <f t="shared" si="16"/>
        <v>1.75</v>
      </c>
      <c r="B46">
        <v>1.76</v>
      </c>
      <c r="C46">
        <f>Tabla522[[#This Row],[Amplitud Experimental]]</f>
        <v>1.76</v>
      </c>
      <c r="D46" s="11">
        <f>ABS((Tabla522[[#This Row],[Amplitud Experimental]]-Tabla522[[#This Row],[Amplitud (V)]])/Tabla522[[#This Row],[Amplitud (V)]])</f>
        <v>5.7142857142857195E-3</v>
      </c>
      <c r="F46">
        <f t="shared" si="17"/>
        <v>1.75</v>
      </c>
      <c r="G46">
        <v>1.7</v>
      </c>
      <c r="H46">
        <f>Tabla5923[[#This Row],[Amplitud Experimental]]</f>
        <v>1.7</v>
      </c>
      <c r="I46" s="11">
        <f>ABS((Tabla5923[[#This Row],[Amplitud Experimental]]-Tabla5923[[#This Row],[Amplitud (V)]])/Tabla5923[[#This Row],[Amplitud (V)]])</f>
        <v>2.8571428571428598E-2</v>
      </c>
      <c r="K46">
        <f t="shared" si="18"/>
        <v>1.75</v>
      </c>
      <c r="L46">
        <v>1.76</v>
      </c>
      <c r="M46">
        <f>Tabla51024[[#This Row],[Amplitud Experimental]]</f>
        <v>1.76</v>
      </c>
      <c r="N46" s="11">
        <f>ABS((Tabla51024[[#This Row],[Amplitud Experimental]]-Tabla51024[[#This Row],[Amplitud (V)]])/Tabla51024[[#This Row],[Amplitud (V)]])</f>
        <v>5.7142857142857195E-3</v>
      </c>
    </row>
    <row r="47" spans="1:14" x14ac:dyDescent="0.3">
      <c r="A47">
        <f>A46-0.25</f>
        <v>1.5</v>
      </c>
      <c r="B47">
        <v>1.46</v>
      </c>
      <c r="C47">
        <f>Tabla522[[#This Row],[Amplitud Experimental]]</f>
        <v>1.46</v>
      </c>
      <c r="D47" s="11">
        <f>ABS((Tabla522[[#This Row],[Amplitud Experimental]]-Tabla522[[#This Row],[Amplitud (V)]])/Tabla522[[#This Row],[Amplitud (V)]])</f>
        <v>2.6666666666666689E-2</v>
      </c>
      <c r="F47">
        <f>F46-0.25</f>
        <v>1.5</v>
      </c>
      <c r="G47">
        <v>1.44</v>
      </c>
      <c r="H47">
        <f>Tabla5923[[#This Row],[Amplitud Experimental]]</f>
        <v>1.44</v>
      </c>
      <c r="I47" s="11">
        <f>ABS((Tabla5923[[#This Row],[Amplitud Experimental]]-Tabla5923[[#This Row],[Amplitud (V)]])/Tabla5923[[#This Row],[Amplitud (V)]])</f>
        <v>4.0000000000000036E-2</v>
      </c>
      <c r="K47">
        <f>K46-0.25</f>
        <v>1.5</v>
      </c>
      <c r="L47">
        <v>1.46</v>
      </c>
      <c r="M47">
        <f>Tabla51024[[#This Row],[Amplitud Experimental]]</f>
        <v>1.46</v>
      </c>
      <c r="N47" s="11">
        <f>ABS((Tabla51024[[#This Row],[Amplitud Experimental]]-Tabla51024[[#This Row],[Amplitud (V)]])/Tabla51024[[#This Row],[Amplitud (V)]])</f>
        <v>2.6666666666666689E-2</v>
      </c>
    </row>
    <row r="48" spans="1:14" x14ac:dyDescent="0.3">
      <c r="A48">
        <f t="shared" ref="A48:A49" si="19">A47-0.25</f>
        <v>1.25</v>
      </c>
      <c r="B48">
        <v>1.21</v>
      </c>
      <c r="C48">
        <f>Tabla522[[#This Row],[Amplitud Experimental]]</f>
        <v>1.21</v>
      </c>
      <c r="D48" s="11">
        <f>ABS((Tabla522[[#This Row],[Amplitud Experimental]]-Tabla522[[#This Row],[Amplitud (V)]])/Tabla522[[#This Row],[Amplitud (V)]])</f>
        <v>3.2000000000000028E-2</v>
      </c>
      <c r="F48">
        <f t="shared" ref="F48:F49" si="20">F47-0.25</f>
        <v>1.25</v>
      </c>
      <c r="G48">
        <v>1.23</v>
      </c>
      <c r="H48">
        <f>Tabla5923[[#This Row],[Amplitud Experimental]]</f>
        <v>1.23</v>
      </c>
      <c r="I48" s="11">
        <f>ABS((Tabla5923[[#This Row],[Amplitud Experimental]]-Tabla5923[[#This Row],[Amplitud (V)]])/Tabla5923[[#This Row],[Amplitud (V)]])</f>
        <v>1.6000000000000014E-2</v>
      </c>
      <c r="K48">
        <f t="shared" ref="K48:K49" si="21">K47-0.25</f>
        <v>1.25</v>
      </c>
      <c r="L48">
        <v>1.26</v>
      </c>
      <c r="M48">
        <f>Tabla51024[[#This Row],[Amplitud Experimental]]</f>
        <v>1.26</v>
      </c>
      <c r="N48" s="11">
        <f>ABS((Tabla51024[[#This Row],[Amplitud Experimental]]-Tabla51024[[#This Row],[Amplitud (V)]])/Tabla51024[[#This Row],[Amplitud (V)]])</f>
        <v>8.0000000000000071E-3</v>
      </c>
    </row>
    <row r="49" spans="1:14" x14ac:dyDescent="0.3">
      <c r="A49">
        <f t="shared" si="19"/>
        <v>1</v>
      </c>
      <c r="B49">
        <v>1.02</v>
      </c>
      <c r="C49">
        <f>Tabla522[[#This Row],[Amplitud Experimental]]</f>
        <v>1.02</v>
      </c>
      <c r="D49" s="11">
        <f>ABS((Tabla522[[#This Row],[Amplitud Experimental]]-Tabla522[[#This Row],[Amplitud (V)]])/Tabla522[[#This Row],[Amplitud (V)]])</f>
        <v>2.0000000000000018E-2</v>
      </c>
      <c r="F49">
        <f t="shared" si="20"/>
        <v>1</v>
      </c>
      <c r="G49">
        <v>0.98</v>
      </c>
      <c r="H49">
        <f>Tabla5923[[#This Row],[Amplitud Experimental]]</f>
        <v>0.98</v>
      </c>
      <c r="I49" s="11">
        <f>ABS((Tabla5923[[#This Row],[Amplitud Experimental]]-Tabla5923[[#This Row],[Amplitud (V)]])/Tabla5923[[#This Row],[Amplitud (V)]])</f>
        <v>2.0000000000000018E-2</v>
      </c>
      <c r="K49">
        <f t="shared" si="21"/>
        <v>1</v>
      </c>
      <c r="L49">
        <v>1.01</v>
      </c>
      <c r="M49">
        <f>Tabla51024[[#This Row],[Amplitud Experimental]]</f>
        <v>1.01</v>
      </c>
      <c r="N49" s="11">
        <f>ABS((Tabla51024[[#This Row],[Amplitud Experimental]]-Tabla51024[[#This Row],[Amplitud (V)]])/Tabla51024[[#This Row],[Amplitud (V)]])</f>
        <v>1.0000000000000009E-2</v>
      </c>
    </row>
    <row r="50" spans="1:14" x14ac:dyDescent="0.3">
      <c r="A50">
        <f>A49-0.25</f>
        <v>0.75</v>
      </c>
      <c r="B50">
        <v>0.76</v>
      </c>
      <c r="C50">
        <f>Tabla522[[#This Row],[Amplitud Experimental]]</f>
        <v>0.76</v>
      </c>
      <c r="D50" s="11">
        <f>ABS((Tabla522[[#This Row],[Amplitud Experimental]]-Tabla522[[#This Row],[Amplitud (V)]])/Tabla522[[#This Row],[Amplitud (V)]])</f>
        <v>1.3333333333333345E-2</v>
      </c>
      <c r="F50">
        <f>F49-0.25</f>
        <v>0.75</v>
      </c>
      <c r="G50">
        <v>0.76</v>
      </c>
      <c r="H50">
        <f>Tabla5923[[#This Row],[Amplitud Experimental]]</f>
        <v>0.76</v>
      </c>
      <c r="I50" s="11">
        <f>ABS((Tabla5923[[#This Row],[Amplitud Experimental]]-Tabla5923[[#This Row],[Amplitud (V)]])/Tabla5923[[#This Row],[Amplitud (V)]])</f>
        <v>1.3333333333333345E-2</v>
      </c>
      <c r="K50">
        <f>K49-0.25</f>
        <v>0.75</v>
      </c>
      <c r="L50">
        <v>0.74</v>
      </c>
      <c r="M50">
        <f>Tabla51024[[#This Row],[Amplitud Experimental]]</f>
        <v>0.74</v>
      </c>
      <c r="N50" s="11">
        <f>ABS((Tabla51024[[#This Row],[Amplitud Experimental]]-Tabla51024[[#This Row],[Amplitud (V)]])/Tabla51024[[#This Row],[Amplitud (V)]])</f>
        <v>1.3333333333333345E-2</v>
      </c>
    </row>
    <row r="51" spans="1:14" x14ac:dyDescent="0.3">
      <c r="A51">
        <f t="shared" ref="A51:A52" si="22">A50-0.25</f>
        <v>0.5</v>
      </c>
      <c r="B51">
        <v>0.51</v>
      </c>
      <c r="C51">
        <f>Tabla522[[#This Row],[Amplitud Experimental]]</f>
        <v>0.51</v>
      </c>
      <c r="D51" s="11">
        <f>ABS((Tabla522[[#This Row],[Amplitud Experimental]]-Tabla522[[#This Row],[Amplitud (V)]])/Tabla522[[#This Row],[Amplitud (V)]])</f>
        <v>2.0000000000000018E-2</v>
      </c>
      <c r="F51">
        <f t="shared" ref="F51:F52" si="23">F50-0.25</f>
        <v>0.5</v>
      </c>
      <c r="G51">
        <v>0.5</v>
      </c>
      <c r="H51">
        <f>Tabla5923[[#This Row],[Amplitud Experimental]]</f>
        <v>0.5</v>
      </c>
      <c r="I51" s="11">
        <f>ABS((Tabla5923[[#This Row],[Amplitud Experimental]]-Tabla5923[[#This Row],[Amplitud (V)]])/Tabla5923[[#This Row],[Amplitud (V)]])</f>
        <v>0</v>
      </c>
      <c r="K51">
        <f t="shared" ref="K51:K52" si="24">K50-0.25</f>
        <v>0.5</v>
      </c>
      <c r="L51">
        <v>0.51</v>
      </c>
      <c r="M51">
        <f>Tabla51024[[#This Row],[Amplitud Experimental]]</f>
        <v>0.51</v>
      </c>
      <c r="N51" s="11">
        <f>ABS((Tabla51024[[#This Row],[Amplitud Experimental]]-Tabla51024[[#This Row],[Amplitud (V)]])/Tabla51024[[#This Row],[Amplitud (V)]])</f>
        <v>2.0000000000000018E-2</v>
      </c>
    </row>
    <row r="52" spans="1:14" x14ac:dyDescent="0.3">
      <c r="A52">
        <f t="shared" si="22"/>
        <v>0.25</v>
      </c>
      <c r="B52">
        <v>0.26</v>
      </c>
      <c r="C52">
        <f>Tabla522[[#This Row],[Amplitud Experimental]]</f>
        <v>0.26</v>
      </c>
      <c r="D52" s="11">
        <f>ABS((Tabla522[[#This Row],[Amplitud Experimental]]-Tabla522[[#This Row],[Amplitud (V)]])/Tabla522[[#This Row],[Amplitud (V)]])</f>
        <v>4.0000000000000036E-2</v>
      </c>
      <c r="F52">
        <f t="shared" si="23"/>
        <v>0.25</v>
      </c>
      <c r="G52">
        <v>0.26</v>
      </c>
      <c r="H52">
        <f>Tabla5923[[#This Row],[Amplitud Experimental]]</f>
        <v>0.26</v>
      </c>
      <c r="I52" s="11">
        <f>ABS((Tabla5923[[#This Row],[Amplitud Experimental]]-Tabla5923[[#This Row],[Amplitud (V)]])/Tabla5923[[#This Row],[Amplitud (V)]])</f>
        <v>4.0000000000000036E-2</v>
      </c>
      <c r="K52">
        <f t="shared" si="24"/>
        <v>0.25</v>
      </c>
      <c r="L52">
        <v>0.25</v>
      </c>
      <c r="M52">
        <f>Tabla51024[[#This Row],[Amplitud Experimental]]</f>
        <v>0.25</v>
      </c>
      <c r="N52" s="11">
        <f>ABS((Tabla51024[[#This Row],[Amplitud Experimental]]-Tabla51024[[#This Row],[Amplitud (V)]])/Tabla51024[[#This Row],[Amplitud (V)]])</f>
        <v>0</v>
      </c>
    </row>
  </sheetData>
  <mergeCells count="9">
    <mergeCell ref="A37:D37"/>
    <mergeCell ref="F37:I37"/>
    <mergeCell ref="K37:N37"/>
    <mergeCell ref="A1:D1"/>
    <mergeCell ref="F1:I1"/>
    <mergeCell ref="K1:N1"/>
    <mergeCell ref="A19:D19"/>
    <mergeCell ref="F19:I19"/>
    <mergeCell ref="K19:N19"/>
  </mergeCells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486E-F9B2-479C-85FA-5C7FE4BEC3F5}">
  <dimension ref="A1:F17"/>
  <sheetViews>
    <sheetView workbookViewId="0">
      <selection activeCell="D21" sqref="D21"/>
    </sheetView>
  </sheetViews>
  <sheetFormatPr baseColWidth="10" defaultRowHeight="14.4" x14ac:dyDescent="0.3"/>
  <cols>
    <col min="1" max="1" width="12.33203125" customWidth="1"/>
    <col min="2" max="2" width="22" bestFit="1" customWidth="1"/>
    <col min="3" max="3" width="22.21875" bestFit="1" customWidth="1"/>
    <col min="4" max="4" width="30.44140625" bestFit="1" customWidth="1"/>
    <col min="5" max="6" width="31.44140625" bestFit="1" customWidth="1"/>
  </cols>
  <sheetData>
    <row r="1" spans="1:6" x14ac:dyDescent="0.3">
      <c r="A1" s="12" t="s">
        <v>42</v>
      </c>
      <c r="B1" s="12"/>
      <c r="C1" s="12"/>
      <c r="D1" s="12"/>
      <c r="E1" s="12"/>
      <c r="F1" s="12"/>
    </row>
    <row r="2" spans="1:6" x14ac:dyDescent="0.3">
      <c r="A2" t="s">
        <v>44</v>
      </c>
      <c r="B2" t="s">
        <v>43</v>
      </c>
      <c r="C2" t="s">
        <v>45</v>
      </c>
      <c r="D2" t="s">
        <v>46</v>
      </c>
      <c r="E2" t="s">
        <v>47</v>
      </c>
      <c r="F2" t="s">
        <v>48</v>
      </c>
    </row>
    <row r="3" spans="1:6" x14ac:dyDescent="0.3">
      <c r="A3" s="2">
        <v>30</v>
      </c>
      <c r="B3" s="2">
        <v>1.78</v>
      </c>
      <c r="C3" s="14">
        <f>((Tabla4[[#This Row],[Consumo en uso (mA)]]*10^-3*9.09%) + (0.22*10^-3*90.91%))*10^3</f>
        <v>0.36180400000000001</v>
      </c>
      <c r="D3" s="14">
        <f>(550/Tabla4[[#This Row],[Consumo estimado (mA)]])*0.000114155</f>
        <v>0.173533874694586</v>
      </c>
      <c r="E3" s="14">
        <f>(1000/Tabla4[[#This Row],[Consumo estimado (mA)]])*0.000114155</f>
        <v>0.31551613580833815</v>
      </c>
      <c r="F3" s="14">
        <f>(4000/Tabla4[[#This Row],[Consumo estimado (mA)]])*0.000114155</f>
        <v>1.2620645432333526</v>
      </c>
    </row>
    <row r="4" spans="1:6" x14ac:dyDescent="0.3">
      <c r="A4" s="2">
        <v>20</v>
      </c>
      <c r="B4" s="2">
        <v>1.75</v>
      </c>
      <c r="C4" s="14">
        <f>((Tabla4[[#This Row],[Consumo en uso (mA)]]*10^-3*9.09%) + (0.22*10^-3*90.91%))*10^3</f>
        <v>0.35907700000000004</v>
      </c>
      <c r="D4" s="14">
        <f>(550/Tabla4[[#This Row],[Consumo estimado (mA)]])*0.00136986</f>
        <v>2.0982212728746199</v>
      </c>
      <c r="E4" s="14">
        <f>(1000/Tabla4[[#This Row],[Consumo estimado (mA)]])*0.000114155</f>
        <v>0.31791231407191212</v>
      </c>
      <c r="F4" s="14">
        <f>(4000/Tabla4[[#This Row],[Consumo estimado (mA)]])*0.000114155</f>
        <v>1.2716492562876485</v>
      </c>
    </row>
    <row r="5" spans="1:6" x14ac:dyDescent="0.3">
      <c r="A5" s="2">
        <v>15</v>
      </c>
      <c r="B5" s="2">
        <v>1.75</v>
      </c>
      <c r="C5" s="14">
        <f>((Tabla4[[#This Row],[Consumo en uso (mA)]]*10^-3*9.09%) + (0.22*10^-3*90.91%))*10^3</f>
        <v>0.35907700000000004</v>
      </c>
      <c r="D5" s="14">
        <f>(550/Tabla4[[#This Row],[Consumo estimado (mA)]])*0.000114155</f>
        <v>0.17485177273955166</v>
      </c>
      <c r="E5" s="14">
        <f>(1000/Tabla4[[#This Row],[Consumo estimado (mA)]])*0.000114155</f>
        <v>0.31791231407191212</v>
      </c>
      <c r="F5" s="14">
        <f>(4000/Tabla4[[#This Row],[Consumo estimado (mA)]])*0.000114155</f>
        <v>1.2716492562876485</v>
      </c>
    </row>
    <row r="6" spans="1:6" x14ac:dyDescent="0.3">
      <c r="A6" s="2">
        <v>10</v>
      </c>
      <c r="B6" s="2">
        <v>1.72</v>
      </c>
      <c r="C6" s="14">
        <f>((Tabla4[[#This Row],[Consumo en uso (mA)]]*10^-3*9.09%) + (0.22*10^-3*90.91%))*10^3</f>
        <v>0.35634999999999994</v>
      </c>
      <c r="D6" s="14">
        <f>(550/Tabla4[[#This Row],[Consumo estimado (mA)]])*0.000114155</f>
        <v>0.17618984144801461</v>
      </c>
      <c r="E6" s="14">
        <f>(1000/Tabla4[[#This Row],[Consumo estimado (mA)]])*0.000114155</f>
        <v>0.32034516626911747</v>
      </c>
      <c r="F6" s="14">
        <f>(4000/Tabla4[[#This Row],[Consumo estimado (mA)]])*0.000114155</f>
        <v>1.2813806650764699</v>
      </c>
    </row>
    <row r="7" spans="1:6" x14ac:dyDescent="0.3">
      <c r="A7" s="2">
        <v>2</v>
      </c>
      <c r="B7" s="2">
        <v>1.7</v>
      </c>
      <c r="C7" s="14">
        <f>((Tabla4[[#This Row],[Consumo en uso (mA)]]*10^-3*9.09%) + (0.22*10^-3*90.91%))*10^3</f>
        <v>0.35453199999999996</v>
      </c>
      <c r="D7" s="14">
        <f>(550/Tabla4[[#This Row],[Consumo estimado (mA)]])*0.000114155</f>
        <v>0.17709332302866879</v>
      </c>
      <c r="E7" s="14">
        <f>(1000/Tabla4[[#This Row],[Consumo estimado (mA)]])*0.000114155</f>
        <v>0.3219878600521251</v>
      </c>
      <c r="F7" s="14">
        <f>(4000/Tabla4[[#This Row],[Consumo estimado (mA)]])*0.000114155</f>
        <v>1.2879514402085004</v>
      </c>
    </row>
    <row r="8" spans="1:6" x14ac:dyDescent="0.3">
      <c r="A8" s="2">
        <v>1</v>
      </c>
      <c r="B8" s="2">
        <v>1.69</v>
      </c>
      <c r="C8" s="14">
        <f>((Tabla4[[#This Row],[Consumo en uso (mA)]]*10^-3*9.09%) + (0.22*10^-3*90.91%))*10^3</f>
        <v>0.35362299999999997</v>
      </c>
      <c r="D8" s="14">
        <f>(550/Tabla4[[#This Row],[Consumo estimado (mA)]])*0.000114155</f>
        <v>0.17754854746439006</v>
      </c>
      <c r="E8" s="14">
        <f>(1000/Tabla4[[#This Row],[Consumo estimado (mA)]])*0.000114155</f>
        <v>0.32281554084434555</v>
      </c>
      <c r="F8" s="14">
        <f>(4000/Tabla4[[#This Row],[Consumo estimado (mA)]])*0.000114155</f>
        <v>1.2912621633773822</v>
      </c>
    </row>
    <row r="10" spans="1:6" x14ac:dyDescent="0.3">
      <c r="A10" s="12" t="s">
        <v>49</v>
      </c>
      <c r="B10" s="12"/>
      <c r="C10" s="12"/>
      <c r="D10" s="12"/>
      <c r="E10" s="12"/>
      <c r="F10" s="12"/>
    </row>
    <row r="11" spans="1:6" x14ac:dyDescent="0.3">
      <c r="A11" t="s">
        <v>44</v>
      </c>
      <c r="B11" t="s">
        <v>43</v>
      </c>
      <c r="C11" t="s">
        <v>45</v>
      </c>
      <c r="D11" t="s">
        <v>46</v>
      </c>
      <c r="E11" t="s">
        <v>47</v>
      </c>
      <c r="F11" t="s">
        <v>48</v>
      </c>
    </row>
    <row r="12" spans="1:6" x14ac:dyDescent="0.3">
      <c r="A12" s="2">
        <v>30</v>
      </c>
      <c r="B12" s="2">
        <v>1.7</v>
      </c>
      <c r="C12" s="14">
        <f>((Tabla47[[#This Row],[Consumo en uso (mA)]]*10^-3*9.09%) + (0.22*10^-3*90.91%))*10^3</f>
        <v>0.35453199999999996</v>
      </c>
      <c r="D12" s="14">
        <f>(550/Tabla47[[#This Row],[Consumo estimado (mA)]])*0.000114155</f>
        <v>0.17709332302866879</v>
      </c>
      <c r="E12" s="14">
        <f>(1000/Tabla47[[#This Row],[Consumo estimado (mA)]])*0.000114155</f>
        <v>0.3219878600521251</v>
      </c>
      <c r="F12" s="14">
        <f>(4000/Tabla47[[#This Row],[Consumo estimado (mA)]])*0.000114155</f>
        <v>1.2879514402085004</v>
      </c>
    </row>
    <row r="13" spans="1:6" x14ac:dyDescent="0.3">
      <c r="A13" s="2">
        <v>20</v>
      </c>
      <c r="B13" s="2">
        <v>1.63</v>
      </c>
      <c r="C13" s="14">
        <f>((Tabla47[[#This Row],[Consumo en uso (mA)]]*10^-3*9.09%) + (0.22*10^-3*90.91%))*10^3</f>
        <v>0.34816900000000001</v>
      </c>
      <c r="D13" s="14">
        <f>(550/Tabla47[[#This Row],[Consumo estimado (mA)]])*0.00136986</f>
        <v>2.1639577331698114</v>
      </c>
      <c r="E13" s="14">
        <f>(1000/Tabla47[[#This Row],[Consumo estimado (mA)]])*0.000114155</f>
        <v>0.32787238381360773</v>
      </c>
      <c r="F13" s="14">
        <f>(4000/Tabla47[[#This Row],[Consumo estimado (mA)]])*0.000114155</f>
        <v>1.3114895352544309</v>
      </c>
    </row>
    <row r="14" spans="1:6" x14ac:dyDescent="0.3">
      <c r="A14" s="2">
        <v>15</v>
      </c>
      <c r="B14" s="2">
        <v>1.63</v>
      </c>
      <c r="C14" s="14">
        <f>((Tabla47[[#This Row],[Consumo en uso (mA)]]*10^-3*9.09%) + (0.22*10^-3*90.91%))*10^3</f>
        <v>0.34816900000000001</v>
      </c>
      <c r="D14" s="14">
        <f>(550/Tabla47[[#This Row],[Consumo estimado (mA)]])*0.000114155</f>
        <v>0.18032981109748425</v>
      </c>
      <c r="E14" s="14">
        <f>(1000/Tabla47[[#This Row],[Consumo estimado (mA)]])*0.000114155</f>
        <v>0.32787238381360773</v>
      </c>
      <c r="F14" s="14">
        <f>(4000/Tabla47[[#This Row],[Consumo estimado (mA)]])*0.000114155</f>
        <v>1.3114895352544309</v>
      </c>
    </row>
    <row r="15" spans="1:6" x14ac:dyDescent="0.3">
      <c r="A15" s="2">
        <v>10</v>
      </c>
      <c r="B15" s="2">
        <v>1.6</v>
      </c>
      <c r="C15" s="14">
        <f>((Tabla47[[#This Row],[Consumo en uso (mA)]]*10^-3*9.09%) + (0.22*10^-3*90.91%))*10^3</f>
        <v>0.34544200000000003</v>
      </c>
      <c r="D15" s="14">
        <f>(550/Tabla47[[#This Row],[Consumo estimado (mA)]])*0.000114155</f>
        <v>0.18175337683315865</v>
      </c>
      <c r="E15" s="14">
        <f>(1000/Tabla47[[#This Row],[Consumo estimado (mA)]])*0.000114155</f>
        <v>0.33046068515119759</v>
      </c>
      <c r="F15" s="14">
        <f>(4000/Tabla47[[#This Row],[Consumo estimado (mA)]])*0.000114155</f>
        <v>1.3218427406047903</v>
      </c>
    </row>
    <row r="16" spans="1:6" x14ac:dyDescent="0.3">
      <c r="A16" s="2">
        <v>2</v>
      </c>
      <c r="B16" s="2">
        <v>1.58</v>
      </c>
      <c r="C16" s="14">
        <f>((Tabla47[[#This Row],[Consumo en uso (mA)]]*10^-3*9.09%) + (0.22*10^-3*90.91%))*10^3</f>
        <v>0.34362399999999999</v>
      </c>
      <c r="D16" s="14">
        <f>(550/Tabla47[[#This Row],[Consumo estimado (mA)]])*0.000114155</f>
        <v>0.18271497334295625</v>
      </c>
      <c r="E16" s="14">
        <f>(1000/Tabla47[[#This Row],[Consumo estimado (mA)]])*0.000114155</f>
        <v>0.33220904244173866</v>
      </c>
      <c r="F16" s="14">
        <f>(4000/Tabla47[[#This Row],[Consumo estimado (mA)]])*0.000114155</f>
        <v>1.3288361697669546</v>
      </c>
    </row>
    <row r="17" spans="1:6" x14ac:dyDescent="0.3">
      <c r="A17" s="2">
        <v>1</v>
      </c>
      <c r="B17" s="2">
        <v>1.58</v>
      </c>
      <c r="C17" s="14">
        <f>((Tabla47[[#This Row],[Consumo en uso (mA)]]*10^-3*9.09%) + (0.22*10^-3*90.91%))*10^3</f>
        <v>0.34362399999999999</v>
      </c>
      <c r="D17" s="14">
        <f>(550/Tabla47[[#This Row],[Consumo estimado (mA)]])*0.000114155</f>
        <v>0.18271497334295625</v>
      </c>
      <c r="E17" s="14">
        <f>(1000/Tabla47[[#This Row],[Consumo estimado (mA)]])*0.000114155</f>
        <v>0.33220904244173866</v>
      </c>
      <c r="F17" s="14">
        <f>(4000/Tabla47[[#This Row],[Consumo estimado (mA)]])*0.000114155</f>
        <v>1.3288361697669546</v>
      </c>
    </row>
  </sheetData>
  <mergeCells count="2">
    <mergeCell ref="A1:F1"/>
    <mergeCell ref="A10:F10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0AE-02D2-462B-B82D-C4B18BEFDB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PWM</vt:lpstr>
      <vt:lpstr>POT_DIG</vt:lpstr>
      <vt:lpstr>Rampas</vt:lpstr>
      <vt:lpstr>Voltage-Current</vt:lpstr>
      <vt:lpstr>Duarcion bateria</vt:lpstr>
      <vt:lpstr>Varilla_prog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2023-01-06T10:22:40Z</dcterms:modified>
</cp:coreProperties>
</file>