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dev/Desktop/NUS/Club Stuff/"/>
    </mc:Choice>
  </mc:AlternateContent>
  <xr:revisionPtr revIDLastSave="0" documentId="13_ncr:1_{B6FA33CC-4FFA-E44B-901D-1F40CC8DCA94}" xr6:coauthVersionLast="47" xr6:coauthVersionMax="47" xr10:uidLastSave="{00000000-0000-0000-0000-000000000000}"/>
  <bookViews>
    <workbookView xWindow="0" yWindow="0" windowWidth="51200" windowHeight="28800" activeTab="1" xr2:uid="{EF3287C4-94A1-4E43-841C-70DD1006D80D}"/>
  </bookViews>
  <sheets>
    <sheet name="Assumptions" sheetId="1" r:id="rId1"/>
    <sheet name="Income Statement" sheetId="2" r:id="rId2"/>
    <sheet name="Cash Flow Analysis" sheetId="10" r:id="rId3"/>
    <sheet name="DCF" sheetId="11" r:id="rId4"/>
  </sheets>
  <externalReferences>
    <externalReference r:id="rId5"/>
  </externalReferences>
  <definedNames>
    <definedName name="_xlchart.v1.0" hidden="1">'Income Statement'!$B$82</definedName>
    <definedName name="_xlchart.v1.1" hidden="1">'Income Statement'!$C$78:$L$78</definedName>
    <definedName name="_xlchart.v1.2" hidden="1">'Income Statement'!$C$82:$L$82</definedName>
    <definedName name="_xlchart.v1.3" hidden="1">'Income Statement'!$B$101</definedName>
    <definedName name="_xlchart.v1.4" hidden="1">'Income Statement'!$C$101:$L$101</definedName>
    <definedName name="_xlchart.v1.5" hidden="1">'Income Statement'!$B$101</definedName>
    <definedName name="_xlchart.v1.6" hidden="1">'Income Statement'!$C$101:$L$101</definedName>
    <definedName name="_xlchart.v1.7" hidden="1">'Income Statement'!$C$97:$L$97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1" i="2" l="1"/>
  <c r="F91" i="2"/>
  <c r="G91" i="2"/>
  <c r="H91" i="2"/>
  <c r="I91" i="2"/>
  <c r="J91" i="2"/>
  <c r="K91" i="2"/>
  <c r="L91" i="2"/>
  <c r="D91" i="2"/>
  <c r="D90" i="2"/>
  <c r="E90" i="2" s="1"/>
  <c r="F90" i="2" s="1"/>
  <c r="G90" i="2" s="1"/>
  <c r="H90" i="2" s="1"/>
  <c r="I90" i="2" s="1"/>
  <c r="J90" i="2" s="1"/>
  <c r="K90" i="2" s="1"/>
  <c r="L90" i="2" s="1"/>
  <c r="D84" i="2"/>
  <c r="E84" i="2" s="1"/>
  <c r="F84" i="2" s="1"/>
  <c r="G84" i="2" s="1"/>
  <c r="H84" i="2" s="1"/>
  <c r="I84" i="2" s="1"/>
  <c r="J84" i="2" s="1"/>
  <c r="K84" i="2" s="1"/>
  <c r="L84" i="2" s="1"/>
  <c r="D78" i="2"/>
  <c r="E78" i="2" s="1"/>
  <c r="F78" i="2" s="1"/>
  <c r="G78" i="2" s="1"/>
  <c r="H78" i="2" s="1"/>
  <c r="I78" i="2" s="1"/>
  <c r="J78" i="2" s="1"/>
  <c r="K78" i="2" s="1"/>
  <c r="L78" i="2" s="1"/>
  <c r="C72" i="2"/>
  <c r="C64" i="2"/>
  <c r="D61" i="2"/>
  <c r="E61" i="2" s="1"/>
  <c r="F61" i="2" s="1"/>
  <c r="G61" i="2" s="1"/>
  <c r="H61" i="2" s="1"/>
  <c r="I61" i="2" s="1"/>
  <c r="J61" i="2" s="1"/>
  <c r="K61" i="2" s="1"/>
  <c r="L61" i="2" s="1"/>
  <c r="C73" i="2"/>
  <c r="D60" i="2" l="1"/>
  <c r="D64" i="2" s="1"/>
  <c r="E60" i="2" l="1"/>
  <c r="E64" i="2" s="1"/>
  <c r="F60" i="2" l="1"/>
  <c r="F64" i="2" s="1"/>
  <c r="G60" i="2" l="1"/>
  <c r="G64" i="2" s="1"/>
  <c r="H60" i="2" l="1"/>
  <c r="H64" i="2" s="1"/>
  <c r="I60" i="2" l="1"/>
  <c r="I64" i="2" s="1"/>
  <c r="J60" i="2" l="1"/>
  <c r="J64" i="2" s="1"/>
  <c r="K60" i="2" l="1"/>
  <c r="K64" i="2" s="1"/>
  <c r="L60" i="2" l="1"/>
  <c r="L64" i="2" s="1"/>
  <c r="L35" i="2" l="1"/>
  <c r="C35" i="2"/>
  <c r="F36" i="2" s="1"/>
  <c r="D33" i="2"/>
  <c r="G45" i="2"/>
  <c r="F45" i="2"/>
  <c r="E45" i="2"/>
  <c r="D45" i="2"/>
  <c r="C110" i="2"/>
  <c r="D110" i="2"/>
  <c r="E110" i="2"/>
  <c r="F110" i="2"/>
  <c r="G110" i="2"/>
  <c r="H110" i="2"/>
  <c r="I110" i="2"/>
  <c r="J110" i="2"/>
  <c r="K110" i="2"/>
  <c r="L110" i="2"/>
  <c r="E33" i="2" l="1"/>
  <c r="F33" i="2" s="1"/>
  <c r="G33" i="2" s="1"/>
  <c r="H33" i="2" s="1"/>
  <c r="I33" i="2" s="1"/>
  <c r="J33" i="2" s="1"/>
  <c r="K33" i="2" s="1"/>
  <c r="L33" i="2" s="1"/>
  <c r="C36" i="2"/>
  <c r="C37" i="2" s="1"/>
  <c r="C39" i="2" s="1"/>
  <c r="D35" i="2" s="1"/>
  <c r="K36" i="2"/>
  <c r="J36" i="2"/>
  <c r="E36" i="2"/>
  <c r="D36" i="2"/>
  <c r="I36" i="2"/>
  <c r="G36" i="2"/>
  <c r="H36" i="2"/>
  <c r="L109" i="2"/>
  <c r="K109" i="2"/>
  <c r="J109" i="2"/>
  <c r="I109" i="2"/>
  <c r="H109" i="2"/>
  <c r="G109" i="2"/>
  <c r="F109" i="2"/>
  <c r="E109" i="2"/>
  <c r="D109" i="2"/>
  <c r="C109" i="2"/>
  <c r="D37" i="2" l="1"/>
  <c r="D39" i="2" s="1"/>
  <c r="E35" i="2" s="1"/>
  <c r="E37" i="2" s="1"/>
  <c r="E39" i="2" s="1"/>
  <c r="F35" i="2" s="1"/>
  <c r="F37" i="2" s="1"/>
  <c r="F39" i="2" s="1"/>
  <c r="G35" i="2" s="1"/>
  <c r="G37" i="2" s="1"/>
  <c r="N17" i="1"/>
  <c r="M17" i="1"/>
  <c r="L17" i="1"/>
  <c r="K17" i="1"/>
  <c r="J17" i="1"/>
  <c r="G102" i="2" l="1"/>
  <c r="L108" i="2"/>
  <c r="K108" i="2"/>
  <c r="J108" i="2"/>
  <c r="I108" i="2"/>
  <c r="H108" i="2"/>
  <c r="G108" i="2"/>
  <c r="F108" i="2"/>
  <c r="E108" i="2"/>
  <c r="D108" i="2"/>
  <c r="C108" i="2"/>
  <c r="L107" i="2"/>
  <c r="K107" i="2"/>
  <c r="J107" i="2"/>
  <c r="I107" i="2"/>
  <c r="H107" i="2"/>
  <c r="G107" i="2"/>
  <c r="F107" i="2"/>
  <c r="E107" i="2"/>
  <c r="D107" i="2"/>
  <c r="C107" i="2"/>
  <c r="J14" i="1"/>
  <c r="J15" i="1" s="1"/>
  <c r="K14" i="1"/>
  <c r="N14" i="1"/>
  <c r="M14" i="1"/>
  <c r="L14" i="1"/>
  <c r="I23" i="1"/>
  <c r="I21" i="1"/>
  <c r="I20" i="1"/>
  <c r="E24" i="1"/>
  <c r="C22" i="1"/>
  <c r="E18" i="1"/>
  <c r="E19" i="1" s="1"/>
  <c r="E20" i="1" s="1"/>
  <c r="E21" i="1" s="1"/>
  <c r="E23" i="1" s="1"/>
  <c r="C18" i="1"/>
  <c r="C19" i="1" s="1"/>
  <c r="C20" i="1" s="1"/>
  <c r="C21" i="1" s="1"/>
  <c r="C23" i="1" s="1"/>
  <c r="E5" i="1"/>
  <c r="E6" i="1" s="1"/>
  <c r="E7" i="1" s="1"/>
  <c r="E8" i="1" s="1"/>
  <c r="E9" i="1" s="1"/>
  <c r="L151" i="2"/>
  <c r="L105" i="2" s="1"/>
  <c r="K151" i="2"/>
  <c r="J151" i="2"/>
  <c r="J105" i="2" s="1"/>
  <c r="I151" i="2"/>
  <c r="I105" i="2" s="1"/>
  <c r="H151" i="2"/>
  <c r="H105" i="2" s="1"/>
  <c r="G151" i="2"/>
  <c r="G105" i="2" s="1"/>
  <c r="F151" i="2"/>
  <c r="E151" i="2"/>
  <c r="E105" i="2" s="1"/>
  <c r="D151" i="2"/>
  <c r="C151" i="2"/>
  <c r="C105" i="2" s="1"/>
  <c r="L121" i="2"/>
  <c r="K121" i="2"/>
  <c r="J121" i="2"/>
  <c r="I121" i="2"/>
  <c r="H121" i="2"/>
  <c r="G121" i="2"/>
  <c r="F121" i="2"/>
  <c r="E121" i="2"/>
  <c r="D121" i="2"/>
  <c r="C121" i="2"/>
  <c r="L136" i="2"/>
  <c r="K136" i="2"/>
  <c r="J136" i="2"/>
  <c r="I136" i="2"/>
  <c r="H136" i="2"/>
  <c r="G136" i="2"/>
  <c r="F136" i="2"/>
  <c r="E136" i="2"/>
  <c r="D136" i="2"/>
  <c r="C136" i="2"/>
  <c r="D104" i="2"/>
  <c r="L104" i="2"/>
  <c r="L103" i="2"/>
  <c r="L102" i="2"/>
  <c r="L101" i="2"/>
  <c r="K105" i="2"/>
  <c r="K104" i="2"/>
  <c r="K103" i="2"/>
  <c r="K102" i="2"/>
  <c r="K101" i="2"/>
  <c r="J104" i="2"/>
  <c r="J103" i="2"/>
  <c r="J102" i="2"/>
  <c r="J101" i="2"/>
  <c r="I104" i="2"/>
  <c r="I103" i="2"/>
  <c r="I102" i="2"/>
  <c r="I101" i="2"/>
  <c r="H104" i="2"/>
  <c r="H103" i="2"/>
  <c r="H102" i="2"/>
  <c r="H101" i="2"/>
  <c r="G104" i="2"/>
  <c r="G103" i="2"/>
  <c r="G101" i="2"/>
  <c r="F105" i="2"/>
  <c r="F104" i="2"/>
  <c r="F103" i="2"/>
  <c r="F102" i="2"/>
  <c r="F101" i="2"/>
  <c r="E104" i="2"/>
  <c r="E103" i="2"/>
  <c r="E102" i="2"/>
  <c r="E101" i="2"/>
  <c r="D105" i="2"/>
  <c r="D103" i="2"/>
  <c r="D102" i="2"/>
  <c r="D101" i="2"/>
  <c r="C104" i="2"/>
  <c r="C103" i="2"/>
  <c r="C102" i="2"/>
  <c r="D98" i="2"/>
  <c r="D10" i="2" s="1"/>
  <c r="E98" i="2"/>
  <c r="F98" i="2"/>
  <c r="G98" i="2"/>
  <c r="H98" i="2"/>
  <c r="I98" i="2"/>
  <c r="J98" i="2"/>
  <c r="K98" i="2"/>
  <c r="L98" i="2"/>
  <c r="C8" i="2"/>
  <c r="C79" i="2" s="1"/>
  <c r="C20" i="2" l="1"/>
  <c r="C22" i="2"/>
  <c r="C14" i="2"/>
  <c r="C17" i="2"/>
  <c r="C16" i="2"/>
  <c r="C15" i="2"/>
  <c r="E10" i="2"/>
  <c r="F10" i="2" s="1"/>
  <c r="G10" i="2" s="1"/>
  <c r="H10" i="2" s="1"/>
  <c r="I10" i="2" s="1"/>
  <c r="J10" i="2" s="1"/>
  <c r="K10" i="2" s="1"/>
  <c r="L10" i="2" s="1"/>
  <c r="D9" i="2"/>
  <c r="E9" i="2" s="1"/>
  <c r="F9" i="2" s="1"/>
  <c r="G9" i="2" s="1"/>
  <c r="H9" i="2" s="1"/>
  <c r="I9" i="2" s="1"/>
  <c r="J9" i="2" s="1"/>
  <c r="K9" i="2" s="1"/>
  <c r="L9" i="2" s="1"/>
  <c r="D8" i="2" l="1"/>
  <c r="D79" i="2" s="1"/>
  <c r="D16" i="2" l="1"/>
  <c r="D15" i="2"/>
  <c r="D13" i="2"/>
  <c r="D17" i="2"/>
  <c r="D14" i="2"/>
  <c r="H8" i="2"/>
  <c r="H79" i="2" s="1"/>
  <c r="G8" i="2"/>
  <c r="G79" i="2" s="1"/>
  <c r="F8" i="2"/>
  <c r="F79" i="2" s="1"/>
  <c r="E8" i="2"/>
  <c r="C101" i="2"/>
  <c r="C13" i="2" s="1"/>
  <c r="L99" i="2"/>
  <c r="K99" i="2"/>
  <c r="J99" i="2"/>
  <c r="I99" i="2"/>
  <c r="H99" i="2"/>
  <c r="G99" i="2"/>
  <c r="F99" i="2"/>
  <c r="E99" i="2"/>
  <c r="D99" i="2"/>
  <c r="D11" i="2" s="1"/>
  <c r="C99" i="2"/>
  <c r="C11" i="2" s="1"/>
  <c r="L145" i="2"/>
  <c r="K145" i="2"/>
  <c r="J145" i="2"/>
  <c r="I145" i="2"/>
  <c r="H145" i="2"/>
  <c r="G145" i="2"/>
  <c r="F145" i="2"/>
  <c r="E145" i="2"/>
  <c r="D145" i="2"/>
  <c r="C145" i="2"/>
  <c r="L130" i="2"/>
  <c r="K130" i="2"/>
  <c r="J130" i="2"/>
  <c r="I130" i="2"/>
  <c r="H130" i="2"/>
  <c r="G130" i="2"/>
  <c r="F130" i="2"/>
  <c r="E130" i="2"/>
  <c r="D130" i="2"/>
  <c r="C130" i="2"/>
  <c r="L106" i="2"/>
  <c r="K106" i="2"/>
  <c r="J106" i="2"/>
  <c r="I106" i="2"/>
  <c r="H106" i="2"/>
  <c r="G106" i="2"/>
  <c r="F106" i="2"/>
  <c r="E106" i="2"/>
  <c r="D106" i="2"/>
  <c r="D18" i="2" s="1"/>
  <c r="C106" i="2"/>
  <c r="C18" i="2" s="1"/>
  <c r="L115" i="2"/>
  <c r="K115" i="2"/>
  <c r="J115" i="2"/>
  <c r="I115" i="2"/>
  <c r="H115" i="2"/>
  <c r="H100" i="2" s="1"/>
  <c r="G115" i="2"/>
  <c r="G100" i="2" s="1"/>
  <c r="F115" i="2"/>
  <c r="E115" i="2"/>
  <c r="D115" i="2"/>
  <c r="C115" i="2"/>
  <c r="I100" i="2" l="1"/>
  <c r="D100" i="2"/>
  <c r="K100" i="2"/>
  <c r="E100" i="2"/>
  <c r="J100" i="2"/>
  <c r="C100" i="2"/>
  <c r="L100" i="2"/>
  <c r="F100" i="2"/>
  <c r="E15" i="2"/>
  <c r="E79" i="2"/>
  <c r="C44" i="2"/>
  <c r="D5" i="10"/>
  <c r="E11" i="2"/>
  <c r="H18" i="2"/>
  <c r="F14" i="2"/>
  <c r="F15" i="2"/>
  <c r="F13" i="2"/>
  <c r="F17" i="2"/>
  <c r="F16" i="2"/>
  <c r="E17" i="2"/>
  <c r="E16" i="2"/>
  <c r="E14" i="2"/>
  <c r="E13" i="2"/>
  <c r="G14" i="2"/>
  <c r="G13" i="2"/>
  <c r="G17" i="2"/>
  <c r="G16" i="2"/>
  <c r="G15" i="2"/>
  <c r="H16" i="2"/>
  <c r="H13" i="2"/>
  <c r="H14" i="2"/>
  <c r="H17" i="2"/>
  <c r="H15" i="2"/>
  <c r="E18" i="2"/>
  <c r="F18" i="2"/>
  <c r="G18" i="2"/>
  <c r="F11" i="2"/>
  <c r="G11" i="2"/>
  <c r="H11" i="2"/>
  <c r="C12" i="2"/>
  <c r="C19" i="2" s="1"/>
  <c r="C21" i="2" s="1"/>
  <c r="I8" i="2"/>
  <c r="I79" i="2" s="1"/>
  <c r="D12" i="2"/>
  <c r="D19" i="2" s="1"/>
  <c r="H12" i="2" l="1"/>
  <c r="H19" i="2" s="1"/>
  <c r="E12" i="2"/>
  <c r="E19" i="2" s="1"/>
  <c r="G12" i="2"/>
  <c r="G19" i="2" s="1"/>
  <c r="F12" i="2"/>
  <c r="F19" i="2" s="1"/>
  <c r="C52" i="2"/>
  <c r="C53" i="2" s="1"/>
  <c r="C46" i="2"/>
  <c r="C47" i="2" s="1"/>
  <c r="D44" i="2" s="1"/>
  <c r="D46" i="2" s="1"/>
  <c r="D20" i="2" s="1"/>
  <c r="I14" i="2"/>
  <c r="I17" i="2"/>
  <c r="I13" i="2"/>
  <c r="I15" i="2"/>
  <c r="I16" i="2"/>
  <c r="I18" i="2"/>
  <c r="I11" i="2"/>
  <c r="J8" i="2"/>
  <c r="J79" i="2" s="1"/>
  <c r="D22" i="2"/>
  <c r="I12" i="2" l="1"/>
  <c r="I19" i="2" s="1"/>
  <c r="D51" i="2"/>
  <c r="J15" i="2"/>
  <c r="J13" i="2"/>
  <c r="J17" i="2"/>
  <c r="J16" i="2"/>
  <c r="J14" i="2"/>
  <c r="J18" i="2"/>
  <c r="J11" i="2"/>
  <c r="L8" i="2"/>
  <c r="L79" i="2" s="1"/>
  <c r="K8" i="2"/>
  <c r="K79" i="2" s="1"/>
  <c r="E22" i="2"/>
  <c r="C23" i="2"/>
  <c r="C24" i="2" s="1"/>
  <c r="C80" i="2" s="1"/>
  <c r="C82" i="2" s="1"/>
  <c r="J12" i="2" l="1"/>
  <c r="J19" i="2" s="1"/>
  <c r="C25" i="2"/>
  <c r="C26" i="2" s="1"/>
  <c r="C34" i="2" s="1"/>
  <c r="C40" i="2" s="1"/>
  <c r="C48" i="2" s="1"/>
  <c r="L17" i="2"/>
  <c r="L16" i="2"/>
  <c r="L15" i="2"/>
  <c r="L13" i="2"/>
  <c r="L14" i="2"/>
  <c r="L18" i="2"/>
  <c r="K13" i="2"/>
  <c r="K14" i="2"/>
  <c r="K17" i="2"/>
  <c r="K16" i="2"/>
  <c r="K15" i="2"/>
  <c r="K18" i="2"/>
  <c r="K11" i="2"/>
  <c r="L11" i="2"/>
  <c r="F22" i="2"/>
  <c r="L12" i="2" l="1"/>
  <c r="L19" i="2" s="1"/>
  <c r="K12" i="2"/>
  <c r="K19" i="2" s="1"/>
  <c r="D23" i="2"/>
  <c r="D21" i="2"/>
  <c r="F23" i="2"/>
  <c r="E23" i="2"/>
  <c r="E24" i="2" s="1"/>
  <c r="G22" i="2"/>
  <c r="F24" i="2" l="1"/>
  <c r="F25" i="2" s="1"/>
  <c r="F26" i="2" s="1"/>
  <c r="F34" i="2" s="1"/>
  <c r="F40" i="2" s="1"/>
  <c r="F48" i="2" s="1"/>
  <c r="F53" i="2" s="1"/>
  <c r="D24" i="2"/>
  <c r="D80" i="2" s="1"/>
  <c r="D82" i="2" s="1"/>
  <c r="E25" i="2"/>
  <c r="E26" i="2" s="1"/>
  <c r="E34" i="2" s="1"/>
  <c r="E40" i="2" s="1"/>
  <c r="E48" i="2" s="1"/>
  <c r="E53" i="2" s="1"/>
  <c r="H22" i="2"/>
  <c r="D25" i="2" l="1"/>
  <c r="D26" i="2" s="1"/>
  <c r="D34" i="2" s="1"/>
  <c r="D40" i="2" s="1"/>
  <c r="D48" i="2" s="1"/>
  <c r="D53" i="2" s="1"/>
  <c r="D52" i="2" s="1"/>
  <c r="G23" i="2"/>
  <c r="I22" i="2"/>
  <c r="E51" i="2" l="1"/>
  <c r="E52" i="2" s="1"/>
  <c r="G24" i="2"/>
  <c r="G25" i="2" s="1"/>
  <c r="G26" i="2" s="1"/>
  <c r="G34" i="2" s="1"/>
  <c r="H23" i="2"/>
  <c r="J22" i="2"/>
  <c r="G38" i="2" l="1"/>
  <c r="G39" i="2" s="1"/>
  <c r="H35" i="2" s="1"/>
  <c r="H37" i="2" s="1"/>
  <c r="G40" i="2"/>
  <c r="H24" i="2"/>
  <c r="H25" i="2" s="1"/>
  <c r="H26" i="2" s="1"/>
  <c r="H34" i="2" s="1"/>
  <c r="I23" i="2"/>
  <c r="I24" i="2" s="1"/>
  <c r="K22" i="2"/>
  <c r="H45" i="2" l="1"/>
  <c r="G48" i="2"/>
  <c r="G53" i="2" s="1"/>
  <c r="H38" i="2"/>
  <c r="H39" i="2" s="1"/>
  <c r="I35" i="2" s="1"/>
  <c r="I37" i="2" s="1"/>
  <c r="H40" i="2"/>
  <c r="I45" i="2" s="1"/>
  <c r="J23" i="2"/>
  <c r="K23" i="2"/>
  <c r="I25" i="2"/>
  <c r="I26" i="2" s="1"/>
  <c r="I34" i="2" s="1"/>
  <c r="L22" i="2"/>
  <c r="H48" i="2" l="1"/>
  <c r="H53" i="2" s="1"/>
  <c r="I40" i="2"/>
  <c r="I38" i="2"/>
  <c r="I39" i="2" s="1"/>
  <c r="J35" i="2" s="1"/>
  <c r="J37" i="2" s="1"/>
  <c r="K24" i="2"/>
  <c r="K25" i="2" s="1"/>
  <c r="K26" i="2" s="1"/>
  <c r="K34" i="2" s="1"/>
  <c r="J24" i="2"/>
  <c r="J25" i="2" s="1"/>
  <c r="J26" i="2" s="1"/>
  <c r="J34" i="2" s="1"/>
  <c r="J45" i="2" l="1"/>
  <c r="I48" i="2"/>
  <c r="I53" i="2" s="1"/>
  <c r="J38" i="2"/>
  <c r="J39" i="2" s="1"/>
  <c r="K35" i="2" s="1"/>
  <c r="K37" i="2" s="1"/>
  <c r="J40" i="2"/>
  <c r="K45" i="2" s="1"/>
  <c r="K38" i="2"/>
  <c r="K40" i="2"/>
  <c r="L23" i="2"/>
  <c r="J48" i="2" l="1"/>
  <c r="J53" i="2" s="1"/>
  <c r="L45" i="2"/>
  <c r="K48" i="2"/>
  <c r="K53" i="2" s="1"/>
  <c r="L24" i="2"/>
  <c r="L25" i="2" s="1"/>
  <c r="L26" i="2" s="1"/>
  <c r="L34" i="2" s="1"/>
  <c r="L37" i="2" s="1"/>
  <c r="L40" i="2" l="1"/>
  <c r="L48" i="2" s="1"/>
  <c r="L53" i="2" s="1"/>
  <c r="C62" i="2" s="1" a="1"/>
  <c r="D3" i="10" l="1" a="1"/>
  <c r="D3" i="10" s="1"/>
  <c r="C69" i="2"/>
  <c r="C70" i="2" s="1"/>
  <c r="C68" i="2"/>
  <c r="C62" i="2"/>
  <c r="C65" i="2" s="1"/>
  <c r="D65" i="2"/>
  <c r="L65" i="2"/>
  <c r="E65" i="2"/>
  <c r="G65" i="2"/>
  <c r="I65" i="2"/>
  <c r="J65" i="2"/>
  <c r="F65" i="2"/>
  <c r="K65" i="2"/>
  <c r="H65" i="2"/>
  <c r="D47" i="2"/>
  <c r="E44" i="2" s="1"/>
  <c r="C71" i="2" l="1"/>
  <c r="F69" i="2" s="1"/>
  <c r="E46" i="2"/>
  <c r="E20" i="2" s="1"/>
  <c r="E80" i="2" s="1"/>
  <c r="E82" i="2" s="1"/>
  <c r="F51" i="2"/>
  <c r="F52" i="2" s="1"/>
  <c r="E21" i="2" l="1"/>
  <c r="D70" i="2"/>
  <c r="C74" i="2"/>
  <c r="D68" i="2"/>
  <c r="E47" i="2"/>
  <c r="F44" i="2" s="1"/>
  <c r="F46" i="2" s="1"/>
  <c r="F20" i="2" s="1"/>
  <c r="F80" i="2" s="1"/>
  <c r="F82" i="2" s="1"/>
  <c r="G51" i="2"/>
  <c r="G52" i="2" s="1"/>
  <c r="F21" i="2" l="1"/>
  <c r="F47" i="2"/>
  <c r="G44" i="2" s="1"/>
  <c r="G46" i="2" s="1"/>
  <c r="G20" i="2" s="1"/>
  <c r="G80" i="2" s="1"/>
  <c r="G82" i="2" s="1"/>
  <c r="H51" i="2"/>
  <c r="H52" i="2" s="1"/>
  <c r="G21" i="2" l="1"/>
  <c r="G47" i="2"/>
  <c r="H44" i="2" s="1"/>
  <c r="I51" i="2" s="1"/>
  <c r="I52" i="2" s="1"/>
  <c r="H46" i="2" l="1"/>
  <c r="H20" i="2" s="1"/>
  <c r="H80" i="2" s="1"/>
  <c r="H82" i="2" s="1"/>
  <c r="H21" i="2" l="1"/>
  <c r="H47" i="2"/>
  <c r="I44" i="2" s="1"/>
  <c r="J51" i="2" s="1"/>
  <c r="J52" i="2" s="1"/>
  <c r="I46" i="2" l="1"/>
  <c r="I20" i="2" s="1"/>
  <c r="I80" i="2" s="1"/>
  <c r="I82" i="2" s="1"/>
  <c r="I21" i="2" l="1"/>
  <c r="I47" i="2"/>
  <c r="J44" i="2" s="1"/>
  <c r="K51" i="2" s="1"/>
  <c r="K52" i="2" s="1"/>
  <c r="J46" i="2" l="1"/>
  <c r="J20" i="2" s="1"/>
  <c r="J80" i="2" s="1"/>
  <c r="J82" i="2" s="1"/>
  <c r="J47" i="2" l="1"/>
  <c r="K44" i="2" s="1"/>
  <c r="L51" i="2" s="1"/>
  <c r="L52" i="2" s="1"/>
  <c r="J21" i="2"/>
  <c r="K46" i="2" l="1"/>
  <c r="K20" i="2" s="1"/>
  <c r="K80" i="2" s="1"/>
  <c r="K82" i="2" s="1"/>
  <c r="K47" i="2" l="1"/>
  <c r="L44" i="2" s="1"/>
  <c r="L46" i="2" s="1"/>
  <c r="L20" i="2" s="1"/>
  <c r="L80" i="2" s="1"/>
  <c r="L82" i="2" s="1"/>
  <c r="K21" i="2"/>
  <c r="L21" i="2" l="1"/>
  <c r="L4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<sst xmlns="http://schemas.openxmlformats.org/spreadsheetml/2006/main" count="241" uniqueCount="181">
  <si>
    <t>Assumptions:</t>
  </si>
  <si>
    <t>Formulas</t>
  </si>
  <si>
    <t>Hectares of land</t>
  </si>
  <si>
    <t>1 hectare</t>
  </si>
  <si>
    <t xml:space="preserve"> </t>
  </si>
  <si>
    <t>Effective Depth of Biochar</t>
  </si>
  <si>
    <t>0 - 20cm (Avr = 10cm)</t>
  </si>
  <si>
    <t xml:space="preserve">100m x 100m </t>
  </si>
  <si>
    <t>particle density of biochar</t>
  </si>
  <si>
    <t>Farmer Usage of Biochar</t>
  </si>
  <si>
    <t>20% of compost is biochar</t>
  </si>
  <si>
    <t xml:space="preserve">Recommendation </t>
  </si>
  <si>
    <t>https://extension.usu.edu/crops/research/biochar-impacts-on-crop-yield-and-soil-water-availability</t>
  </si>
  <si>
    <t>https://www.google.com/search?q=biochar+soil+density&amp;oq=biochar+soil+density&amp;aqs=chrome..69i57j0i22i30j0i15i22i30j0i390l3.2742j0j9&amp;sourceid=chrome&amp;ie=UTF-8</t>
  </si>
  <si>
    <t>https://www.ncbi.nlm.nih.gov/pmc/articles/PMC8470807/</t>
  </si>
  <si>
    <t>https://www-sciencedirect-com.libproxy1.nus.edu.sg/science/article/pii/S1226086X16301472</t>
  </si>
  <si>
    <t>https://pubmed.ncbi.nlm.nih.gov/25856799/#:~:text=The%20pH%20of%20seaweed%20biochar,derived%20from%20ligno%2Dcellulosic%20feedstock.</t>
  </si>
  <si>
    <t>Seaweed</t>
  </si>
  <si>
    <t>In biochar applications, porosity and surface area are crucial parameters (Fawzy et al. 2021). Comparatively, seaweed biochar has lower surface areas than terrestrial-derived biochar, particularly woody feedstock. For instance, Michalak et al. (2019) and Roberts et al. (2015) stated that pyrolysis of Eucheuma and Cladophora glomerata produced biochars with specific surface areas of approximately 34.8 m2/g and 20 m2/g, respectively, while wheat straw-resulting biochar, rice husk-resulting biochar, and coconut shell-resulting biochar had comparatively high surface areas of about 256 m2/g (Medyńska-Juraszek et al. 2020), 280 m2/g (Tsai et al. 2021), and 152.8 m2/g (Zhao et al. 2019) respectively. However, the surface area of raw biochar derived from seaweed can be increased through additional pre-and/or post-treatment. For example, Zhou et al. (2018) found that potassium hydroxide pretreated kelp-derived biochar had a surface area of about 507.2 m2/g and porosity of 0.38 square centimetres/gram. These enhanced properties may provide additional advantages for enhancing the removal of contaminants, particularly in water treatment. Equally, water-washed Ulva prolifera biochar at 600 °C could improve seaweed biochar’s surface area from 13.46 m2/g for unwashed biochar to 257.41 m2/g (Yang et al. 2021b). Sun et al. (2022) described that lower ash content and higher pyrolysis temperature could increase the surface areas of seaweed’s biochar.</t>
  </si>
  <si>
    <t>https://www.ncbi.nlm.nih.gov/pmc/articles/PMC9547092/</t>
  </si>
  <si>
    <t>Seaweed Farms</t>
  </si>
  <si>
    <t>https://www.worldwildlife.org/industries/farmed-seaweed#:~:text=China%2C%20Indonesia%2C%20and%20the%20Philippines,with%20fishers%20and%20other%20uses.</t>
  </si>
  <si>
    <t>https://biochar-international.org/chile/</t>
  </si>
  <si>
    <t>Identifying Markets for biochar</t>
  </si>
  <si>
    <t>1. High Metal Polluted Agriculture Countries</t>
  </si>
  <si>
    <t>2. High Subsidies</t>
  </si>
  <si>
    <t>US, North America</t>
  </si>
  <si>
    <t>Brazil, China, India, Bangladesh (too poor)</t>
  </si>
  <si>
    <t>3. Asia</t>
  </si>
  <si>
    <t xml:space="preserve">Chile </t>
  </si>
  <si>
    <t>Europe?</t>
  </si>
  <si>
    <t>https://www.researchgate.net/figure/Number-of-biochar-projects-per-country-as-obtained-by-the-visual-inspection-of-the-map_fig3_279179431</t>
  </si>
  <si>
    <t>Aquaculture?</t>
  </si>
  <si>
    <t>https://kth.diva-portal.org/smash/get/diva2:1523757/FULLTEXT01.pdf</t>
  </si>
  <si>
    <t>UK, Germany</t>
  </si>
  <si>
    <t xml:space="preserve">UK, Germany, </t>
  </si>
  <si>
    <t>Aquaculture Market</t>
  </si>
  <si>
    <t>https://www.google.com/search?q=wood+biochar+price+per+tonne&amp;oq=wood+biochar+price+per+tonne&amp;aqs=chrome..69i57j33i10i160.10911j0j1&amp;sourceid=chrome&amp;ie=UTF-8</t>
  </si>
  <si>
    <t>A Review on Current Status of Biochar Uses in Agriculture</t>
  </si>
  <si>
    <t xml:space="preserve">WWF Seaweed </t>
  </si>
  <si>
    <t>Utilizing beach-cast seaweed for biochar production in Gotland</t>
  </si>
  <si>
    <t>Seaweed for climate mitigation, wastewater treatment, bioenergy, bioplastic, biochar, food, pharmaceuticals, and cosmetics: a review</t>
  </si>
  <si>
    <t>Nitrogen Fertilizer Outlook</t>
  </si>
  <si>
    <t>https://farmdocdaily.illinois.edu/2022/07/nitrogen-fertilizer-outlook-for-2023-decisions.html</t>
  </si>
  <si>
    <t>Biochar-based slow-release of fertilizers for sustainable agriculture</t>
  </si>
  <si>
    <t>https://pubmed.ncbi.nlm.nih.gov/36159737/</t>
  </si>
  <si>
    <t>Seaweed: A potential climate change solution</t>
  </si>
  <si>
    <t>https://www-sciencedirect-com.libproxy1.nus.edu.sg/science/article/pii/S1364032122001459</t>
  </si>
  <si>
    <t>Policies govt wise is not good</t>
  </si>
  <si>
    <t>Selected Case</t>
  </si>
  <si>
    <t>(US$Millions)</t>
  </si>
  <si>
    <t>Sales</t>
  </si>
  <si>
    <t>COGS</t>
  </si>
  <si>
    <t>Gross Profit</t>
  </si>
  <si>
    <t>SG&amp;A</t>
  </si>
  <si>
    <t>OPEX</t>
  </si>
  <si>
    <t>EBIT (Operating Profit)</t>
  </si>
  <si>
    <t>D&amp;A</t>
  </si>
  <si>
    <t>EBITDA</t>
  </si>
  <si>
    <t>Interest Income</t>
  </si>
  <si>
    <t>EBT (Income Before Taxes)</t>
  </si>
  <si>
    <t>Taxes Paid</t>
  </si>
  <si>
    <t>Net Income (from Continuing Ops)</t>
  </si>
  <si>
    <t>Total Net Income</t>
  </si>
  <si>
    <t>Revenue</t>
  </si>
  <si>
    <t>Opex</t>
  </si>
  <si>
    <t>Interest Income as a % of Sales</t>
  </si>
  <si>
    <t>Taxes</t>
  </si>
  <si>
    <t>Base Case</t>
  </si>
  <si>
    <t>Best Case</t>
  </si>
  <si>
    <t>Worst Case</t>
  </si>
  <si>
    <t>Y1 (2023)</t>
  </si>
  <si>
    <t>Y2 (2024)</t>
  </si>
  <si>
    <t>Y3 (2025)</t>
  </si>
  <si>
    <t>Y4 (2026)</t>
  </si>
  <si>
    <t>Y5 (2027)</t>
  </si>
  <si>
    <t>Y6 (2028)</t>
  </si>
  <si>
    <t>Y7 (2029)</t>
  </si>
  <si>
    <t>Y8 (2030)</t>
  </si>
  <si>
    <t>Y9 (2031)</t>
  </si>
  <si>
    <t>Y10 (2032)</t>
  </si>
  <si>
    <t xml:space="preserve">Natural BioChar </t>
  </si>
  <si>
    <t>Organic BioChar</t>
  </si>
  <si>
    <t>Marketing Costs</t>
  </si>
  <si>
    <t xml:space="preserve">Transportation &amp; Logistics Costs </t>
  </si>
  <si>
    <t>R&amp;D</t>
  </si>
  <si>
    <t>Equipment Maintenenace Costs</t>
  </si>
  <si>
    <t>No more than 24.7105g / hectare*</t>
  </si>
  <si>
    <t>Average length of 1 farm in the US =450 acres = 180 hectares</t>
  </si>
  <si>
    <t>Overall Biochar amt needed for 1 farm</t>
  </si>
  <si>
    <t>Cost</t>
  </si>
  <si>
    <t>tonnes</t>
  </si>
  <si>
    <t>1.5 - 2.0g/cm^3 (1.5g/cm^3 = 1.5kg/m^3)</t>
  </si>
  <si>
    <t>kg</t>
  </si>
  <si>
    <t>Cost of Biochar</t>
  </si>
  <si>
    <t>0.1m</t>
  </si>
  <si>
    <t>m^3</t>
  </si>
  <si>
    <t xml:space="preserve">e average market prices for biochar in the state varies from $600 to $1300 per ton ($90 to $200 per cubic yard),46 </t>
  </si>
  <si>
    <t>Depending on the technology and the capacity, the biochar production costs in California ranges from $200 to $1000 per ton, averaging about $400 for majority of producers. ese gures corroborate with the values reported in literature on biochar production costs in the context of North America</t>
  </si>
  <si>
    <t>Biochar Price / Ton (Selling Price)</t>
  </si>
  <si>
    <t>Biochar Cost/ ton (production cost)</t>
  </si>
  <si>
    <t>600-1300</t>
  </si>
  <si>
    <t>180 ( 1 farmland)</t>
  </si>
  <si>
    <t>Production Cost (taking in above's assumptions)</t>
  </si>
  <si>
    <t>Seller's Profit (Taking in above assumptions)</t>
  </si>
  <si>
    <t>Land</t>
  </si>
  <si>
    <t>Soil Depth</t>
  </si>
  <si>
    <t>m^2</t>
  </si>
  <si>
    <t>Biochar Amt for this land</t>
  </si>
  <si>
    <t>Production Cost / Tonne</t>
  </si>
  <si>
    <t>Conversion to Tonnes</t>
  </si>
  <si>
    <t>Total Cost for 1 Farm</t>
  </si>
  <si>
    <t>USD</t>
  </si>
  <si>
    <t>Profit</t>
  </si>
  <si>
    <t>Natural BioChar</t>
  </si>
  <si>
    <t>Cost:Profit Ratio</t>
  </si>
  <si>
    <t>D&amp;A Average</t>
  </si>
  <si>
    <t>CF Industries</t>
  </si>
  <si>
    <t>CapEX</t>
  </si>
  <si>
    <t>Capex: Sales Ratio</t>
  </si>
  <si>
    <t xml:space="preserve">A4SICC - </t>
  </si>
  <si>
    <t>Please select case type from list number --&gt;</t>
  </si>
  <si>
    <t>Base Case - 1</t>
  </si>
  <si>
    <t>Best Case - 2</t>
  </si>
  <si>
    <t>Worst Case - 3</t>
  </si>
  <si>
    <t>$400/ tonne (cost) $600(consumer price)</t>
  </si>
  <si>
    <t>Debt Financing</t>
  </si>
  <si>
    <t>Oustanding Equity</t>
  </si>
  <si>
    <t>Assumption:</t>
  </si>
  <si>
    <t>Business Loan Rate:</t>
  </si>
  <si>
    <t>Oustanding Net Income</t>
  </si>
  <si>
    <t>Cash Flow Analysis</t>
  </si>
  <si>
    <t>Net Income</t>
  </si>
  <si>
    <t>PP&amp;E</t>
  </si>
  <si>
    <t>Net Investment Cash Flow</t>
  </si>
  <si>
    <t>Financing Activities</t>
  </si>
  <si>
    <t>Net Financial Cash Flow</t>
  </si>
  <si>
    <t>Cash at the Beginning</t>
  </si>
  <si>
    <t>Change in Cash Flow</t>
  </si>
  <si>
    <t>Cash at the End</t>
  </si>
  <si>
    <t>PPE</t>
  </si>
  <si>
    <t>Capex</t>
  </si>
  <si>
    <t>CapEx</t>
  </si>
  <si>
    <t>Net PPE</t>
  </si>
  <si>
    <t>Total Amt to be Paid (Principal + Interest) at start of year</t>
  </si>
  <si>
    <t>Oustanding Total Debt at end of year</t>
  </si>
  <si>
    <t>Oustanding Debt at start of year</t>
  </si>
  <si>
    <t>Percentage of Net income allocated to paying off debt</t>
  </si>
  <si>
    <t>30% of Total net Income will be used to pay off debt first then buy back equity investment</t>
  </si>
  <si>
    <t>Oustanding Net Income (Post CapEx payments)</t>
  </si>
  <si>
    <t>Cash Flow Analysis:</t>
  </si>
  <si>
    <t>PPE Calculations (Financing Acitivity):</t>
  </si>
  <si>
    <t>Net Income at end of Year</t>
  </si>
  <si>
    <t>Cash at Beginning of Year</t>
  </si>
  <si>
    <t>Cash At End of the Year</t>
  </si>
  <si>
    <t>DCF</t>
  </si>
  <si>
    <t>WACC</t>
  </si>
  <si>
    <t>g</t>
  </si>
  <si>
    <t>Discount Factor</t>
  </si>
  <si>
    <t>Present Value</t>
  </si>
  <si>
    <t>DCF Valuation:</t>
  </si>
  <si>
    <t>Net Present Value</t>
  </si>
  <si>
    <t>Terminal Value</t>
  </si>
  <si>
    <t>PV of Continuing Value</t>
  </si>
  <si>
    <t>Enterprise Value</t>
  </si>
  <si>
    <t>Financial Liabilities</t>
  </si>
  <si>
    <t>Cash</t>
  </si>
  <si>
    <t>Equity Value</t>
  </si>
  <si>
    <t>Cash Flow</t>
  </si>
  <si>
    <t>(Business Loan)</t>
  </si>
  <si>
    <t>Total Forecasted Revenue and Total Costs</t>
  </si>
  <si>
    <t>Year</t>
  </si>
  <si>
    <t>Total Revenue</t>
  </si>
  <si>
    <t>Total Costs</t>
  </si>
  <si>
    <t>Net Profit</t>
  </si>
  <si>
    <t>Charts</t>
  </si>
  <si>
    <t>Sensitivity Analysis of Net Profit</t>
  </si>
  <si>
    <t>Upside Case</t>
  </si>
  <si>
    <t>Downside Case</t>
  </si>
  <si>
    <t>Projected Number of Customers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</si>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</sst>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_(&quot;$&quot;* #,##0_);_(&quot;$&quot;* \(#,##0\);_(&quot;$&quot;* &quot;-&quot;??_);_(@_)"/>
    <numFmt numFmtId="165" formatCode="0.0%"/>
  </numFmts>
  <fonts count="19">
    <font>
      <sz val="12"/>
      <color theme="1"/>
      <name val="TimesNewRomanPSMT"/>
      <family val="2"/>
    </font>
    <font>
      <sz val="10"/>
      <color theme="1"/>
      <name val="Arial"/>
      <family val="2"/>
    </font>
    <font>
      <b/>
      <sz val="10"/>
      <color theme="1"/>
      <name val="Arial"/>
      <family val="2"/>
    </font>
    <font>
      <u/>
      <sz val="12"/>
      <color theme="10"/>
      <name val="TimesNewRomanPSMT"/>
      <family val="2"/>
    </font>
    <font>
      <u/>
      <sz val="12"/>
      <color theme="1"/>
      <name val="TimesNewRomanPSMT"/>
      <family val="2"/>
    </font>
    <font>
      <sz val="12"/>
      <color theme="1"/>
      <name val="TimesNewRomanPSMT"/>
      <family val="2"/>
    </font>
    <font>
      <b/>
      <i/>
      <sz val="12"/>
      <color theme="0"/>
      <name val="Times New Roman"/>
      <family val="1"/>
    </font>
    <font>
      <sz val="12"/>
      <color theme="1"/>
      <name val="TimesNewRomanPSMT"/>
    </font>
    <font>
      <b/>
      <sz val="12"/>
      <color theme="1"/>
      <name val="TimesNewRomanPSMT"/>
    </font>
    <font>
      <sz val="12"/>
      <color theme="1"/>
      <name val="Times New Roman"/>
      <family val="1"/>
    </font>
    <font>
      <b/>
      <i/>
      <sz val="12"/>
      <color theme="1"/>
      <name val="Times New Roman"/>
      <family val="1"/>
    </font>
    <font>
      <sz val="12"/>
      <color rgb="FF000000"/>
      <name val="TimesNewRomanPSMT"/>
      <family val="2"/>
    </font>
    <font>
      <sz val="10"/>
      <color rgb="FF231F20"/>
      <name val="Ffb"/>
    </font>
    <font>
      <sz val="8"/>
      <color rgb="FF231F20"/>
      <name val="Ffb"/>
    </font>
    <font>
      <b/>
      <sz val="8"/>
      <color rgb="FF231F20"/>
      <name val="Ffb"/>
    </font>
    <font>
      <b/>
      <sz val="12"/>
      <color theme="0"/>
      <name val="TimesNewRomanPSMT"/>
    </font>
    <font>
      <b/>
      <sz val="10"/>
      <color rgb="FFFFFFFF"/>
      <name val="Arial"/>
      <family val="2"/>
    </font>
    <font>
      <b/>
      <sz val="10"/>
      <color rgb="FF000000"/>
      <name val="Arial"/>
      <family val="2"/>
    </font>
    <font>
      <b/>
      <u/>
      <sz val="12"/>
      <color theme="1"/>
      <name val="TimesNewRomanPSMT"/>
    </font>
  </fonts>
  <fills count="6">
    <fill>
      <patternFill patternType="none"/>
    </fill>
    <fill>
      <patternFill patternType="gray125"/>
    </fill>
    <fill>
      <patternFill patternType="solid">
        <fgColor theme="3" tint="-0.249977111117893"/>
        <bgColor indexed="64"/>
      </patternFill>
    </fill>
    <fill>
      <patternFill patternType="darkGray">
        <bgColor rgb="FF002060"/>
      </patternFill>
    </fill>
    <fill>
      <patternFill patternType="solid">
        <fgColor theme="4" tint="-0.499984740745262"/>
        <bgColor indexed="64"/>
      </patternFill>
    </fill>
    <fill>
      <patternFill patternType="solid">
        <fgColor theme="0"/>
        <bgColor indexed="64"/>
      </patternFill>
    </fill>
  </fills>
  <borders count="16">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theme="1" tint="4.9989318521683403E-2"/>
      </left>
      <right/>
      <top style="medium">
        <color theme="1" tint="4.9989318521683403E-2"/>
      </top>
      <bottom/>
      <diagonal/>
    </border>
    <border>
      <left/>
      <right style="medium">
        <color theme="1" tint="4.9989318521683403E-2"/>
      </right>
      <top style="medium">
        <color theme="1" tint="4.9989318521683403E-2"/>
      </top>
      <bottom/>
      <diagonal/>
    </border>
    <border>
      <left style="medium">
        <color theme="1" tint="4.9989318521683403E-2"/>
      </left>
      <right/>
      <top/>
      <bottom style="medium">
        <color theme="1" tint="4.9989318521683403E-2"/>
      </bottom>
      <diagonal/>
    </border>
    <border>
      <left/>
      <right style="medium">
        <color theme="1" tint="4.9989318521683403E-2"/>
      </right>
      <top/>
      <bottom style="medium">
        <color theme="1" tint="4.9989318521683403E-2"/>
      </bottom>
      <diagonal/>
    </border>
    <border>
      <left/>
      <right/>
      <top style="medium">
        <color theme="1" tint="4.9989318521683403E-2"/>
      </top>
      <bottom/>
      <diagonal/>
    </border>
    <border>
      <left style="medium">
        <color theme="1" tint="4.9989318521683403E-2"/>
      </left>
      <right/>
      <top/>
      <bottom/>
      <diagonal/>
    </border>
    <border>
      <left/>
      <right/>
      <top/>
      <bottom style="medium">
        <color theme="1" tint="4.9989318521683403E-2"/>
      </bottom>
      <diagonal/>
    </border>
    <border>
      <left style="thin">
        <color theme="1"/>
      </left>
      <right/>
      <top style="thin">
        <color theme="1"/>
      </top>
      <bottom/>
      <diagonal/>
    </border>
    <border>
      <left/>
      <right/>
      <top style="thin">
        <color theme="1"/>
      </top>
      <bottom/>
      <diagonal/>
    </border>
    <border>
      <left style="thin">
        <color theme="1"/>
      </left>
      <right/>
      <top/>
      <bottom/>
      <diagonal/>
    </border>
  </borders>
  <cellStyleXfs count="4">
    <xf numFmtId="0" fontId="0" fillId="0" borderId="0"/>
    <xf numFmtId="0" fontId="3" fillId="0" borderId="0" applyNumberFormat="0" applyFill="0" applyBorder="0" applyAlignment="0" applyProtection="0"/>
    <xf numFmtId="44" fontId="5" fillId="0" borderId="0" applyFont="0" applyFill="0" applyBorder="0" applyAlignment="0" applyProtection="0"/>
    <xf numFmtId="9" fontId="5" fillId="0" borderId="0" applyFont="0" applyFill="0" applyBorder="0" applyAlignment="0" applyProtection="0"/>
  </cellStyleXfs>
  <cellXfs count="104">
    <xf numFmtId="0" fontId="0" fillId="0" borderId="0" xfId="0"/>
    <xf numFmtId="0" fontId="1" fillId="0" borderId="0" xfId="0" applyFont="1"/>
    <xf numFmtId="0" fontId="2" fillId="0" borderId="0" xfId="0" applyFont="1"/>
    <xf numFmtId="8" fontId="1" fillId="0" borderId="0" xfId="0" applyNumberFormat="1" applyFont="1"/>
    <xf numFmtId="6" fontId="1" fillId="0" borderId="0" xfId="0" applyNumberFormat="1" applyFont="1"/>
    <xf numFmtId="10" fontId="1" fillId="0" borderId="0" xfId="0" applyNumberFormat="1" applyFont="1"/>
    <xf numFmtId="4" fontId="1" fillId="0" borderId="0" xfId="0" applyNumberFormat="1" applyFont="1"/>
    <xf numFmtId="9" fontId="1" fillId="0" borderId="0" xfId="0" applyNumberFormat="1" applyFont="1"/>
    <xf numFmtId="8" fontId="2" fillId="0" borderId="0" xfId="0" applyNumberFormat="1" applyFont="1"/>
    <xf numFmtId="9" fontId="2" fillId="0" borderId="0" xfId="0" applyNumberFormat="1" applyFont="1"/>
    <xf numFmtId="0" fontId="3" fillId="0" borderId="0" xfId="1"/>
    <xf numFmtId="8" fontId="3" fillId="0" borderId="0" xfId="1" applyNumberFormat="1"/>
    <xf numFmtId="0" fontId="4" fillId="0" borderId="0" xfId="1" applyFont="1"/>
    <xf numFmtId="8" fontId="4" fillId="0" borderId="0" xfId="1" applyNumberFormat="1" applyFont="1"/>
    <xf numFmtId="0" fontId="6" fillId="2" borderId="0" xfId="0" applyFont="1" applyFill="1"/>
    <xf numFmtId="164" fontId="0" fillId="0" borderId="0" xfId="0" applyNumberFormat="1"/>
    <xf numFmtId="0" fontId="8" fillId="0" borderId="0" xfId="0" applyFont="1"/>
    <xf numFmtId="44" fontId="0" fillId="0" borderId="0" xfId="0" applyNumberFormat="1"/>
    <xf numFmtId="0" fontId="9" fillId="0" borderId="0" xfId="0" applyFont="1" applyAlignment="1">
      <alignment vertical="center"/>
    </xf>
    <xf numFmtId="10" fontId="0" fillId="0" borderId="0" xfId="0" applyNumberFormat="1"/>
    <xf numFmtId="10" fontId="0" fillId="0" borderId="0" xfId="3" applyNumberFormat="1" applyFont="1"/>
    <xf numFmtId="9" fontId="0" fillId="0" borderId="0" xfId="3" applyFont="1"/>
    <xf numFmtId="9" fontId="0" fillId="0" borderId="0" xfId="0" applyNumberFormat="1"/>
    <xf numFmtId="0" fontId="9" fillId="0" borderId="0" xfId="0" applyFont="1"/>
    <xf numFmtId="0" fontId="10" fillId="0" borderId="0" xfId="0" applyFont="1"/>
    <xf numFmtId="164" fontId="9" fillId="0" borderId="0" xfId="0" applyNumberFormat="1" applyFont="1"/>
    <xf numFmtId="10" fontId="11" fillId="0" borderId="0" xfId="0" applyNumberFormat="1" applyFont="1"/>
    <xf numFmtId="0" fontId="7" fillId="0" borderId="0" xfId="0" applyFont="1"/>
    <xf numFmtId="9" fontId="0" fillId="0" borderId="0" xfId="0" applyNumberFormat="1" applyAlignment="1">
      <alignment horizontal="right"/>
    </xf>
    <xf numFmtId="164" fontId="0" fillId="0" borderId="1" xfId="0" applyNumberFormat="1" applyBorder="1"/>
    <xf numFmtId="0" fontId="0" fillId="3" borderId="0" xfId="0" applyFill="1"/>
    <xf numFmtId="164" fontId="0" fillId="0" borderId="1" xfId="2" applyNumberFormat="1" applyFont="1" applyBorder="1"/>
    <xf numFmtId="164" fontId="0" fillId="0" borderId="0" xfId="2" applyNumberFormat="1" applyFont="1"/>
    <xf numFmtId="0" fontId="7" fillId="0" borderId="1" xfId="2" applyNumberFormat="1" applyFont="1" applyBorder="1"/>
    <xf numFmtId="0" fontId="8" fillId="0" borderId="1" xfId="0" applyFont="1" applyBorder="1"/>
    <xf numFmtId="0" fontId="9" fillId="0" borderId="0" xfId="0" applyFont="1" applyAlignment="1">
      <alignment vertical="center" wrapText="1"/>
    </xf>
    <xf numFmtId="9" fontId="11" fillId="0" borderId="0" xfId="0" applyNumberFormat="1" applyFont="1"/>
    <xf numFmtId="2" fontId="0" fillId="0" borderId="0" xfId="0" applyNumberFormat="1"/>
    <xf numFmtId="0" fontId="13" fillId="0" borderId="0" xfId="0" applyFont="1"/>
    <xf numFmtId="0" fontId="0" fillId="0" borderId="0" xfId="0" applyAlignment="1">
      <alignment horizontal="right" vertical="center"/>
    </xf>
    <xf numFmtId="0" fontId="0" fillId="0" borderId="0" xfId="0" applyAlignment="1">
      <alignment vertical="center"/>
    </xf>
    <xf numFmtId="9" fontId="13" fillId="0" borderId="0" xfId="3" applyFont="1"/>
    <xf numFmtId="165" fontId="12" fillId="0" borderId="0" xfId="0" applyNumberFormat="1" applyFont="1"/>
    <xf numFmtId="0" fontId="14" fillId="0" borderId="0" xfId="0" applyFont="1"/>
    <xf numFmtId="10" fontId="1" fillId="0" borderId="0" xfId="3" applyNumberFormat="1" applyFont="1"/>
    <xf numFmtId="0" fontId="8" fillId="0" borderId="2" xfId="0" applyFont="1" applyBorder="1"/>
    <xf numFmtId="164" fontId="0" fillId="0" borderId="2" xfId="0" applyNumberFormat="1" applyBorder="1"/>
    <xf numFmtId="0" fontId="7" fillId="0" borderId="1" xfId="0" applyFont="1" applyBorder="1"/>
    <xf numFmtId="0" fontId="0" fillId="0" borderId="1" xfId="0" applyBorder="1"/>
    <xf numFmtId="0" fontId="15" fillId="4" borderId="0" xfId="0" applyFont="1" applyFill="1"/>
    <xf numFmtId="0" fontId="0" fillId="0" borderId="3" xfId="0" applyBorder="1"/>
    <xf numFmtId="164" fontId="0" fillId="0" borderId="3" xfId="0" applyNumberFormat="1" applyBorder="1"/>
    <xf numFmtId="0" fontId="0" fillId="0" borderId="4" xfId="0" applyBorder="1"/>
    <xf numFmtId="164" fontId="0" fillId="0" borderId="4" xfId="0" applyNumberFormat="1" applyBorder="1"/>
    <xf numFmtId="0" fontId="8" fillId="0" borderId="4" xfId="0" applyFont="1" applyBorder="1"/>
    <xf numFmtId="0" fontId="16" fillId="0" borderId="0" xfId="0" applyFont="1"/>
    <xf numFmtId="0" fontId="0" fillId="0" borderId="0" xfId="0" applyAlignment="1">
      <alignment horizontal="left"/>
    </xf>
    <xf numFmtId="0" fontId="9" fillId="0" borderId="0" xfId="0" applyFont="1" applyFill="1" applyAlignment="1">
      <alignment vertical="center"/>
    </xf>
    <xf numFmtId="164" fontId="0" fillId="0" borderId="0" xfId="0" applyNumberFormat="1" applyFill="1"/>
    <xf numFmtId="9" fontId="0" fillId="0" borderId="0" xfId="3" applyNumberFormat="1" applyFont="1"/>
    <xf numFmtId="0" fontId="0" fillId="0" borderId="0" xfId="0" applyBorder="1"/>
    <xf numFmtId="0" fontId="8" fillId="0" borderId="5" xfId="0" applyFont="1" applyBorder="1"/>
    <xf numFmtId="164" fontId="8" fillId="0" borderId="5" xfId="0" applyNumberFormat="1" applyFont="1" applyBorder="1"/>
    <xf numFmtId="164" fontId="0" fillId="0" borderId="4" xfId="2" applyNumberFormat="1" applyFont="1" applyBorder="1"/>
    <xf numFmtId="6" fontId="0" fillId="0" borderId="0" xfId="0" applyNumberFormat="1"/>
    <xf numFmtId="0" fontId="0" fillId="5" borderId="0" xfId="0" applyFill="1"/>
    <xf numFmtId="9" fontId="8" fillId="5" borderId="0" xfId="3" applyFont="1" applyFill="1"/>
    <xf numFmtId="164" fontId="0" fillId="5" borderId="13" xfId="2" applyNumberFormat="1" applyFont="1" applyFill="1" applyBorder="1"/>
    <xf numFmtId="164" fontId="0" fillId="5" borderId="14" xfId="2" applyNumberFormat="1" applyFont="1" applyFill="1" applyBorder="1"/>
    <xf numFmtId="0" fontId="8" fillId="5" borderId="0" xfId="0" applyFont="1" applyFill="1" applyAlignment="1">
      <alignment vertical="center"/>
    </xf>
    <xf numFmtId="164" fontId="0" fillId="5" borderId="15" xfId="2" applyNumberFormat="1" applyFont="1" applyFill="1" applyBorder="1"/>
    <xf numFmtId="164" fontId="0" fillId="5" borderId="0" xfId="2" applyNumberFormat="1" applyFont="1" applyFill="1"/>
    <xf numFmtId="0" fontId="0" fillId="5" borderId="0" xfId="0" applyFont="1" applyFill="1"/>
    <xf numFmtId="164" fontId="0" fillId="5" borderId="0" xfId="0" applyNumberFormat="1" applyFont="1" applyFill="1"/>
    <xf numFmtId="0" fontId="8" fillId="0" borderId="0" xfId="0" applyFont="1" applyFill="1"/>
    <xf numFmtId="0" fontId="0" fillId="0" borderId="0" xfId="0" applyFill="1"/>
    <xf numFmtId="0" fontId="0" fillId="0" borderId="6" xfId="0" applyFill="1" applyBorder="1" applyAlignment="1">
      <alignment horizontal="center" vertical="center"/>
    </xf>
    <xf numFmtId="10" fontId="0" fillId="0" borderId="7" xfId="0" applyNumberFormat="1" applyFill="1" applyBorder="1" applyAlignment="1">
      <alignment horizontal="center" vertical="center"/>
    </xf>
    <xf numFmtId="0" fontId="0" fillId="0" borderId="8" xfId="0" applyFill="1" applyBorder="1" applyAlignment="1">
      <alignment horizontal="center" vertical="center"/>
    </xf>
    <xf numFmtId="165" fontId="0" fillId="0" borderId="9" xfId="0" applyNumberFormat="1" applyFill="1" applyBorder="1" applyAlignment="1">
      <alignment horizontal="center" vertical="center"/>
    </xf>
    <xf numFmtId="0" fontId="0" fillId="0" borderId="6" xfId="0" applyFill="1" applyBorder="1"/>
    <xf numFmtId="0" fontId="0" fillId="0" borderId="10" xfId="0" applyFill="1" applyBorder="1" applyAlignment="1">
      <alignment horizontal="center" vertical="center"/>
    </xf>
    <xf numFmtId="0" fontId="0" fillId="0" borderId="11" xfId="0" applyFill="1" applyBorder="1"/>
    <xf numFmtId="2" fontId="0" fillId="0" borderId="0" xfId="0" applyNumberFormat="1" applyFill="1"/>
    <xf numFmtId="0" fontId="0" fillId="0" borderId="8" xfId="0" applyFill="1" applyBorder="1"/>
    <xf numFmtId="164" fontId="0" fillId="0" borderId="12" xfId="0" applyNumberFormat="1" applyFill="1" applyBorder="1"/>
    <xf numFmtId="0" fontId="0" fillId="0" borderId="0" xfId="0" applyFill="1" applyAlignment="1">
      <alignment vertical="center"/>
    </xf>
    <xf numFmtId="164" fontId="0" fillId="0" borderId="0" xfId="0" applyNumberFormat="1" applyFill="1" applyAlignment="1">
      <alignment vertical="center"/>
    </xf>
    <xf numFmtId="165" fontId="0" fillId="0" borderId="0" xfId="3" applyNumberFormat="1" applyFont="1" applyFill="1" applyBorder="1" applyAlignment="1">
      <alignment horizontal="center" vertical="center"/>
    </xf>
    <xf numFmtId="9" fontId="0" fillId="0" borderId="0" xfId="3" applyFont="1" applyFill="1"/>
    <xf numFmtId="165" fontId="0" fillId="0" borderId="0" xfId="3" applyNumberFormat="1" applyFont="1" applyFill="1" applyBorder="1" applyAlignment="1">
      <alignment horizontal="center"/>
    </xf>
    <xf numFmtId="0" fontId="8" fillId="0" borderId="0" xfId="0" applyFont="1" applyFill="1" applyAlignment="1">
      <alignment vertical="center"/>
    </xf>
    <xf numFmtId="164" fontId="8" fillId="0" borderId="0" xfId="0" applyNumberFormat="1" applyFont="1" applyFill="1" applyAlignment="1">
      <alignment vertical="center"/>
    </xf>
    <xf numFmtId="0" fontId="18" fillId="0" borderId="0" xfId="0" applyFont="1" applyFill="1" applyAlignment="1">
      <alignment vertical="center"/>
    </xf>
    <xf numFmtId="0" fontId="2" fillId="0" borderId="1" xfId="0" applyFont="1" applyFill="1" applyBorder="1"/>
    <xf numFmtId="0" fontId="2" fillId="0" borderId="0" xfId="0" applyFont="1" applyFill="1"/>
    <xf numFmtId="0" fontId="17" fillId="0" borderId="3" xfId="0" applyFont="1" applyFill="1" applyBorder="1"/>
    <xf numFmtId="164" fontId="0" fillId="0" borderId="0" xfId="0" applyNumberFormat="1" applyFill="1" applyBorder="1"/>
    <xf numFmtId="0" fontId="8" fillId="0" borderId="1" xfId="0" applyFont="1" applyFill="1" applyBorder="1" applyAlignment="1">
      <alignment horizontal="center" vertical="center"/>
    </xf>
    <xf numFmtId="164" fontId="8" fillId="0" borderId="3" xfId="0" applyNumberFormat="1" applyFont="1" applyFill="1" applyBorder="1" applyAlignment="1">
      <alignment vertical="center"/>
    </xf>
    <xf numFmtId="44" fontId="7" fillId="0" borderId="0" xfId="2" applyFont="1" applyFill="1" applyBorder="1" applyAlignment="1">
      <alignment vertical="center"/>
    </xf>
    <xf numFmtId="0" fontId="8" fillId="0" borderId="1" xfId="0" applyFont="1" applyFill="1" applyBorder="1" applyAlignment="1">
      <alignment vertical="center"/>
    </xf>
    <xf numFmtId="1" fontId="0" fillId="0" borderId="0" xfId="0" applyNumberFormat="1" applyFill="1" applyAlignment="1">
      <alignment vertical="center"/>
    </xf>
    <xf numFmtId="1" fontId="0" fillId="0" borderId="0" xfId="0" applyNumberFormat="1" applyFill="1"/>
  </cellXfs>
  <cellStyles count="4">
    <cellStyle name="Currency" xfId="2" builtinId="4"/>
    <cellStyle name="Hyperlink" xfId="1" builtinId="8"/>
    <cellStyle name="Normal" xfId="0" builtinId="0"/>
    <cellStyle name="Per 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Total Revenue</a:t>
            </a:r>
            <a:r>
              <a:rPr lang="en-GB" b="1" baseline="0"/>
              <a:t> against Total Costs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'Income Statement'!$B$79</c:f>
              <c:strCache>
                <c:ptCount val="1"/>
                <c:pt idx="0">
                  <c:v>Total Revenue</c:v>
                </c:pt>
              </c:strCache>
            </c:strRef>
          </c:tx>
          <c:spPr>
            <a:solidFill>
              <a:srgbClr val="002060"/>
            </a:solidFill>
            <a:ln>
              <a:noFill/>
            </a:ln>
            <a:effectLst/>
          </c:spPr>
          <c:cat>
            <c:numRef>
              <c:f>'Income Statement'!$C$78:$L$78</c:f>
              <c:numCache>
                <c:formatCode>General</c:formatCode>
                <c:ptCount val="10"/>
                <c:pt idx="0">
                  <c:v>2023</c:v>
                </c:pt>
                <c:pt idx="1">
                  <c:v>2024</c:v>
                </c:pt>
                <c:pt idx="2">
                  <c:v>2025</c:v>
                </c:pt>
                <c:pt idx="3">
                  <c:v>2026</c:v>
                </c:pt>
                <c:pt idx="4">
                  <c:v>2027</c:v>
                </c:pt>
                <c:pt idx="5">
                  <c:v>2028</c:v>
                </c:pt>
                <c:pt idx="6">
                  <c:v>2029</c:v>
                </c:pt>
                <c:pt idx="7">
                  <c:v>2030</c:v>
                </c:pt>
                <c:pt idx="8">
                  <c:v>2031</c:v>
                </c:pt>
                <c:pt idx="9">
                  <c:v>2032</c:v>
                </c:pt>
              </c:numCache>
            </c:numRef>
          </c:cat>
          <c:val>
            <c:numRef>
              <c:f>'Income Statement'!$C$79:$L$79</c:f>
              <c:numCache>
                <c:formatCode>_("$"* #,##0_);_("$"* \(#,##0\);_("$"* "-"??_);_(@_)</c:formatCode>
                <c:ptCount val="10"/>
                <c:pt idx="0">
                  <c:v>32400</c:v>
                </c:pt>
                <c:pt idx="1">
                  <c:v>79380</c:v>
                </c:pt>
                <c:pt idx="2">
                  <c:v>158760</c:v>
                </c:pt>
                <c:pt idx="3">
                  <c:v>254016</c:v>
                </c:pt>
                <c:pt idx="4">
                  <c:v>355622.39999999997</c:v>
                </c:pt>
                <c:pt idx="5">
                  <c:v>462309.12</c:v>
                </c:pt>
                <c:pt idx="6">
                  <c:v>554770.94400000002</c:v>
                </c:pt>
                <c:pt idx="7">
                  <c:v>610248.03840000008</c:v>
                </c:pt>
                <c:pt idx="8">
                  <c:v>671272.84224000014</c:v>
                </c:pt>
                <c:pt idx="9">
                  <c:v>718261.94119680021</c:v>
                </c:pt>
              </c:numCache>
            </c:numRef>
          </c:val>
          <c:extLst>
            <c:ext xmlns:c16="http://schemas.microsoft.com/office/drawing/2014/chart" uri="{C3380CC4-5D6E-409C-BE32-E72D297353CC}">
              <c16:uniqueId val="{00000000-7E35-164E-82C3-49A81B3C73A0}"/>
            </c:ext>
          </c:extLst>
        </c:ser>
        <c:ser>
          <c:idx val="1"/>
          <c:order val="1"/>
          <c:tx>
            <c:strRef>
              <c:f>'Income Statement'!$B$80</c:f>
              <c:strCache>
                <c:ptCount val="1"/>
                <c:pt idx="0">
                  <c:v>Total Costs</c:v>
                </c:pt>
              </c:strCache>
            </c:strRef>
          </c:tx>
          <c:spPr>
            <a:solidFill>
              <a:srgbClr val="C00000"/>
            </a:solidFill>
            <a:ln>
              <a:noFill/>
            </a:ln>
            <a:effectLst/>
          </c:spPr>
          <c:cat>
            <c:numRef>
              <c:f>'Income Statement'!$C$78:$L$78</c:f>
              <c:numCache>
                <c:formatCode>General</c:formatCode>
                <c:ptCount val="10"/>
                <c:pt idx="0">
                  <c:v>2023</c:v>
                </c:pt>
                <c:pt idx="1">
                  <c:v>2024</c:v>
                </c:pt>
                <c:pt idx="2">
                  <c:v>2025</c:v>
                </c:pt>
                <c:pt idx="3">
                  <c:v>2026</c:v>
                </c:pt>
                <c:pt idx="4">
                  <c:v>2027</c:v>
                </c:pt>
                <c:pt idx="5">
                  <c:v>2028</c:v>
                </c:pt>
                <c:pt idx="6">
                  <c:v>2029</c:v>
                </c:pt>
                <c:pt idx="7">
                  <c:v>2030</c:v>
                </c:pt>
                <c:pt idx="8">
                  <c:v>2031</c:v>
                </c:pt>
                <c:pt idx="9">
                  <c:v>2032</c:v>
                </c:pt>
              </c:numCache>
            </c:numRef>
          </c:cat>
          <c:val>
            <c:numRef>
              <c:f>'Income Statement'!$C$80:$L$80</c:f>
              <c:numCache>
                <c:formatCode>_("$"* #,##0_);_("$"* \(#,##0\);_("$"* "-"??_);_(@_)</c:formatCode>
                <c:ptCount val="10"/>
                <c:pt idx="0">
                  <c:v>31716.359999999997</c:v>
                </c:pt>
                <c:pt idx="1">
                  <c:v>84117.078000000009</c:v>
                </c:pt>
                <c:pt idx="2">
                  <c:v>160392.03100000002</c:v>
                </c:pt>
                <c:pt idx="3">
                  <c:v>252536.95585</c:v>
                </c:pt>
                <c:pt idx="4">
                  <c:v>351149.4491275</c:v>
                </c:pt>
                <c:pt idx="5">
                  <c:v>454923.18503762496</c:v>
                </c:pt>
                <c:pt idx="6">
                  <c:v>544970.73635101877</c:v>
                </c:pt>
                <c:pt idx="7">
                  <c:v>599029.45331302425</c:v>
                </c:pt>
                <c:pt idx="8">
                  <c:v>658642.02013305621</c:v>
                </c:pt>
                <c:pt idx="9">
                  <c:v>704591.2792530607</c:v>
                </c:pt>
              </c:numCache>
            </c:numRef>
          </c:val>
          <c:extLst>
            <c:ext xmlns:c16="http://schemas.microsoft.com/office/drawing/2014/chart" uri="{C3380CC4-5D6E-409C-BE32-E72D297353CC}">
              <c16:uniqueId val="{00000001-7E35-164E-82C3-49A81B3C73A0}"/>
            </c:ext>
          </c:extLst>
        </c:ser>
        <c:dLbls>
          <c:showLegendKey val="0"/>
          <c:showVal val="0"/>
          <c:showCatName val="0"/>
          <c:showSerName val="0"/>
          <c:showPercent val="0"/>
          <c:showBubbleSize val="0"/>
        </c:dLbls>
        <c:axId val="721682287"/>
        <c:axId val="721595903"/>
      </c:areaChart>
      <c:catAx>
        <c:axId val="721682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595903"/>
        <c:crosses val="autoZero"/>
        <c:auto val="1"/>
        <c:lblAlgn val="ctr"/>
        <c:lblOffset val="100"/>
        <c:noMultiLvlLbl val="0"/>
      </c:catAx>
      <c:valAx>
        <c:axId val="72159590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68228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Total</a:t>
            </a:r>
            <a:r>
              <a:rPr lang="en-GB" b="1" baseline="0"/>
              <a:t> Revenue vs Total Costs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893353321568332E-2"/>
          <c:y val="8.2775391832734788E-2"/>
          <c:w val="0.89780651597390082"/>
          <c:h val="0.82830545075662543"/>
        </c:manualLayout>
      </c:layout>
      <c:barChart>
        <c:barDir val="col"/>
        <c:grouping val="clustered"/>
        <c:varyColors val="0"/>
        <c:ser>
          <c:idx val="0"/>
          <c:order val="0"/>
          <c:tx>
            <c:strRef>
              <c:f>'Income Statement'!$B$79</c:f>
              <c:strCache>
                <c:ptCount val="1"/>
                <c:pt idx="0">
                  <c:v>Total Revenue</c:v>
                </c:pt>
              </c:strCache>
            </c:strRef>
          </c:tx>
          <c:spPr>
            <a:solidFill>
              <a:schemeClr val="accent1">
                <a:lumMod val="50000"/>
              </a:schemeClr>
            </a:solidFill>
            <a:ln>
              <a:noFill/>
            </a:ln>
            <a:effectLst/>
          </c:spPr>
          <c:invertIfNegative val="0"/>
          <c:cat>
            <c:numRef>
              <c:f>'Income Statement'!$C$78:$L$78</c:f>
              <c:numCache>
                <c:formatCode>General</c:formatCode>
                <c:ptCount val="10"/>
                <c:pt idx="0">
                  <c:v>2023</c:v>
                </c:pt>
                <c:pt idx="1">
                  <c:v>2024</c:v>
                </c:pt>
                <c:pt idx="2">
                  <c:v>2025</c:v>
                </c:pt>
                <c:pt idx="3">
                  <c:v>2026</c:v>
                </c:pt>
                <c:pt idx="4">
                  <c:v>2027</c:v>
                </c:pt>
                <c:pt idx="5">
                  <c:v>2028</c:v>
                </c:pt>
                <c:pt idx="6">
                  <c:v>2029</c:v>
                </c:pt>
                <c:pt idx="7">
                  <c:v>2030</c:v>
                </c:pt>
                <c:pt idx="8">
                  <c:v>2031</c:v>
                </c:pt>
                <c:pt idx="9">
                  <c:v>2032</c:v>
                </c:pt>
              </c:numCache>
            </c:numRef>
          </c:cat>
          <c:val>
            <c:numRef>
              <c:f>'Income Statement'!$C$79:$L$79</c:f>
              <c:numCache>
                <c:formatCode>_("$"* #,##0_);_("$"* \(#,##0\);_("$"* "-"??_);_(@_)</c:formatCode>
                <c:ptCount val="10"/>
                <c:pt idx="0">
                  <c:v>32400</c:v>
                </c:pt>
                <c:pt idx="1">
                  <c:v>79380</c:v>
                </c:pt>
                <c:pt idx="2">
                  <c:v>158760</c:v>
                </c:pt>
                <c:pt idx="3">
                  <c:v>254016</c:v>
                </c:pt>
                <c:pt idx="4">
                  <c:v>355622.39999999997</c:v>
                </c:pt>
                <c:pt idx="5">
                  <c:v>462309.12</c:v>
                </c:pt>
                <c:pt idx="6">
                  <c:v>554770.94400000002</c:v>
                </c:pt>
                <c:pt idx="7">
                  <c:v>610248.03840000008</c:v>
                </c:pt>
                <c:pt idx="8">
                  <c:v>671272.84224000014</c:v>
                </c:pt>
                <c:pt idx="9">
                  <c:v>718261.94119680021</c:v>
                </c:pt>
              </c:numCache>
            </c:numRef>
          </c:val>
          <c:extLst>
            <c:ext xmlns:c16="http://schemas.microsoft.com/office/drawing/2014/chart" uri="{C3380CC4-5D6E-409C-BE32-E72D297353CC}">
              <c16:uniqueId val="{00000000-FB15-9240-9C32-05758854A2B4}"/>
            </c:ext>
          </c:extLst>
        </c:ser>
        <c:dLbls>
          <c:showLegendKey val="0"/>
          <c:showVal val="0"/>
          <c:showCatName val="0"/>
          <c:showSerName val="0"/>
          <c:showPercent val="0"/>
          <c:showBubbleSize val="0"/>
        </c:dLbls>
        <c:gapWidth val="150"/>
        <c:axId val="690549839"/>
        <c:axId val="690551487"/>
      </c:barChart>
      <c:lineChart>
        <c:grouping val="standard"/>
        <c:varyColors val="0"/>
        <c:ser>
          <c:idx val="1"/>
          <c:order val="1"/>
          <c:tx>
            <c:strRef>
              <c:f>'Income Statement'!$B$80</c:f>
              <c:strCache>
                <c:ptCount val="1"/>
                <c:pt idx="0">
                  <c:v>Total Costs</c:v>
                </c:pt>
              </c:strCache>
            </c:strRef>
          </c:tx>
          <c:spPr>
            <a:ln w="34925" cap="rnd">
              <a:solidFill>
                <a:srgbClr val="FF0000"/>
              </a:solidFill>
              <a:round/>
              <a:headEnd type="none" w="med" len="med"/>
              <a:tailEnd type="stealth" w="lg" len="lg"/>
            </a:ln>
            <a:effectLst/>
          </c:spPr>
          <c:marker>
            <c:symbol val="none"/>
          </c:marker>
          <c:val>
            <c:numRef>
              <c:f>'Income Statement'!$C$80:$L$80</c:f>
              <c:numCache>
                <c:formatCode>_("$"* #,##0_);_("$"* \(#,##0\);_("$"* "-"??_);_(@_)</c:formatCode>
                <c:ptCount val="10"/>
                <c:pt idx="0">
                  <c:v>31716.359999999997</c:v>
                </c:pt>
                <c:pt idx="1">
                  <c:v>84117.078000000009</c:v>
                </c:pt>
                <c:pt idx="2">
                  <c:v>160392.03100000002</c:v>
                </c:pt>
                <c:pt idx="3">
                  <c:v>252536.95585</c:v>
                </c:pt>
                <c:pt idx="4">
                  <c:v>351149.4491275</c:v>
                </c:pt>
                <c:pt idx="5">
                  <c:v>454923.18503762496</c:v>
                </c:pt>
                <c:pt idx="6">
                  <c:v>544970.73635101877</c:v>
                </c:pt>
                <c:pt idx="7">
                  <c:v>599029.45331302425</c:v>
                </c:pt>
                <c:pt idx="8">
                  <c:v>658642.02013305621</c:v>
                </c:pt>
                <c:pt idx="9">
                  <c:v>704591.2792530607</c:v>
                </c:pt>
              </c:numCache>
            </c:numRef>
          </c:val>
          <c:smooth val="1"/>
          <c:extLst>
            <c:ext xmlns:c16="http://schemas.microsoft.com/office/drawing/2014/chart" uri="{C3380CC4-5D6E-409C-BE32-E72D297353CC}">
              <c16:uniqueId val="{00000001-FB15-9240-9C32-05758854A2B4}"/>
            </c:ext>
          </c:extLst>
        </c:ser>
        <c:dLbls>
          <c:showLegendKey val="0"/>
          <c:showVal val="0"/>
          <c:showCatName val="0"/>
          <c:showSerName val="0"/>
          <c:showPercent val="0"/>
          <c:showBubbleSize val="0"/>
        </c:dLbls>
        <c:marker val="1"/>
        <c:smooth val="0"/>
        <c:axId val="690549839"/>
        <c:axId val="690551487"/>
      </c:lineChart>
      <c:dateAx>
        <c:axId val="69054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551487"/>
        <c:auto val="0"/>
        <c:lblOffset val="100"/>
        <c:baseTimeUnit val="days"/>
      </c:dateAx>
      <c:valAx>
        <c:axId val="69055148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549839"/>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Sensitivity Analysis of Net</a:t>
            </a:r>
            <a:r>
              <a:rPr lang="en-GB" b="1" baseline="0"/>
              <a:t> Profits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'Income Statement'!$B$85</c:f>
              <c:strCache>
                <c:ptCount val="1"/>
                <c:pt idx="0">
                  <c:v>Upside Case</c:v>
                </c:pt>
              </c:strCache>
            </c:strRef>
          </c:tx>
          <c:spPr>
            <a:solidFill>
              <a:schemeClr val="accent1">
                <a:lumMod val="50000"/>
              </a:schemeClr>
            </a:solidFill>
            <a:ln>
              <a:noFill/>
            </a:ln>
            <a:effectLst/>
          </c:spPr>
          <c:invertIfNegative val="0"/>
          <c:cat>
            <c:numRef>
              <c:f>'Income Statement'!$C$84:$L$84</c:f>
              <c:numCache>
                <c:formatCode>General</c:formatCode>
                <c:ptCount val="10"/>
                <c:pt idx="0">
                  <c:v>2023</c:v>
                </c:pt>
                <c:pt idx="1">
                  <c:v>2024</c:v>
                </c:pt>
                <c:pt idx="2">
                  <c:v>2025</c:v>
                </c:pt>
                <c:pt idx="3">
                  <c:v>2026</c:v>
                </c:pt>
                <c:pt idx="4">
                  <c:v>2027</c:v>
                </c:pt>
                <c:pt idx="5">
                  <c:v>2028</c:v>
                </c:pt>
                <c:pt idx="6">
                  <c:v>2029</c:v>
                </c:pt>
                <c:pt idx="7">
                  <c:v>2030</c:v>
                </c:pt>
                <c:pt idx="8">
                  <c:v>2031</c:v>
                </c:pt>
                <c:pt idx="9">
                  <c:v>2032</c:v>
                </c:pt>
              </c:numCache>
            </c:numRef>
          </c:cat>
          <c:val>
            <c:numRef>
              <c:f>'Income Statement'!$C$85:$L$85</c:f>
              <c:numCache>
                <c:formatCode>_("$"* #,##0.00_);_("$"* \(#,##0.00\);_("$"* "-"??_);_(@_)</c:formatCode>
                <c:ptCount val="10"/>
                <c:pt idx="0">
                  <c:v>-3580.1999999999971</c:v>
                </c:pt>
                <c:pt idx="1">
                  <c:v>-15577.955999999991</c:v>
                </c:pt>
                <c:pt idx="2">
                  <c:v>-24376.911999999982</c:v>
                </c:pt>
                <c:pt idx="3">
                  <c:v>-6821.070400000026</c:v>
                </c:pt>
                <c:pt idx="4">
                  <c:v>12333.815374400059</c:v>
                </c:pt>
                <c:pt idx="5">
                  <c:v>20465.754311600002</c:v>
                </c:pt>
                <c:pt idx="6">
                  <c:v>29806.43266608729</c:v>
                </c:pt>
                <c:pt idx="7">
                  <c:v>92177.019170818385</c:v>
                </c:pt>
                <c:pt idx="8">
                  <c:v>120205.30503874435</c:v>
                </c:pt>
                <c:pt idx="9">
                  <c:v>154990.38922820473</c:v>
                </c:pt>
              </c:numCache>
            </c:numRef>
          </c:val>
          <c:extLst>
            <c:ext xmlns:c16="http://schemas.microsoft.com/office/drawing/2014/chart" uri="{C3380CC4-5D6E-409C-BE32-E72D297353CC}">
              <c16:uniqueId val="{00000000-F447-B64A-A2F5-3DB67294BBA6}"/>
            </c:ext>
          </c:extLst>
        </c:ser>
        <c:ser>
          <c:idx val="1"/>
          <c:order val="1"/>
          <c:tx>
            <c:strRef>
              <c:f>'Income Statement'!$B$86</c:f>
              <c:strCache>
                <c:ptCount val="1"/>
                <c:pt idx="0">
                  <c:v>Base Case</c:v>
                </c:pt>
              </c:strCache>
            </c:strRef>
          </c:tx>
          <c:spPr>
            <a:solidFill>
              <a:schemeClr val="accent4">
                <a:lumMod val="75000"/>
              </a:schemeClr>
            </a:solidFill>
            <a:ln>
              <a:noFill/>
            </a:ln>
            <a:effectLst/>
          </c:spPr>
          <c:invertIfNegative val="0"/>
          <c:cat>
            <c:numRef>
              <c:f>'Income Statement'!$C$84:$L$84</c:f>
              <c:numCache>
                <c:formatCode>General</c:formatCode>
                <c:ptCount val="10"/>
                <c:pt idx="0">
                  <c:v>2023</c:v>
                </c:pt>
                <c:pt idx="1">
                  <c:v>2024</c:v>
                </c:pt>
                <c:pt idx="2">
                  <c:v>2025</c:v>
                </c:pt>
                <c:pt idx="3">
                  <c:v>2026</c:v>
                </c:pt>
                <c:pt idx="4">
                  <c:v>2027</c:v>
                </c:pt>
                <c:pt idx="5">
                  <c:v>2028</c:v>
                </c:pt>
                <c:pt idx="6">
                  <c:v>2029</c:v>
                </c:pt>
                <c:pt idx="7">
                  <c:v>2030</c:v>
                </c:pt>
                <c:pt idx="8">
                  <c:v>2031</c:v>
                </c:pt>
                <c:pt idx="9">
                  <c:v>2032</c:v>
                </c:pt>
              </c:numCache>
            </c:numRef>
          </c:cat>
          <c:val>
            <c:numRef>
              <c:f>'Income Statement'!$C$86:$L$86</c:f>
              <c:numCache>
                <c:formatCode>_("$"* #,##0_);_("$"* \(#,##0\);_("$"* "-"??_);_(@_)</c:formatCode>
                <c:ptCount val="10"/>
                <c:pt idx="0">
                  <c:v>5360.6123999999982</c:v>
                </c:pt>
                <c:pt idx="1">
                  <c:v>8602.747199999998</c:v>
                </c:pt>
                <c:pt idx="2">
                  <c:v>34394.055500000017</c:v>
                </c:pt>
                <c:pt idx="3">
                  <c:v>75890.157875000034</c:v>
                </c:pt>
                <c:pt idx="4">
                  <c:v>133192.60510625003</c:v>
                </c:pt>
                <c:pt idx="5">
                  <c:v>216044.15859968751</c:v>
                </c:pt>
                <c:pt idx="6">
                  <c:v>323662.71913656546</c:v>
                </c:pt>
                <c:pt idx="7">
                  <c:v>452054.74821930472</c:v>
                </c:pt>
                <c:pt idx="8">
                  <c:v>585626.43417439796</c:v>
                </c:pt>
                <c:pt idx="9">
                  <c:v>759132.19344292628</c:v>
                </c:pt>
              </c:numCache>
            </c:numRef>
          </c:val>
          <c:extLst>
            <c:ext xmlns:c16="http://schemas.microsoft.com/office/drawing/2014/chart" uri="{C3380CC4-5D6E-409C-BE32-E72D297353CC}">
              <c16:uniqueId val="{00000001-F447-B64A-A2F5-3DB67294BBA6}"/>
            </c:ext>
          </c:extLst>
        </c:ser>
        <c:ser>
          <c:idx val="2"/>
          <c:order val="2"/>
          <c:tx>
            <c:strRef>
              <c:f>'Income Statement'!$B$87</c:f>
              <c:strCache>
                <c:ptCount val="1"/>
                <c:pt idx="0">
                  <c:v>Downside Case</c:v>
                </c:pt>
              </c:strCache>
            </c:strRef>
          </c:tx>
          <c:spPr>
            <a:solidFill>
              <a:srgbClr val="C00000"/>
            </a:solidFill>
            <a:ln>
              <a:solidFill>
                <a:srgbClr val="C00000"/>
              </a:solidFill>
            </a:ln>
            <a:effectLst/>
          </c:spPr>
          <c:invertIfNegative val="0"/>
          <c:cat>
            <c:numRef>
              <c:f>'Income Statement'!$C$84:$L$84</c:f>
              <c:numCache>
                <c:formatCode>General</c:formatCode>
                <c:ptCount val="10"/>
                <c:pt idx="0">
                  <c:v>2023</c:v>
                </c:pt>
                <c:pt idx="1">
                  <c:v>2024</c:v>
                </c:pt>
                <c:pt idx="2">
                  <c:v>2025</c:v>
                </c:pt>
                <c:pt idx="3">
                  <c:v>2026</c:v>
                </c:pt>
                <c:pt idx="4">
                  <c:v>2027</c:v>
                </c:pt>
                <c:pt idx="5">
                  <c:v>2028</c:v>
                </c:pt>
                <c:pt idx="6">
                  <c:v>2029</c:v>
                </c:pt>
                <c:pt idx="7">
                  <c:v>2030</c:v>
                </c:pt>
                <c:pt idx="8">
                  <c:v>2031</c:v>
                </c:pt>
                <c:pt idx="9">
                  <c:v>2032</c:v>
                </c:pt>
              </c:numCache>
            </c:numRef>
          </c:cat>
          <c:val>
            <c:numRef>
              <c:f>'Income Statement'!$C$87:$L$87</c:f>
              <c:numCache>
                <c:formatCode>_("$"* #,##0_);_("$"* \(#,##0\);_("$"* "-"??_);_(@_)</c:formatCode>
                <c:ptCount val="10"/>
                <c:pt idx="0">
                  <c:v>683.64000000000306</c:v>
                </c:pt>
                <c:pt idx="1">
                  <c:v>-4737.0780000000086</c:v>
                </c:pt>
                <c:pt idx="2">
                  <c:v>-1632.0310000000172</c:v>
                </c:pt>
                <c:pt idx="3">
                  <c:v>1479.0441500000015</c:v>
                </c:pt>
                <c:pt idx="4">
                  <c:v>4472.9508724999614</c:v>
                </c:pt>
                <c:pt idx="5">
                  <c:v>7385.9349623750313</c:v>
                </c:pt>
                <c:pt idx="6">
                  <c:v>9800.2076489812462</c:v>
                </c:pt>
                <c:pt idx="7">
                  <c:v>11218.585086975829</c:v>
                </c:pt>
                <c:pt idx="8">
                  <c:v>12630.822106943931</c:v>
                </c:pt>
                <c:pt idx="9">
                  <c:v>13670.661943739513</c:v>
                </c:pt>
              </c:numCache>
            </c:numRef>
          </c:val>
          <c:extLst>
            <c:ext xmlns:c16="http://schemas.microsoft.com/office/drawing/2014/chart" uri="{C3380CC4-5D6E-409C-BE32-E72D297353CC}">
              <c16:uniqueId val="{00000002-F447-B64A-A2F5-3DB67294BBA6}"/>
            </c:ext>
          </c:extLst>
        </c:ser>
        <c:dLbls>
          <c:showLegendKey val="0"/>
          <c:showVal val="0"/>
          <c:showCatName val="0"/>
          <c:showSerName val="0"/>
          <c:showPercent val="0"/>
          <c:showBubbleSize val="0"/>
        </c:dLbls>
        <c:gapWidth val="219"/>
        <c:overlap val="-27"/>
        <c:axId val="762599023"/>
        <c:axId val="759098655"/>
      </c:barChart>
      <c:catAx>
        <c:axId val="76259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098655"/>
        <c:crosses val="autoZero"/>
        <c:auto val="1"/>
        <c:lblAlgn val="ctr"/>
        <c:lblOffset val="100"/>
        <c:noMultiLvlLbl val="0"/>
      </c:catAx>
      <c:valAx>
        <c:axId val="7590986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599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Number of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'Income Statement'!$B$91</c:f>
              <c:strCache>
                <c:ptCount val="1"/>
                <c:pt idx="0">
                  <c:v>Total</c:v>
                </c:pt>
              </c:strCache>
            </c:strRef>
          </c:tx>
          <c:spPr>
            <a:ln w="28575" cap="rnd">
              <a:solidFill>
                <a:srgbClr val="002060"/>
              </a:solidFill>
              <a:round/>
            </a:ln>
            <a:effectLst/>
          </c:spPr>
          <c:marker>
            <c:symbol val="none"/>
          </c:marker>
          <c:cat>
            <c:strRef>
              <c:f>'Income Statement'!$C$89:$L$90</c:f>
              <c:strCache>
                <c:ptCount val="10"/>
                <c:pt idx="0">
                  <c:v>2023</c:v>
                </c:pt>
                <c:pt idx="1">
                  <c:v>2024</c:v>
                </c:pt>
                <c:pt idx="2">
                  <c:v>2025</c:v>
                </c:pt>
                <c:pt idx="3">
                  <c:v>2026</c:v>
                </c:pt>
                <c:pt idx="4">
                  <c:v>2027</c:v>
                </c:pt>
                <c:pt idx="5">
                  <c:v>2028</c:v>
                </c:pt>
                <c:pt idx="6">
                  <c:v>2029</c:v>
                </c:pt>
                <c:pt idx="7">
                  <c:v>2030</c:v>
                </c:pt>
                <c:pt idx="8">
                  <c:v>2031</c:v>
                </c:pt>
                <c:pt idx="9">
                  <c:v>2032</c:v>
                </c:pt>
              </c:strCache>
            </c:strRef>
          </c:cat>
          <c:val>
            <c:numRef>
              <c:f>'Income Statement'!$C$91:$L$91</c:f>
              <c:numCache>
                <c:formatCode>0</c:formatCode>
                <c:ptCount val="10"/>
                <c:pt idx="0">
                  <c:v>1</c:v>
                </c:pt>
                <c:pt idx="1">
                  <c:v>2.4500000000000002</c:v>
                </c:pt>
                <c:pt idx="2">
                  <c:v>4.9000000000000004</c:v>
                </c:pt>
                <c:pt idx="3">
                  <c:v>7.84</c:v>
                </c:pt>
                <c:pt idx="4">
                  <c:v>10.975999999999999</c:v>
                </c:pt>
                <c:pt idx="5">
                  <c:v>14.268800000000001</c:v>
                </c:pt>
                <c:pt idx="6">
                  <c:v>17.12256</c:v>
                </c:pt>
                <c:pt idx="7">
                  <c:v>18.834816000000004</c:v>
                </c:pt>
                <c:pt idx="8">
                  <c:v>20.718297600000003</c:v>
                </c:pt>
                <c:pt idx="9">
                  <c:v>22.168578432000007</c:v>
                </c:pt>
              </c:numCache>
            </c:numRef>
          </c:val>
          <c:smooth val="0"/>
          <c:extLst>
            <c:ext xmlns:c16="http://schemas.microsoft.com/office/drawing/2014/chart" uri="{C3380CC4-5D6E-409C-BE32-E72D297353CC}">
              <c16:uniqueId val="{00000000-BA15-8D4D-8FFA-6574DCB8E9C0}"/>
            </c:ext>
          </c:extLst>
        </c:ser>
        <c:dLbls>
          <c:showLegendKey val="0"/>
          <c:showVal val="0"/>
          <c:showCatName val="0"/>
          <c:showSerName val="0"/>
          <c:showPercent val="0"/>
          <c:showBubbleSize val="0"/>
        </c:dLbls>
        <c:smooth val="0"/>
        <c:axId val="551216367"/>
        <c:axId val="550905055"/>
      </c:lineChart>
      <c:catAx>
        <c:axId val="55121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905055"/>
        <c:crosses val="autoZero"/>
        <c:auto val="1"/>
        <c:lblAlgn val="ctr"/>
        <c:lblOffset val="100"/>
        <c:noMultiLvlLbl val="0"/>
      </c:catAx>
      <c:valAx>
        <c:axId val="5509050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216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_xlchart.v1.1</cx:f>
      </cx:strDim>
      <cx:numDim type="val">
        <cx:f dir="row">_xlchart.v1.2</cx:f>
      </cx:numDim>
    </cx:data>
  </cx:chartData>
  <cx:chart>
    <cx:title pos="t" align="ctr" overlay="0">
      <cx:tx>
        <cx:txData>
          <cx:v>Net Profit</cx:v>
        </cx:txData>
      </cx:tx>
      <cx:txPr>
        <a:bodyPr spcFirstLastPara="1" vertOverflow="ellipsis" horzOverflow="overflow" wrap="square" lIns="0" tIns="0" rIns="0" bIns="0" anchor="ctr" anchorCtr="1"/>
        <a:lstStyle/>
        <a:p>
          <a:pPr algn="ctr" rtl="0">
            <a:defRPr b="1"/>
          </a:pPr>
          <a:r>
            <a:rPr lang="en-GB" sz="1400" b="1" i="0" u="none" strike="noStrike" baseline="0">
              <a:solidFill>
                <a:sysClr val="windowText" lastClr="000000">
                  <a:lumMod val="65000"/>
                  <a:lumOff val="35000"/>
                </a:sysClr>
              </a:solidFill>
              <a:latin typeface="Calibri" panose="020F0502020204030204"/>
            </a:rPr>
            <a:t>Net Profit</a:t>
          </a:r>
        </a:p>
      </cx:txPr>
    </cx:title>
    <cx:plotArea>
      <cx:plotAreaRegion>
        <cx:series layoutId="waterfall" uniqueId="{B91DBFD8-5A5F-6B42-AD06-254C43423DC6}">
          <cx:tx>
            <cx:txData>
              <cx:f>_xlchart.v1.0</cx:f>
              <cx:v>Net Profit</cx:v>
            </cx:txData>
          </cx:tx>
          <cx:spPr>
            <a:solidFill>
              <a:srgbClr val="C00000"/>
            </a:solidFill>
          </cx:spPr>
          <cx:dataPt idx="4">
            <cx:spPr>
              <a:solidFill>
                <a:srgbClr val="002060"/>
              </a:solidFill>
            </cx:spPr>
          </cx:dataPt>
          <cx:dataPt idx="5">
            <cx:spPr>
              <a:solidFill>
                <a:srgbClr val="002060"/>
              </a:solidFill>
            </cx:spPr>
          </cx:dataPt>
          <cx:dataPt idx="6">
            <cx:spPr>
              <a:solidFill>
                <a:srgbClr val="002060"/>
              </a:solidFill>
            </cx:spPr>
          </cx:dataPt>
          <cx:dataPt idx="7">
            <cx:spPr>
              <a:solidFill>
                <a:srgbClr val="002060"/>
              </a:solidFill>
            </cx:spPr>
          </cx:dataPt>
          <cx:dataPt idx="8">
            <cx:spPr>
              <a:solidFill>
                <a:srgbClr val="002060"/>
              </a:solidFill>
            </cx:spPr>
          </cx:dataPt>
          <cx:dataPt idx="9">
            <cx:spPr>
              <a:solidFill>
                <a:srgbClr val="002060"/>
              </a:solidFill>
            </cx:spPr>
          </cx:dataPt>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12700</xdr:colOff>
      <xdr:row>66</xdr:row>
      <xdr:rowOff>139700</xdr:rowOff>
    </xdr:from>
    <xdr:to>
      <xdr:col>9</xdr:col>
      <xdr:colOff>1257171</xdr:colOff>
      <xdr:row>68</xdr:row>
      <xdr:rowOff>15761</xdr:rowOff>
    </xdr:to>
    <xdr:sp macro="" textlink="">
      <xdr:nvSpPr>
        <xdr:cNvPr id="4" name="TextBox 3">
          <a:extLst>
            <a:ext uri="{FF2B5EF4-FFF2-40B4-BE49-F238E27FC236}">
              <a16:creationId xmlns:a16="http://schemas.microsoft.com/office/drawing/2014/main" id="{14597C61-909D-F842-9C9B-A3462551540D}"/>
            </a:ext>
          </a:extLst>
        </xdr:cNvPr>
        <xdr:cNvSpPr txBox="1"/>
      </xdr:nvSpPr>
      <xdr:spPr>
        <a:xfrm>
          <a:off x="8556336" y="15071821"/>
          <a:ext cx="5246896" cy="286566"/>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1">
              <a:solidFill>
                <a:schemeClr val="bg1"/>
              </a:solidFill>
            </a:rPr>
            <a:t>WACC</a:t>
          </a:r>
        </a:p>
      </xdr:txBody>
    </xdr:sp>
    <xdr:clientData/>
  </xdr:twoCellAnchor>
  <xdr:twoCellAnchor>
    <xdr:from>
      <xdr:col>5</xdr:col>
      <xdr:colOff>575990</xdr:colOff>
      <xdr:row>69</xdr:row>
      <xdr:rowOff>38100</xdr:rowOff>
    </xdr:from>
    <xdr:to>
      <xdr:col>5</xdr:col>
      <xdr:colOff>944290</xdr:colOff>
      <xdr:row>72</xdr:row>
      <xdr:rowOff>190500</xdr:rowOff>
    </xdr:to>
    <xdr:sp macro="" textlink="">
      <xdr:nvSpPr>
        <xdr:cNvPr id="5" name="TextBox 4">
          <a:extLst>
            <a:ext uri="{FF2B5EF4-FFF2-40B4-BE49-F238E27FC236}">
              <a16:creationId xmlns:a16="http://schemas.microsoft.com/office/drawing/2014/main" id="{EB63C297-ED7E-D347-BDA4-3DC3716686E2}"/>
            </a:ext>
          </a:extLst>
        </xdr:cNvPr>
        <xdr:cNvSpPr txBox="1"/>
      </xdr:nvSpPr>
      <xdr:spPr>
        <a:xfrm>
          <a:off x="7785485" y="15585979"/>
          <a:ext cx="368300" cy="768157"/>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a:solidFill>
                <a:schemeClr val="bg1"/>
              </a:solidFill>
            </a:rPr>
            <a:t>g</a:t>
          </a:r>
        </a:p>
      </xdr:txBody>
    </xdr:sp>
    <xdr:clientData/>
  </xdr:twoCellAnchor>
  <xdr:twoCellAnchor>
    <xdr:from>
      <xdr:col>15</xdr:col>
      <xdr:colOff>3848</xdr:colOff>
      <xdr:row>3</xdr:row>
      <xdr:rowOff>97238</xdr:rowOff>
    </xdr:from>
    <xdr:to>
      <xdr:col>23</xdr:col>
      <xdr:colOff>179596</xdr:colOff>
      <xdr:row>22</xdr:row>
      <xdr:rowOff>115454</xdr:rowOff>
    </xdr:to>
    <xdr:graphicFrame macro="">
      <xdr:nvGraphicFramePr>
        <xdr:cNvPr id="9" name="Chart 8">
          <a:extLst>
            <a:ext uri="{FF2B5EF4-FFF2-40B4-BE49-F238E27FC236}">
              <a16:creationId xmlns:a16="http://schemas.microsoft.com/office/drawing/2014/main" id="{DDF80845-B907-C754-269E-42F2CCE395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812029</xdr:colOff>
      <xdr:row>22</xdr:row>
      <xdr:rowOff>84409</xdr:rowOff>
    </xdr:from>
    <xdr:to>
      <xdr:col>25</xdr:col>
      <xdr:colOff>590100</xdr:colOff>
      <xdr:row>53</xdr:row>
      <xdr:rowOff>51314</xdr:rowOff>
    </xdr:to>
    <xdr:graphicFrame macro="">
      <xdr:nvGraphicFramePr>
        <xdr:cNvPr id="12" name="Chart 11">
          <a:extLst>
            <a:ext uri="{FF2B5EF4-FFF2-40B4-BE49-F238E27FC236}">
              <a16:creationId xmlns:a16="http://schemas.microsoft.com/office/drawing/2014/main" id="{10FBB81B-7154-7F0B-9418-4A4266BE22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792788</xdr:colOff>
      <xdr:row>53</xdr:row>
      <xdr:rowOff>64142</xdr:rowOff>
    </xdr:from>
    <xdr:to>
      <xdr:col>22</xdr:col>
      <xdr:colOff>436162</xdr:colOff>
      <xdr:row>70</xdr:row>
      <xdr:rowOff>141111</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76ADA208-5205-957D-ED40-77CDF363A4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8983293" y="11045152"/>
              <a:ext cx="6211455" cy="361757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818445</xdr:colOff>
      <xdr:row>70</xdr:row>
      <xdr:rowOff>110065</xdr:rowOff>
    </xdr:from>
    <xdr:to>
      <xdr:col>24</xdr:col>
      <xdr:colOff>538788</xdr:colOff>
      <xdr:row>95</xdr:row>
      <xdr:rowOff>51311</xdr:rowOff>
    </xdr:to>
    <xdr:graphicFrame macro="">
      <xdr:nvGraphicFramePr>
        <xdr:cNvPr id="15" name="Chart 14">
          <a:extLst>
            <a:ext uri="{FF2B5EF4-FFF2-40B4-BE49-F238E27FC236}">
              <a16:creationId xmlns:a16="http://schemas.microsoft.com/office/drawing/2014/main" id="{3738A012-E804-C4C4-F8D6-F5F779A218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542636</xdr:colOff>
      <xdr:row>75</xdr:row>
      <xdr:rowOff>174208</xdr:rowOff>
    </xdr:from>
    <xdr:to>
      <xdr:col>33</xdr:col>
      <xdr:colOff>243736</xdr:colOff>
      <xdr:row>94</xdr:row>
      <xdr:rowOff>25656</xdr:rowOff>
    </xdr:to>
    <xdr:graphicFrame macro="">
      <xdr:nvGraphicFramePr>
        <xdr:cNvPr id="16" name="Chart 15">
          <a:extLst>
            <a:ext uri="{FF2B5EF4-FFF2-40B4-BE49-F238E27FC236}">
              <a16:creationId xmlns:a16="http://schemas.microsoft.com/office/drawing/2014/main" id="{DBDFF4D1-23A3-0EA6-698A-0D2DF0D13C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esktop/DCF%20Analysis%20Practice/Completed%20DCF/Bu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come Statement"/>
      <sheetName val="Balance Sheet"/>
      <sheetName val="Cash Flow Statement"/>
      <sheetName val="D&amp;A_CapEx"/>
      <sheetName val="WC (Days)"/>
      <sheetName val="Interest Financing"/>
      <sheetName val="DCF_Sens"/>
      <sheetName val="Charts"/>
      <sheetName val="Current Issues"/>
    </sheetNames>
    <sheetDataSet>
      <sheetData sheetId="0"/>
      <sheetData sheetId="1"/>
      <sheetData sheetId="2" refreshError="1"/>
      <sheetData sheetId="3" refreshError="1"/>
      <sheetData sheetId="4"/>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orldwildlife.org/industries/farmed-seaweed" TargetMode="External"/><Relationship Id="rId2" Type="http://schemas.openxmlformats.org/officeDocument/2006/relationships/hyperlink" Target="https://www.ncbi.nlm.nih.gov/pmc/articles/PMC8470807/" TargetMode="External"/><Relationship Id="rId1" Type="http://schemas.openxmlformats.org/officeDocument/2006/relationships/hyperlink" Target="https://extension.usu.edu/crops/research/biochar-impacts-on-crop-yield-and-soil-water-availability" TargetMode="External"/><Relationship Id="rId5" Type="http://schemas.openxmlformats.org/officeDocument/2006/relationships/hyperlink" Target="https://www.ncbi.nlm.nih.gov/pmc/articles/PMC9547092/" TargetMode="External"/><Relationship Id="rId4" Type="http://schemas.openxmlformats.org/officeDocument/2006/relationships/hyperlink" Target="https://kth.diva-portal.org/smash/get/diva2:1523757/FULLTEXT01.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CC038-5187-1646-AAA6-D622B76C82B5}">
  <dimension ref="B1:AA1017"/>
  <sheetViews>
    <sheetView zoomScaleNormal="100" workbookViewId="0">
      <selection activeCell="P13" sqref="P13"/>
    </sheetView>
  </sheetViews>
  <sheetFormatPr baseColWidth="10" defaultRowHeight="16"/>
  <cols>
    <col min="1" max="1" width="2.33203125" customWidth="1"/>
    <col min="2" max="2" width="28.33203125" bestFit="1" customWidth="1"/>
    <col min="3" max="3" width="35.33203125" bestFit="1" customWidth="1"/>
    <col min="4" max="4" width="34.33203125" customWidth="1"/>
    <col min="5" max="5" width="18" bestFit="1" customWidth="1"/>
  </cols>
  <sheetData>
    <row r="1" spans="2:27">
      <c r="B1" s="1"/>
      <c r="C1" s="1"/>
      <c r="D1" s="1"/>
      <c r="E1" s="1"/>
      <c r="F1" s="1"/>
      <c r="G1" s="1"/>
      <c r="H1" s="1"/>
      <c r="I1" s="1"/>
      <c r="J1" s="1"/>
      <c r="K1" s="1"/>
      <c r="L1" s="1"/>
      <c r="M1" s="1"/>
      <c r="N1" s="1"/>
      <c r="O1" s="1"/>
      <c r="P1" s="1"/>
      <c r="Q1" s="1"/>
      <c r="R1" s="1"/>
      <c r="S1" s="1"/>
      <c r="T1" s="1"/>
      <c r="U1" s="1"/>
      <c r="V1" s="1"/>
      <c r="W1" s="1"/>
      <c r="X1" s="1"/>
      <c r="Y1" s="1"/>
      <c r="Z1" s="1"/>
      <c r="AA1" s="1"/>
    </row>
    <row r="2" spans="2:27">
      <c r="B2" s="1"/>
      <c r="C2" s="1"/>
      <c r="D2" s="1"/>
      <c r="E2" s="1"/>
      <c r="F2" s="1"/>
      <c r="G2" s="1"/>
      <c r="H2" s="1"/>
      <c r="I2" s="1"/>
      <c r="J2" s="1"/>
      <c r="K2" s="1"/>
      <c r="L2" s="1"/>
      <c r="M2" s="1"/>
      <c r="N2" s="1"/>
      <c r="O2" s="1"/>
      <c r="P2" s="1"/>
      <c r="Q2" s="1"/>
      <c r="R2" s="1"/>
      <c r="S2" s="1"/>
      <c r="T2" s="1"/>
      <c r="U2" s="1"/>
      <c r="V2" s="1"/>
      <c r="W2" s="1"/>
      <c r="X2" s="1"/>
      <c r="Y2" s="1"/>
      <c r="Z2" s="1"/>
      <c r="AA2" s="1"/>
    </row>
    <row r="3" spans="2:27">
      <c r="B3" s="1" t="s">
        <v>0</v>
      </c>
      <c r="C3" s="2"/>
      <c r="D3" s="1"/>
      <c r="E3" s="1"/>
      <c r="F3" s="1"/>
      <c r="G3" s="1"/>
      <c r="I3" s="1"/>
      <c r="J3" s="1"/>
      <c r="K3" s="1"/>
      <c r="L3" s="1"/>
      <c r="M3" s="1"/>
      <c r="N3" s="1"/>
      <c r="O3" s="1"/>
      <c r="P3" s="1"/>
      <c r="Q3" s="1"/>
      <c r="R3" s="1"/>
      <c r="S3" s="1"/>
      <c r="T3" s="1"/>
      <c r="U3" s="1"/>
      <c r="V3" s="1"/>
      <c r="W3" s="1"/>
      <c r="X3" s="1"/>
      <c r="Y3" s="1"/>
      <c r="Z3" s="1"/>
      <c r="AA3" s="1"/>
    </row>
    <row r="4" spans="2:27">
      <c r="B4" s="1" t="s">
        <v>100</v>
      </c>
      <c r="C4" s="40">
        <v>400</v>
      </c>
      <c r="D4" s="1" t="s">
        <v>88</v>
      </c>
      <c r="E4" s="1"/>
      <c r="F4" s="1"/>
      <c r="G4" s="1"/>
      <c r="I4" s="1"/>
      <c r="J4" s="1"/>
      <c r="K4" s="1"/>
      <c r="L4" s="1"/>
      <c r="M4" s="1"/>
      <c r="N4" s="1"/>
      <c r="O4" s="1"/>
      <c r="P4" s="1"/>
      <c r="Q4" s="1"/>
      <c r="R4" s="1"/>
      <c r="S4" s="1"/>
      <c r="T4" s="1"/>
      <c r="U4" s="1"/>
      <c r="V4" s="1"/>
      <c r="W4" s="1"/>
      <c r="X4" s="1"/>
      <c r="Y4" s="1"/>
      <c r="Z4" s="1"/>
      <c r="AA4" s="1"/>
    </row>
    <row r="5" spans="2:27">
      <c r="B5" s="1" t="s">
        <v>99</v>
      </c>
      <c r="C5" s="39" t="s">
        <v>101</v>
      </c>
      <c r="D5" s="1"/>
      <c r="E5" s="1">
        <f>100*100*0.1</f>
        <v>1000</v>
      </c>
      <c r="F5" s="2" t="s">
        <v>96</v>
      </c>
      <c r="G5" s="1"/>
      <c r="I5" s="1"/>
      <c r="J5" s="1"/>
      <c r="K5" s="1"/>
      <c r="L5" s="1"/>
      <c r="M5" s="1"/>
      <c r="N5" s="1"/>
      <c r="O5" s="1"/>
      <c r="P5" s="1"/>
      <c r="Q5" s="1"/>
      <c r="R5" s="1"/>
      <c r="S5" s="1"/>
      <c r="T5" s="1"/>
      <c r="U5" s="1"/>
      <c r="V5" s="1"/>
      <c r="W5" s="1"/>
      <c r="X5" s="1"/>
      <c r="Y5" s="1"/>
      <c r="Z5" s="1"/>
      <c r="AA5" s="1"/>
    </row>
    <row r="6" spans="2:27">
      <c r="B6" s="1" t="s">
        <v>2</v>
      </c>
      <c r="C6" s="1" t="s">
        <v>102</v>
      </c>
      <c r="D6" s="1"/>
      <c r="E6" s="1">
        <f>180*E5*0.2</f>
        <v>36000</v>
      </c>
      <c r="F6" s="1" t="s">
        <v>96</v>
      </c>
      <c r="G6" s="1"/>
      <c r="I6" s="2" t="s">
        <v>98</v>
      </c>
      <c r="J6" s="1"/>
      <c r="K6" s="1"/>
      <c r="L6" s="1"/>
      <c r="M6" s="1"/>
      <c r="N6" s="1"/>
      <c r="O6" s="1"/>
      <c r="P6" s="1"/>
      <c r="Q6" s="1"/>
      <c r="R6" s="1"/>
      <c r="S6" s="1"/>
      <c r="T6" s="1"/>
      <c r="U6" s="1"/>
      <c r="V6" s="1"/>
      <c r="W6" s="1"/>
      <c r="X6" s="1"/>
      <c r="Y6" s="1"/>
      <c r="Z6" s="1"/>
      <c r="AA6" s="1"/>
    </row>
    <row r="7" spans="2:27">
      <c r="B7" s="1"/>
      <c r="C7" s="1"/>
      <c r="D7" s="1"/>
      <c r="E7" s="1">
        <f>1.5*E6</f>
        <v>54000</v>
      </c>
      <c r="F7" s="1" t="s">
        <v>93</v>
      </c>
      <c r="G7" s="1"/>
      <c r="I7" s="2" t="s">
        <v>97</v>
      </c>
      <c r="J7" s="1"/>
      <c r="K7" s="1"/>
      <c r="L7" s="1"/>
      <c r="M7" s="1"/>
      <c r="N7" s="1"/>
      <c r="O7" s="1"/>
      <c r="P7" s="1"/>
      <c r="Q7" s="1"/>
      <c r="R7" s="1"/>
      <c r="S7" s="1"/>
      <c r="T7" s="1"/>
      <c r="U7" s="1"/>
      <c r="V7" s="1"/>
      <c r="W7" s="1"/>
      <c r="X7" s="1"/>
      <c r="Y7" s="1"/>
      <c r="Z7" s="1"/>
      <c r="AA7" s="1"/>
    </row>
    <row r="8" spans="2:27">
      <c r="B8" s="1"/>
      <c r="C8" s="1"/>
      <c r="D8" s="1"/>
      <c r="E8" s="1">
        <f>E7*0.001</f>
        <v>54</v>
      </c>
      <c r="F8" s="1" t="s">
        <v>91</v>
      </c>
      <c r="G8" s="1"/>
      <c r="I8" s="1"/>
      <c r="J8" s="1"/>
      <c r="K8" s="1"/>
      <c r="L8" s="1"/>
      <c r="M8" s="1"/>
      <c r="N8" s="1"/>
      <c r="O8" s="1"/>
      <c r="P8" s="1"/>
      <c r="Q8" s="1"/>
      <c r="R8" s="1"/>
      <c r="S8" s="1"/>
      <c r="T8" s="1"/>
      <c r="U8" s="1"/>
      <c r="V8" s="1"/>
      <c r="W8" s="1"/>
      <c r="X8" s="1"/>
      <c r="Y8" s="1"/>
      <c r="Z8" s="1"/>
      <c r="AA8" s="1"/>
    </row>
    <row r="9" spans="2:27">
      <c r="C9" s="1"/>
      <c r="D9" s="1"/>
      <c r="E9" s="1">
        <f>400*E8</f>
        <v>21600</v>
      </c>
      <c r="G9" s="1"/>
      <c r="I9" s="1"/>
      <c r="J9" s="1"/>
      <c r="K9" s="1"/>
      <c r="L9" s="1"/>
      <c r="M9" s="1"/>
      <c r="N9" s="1"/>
      <c r="O9" s="1"/>
      <c r="P9" s="1"/>
      <c r="Q9" s="1"/>
      <c r="R9" s="1"/>
      <c r="S9" s="1"/>
      <c r="T9" s="1"/>
      <c r="U9" s="1"/>
      <c r="V9" s="1"/>
      <c r="W9" s="1"/>
      <c r="X9" s="1"/>
      <c r="Y9" s="1"/>
      <c r="Z9" s="1"/>
      <c r="AA9" s="1"/>
    </row>
    <row r="10" spans="2:27">
      <c r="B10" s="2"/>
      <c r="D10" s="1"/>
      <c r="E10" s="1"/>
      <c r="F10" s="1"/>
      <c r="I10" s="2" t="s">
        <v>117</v>
      </c>
      <c r="K10" s="1"/>
      <c r="L10" s="1"/>
      <c r="M10" s="1"/>
      <c r="N10" s="1"/>
      <c r="O10" s="1"/>
      <c r="P10" s="1"/>
      <c r="Q10" s="1"/>
      <c r="R10" s="1"/>
      <c r="S10" s="1"/>
      <c r="T10" s="1"/>
      <c r="U10" s="1"/>
      <c r="V10" s="1"/>
      <c r="W10" s="1"/>
      <c r="X10" s="1"/>
      <c r="Y10" s="1"/>
      <c r="Z10" s="1"/>
      <c r="AA10" s="1"/>
    </row>
    <row r="11" spans="2:27">
      <c r="B11" s="2"/>
      <c r="D11" s="1"/>
      <c r="E11" s="1"/>
      <c r="F11" s="1"/>
      <c r="I11" s="1"/>
      <c r="J11" s="1">
        <v>2021</v>
      </c>
      <c r="K11" s="1">
        <v>2020</v>
      </c>
      <c r="L11" s="1">
        <v>2019</v>
      </c>
      <c r="M11" s="1">
        <v>2018</v>
      </c>
      <c r="N11" s="1">
        <v>2017</v>
      </c>
      <c r="O11" s="1"/>
      <c r="P11" s="1"/>
      <c r="Q11" s="1"/>
      <c r="R11" s="1"/>
      <c r="S11" s="1"/>
      <c r="T11" s="1"/>
      <c r="U11" s="1"/>
      <c r="V11" s="1"/>
      <c r="W11" s="1"/>
      <c r="X11" s="1"/>
      <c r="Y11" s="1"/>
      <c r="Z11" s="1"/>
      <c r="AA11" s="1"/>
    </row>
    <row r="12" spans="2:27">
      <c r="B12" s="2"/>
      <c r="D12" s="1"/>
      <c r="E12" s="1"/>
      <c r="F12" s="1"/>
      <c r="I12" s="1" t="s">
        <v>51</v>
      </c>
      <c r="J12">
        <v>6538</v>
      </c>
      <c r="K12">
        <v>4124</v>
      </c>
      <c r="L12">
        <v>4590</v>
      </c>
      <c r="M12" s="2">
        <v>4429</v>
      </c>
      <c r="N12" s="2">
        <v>4130</v>
      </c>
      <c r="O12" s="1"/>
      <c r="P12" s="1"/>
      <c r="Q12" s="1"/>
      <c r="R12" s="1"/>
      <c r="S12" s="1"/>
      <c r="T12" s="1"/>
      <c r="U12" s="1"/>
      <c r="V12" s="1"/>
      <c r="W12" s="1"/>
      <c r="X12" s="1"/>
      <c r="Y12" s="1"/>
      <c r="Z12" s="1"/>
      <c r="AA12" s="1"/>
    </row>
    <row r="13" spans="2:27">
      <c r="B13" s="2"/>
      <c r="C13" s="1" t="s">
        <v>1</v>
      </c>
      <c r="D13" s="2"/>
      <c r="E13" s="2"/>
      <c r="I13" s="2" t="s">
        <v>57</v>
      </c>
      <c r="J13">
        <v>888</v>
      </c>
      <c r="K13">
        <v>892</v>
      </c>
      <c r="L13">
        <v>875</v>
      </c>
      <c r="M13" s="2">
        <v>888</v>
      </c>
      <c r="N13" s="2">
        <v>883</v>
      </c>
      <c r="O13" s="1"/>
      <c r="P13" s="1"/>
      <c r="Q13" s="1"/>
      <c r="R13" s="1"/>
      <c r="S13" s="1"/>
      <c r="T13" s="1"/>
      <c r="U13" s="1"/>
      <c r="V13" s="1"/>
      <c r="W13" s="1"/>
      <c r="X13" s="1"/>
      <c r="Y13" s="1"/>
      <c r="Z13" s="1"/>
      <c r="AA13" s="1"/>
    </row>
    <row r="14" spans="2:27">
      <c r="B14" s="2"/>
      <c r="C14" s="1" t="s">
        <v>89</v>
      </c>
      <c r="D14" s="2"/>
      <c r="E14" s="2"/>
      <c r="I14" s="2"/>
      <c r="J14" s="21">
        <f>J13/J12</f>
        <v>0.13582135209544202</v>
      </c>
      <c r="K14" s="21">
        <f>K13/K12</f>
        <v>0.2162948593598448</v>
      </c>
      <c r="L14" s="21">
        <f>L13/L12</f>
        <v>0.19063180827886711</v>
      </c>
      <c r="M14" s="21">
        <f>M13/M12</f>
        <v>0.2004967261232784</v>
      </c>
      <c r="N14" s="21">
        <f>N13/N12</f>
        <v>0.21380145278450363</v>
      </c>
      <c r="O14" s="1"/>
      <c r="P14" s="1"/>
      <c r="Q14" s="1"/>
      <c r="R14" s="1"/>
      <c r="S14" s="1"/>
      <c r="T14" s="1"/>
      <c r="U14" s="1"/>
      <c r="V14" s="1"/>
      <c r="W14" s="1"/>
      <c r="X14" s="1"/>
      <c r="Y14" s="1"/>
      <c r="Z14" s="1"/>
      <c r="AA14" s="1"/>
    </row>
    <row r="15" spans="2:27">
      <c r="B15" s="1"/>
      <c r="C15" s="1" t="s">
        <v>90</v>
      </c>
      <c r="D15" s="1"/>
      <c r="E15" s="1"/>
      <c r="I15" s="1" t="s">
        <v>116</v>
      </c>
      <c r="J15" s="42">
        <f>AVERAGE(J14:N14)</f>
        <v>0.19140923972838716</v>
      </c>
      <c r="K15" s="1"/>
      <c r="L15" s="1"/>
      <c r="M15" s="1"/>
      <c r="N15" s="1"/>
      <c r="O15" s="1"/>
      <c r="P15" s="1"/>
      <c r="Q15" s="1"/>
      <c r="R15" s="1"/>
      <c r="S15" s="1"/>
      <c r="T15" s="1"/>
      <c r="U15" s="1"/>
      <c r="V15" s="1"/>
      <c r="W15" s="1"/>
      <c r="X15" s="1"/>
      <c r="Y15" s="1"/>
      <c r="Z15" s="1"/>
      <c r="AA15" s="1"/>
    </row>
    <row r="16" spans="2:27">
      <c r="B16" s="1"/>
      <c r="C16" s="1"/>
      <c r="D16" s="2"/>
      <c r="E16" s="1"/>
      <c r="H16" s="1"/>
      <c r="I16" s="43" t="s">
        <v>118</v>
      </c>
      <c r="J16" s="1">
        <v>514</v>
      </c>
      <c r="K16" s="1">
        <v>309</v>
      </c>
      <c r="L16" s="1">
        <v>404</v>
      </c>
      <c r="M16" s="1">
        <v>422</v>
      </c>
      <c r="N16" s="1">
        <v>473</v>
      </c>
      <c r="O16" s="1"/>
      <c r="P16" s="1"/>
      <c r="Q16" s="1"/>
      <c r="R16" s="1"/>
      <c r="S16" s="1"/>
      <c r="T16" s="1"/>
      <c r="U16" s="1"/>
      <c r="V16" s="1"/>
      <c r="W16" s="1"/>
      <c r="X16" s="1"/>
      <c r="Y16" s="1"/>
      <c r="Z16" s="1"/>
      <c r="AA16" s="1"/>
    </row>
    <row r="17" spans="2:27">
      <c r="B17" s="1"/>
      <c r="C17" s="1" t="s">
        <v>103</v>
      </c>
      <c r="D17" s="2"/>
      <c r="E17" s="1" t="s">
        <v>104</v>
      </c>
      <c r="H17" s="1"/>
      <c r="I17" s="38" t="s">
        <v>119</v>
      </c>
      <c r="J17" s="44">
        <f>J16/J12</f>
        <v>7.8617314163352714E-2</v>
      </c>
      <c r="K17" s="44">
        <f>K16/K12</f>
        <v>7.4927255092143555E-2</v>
      </c>
      <c r="L17" s="44">
        <f>L16/L12</f>
        <v>8.8017429193899779E-2</v>
      </c>
      <c r="M17" s="44">
        <f>M16/M12</f>
        <v>9.5281101828855269E-2</v>
      </c>
      <c r="N17" s="44">
        <f>N16/N12</f>
        <v>0.11452784503631962</v>
      </c>
      <c r="O17" s="1"/>
      <c r="P17" s="1"/>
      <c r="Q17" s="1"/>
      <c r="R17" s="1"/>
      <c r="S17" s="1"/>
      <c r="T17" s="1"/>
      <c r="U17" s="1"/>
      <c r="V17" s="1"/>
      <c r="W17" s="1"/>
      <c r="X17" s="1"/>
      <c r="Y17" s="1"/>
      <c r="Z17" s="1"/>
      <c r="AA17" s="1"/>
    </row>
    <row r="18" spans="2:27">
      <c r="B18" s="1" t="s">
        <v>105</v>
      </c>
      <c r="C18" s="1">
        <f>180*100*100</f>
        <v>1800000</v>
      </c>
      <c r="D18" s="1" t="s">
        <v>107</v>
      </c>
      <c r="E18" s="1">
        <f>180*100*100</f>
        <v>1800000</v>
      </c>
      <c r="H18" s="1"/>
      <c r="I18" s="38"/>
      <c r="J18" s="1"/>
      <c r="K18" s="1"/>
      <c r="L18" s="1"/>
      <c r="M18" s="1"/>
      <c r="N18" s="1"/>
      <c r="O18" s="1"/>
      <c r="P18" s="1"/>
      <c r="Q18" s="1"/>
      <c r="R18" s="1"/>
      <c r="S18" s="1"/>
      <c r="T18" s="1"/>
      <c r="U18" s="1"/>
      <c r="V18" s="1"/>
      <c r="W18" s="1"/>
      <c r="X18" s="1"/>
      <c r="Y18" s="1"/>
      <c r="Z18" s="1"/>
      <c r="AA18" s="1"/>
    </row>
    <row r="19" spans="2:27">
      <c r="B19" s="1" t="s">
        <v>106</v>
      </c>
      <c r="C19" s="1">
        <f>C18*0.1</f>
        <v>180000</v>
      </c>
      <c r="D19" s="1" t="s">
        <v>96</v>
      </c>
      <c r="E19" s="1">
        <f>E18*0.1</f>
        <v>180000</v>
      </c>
      <c r="H19" s="1"/>
      <c r="I19" s="38"/>
      <c r="J19" s="1"/>
      <c r="K19" s="1"/>
      <c r="L19" s="1"/>
      <c r="M19" s="1"/>
      <c r="N19" s="1"/>
      <c r="O19" s="1"/>
      <c r="P19" s="1"/>
      <c r="Q19" s="1"/>
      <c r="R19" s="1"/>
      <c r="S19" s="1"/>
      <c r="T19" s="1"/>
      <c r="U19" s="1"/>
      <c r="V19" s="1"/>
      <c r="W19" s="1"/>
      <c r="X19" s="1"/>
      <c r="Y19" s="1"/>
      <c r="Z19" s="1"/>
      <c r="AA19" s="1"/>
    </row>
    <row r="20" spans="2:27">
      <c r="B20" s="1" t="s">
        <v>108</v>
      </c>
      <c r="C20" s="1">
        <f>C19*0.2*1.5</f>
        <v>54000</v>
      </c>
      <c r="D20" s="1" t="s">
        <v>93</v>
      </c>
      <c r="E20" s="1">
        <f>E19*0.2*1.5</f>
        <v>54000</v>
      </c>
      <c r="H20" s="1" t="s">
        <v>114</v>
      </c>
      <c r="I20" s="38">
        <f>0.5*$E$23</f>
        <v>16200</v>
      </c>
      <c r="J20" s="1"/>
      <c r="K20" s="1"/>
      <c r="L20" s="1"/>
      <c r="M20" s="1"/>
      <c r="N20" s="1"/>
      <c r="O20" s="1"/>
      <c r="P20" s="1"/>
      <c r="Q20" s="1"/>
      <c r="R20" s="1"/>
      <c r="S20" s="1"/>
      <c r="T20" s="1"/>
      <c r="U20" s="1"/>
      <c r="V20" s="1"/>
      <c r="W20" s="1"/>
      <c r="X20" s="1"/>
      <c r="Y20" s="1"/>
      <c r="Z20" s="1"/>
      <c r="AA20" s="1"/>
    </row>
    <row r="21" spans="2:27">
      <c r="B21" s="1" t="s">
        <v>110</v>
      </c>
      <c r="C21">
        <f>C20*0.001</f>
        <v>54</v>
      </c>
      <c r="D21" s="2"/>
      <c r="E21">
        <f>E20*0.001</f>
        <v>54</v>
      </c>
      <c r="H21" s="1" t="s">
        <v>82</v>
      </c>
      <c r="I21" s="38">
        <f>0.5*$E$23</f>
        <v>16200</v>
      </c>
      <c r="J21" s="1"/>
      <c r="K21" s="1"/>
      <c r="L21" s="1"/>
      <c r="M21" s="1"/>
      <c r="N21" s="1"/>
      <c r="O21" s="1"/>
      <c r="P21" s="1"/>
      <c r="Q21" s="1"/>
      <c r="R21" s="1"/>
      <c r="S21" s="1"/>
      <c r="T21" s="1"/>
      <c r="U21" s="1"/>
      <c r="V21" s="1"/>
      <c r="W21" s="1"/>
      <c r="X21" s="1"/>
      <c r="Y21" s="1"/>
      <c r="Z21" s="1"/>
      <c r="AA21" s="1"/>
    </row>
    <row r="22" spans="2:27">
      <c r="B22" s="1" t="s">
        <v>109</v>
      </c>
      <c r="C22" s="1">
        <f>400</f>
        <v>400</v>
      </c>
      <c r="D22" s="2"/>
      <c r="E22" s="1">
        <v>600</v>
      </c>
      <c r="H22" s="1"/>
      <c r="I22" s="38"/>
      <c r="J22" s="1"/>
      <c r="K22" s="1"/>
      <c r="L22" s="1"/>
      <c r="M22" s="1"/>
      <c r="N22" s="1"/>
      <c r="O22" s="1"/>
      <c r="P22" s="1"/>
      <c r="Q22" s="1"/>
      <c r="R22" s="1"/>
      <c r="S22" s="1"/>
      <c r="T22" s="1"/>
      <c r="U22" s="1"/>
      <c r="V22" s="1"/>
      <c r="W22" s="1"/>
      <c r="X22" s="1"/>
      <c r="Y22" s="1"/>
      <c r="Z22" s="1"/>
      <c r="AA22" s="1"/>
    </row>
    <row r="23" spans="2:27">
      <c r="B23" s="1" t="s">
        <v>111</v>
      </c>
      <c r="C23" s="2">
        <f>C21*C22</f>
        <v>21600</v>
      </c>
      <c r="D23" s="2" t="s">
        <v>112</v>
      </c>
      <c r="E23" s="2">
        <f>E21*E22</f>
        <v>32400</v>
      </c>
      <c r="F23" s="2" t="s">
        <v>112</v>
      </c>
      <c r="H23" s="1" t="s">
        <v>115</v>
      </c>
      <c r="I23" s="41">
        <f>C23/E23</f>
        <v>0.66666666666666663</v>
      </c>
      <c r="J23" s="1"/>
      <c r="K23" s="1"/>
      <c r="L23" s="1"/>
      <c r="M23" s="1"/>
      <c r="N23" s="1"/>
      <c r="O23" s="1"/>
      <c r="P23" s="1"/>
      <c r="Q23" s="1"/>
      <c r="R23" s="1"/>
      <c r="S23" s="1"/>
      <c r="T23" s="1"/>
      <c r="U23" s="1"/>
      <c r="V23" s="1"/>
      <c r="W23" s="1"/>
      <c r="X23" s="1"/>
      <c r="Y23" s="1"/>
      <c r="Z23" s="1"/>
      <c r="AA23" s="1"/>
    </row>
    <row r="24" spans="2:27">
      <c r="B24" s="1" t="s">
        <v>113</v>
      </c>
      <c r="C24" s="1" t="s">
        <v>4</v>
      </c>
      <c r="D24" s="1"/>
      <c r="E24" s="2">
        <f>E23-C23</f>
        <v>10800</v>
      </c>
      <c r="F24" s="16" t="s">
        <v>112</v>
      </c>
      <c r="H24" s="1"/>
      <c r="I24" s="38"/>
      <c r="J24" s="1"/>
      <c r="K24" s="1"/>
      <c r="L24" s="1"/>
      <c r="M24" s="1"/>
      <c r="N24" s="1"/>
      <c r="O24" s="1"/>
      <c r="P24" s="1"/>
      <c r="Q24" s="1"/>
      <c r="R24" s="1"/>
      <c r="S24" s="1"/>
      <c r="T24" s="1"/>
      <c r="U24" s="1"/>
      <c r="V24" s="1"/>
      <c r="W24" s="1"/>
      <c r="X24" s="1"/>
      <c r="Y24" s="1"/>
      <c r="Z24" s="1"/>
      <c r="AA24" s="1"/>
    </row>
    <row r="25" spans="2:27">
      <c r="B25" s="1"/>
      <c r="C25" s="1"/>
      <c r="D25" s="1"/>
      <c r="E25" s="1"/>
      <c r="H25" s="1"/>
      <c r="I25" s="38"/>
      <c r="J25" s="1"/>
      <c r="K25" s="1"/>
      <c r="L25" s="1"/>
      <c r="M25" s="1"/>
      <c r="N25" s="1"/>
      <c r="O25" s="1"/>
      <c r="P25" s="1"/>
      <c r="Q25" s="1"/>
      <c r="R25" s="1"/>
      <c r="S25" s="1"/>
      <c r="T25" s="1"/>
      <c r="U25" s="1"/>
      <c r="V25" s="1"/>
      <c r="W25" s="1"/>
      <c r="X25" s="1"/>
      <c r="Y25" s="1"/>
      <c r="Z25" s="1"/>
      <c r="AA25" s="1"/>
    </row>
    <row r="26" spans="2:27">
      <c r="B26" s="1"/>
      <c r="C26" s="1"/>
      <c r="D26" s="1"/>
      <c r="E26" s="1"/>
      <c r="H26" s="1"/>
      <c r="I26" s="38"/>
      <c r="J26" s="1"/>
      <c r="K26" s="1"/>
      <c r="L26" s="1"/>
      <c r="M26" s="1"/>
      <c r="N26" s="1"/>
      <c r="O26" s="1"/>
      <c r="P26" s="1"/>
      <c r="Q26" s="1"/>
      <c r="R26" s="1"/>
      <c r="S26" s="1"/>
      <c r="T26" s="1"/>
      <c r="U26" s="1"/>
      <c r="V26" s="1"/>
      <c r="W26" s="1"/>
      <c r="X26" s="1"/>
      <c r="Y26" s="1"/>
      <c r="Z26" s="1"/>
      <c r="AA26" s="1"/>
    </row>
    <row r="27" spans="2:27">
      <c r="B27" s="1"/>
      <c r="C27" s="1"/>
      <c r="D27" s="1"/>
      <c r="E27" s="1"/>
      <c r="H27" s="1"/>
      <c r="I27" s="38"/>
      <c r="J27" s="1"/>
      <c r="K27" s="1"/>
      <c r="L27" s="1"/>
      <c r="M27" s="1"/>
      <c r="N27" s="1"/>
      <c r="O27" s="1"/>
      <c r="P27" s="1"/>
      <c r="Q27" s="1"/>
      <c r="R27" s="1"/>
      <c r="S27" s="1"/>
      <c r="T27" s="1"/>
      <c r="U27" s="1"/>
      <c r="V27" s="1"/>
      <c r="W27" s="1"/>
      <c r="X27" s="1"/>
      <c r="Y27" s="1"/>
      <c r="Z27" s="1"/>
      <c r="AA27" s="1"/>
    </row>
    <row r="28" spans="2:27">
      <c r="B28" s="1"/>
      <c r="C28" s="1" t="s">
        <v>3</v>
      </c>
      <c r="D28" s="1" t="s">
        <v>7</v>
      </c>
      <c r="E28" s="1"/>
      <c r="G28" s="1"/>
      <c r="H28" s="1"/>
      <c r="I28" s="1"/>
      <c r="J28" s="1"/>
      <c r="K28" s="1"/>
      <c r="L28" s="1"/>
      <c r="M28" s="1"/>
      <c r="N28" s="1"/>
      <c r="O28" s="1"/>
      <c r="P28" s="1"/>
      <c r="Q28" s="1"/>
      <c r="R28" s="1"/>
      <c r="S28" s="1"/>
      <c r="T28" s="1"/>
      <c r="U28" s="1"/>
      <c r="V28" s="1"/>
      <c r="W28" s="1"/>
      <c r="X28" s="1"/>
      <c r="Y28" s="1"/>
      <c r="Z28" s="1"/>
      <c r="AA28" s="1"/>
    </row>
    <row r="29" spans="2:27">
      <c r="B29" s="1"/>
      <c r="C29" s="1" t="s">
        <v>5</v>
      </c>
      <c r="D29" s="1" t="s">
        <v>6</v>
      </c>
      <c r="E29" s="1" t="s">
        <v>95</v>
      </c>
      <c r="F29" s="1"/>
      <c r="G29" s="1"/>
      <c r="H29" s="1"/>
      <c r="I29" s="1"/>
      <c r="J29" s="1"/>
      <c r="K29" s="1"/>
      <c r="L29" s="1"/>
      <c r="M29" s="1"/>
      <c r="N29" s="1"/>
      <c r="O29" s="1"/>
      <c r="P29" s="1"/>
      <c r="Q29" s="1"/>
      <c r="R29" s="1"/>
      <c r="S29" s="1"/>
      <c r="T29" s="1"/>
      <c r="U29" s="1"/>
      <c r="V29" s="1"/>
      <c r="W29" s="1"/>
      <c r="X29" s="1"/>
      <c r="Y29" s="1"/>
      <c r="Z29" s="1"/>
      <c r="AA29" s="1"/>
    </row>
    <row r="30" spans="2:27">
      <c r="B30" s="2"/>
      <c r="C30" s="1" t="s">
        <v>8</v>
      </c>
      <c r="D30" s="1" t="s">
        <v>92</v>
      </c>
      <c r="E30" s="2"/>
      <c r="F30" s="1" t="s">
        <v>13</v>
      </c>
      <c r="G30" s="2"/>
      <c r="H30" s="2"/>
      <c r="I30" s="2"/>
      <c r="J30" s="2"/>
      <c r="K30" s="2"/>
      <c r="L30" s="2"/>
      <c r="M30" s="2"/>
      <c r="N30" s="1"/>
      <c r="O30" s="1"/>
      <c r="P30" s="1"/>
      <c r="Q30" s="1"/>
      <c r="R30" s="1"/>
      <c r="S30" s="1"/>
      <c r="T30" s="1"/>
      <c r="U30" s="1"/>
      <c r="V30" s="1"/>
      <c r="W30" s="1"/>
      <c r="X30" s="1"/>
      <c r="Y30" s="1"/>
      <c r="Z30" s="1"/>
      <c r="AA30" s="1"/>
    </row>
    <row r="31" spans="2:27">
      <c r="B31" s="1"/>
      <c r="C31" s="1" t="s">
        <v>9</v>
      </c>
      <c r="D31" s="3" t="s">
        <v>10</v>
      </c>
      <c r="E31" s="3"/>
      <c r="F31" s="3"/>
      <c r="G31" s="3"/>
      <c r="H31" s="3"/>
      <c r="I31" s="3"/>
      <c r="J31" s="3"/>
      <c r="K31" s="3"/>
      <c r="L31" s="3"/>
      <c r="M31" s="3"/>
      <c r="N31" s="1"/>
      <c r="O31" s="1"/>
      <c r="P31" s="1"/>
      <c r="Q31" s="1"/>
      <c r="R31" s="1"/>
      <c r="S31" s="1"/>
      <c r="T31" s="1"/>
      <c r="U31" s="1"/>
      <c r="V31" s="1"/>
      <c r="W31" s="1"/>
      <c r="X31" s="1"/>
      <c r="Y31" s="1"/>
      <c r="Z31" s="1"/>
      <c r="AA31" s="1"/>
    </row>
    <row r="32" spans="2:27">
      <c r="B32" s="1"/>
      <c r="D32" s="3" t="s">
        <v>4</v>
      </c>
      <c r="E32" s="3"/>
      <c r="F32" s="3"/>
      <c r="G32" s="3"/>
      <c r="H32" s="3"/>
      <c r="I32" s="3"/>
      <c r="J32" s="3"/>
      <c r="K32" s="3"/>
      <c r="L32" s="3"/>
      <c r="M32" s="3"/>
      <c r="N32" s="1"/>
      <c r="O32" s="1"/>
      <c r="P32" s="1"/>
      <c r="Q32" s="1"/>
      <c r="R32" s="1"/>
      <c r="S32" s="1"/>
      <c r="T32" s="1"/>
      <c r="U32" s="1"/>
      <c r="V32" s="1"/>
      <c r="W32" s="1"/>
      <c r="X32" s="1"/>
      <c r="Y32" s="1"/>
      <c r="Z32" s="1"/>
      <c r="AA32" s="1"/>
    </row>
    <row r="33" spans="2:27">
      <c r="B33" s="1"/>
      <c r="C33" s="1"/>
      <c r="D33" s="3"/>
      <c r="E33" s="3"/>
      <c r="F33" s="3"/>
      <c r="G33" s="3"/>
      <c r="H33" s="3"/>
      <c r="I33" s="3"/>
      <c r="J33" s="3"/>
      <c r="K33" s="3"/>
      <c r="L33" s="3"/>
      <c r="M33" s="3"/>
      <c r="N33" s="1"/>
      <c r="O33" s="1"/>
      <c r="P33" s="1"/>
      <c r="Q33" s="1"/>
      <c r="R33" s="1"/>
      <c r="S33" s="1"/>
      <c r="T33" s="1"/>
      <c r="U33" s="1"/>
      <c r="V33" s="1"/>
      <c r="W33" s="1"/>
      <c r="X33" s="1"/>
      <c r="Y33" s="1"/>
      <c r="Z33" s="1"/>
      <c r="AA33" s="1"/>
    </row>
    <row r="34" spans="2:27">
      <c r="B34" s="1"/>
      <c r="C34" s="1" t="s">
        <v>94</v>
      </c>
      <c r="D34" s="1" t="s">
        <v>125</v>
      </c>
      <c r="E34" s="1"/>
      <c r="F34" s="1" t="s">
        <v>37</v>
      </c>
      <c r="G34" s="1"/>
      <c r="H34" s="1"/>
      <c r="I34" s="1"/>
      <c r="J34" s="1"/>
      <c r="K34" s="1"/>
      <c r="L34" s="1"/>
      <c r="M34" s="1"/>
      <c r="N34" s="1"/>
      <c r="O34" s="1"/>
      <c r="P34" s="1"/>
      <c r="Q34" s="1"/>
      <c r="R34" s="1"/>
      <c r="S34" s="1"/>
      <c r="T34" s="1"/>
      <c r="U34" s="1"/>
      <c r="V34" s="1"/>
      <c r="W34" s="1"/>
      <c r="X34" s="1"/>
      <c r="Y34" s="1"/>
      <c r="Z34" s="1"/>
      <c r="AA34" s="1"/>
    </row>
    <row r="35" spans="2:27">
      <c r="B35" s="2"/>
      <c r="C35" s="1" t="s">
        <v>11</v>
      </c>
      <c r="D35" s="1" t="s">
        <v>87</v>
      </c>
      <c r="F35" s="12" t="s">
        <v>12</v>
      </c>
      <c r="G35" s="1"/>
      <c r="H35" s="1"/>
      <c r="I35" s="1"/>
      <c r="J35" s="1"/>
      <c r="K35" s="1"/>
      <c r="L35" s="1"/>
      <c r="M35" s="1"/>
      <c r="N35" s="1"/>
      <c r="O35" s="1"/>
      <c r="P35" s="1"/>
      <c r="Q35" s="1"/>
      <c r="R35" s="1"/>
      <c r="S35" s="1"/>
      <c r="T35" s="1"/>
      <c r="U35" s="1"/>
      <c r="V35" s="1"/>
      <c r="W35" s="1"/>
      <c r="X35" s="1"/>
      <c r="Y35" s="1"/>
      <c r="Z35" s="1"/>
      <c r="AA35" s="1"/>
    </row>
    <row r="36" spans="2:27">
      <c r="B36" s="1"/>
      <c r="C36" s="1"/>
      <c r="D36" s="3"/>
      <c r="E36" s="3"/>
      <c r="F36" s="3"/>
      <c r="G36" s="3"/>
      <c r="H36" s="3"/>
      <c r="I36" s="3"/>
      <c r="J36" s="3"/>
      <c r="K36" s="3"/>
      <c r="L36" s="3"/>
      <c r="M36" s="3"/>
      <c r="N36" s="1"/>
      <c r="O36" s="1"/>
      <c r="P36" s="1"/>
      <c r="Q36" s="1"/>
      <c r="R36" s="1"/>
      <c r="S36" s="1"/>
      <c r="T36" s="1"/>
      <c r="U36" s="1"/>
      <c r="V36" s="1"/>
      <c r="W36" s="1"/>
      <c r="X36" s="1"/>
      <c r="Y36" s="1"/>
      <c r="Z36" s="1"/>
      <c r="AA36" s="1"/>
    </row>
    <row r="37" spans="2:27">
      <c r="B37" s="1"/>
      <c r="C37" s="1" t="s">
        <v>42</v>
      </c>
      <c r="D37" s="3"/>
      <c r="E37" s="3"/>
      <c r="F37" s="3" t="s">
        <v>43</v>
      </c>
      <c r="G37" s="3"/>
      <c r="H37" s="3"/>
      <c r="I37" s="3"/>
      <c r="J37" s="3"/>
      <c r="K37" s="3"/>
      <c r="L37" s="3"/>
      <c r="M37" s="3"/>
      <c r="N37" s="1"/>
      <c r="O37" s="1"/>
      <c r="P37" s="1"/>
      <c r="Q37" s="1"/>
      <c r="R37" s="1"/>
      <c r="S37" s="1"/>
      <c r="T37" s="1"/>
      <c r="U37" s="1"/>
      <c r="V37" s="1"/>
      <c r="W37" s="1"/>
      <c r="X37" s="1"/>
      <c r="Y37" s="1"/>
      <c r="Z37" s="1"/>
      <c r="AA37" s="1"/>
    </row>
    <row r="38" spans="2:27">
      <c r="B38" s="1"/>
      <c r="C38" s="1" t="s">
        <v>44</v>
      </c>
      <c r="D38" s="3"/>
      <c r="E38" s="3"/>
      <c r="F38" s="3" t="s">
        <v>45</v>
      </c>
      <c r="G38" s="3"/>
      <c r="H38" s="3"/>
      <c r="I38" s="3"/>
      <c r="J38" s="3"/>
      <c r="K38" s="3"/>
      <c r="L38" s="3"/>
      <c r="M38" s="3"/>
      <c r="N38" s="1"/>
      <c r="O38" s="1"/>
      <c r="P38" s="1"/>
      <c r="Q38" s="1"/>
      <c r="R38" s="1"/>
      <c r="S38" s="1"/>
      <c r="T38" s="1"/>
      <c r="U38" s="1"/>
      <c r="V38" s="1"/>
      <c r="W38" s="1"/>
      <c r="X38" s="1"/>
      <c r="Y38" s="1"/>
      <c r="Z38" s="1"/>
      <c r="AA38" s="1"/>
    </row>
    <row r="39" spans="2:27">
      <c r="B39" s="2"/>
      <c r="C39" s="1"/>
      <c r="D39" s="1"/>
      <c r="E39" s="1"/>
      <c r="F39" s="1"/>
      <c r="G39" s="1"/>
      <c r="H39" s="1"/>
      <c r="I39" s="1"/>
      <c r="J39" s="1"/>
      <c r="K39" s="1"/>
      <c r="L39" s="1"/>
      <c r="M39" s="1"/>
      <c r="N39" s="1"/>
      <c r="O39" s="1"/>
      <c r="P39" s="1"/>
      <c r="Q39" s="1"/>
      <c r="R39" s="1"/>
      <c r="S39" s="1"/>
      <c r="T39" s="1"/>
      <c r="U39" s="1"/>
      <c r="V39" s="1"/>
      <c r="W39" s="1"/>
      <c r="X39" s="1"/>
      <c r="Y39" s="1"/>
      <c r="Z39" s="1"/>
      <c r="AA39" s="1"/>
    </row>
    <row r="40" spans="2:27">
      <c r="B40" s="2"/>
      <c r="C40" s="1"/>
      <c r="D40" s="1"/>
      <c r="E40" s="1"/>
      <c r="F40" s="1"/>
      <c r="G40" s="1"/>
      <c r="H40" s="1"/>
      <c r="I40" s="1"/>
      <c r="J40" s="1"/>
      <c r="K40" s="1"/>
      <c r="L40" s="1"/>
      <c r="M40" s="1"/>
      <c r="N40" s="1"/>
      <c r="O40" s="1"/>
      <c r="P40" s="1"/>
      <c r="Q40" s="1"/>
      <c r="R40" s="1"/>
      <c r="S40" s="1"/>
      <c r="T40" s="1"/>
      <c r="U40" s="1"/>
      <c r="V40" s="1"/>
      <c r="W40" s="1"/>
      <c r="X40" s="1"/>
      <c r="Y40" s="1"/>
      <c r="Z40" s="1"/>
      <c r="AA40" s="1"/>
    </row>
    <row r="41" spans="2:27">
      <c r="B41" s="1"/>
      <c r="C41" s="1"/>
      <c r="D41" s="3"/>
      <c r="E41" s="3"/>
      <c r="F41" s="3"/>
      <c r="G41" s="3"/>
      <c r="H41" s="3"/>
      <c r="I41" s="3"/>
      <c r="J41" s="3"/>
      <c r="K41" s="3"/>
      <c r="L41" s="3"/>
      <c r="M41" s="3"/>
      <c r="N41" s="1"/>
      <c r="O41" s="1"/>
      <c r="P41" s="1"/>
      <c r="Q41" s="1"/>
      <c r="R41" s="1"/>
      <c r="S41" s="1"/>
      <c r="T41" s="1"/>
      <c r="U41" s="1"/>
      <c r="V41" s="1"/>
      <c r="W41" s="1"/>
      <c r="X41" s="1"/>
      <c r="Y41" s="1"/>
      <c r="Z41" s="1"/>
      <c r="AA41" s="1"/>
    </row>
    <row r="42" spans="2:27">
      <c r="B42" s="1"/>
      <c r="C42" s="1"/>
      <c r="D42" s="3"/>
      <c r="E42" s="3"/>
      <c r="F42" s="13" t="s">
        <v>14</v>
      </c>
      <c r="G42" s="3"/>
      <c r="H42" s="3"/>
      <c r="I42" s="3"/>
      <c r="J42" s="3"/>
      <c r="K42" s="3"/>
      <c r="L42" s="3"/>
      <c r="M42" s="3"/>
      <c r="N42" s="1"/>
      <c r="O42" s="1"/>
      <c r="P42" s="1"/>
      <c r="Q42" s="1"/>
      <c r="R42" s="1"/>
      <c r="S42" s="1"/>
      <c r="T42" s="1"/>
      <c r="U42" s="1"/>
      <c r="V42" s="1"/>
      <c r="W42" s="1"/>
      <c r="X42" s="1"/>
      <c r="Y42" s="1"/>
      <c r="Z42" s="1"/>
      <c r="AA42" s="1"/>
    </row>
    <row r="43" spans="2:27">
      <c r="B43" s="1"/>
      <c r="C43" s="1"/>
      <c r="D43" s="3"/>
      <c r="E43" s="3"/>
      <c r="F43" s="3" t="s">
        <v>15</v>
      </c>
      <c r="G43" s="3"/>
      <c r="H43" s="3"/>
      <c r="I43" s="3"/>
      <c r="J43" s="3"/>
      <c r="K43" s="3"/>
      <c r="L43" s="3"/>
      <c r="M43" s="3"/>
      <c r="N43" s="1"/>
      <c r="O43" s="1"/>
      <c r="P43" s="1"/>
      <c r="Q43" s="1"/>
      <c r="R43" s="1"/>
      <c r="S43" s="1"/>
      <c r="T43" s="1"/>
      <c r="U43" s="1"/>
      <c r="V43" s="1"/>
      <c r="W43" s="1"/>
      <c r="X43" s="1"/>
      <c r="Y43" s="1"/>
      <c r="Z43" s="1"/>
      <c r="AA43" s="1"/>
    </row>
    <row r="44" spans="2:27">
      <c r="B44" s="1"/>
      <c r="C44" s="1"/>
      <c r="D44" s="1"/>
      <c r="E44" s="1"/>
      <c r="F44" s="1"/>
      <c r="G44" s="1"/>
      <c r="H44" s="1"/>
      <c r="I44" s="1"/>
      <c r="J44" s="1"/>
      <c r="K44" s="1"/>
      <c r="L44" s="1"/>
      <c r="M44" s="1"/>
      <c r="N44" s="1"/>
      <c r="O44" s="1"/>
      <c r="P44" s="1"/>
      <c r="Q44" s="1"/>
      <c r="R44" s="1"/>
      <c r="S44" s="1"/>
      <c r="T44" s="1"/>
      <c r="U44" s="1"/>
      <c r="V44" s="1"/>
      <c r="W44" s="1"/>
      <c r="X44" s="1"/>
      <c r="Y44" s="1"/>
      <c r="Z44" s="1"/>
      <c r="AA44" s="1"/>
    </row>
    <row r="45" spans="2:27">
      <c r="B45" s="2"/>
      <c r="C45" s="1" t="s">
        <v>38</v>
      </c>
      <c r="D45" s="1"/>
      <c r="E45" s="1" t="s">
        <v>17</v>
      </c>
      <c r="F45" s="1" t="s">
        <v>16</v>
      </c>
      <c r="G45" s="1"/>
      <c r="H45" s="1"/>
      <c r="I45" s="1"/>
      <c r="J45" s="1"/>
      <c r="K45" s="1"/>
      <c r="L45" s="1"/>
      <c r="M45" s="1"/>
      <c r="N45" s="1"/>
      <c r="O45" s="1"/>
      <c r="P45" s="1"/>
      <c r="Q45" s="1"/>
      <c r="R45" s="1"/>
      <c r="S45" s="1"/>
      <c r="T45" s="1"/>
      <c r="U45" s="1"/>
      <c r="V45" s="1"/>
      <c r="W45" s="1"/>
      <c r="X45" s="1"/>
      <c r="Y45" s="1"/>
      <c r="Z45" s="1"/>
      <c r="AA45" s="1"/>
    </row>
    <row r="46" spans="2:27">
      <c r="B46" s="1"/>
      <c r="C46" s="1" t="s">
        <v>39</v>
      </c>
      <c r="D46" s="3"/>
      <c r="E46" s="3" t="s">
        <v>20</v>
      </c>
      <c r="F46" s="11" t="s">
        <v>21</v>
      </c>
      <c r="G46" s="3"/>
      <c r="H46" s="3"/>
      <c r="I46" s="3"/>
      <c r="J46" s="3"/>
      <c r="K46" s="3"/>
      <c r="L46" s="3"/>
      <c r="M46" s="3"/>
      <c r="N46" s="1"/>
      <c r="O46" s="1"/>
      <c r="P46" s="1"/>
      <c r="Q46" s="1"/>
      <c r="R46" s="1"/>
      <c r="S46" s="1"/>
      <c r="T46" s="1"/>
      <c r="U46" s="1"/>
      <c r="V46" s="1"/>
      <c r="W46" s="1"/>
      <c r="X46" s="1"/>
      <c r="Y46" s="1"/>
      <c r="Z46" s="1"/>
      <c r="AA46" s="1"/>
    </row>
    <row r="47" spans="2:27">
      <c r="B47" s="1"/>
      <c r="C47" s="1" t="s">
        <v>46</v>
      </c>
      <c r="D47" s="3"/>
      <c r="F47" t="s">
        <v>47</v>
      </c>
      <c r="G47" s="3"/>
      <c r="H47" s="3"/>
      <c r="I47" s="3"/>
      <c r="J47" s="3"/>
      <c r="K47" s="3"/>
      <c r="L47" s="3"/>
      <c r="M47" s="3"/>
      <c r="N47" s="1"/>
      <c r="O47" s="1"/>
      <c r="P47" s="1"/>
      <c r="Q47" s="1"/>
      <c r="R47" s="1"/>
      <c r="S47" s="1"/>
      <c r="T47" s="1"/>
      <c r="U47" s="1"/>
      <c r="V47" s="1"/>
      <c r="W47" s="1"/>
      <c r="X47" s="1"/>
      <c r="Y47" s="1"/>
      <c r="Z47" s="1"/>
      <c r="AA47" s="1"/>
    </row>
    <row r="48" spans="2:27">
      <c r="B48" s="1"/>
      <c r="C48" s="1"/>
      <c r="D48" s="3"/>
      <c r="E48" s="3" t="s">
        <v>36</v>
      </c>
      <c r="F48" s="3" t="s">
        <v>22</v>
      </c>
      <c r="G48" s="3"/>
      <c r="H48" s="3"/>
      <c r="I48" s="3"/>
      <c r="J48" s="3"/>
      <c r="K48" s="3"/>
      <c r="L48" s="3"/>
      <c r="M48" s="3"/>
      <c r="N48" s="1"/>
      <c r="O48" s="1"/>
      <c r="P48" s="1"/>
      <c r="Q48" s="1"/>
      <c r="R48" s="1"/>
      <c r="S48" s="1"/>
      <c r="T48" s="1"/>
      <c r="U48" s="1"/>
      <c r="V48" s="1"/>
      <c r="W48" s="1"/>
      <c r="X48" s="1"/>
      <c r="Y48" s="1"/>
      <c r="Z48" s="1"/>
      <c r="AA48" s="1"/>
    </row>
    <row r="49" spans="2:27">
      <c r="B49" s="1"/>
      <c r="C49" s="1"/>
      <c r="D49" s="3"/>
      <c r="E49" s="3"/>
      <c r="F49" s="3"/>
      <c r="G49" s="3"/>
      <c r="H49" s="3"/>
      <c r="I49" s="3"/>
      <c r="J49" s="3"/>
      <c r="K49" s="3"/>
      <c r="L49" s="3"/>
      <c r="M49" s="3"/>
      <c r="N49" s="1"/>
      <c r="O49" s="1"/>
      <c r="P49" s="1"/>
      <c r="Q49" s="1"/>
      <c r="R49" s="1"/>
      <c r="S49" s="1"/>
      <c r="T49" s="1"/>
      <c r="U49" s="1"/>
      <c r="V49" s="1"/>
      <c r="W49" s="1"/>
      <c r="X49" s="1"/>
      <c r="Y49" s="1"/>
      <c r="Z49" s="1"/>
      <c r="AA49" s="1"/>
    </row>
    <row r="50" spans="2:27">
      <c r="B50" s="1"/>
      <c r="C50" s="1" t="s">
        <v>40</v>
      </c>
      <c r="D50" s="1"/>
      <c r="F50" s="10" t="s">
        <v>33</v>
      </c>
      <c r="G50" s="1"/>
      <c r="H50" s="1"/>
      <c r="I50" s="1"/>
      <c r="J50" s="1"/>
      <c r="K50" s="1"/>
      <c r="L50" s="1"/>
      <c r="M50" s="1"/>
      <c r="N50" s="1"/>
      <c r="O50" s="1"/>
      <c r="P50" s="1"/>
      <c r="Q50" s="1"/>
      <c r="R50" s="1"/>
      <c r="S50" s="1"/>
      <c r="T50" s="1"/>
      <c r="U50" s="1"/>
      <c r="V50" s="1"/>
      <c r="W50" s="1"/>
      <c r="X50" s="1"/>
      <c r="Y50" s="1"/>
      <c r="Z50" s="1"/>
      <c r="AA50" s="1"/>
    </row>
    <row r="51" spans="2:27">
      <c r="B51" s="2"/>
      <c r="D51" s="1"/>
      <c r="E51" s="1"/>
      <c r="F51" s="1"/>
      <c r="G51" s="1"/>
      <c r="H51" s="1"/>
      <c r="I51" s="1"/>
      <c r="J51" s="1"/>
      <c r="K51" s="1"/>
      <c r="L51" s="1"/>
      <c r="M51" s="1"/>
      <c r="N51" s="1"/>
      <c r="O51" s="1"/>
      <c r="P51" s="1"/>
      <c r="Q51" s="1"/>
      <c r="R51" s="1"/>
      <c r="S51" s="1"/>
      <c r="T51" s="1"/>
      <c r="U51" s="1"/>
      <c r="V51" s="1"/>
      <c r="W51" s="1"/>
      <c r="X51" s="1"/>
      <c r="Y51" s="1"/>
      <c r="Z51" s="1"/>
      <c r="AA51" s="1"/>
    </row>
    <row r="52" spans="2:27">
      <c r="B52" s="1"/>
      <c r="C52" s="1"/>
      <c r="D52" s="1"/>
      <c r="E52" s="1"/>
      <c r="F52" s="2"/>
      <c r="G52" s="1"/>
      <c r="H52" s="1"/>
      <c r="I52" s="1"/>
      <c r="J52" s="1"/>
      <c r="K52" s="1"/>
      <c r="L52" s="1"/>
      <c r="M52" s="1"/>
      <c r="N52" s="1"/>
      <c r="O52" s="1"/>
      <c r="P52" s="1"/>
      <c r="Q52" s="1"/>
      <c r="R52" s="1"/>
      <c r="S52" s="1"/>
      <c r="T52" s="1"/>
      <c r="U52" s="1"/>
      <c r="V52" s="1"/>
      <c r="W52" s="1"/>
      <c r="X52" s="1"/>
      <c r="Y52" s="1"/>
      <c r="Z52" s="1"/>
      <c r="AA52" s="1"/>
    </row>
    <row r="53" spans="2:27">
      <c r="B53" s="2"/>
      <c r="C53" s="1" t="s">
        <v>41</v>
      </c>
      <c r="D53" s="1"/>
      <c r="E53" s="1" t="s">
        <v>18</v>
      </c>
      <c r="F53" s="10" t="s">
        <v>19</v>
      </c>
      <c r="G53" s="1"/>
      <c r="H53" s="1"/>
      <c r="I53" s="1"/>
      <c r="J53" s="1"/>
      <c r="K53" s="1"/>
      <c r="L53" s="1"/>
      <c r="M53" s="1"/>
      <c r="N53" s="1"/>
      <c r="O53" s="1"/>
      <c r="P53" s="1"/>
      <c r="Q53" s="1"/>
      <c r="R53" s="1"/>
      <c r="S53" s="1"/>
      <c r="T53" s="1"/>
      <c r="U53" s="1"/>
      <c r="V53" s="1"/>
      <c r="W53" s="1"/>
      <c r="X53" s="1"/>
      <c r="Y53" s="1"/>
      <c r="Z53" s="1"/>
      <c r="AA53" s="1"/>
    </row>
    <row r="54" spans="2:27">
      <c r="B54" s="1"/>
      <c r="C54" s="1"/>
      <c r="D54" s="5"/>
      <c r="E54" s="1"/>
      <c r="I54" s="1"/>
      <c r="J54" s="1"/>
      <c r="K54" s="1"/>
      <c r="L54" s="1"/>
      <c r="M54" s="1"/>
      <c r="N54" s="1"/>
      <c r="O54" s="1"/>
      <c r="P54" s="1"/>
      <c r="Q54" s="1"/>
      <c r="R54" s="1"/>
      <c r="S54" s="1"/>
      <c r="T54" s="1"/>
      <c r="U54" s="1"/>
      <c r="V54" s="1"/>
      <c r="W54" s="1"/>
      <c r="X54" s="1"/>
      <c r="Y54" s="1"/>
      <c r="Z54" s="1"/>
      <c r="AA54" s="1"/>
    </row>
    <row r="55" spans="2:27">
      <c r="B55" s="1"/>
      <c r="C55" s="1" t="s">
        <v>23</v>
      </c>
      <c r="D55" s="5"/>
      <c r="E55" s="1"/>
      <c r="F55" s="1"/>
      <c r="G55" s="1"/>
      <c r="H55" s="1"/>
      <c r="I55" s="1"/>
      <c r="J55" s="1"/>
      <c r="K55" s="1"/>
      <c r="L55" s="1"/>
      <c r="M55" s="1"/>
      <c r="N55" s="1"/>
      <c r="O55" s="1"/>
      <c r="P55" s="1"/>
      <c r="Q55" s="1"/>
      <c r="R55" s="1"/>
      <c r="S55" s="1"/>
      <c r="T55" s="1"/>
      <c r="U55" s="1"/>
      <c r="V55" s="1"/>
      <c r="W55" s="1"/>
      <c r="X55" s="1"/>
      <c r="Y55" s="1"/>
      <c r="Z55" s="1"/>
      <c r="AA55" s="1"/>
    </row>
    <row r="56" spans="2:27">
      <c r="B56" s="1"/>
      <c r="C56" s="1"/>
      <c r="D56" s="5"/>
      <c r="E56" s="1"/>
      <c r="F56" s="1"/>
      <c r="G56" s="1"/>
      <c r="H56" s="1"/>
      <c r="I56" s="1"/>
      <c r="J56" s="1"/>
      <c r="K56" s="1"/>
      <c r="L56" s="1"/>
      <c r="M56" s="1"/>
      <c r="N56" s="1"/>
      <c r="O56" s="1"/>
      <c r="P56" s="1"/>
      <c r="Q56" s="1"/>
      <c r="R56" s="1"/>
      <c r="S56" s="1"/>
      <c r="T56" s="1"/>
      <c r="U56" s="1"/>
      <c r="V56" s="1"/>
      <c r="W56" s="1"/>
      <c r="X56" s="1"/>
      <c r="Y56" s="1"/>
      <c r="Z56" s="1"/>
      <c r="AA56" s="1"/>
    </row>
    <row r="57" spans="2:27">
      <c r="B57" s="1"/>
      <c r="C57" s="1" t="s">
        <v>24</v>
      </c>
      <c r="D57" s="1" t="s">
        <v>27</v>
      </c>
      <c r="E57" s="1"/>
      <c r="F57" s="1"/>
      <c r="G57" s="1"/>
      <c r="H57" s="1"/>
      <c r="I57" s="1"/>
      <c r="J57" s="1"/>
      <c r="K57" s="1"/>
      <c r="L57" s="1"/>
      <c r="M57" s="1"/>
      <c r="N57" s="1"/>
      <c r="O57" s="1"/>
      <c r="P57" s="1"/>
      <c r="Q57" s="1"/>
      <c r="R57" s="1"/>
      <c r="S57" s="1"/>
      <c r="T57" s="1"/>
      <c r="U57" s="1"/>
      <c r="V57" s="1"/>
      <c r="W57" s="1"/>
      <c r="X57" s="1"/>
      <c r="Y57" s="1"/>
      <c r="Z57" s="1"/>
      <c r="AA57" s="1"/>
    </row>
    <row r="58" spans="2:27">
      <c r="B58" s="1"/>
      <c r="C58" s="1" t="s">
        <v>25</v>
      </c>
      <c r="D58" s="1" t="s">
        <v>26</v>
      </c>
      <c r="E58" s="1"/>
      <c r="F58" s="1"/>
      <c r="G58" s="1"/>
      <c r="H58" s="1"/>
      <c r="I58" s="1"/>
      <c r="J58" s="1"/>
      <c r="K58" s="1"/>
      <c r="L58" s="1"/>
      <c r="M58" s="1"/>
      <c r="N58" s="1"/>
      <c r="O58" s="1"/>
      <c r="P58" s="1"/>
      <c r="Q58" s="1"/>
      <c r="R58" s="1"/>
      <c r="S58" s="1"/>
      <c r="T58" s="1"/>
      <c r="U58" s="1"/>
      <c r="V58" s="1"/>
      <c r="W58" s="1"/>
      <c r="X58" s="1"/>
      <c r="Y58" s="1"/>
      <c r="Z58" s="1"/>
      <c r="AA58" s="1"/>
    </row>
    <row r="59" spans="2:27">
      <c r="B59" s="2"/>
      <c r="C59" s="1" t="s">
        <v>28</v>
      </c>
      <c r="D59" s="1" t="s">
        <v>48</v>
      </c>
      <c r="E59" s="2"/>
      <c r="F59" s="2"/>
      <c r="G59" s="2"/>
      <c r="H59" s="2"/>
      <c r="I59" s="2"/>
      <c r="J59" s="2"/>
      <c r="K59" s="2"/>
      <c r="L59" s="2"/>
      <c r="M59" s="2"/>
      <c r="N59" s="1"/>
      <c r="O59" s="1"/>
      <c r="P59" s="1"/>
      <c r="Q59" s="1"/>
      <c r="R59" s="1"/>
      <c r="S59" s="1"/>
      <c r="T59" s="1"/>
      <c r="U59" s="1"/>
      <c r="V59" s="1"/>
      <c r="W59" s="1"/>
      <c r="X59" s="1"/>
      <c r="Y59" s="1"/>
      <c r="Z59" s="1"/>
      <c r="AA59" s="1"/>
    </row>
    <row r="60" spans="2:27">
      <c r="B60" s="2"/>
      <c r="C60" s="1" t="s">
        <v>32</v>
      </c>
      <c r="D60" s="1" t="s">
        <v>29</v>
      </c>
      <c r="E60" s="1"/>
      <c r="F60" s="1"/>
      <c r="G60" s="1"/>
      <c r="H60" s="1"/>
      <c r="I60" s="1"/>
      <c r="J60" s="1"/>
      <c r="K60" s="1"/>
      <c r="L60" s="1"/>
      <c r="M60" s="1"/>
      <c r="N60" s="1"/>
      <c r="O60" s="1"/>
      <c r="P60" s="1"/>
      <c r="Q60" s="1"/>
      <c r="R60" s="1"/>
      <c r="S60" s="1"/>
      <c r="T60" s="1"/>
      <c r="U60" s="1"/>
      <c r="V60" s="1"/>
      <c r="W60" s="1"/>
      <c r="X60" s="1"/>
      <c r="Y60" s="1"/>
      <c r="Z60" s="1"/>
      <c r="AA60" s="1"/>
    </row>
    <row r="61" spans="2:27">
      <c r="B61" s="2"/>
      <c r="C61" s="1" t="s">
        <v>30</v>
      </c>
      <c r="D61" s="1" t="s">
        <v>35</v>
      </c>
      <c r="E61" s="1" t="s">
        <v>34</v>
      </c>
      <c r="F61" s="1" t="s">
        <v>31</v>
      </c>
      <c r="G61" s="1"/>
      <c r="H61" s="1"/>
      <c r="I61" s="1"/>
      <c r="J61" s="1"/>
      <c r="K61" s="1"/>
      <c r="L61" s="1"/>
      <c r="M61" s="1"/>
      <c r="N61" s="1"/>
      <c r="O61" s="1"/>
      <c r="P61" s="1"/>
      <c r="Q61" s="1"/>
      <c r="R61" s="1"/>
      <c r="S61" s="1"/>
      <c r="T61" s="1"/>
      <c r="U61" s="1"/>
      <c r="V61" s="1"/>
      <c r="W61" s="1"/>
      <c r="X61" s="1"/>
      <c r="Y61" s="1"/>
      <c r="Z61" s="1"/>
      <c r="AA61" s="1"/>
    </row>
    <row r="62" spans="2:27">
      <c r="B62" s="2"/>
      <c r="C62" s="1"/>
      <c r="D62" s="2"/>
      <c r="E62" s="2"/>
      <c r="F62" s="2"/>
      <c r="G62" s="2"/>
      <c r="H62" s="2"/>
      <c r="I62" s="2"/>
      <c r="J62" s="2"/>
      <c r="K62" s="2"/>
      <c r="L62" s="2"/>
      <c r="M62" s="2"/>
      <c r="N62" s="1"/>
      <c r="O62" s="1"/>
      <c r="P62" s="1"/>
      <c r="Q62" s="1"/>
      <c r="R62" s="1"/>
      <c r="S62" s="1"/>
      <c r="T62" s="1"/>
      <c r="U62" s="1"/>
      <c r="V62" s="1"/>
      <c r="W62" s="1"/>
      <c r="X62" s="1"/>
      <c r="Y62" s="1"/>
      <c r="Z62" s="1"/>
      <c r="AA62" s="1"/>
    </row>
    <row r="63" spans="2:27">
      <c r="B63" s="2"/>
      <c r="C63" s="1"/>
      <c r="D63" s="4"/>
      <c r="E63" s="4"/>
      <c r="F63" s="4"/>
      <c r="G63" s="4"/>
      <c r="H63" s="4"/>
      <c r="I63" s="4"/>
      <c r="J63" s="4"/>
      <c r="K63" s="4"/>
      <c r="L63" s="4"/>
      <c r="M63" s="4"/>
      <c r="N63" s="1"/>
      <c r="O63" s="1"/>
      <c r="P63" s="1"/>
      <c r="Q63" s="1"/>
      <c r="R63" s="1"/>
      <c r="S63" s="1"/>
      <c r="T63" s="1"/>
      <c r="U63" s="1"/>
      <c r="V63" s="1"/>
      <c r="W63" s="1"/>
      <c r="X63" s="1"/>
      <c r="Y63" s="1"/>
      <c r="Z63" s="1"/>
      <c r="AA63" s="1"/>
    </row>
    <row r="64" spans="2:27">
      <c r="B64" s="2"/>
      <c r="D64" s="4"/>
      <c r="E64" s="4"/>
      <c r="F64" s="4"/>
      <c r="G64" s="4"/>
      <c r="H64" s="4"/>
      <c r="I64" s="4"/>
      <c r="J64" s="4"/>
      <c r="K64" s="4"/>
      <c r="L64" s="4"/>
      <c r="M64" s="4"/>
      <c r="N64" s="1"/>
      <c r="O64" s="1"/>
      <c r="P64" s="1"/>
      <c r="Q64" s="5"/>
      <c r="R64" s="1"/>
      <c r="S64" s="1"/>
      <c r="T64" s="1"/>
      <c r="U64" s="1"/>
      <c r="V64" s="1"/>
      <c r="W64" s="1"/>
      <c r="X64" s="1"/>
      <c r="Y64" s="1"/>
      <c r="Z64" s="1"/>
      <c r="AA64" s="1"/>
    </row>
    <row r="65" spans="2:27">
      <c r="B65" s="2"/>
      <c r="C65" s="1"/>
      <c r="D65" s="6"/>
      <c r="E65" s="6"/>
      <c r="F65" s="6"/>
      <c r="G65" s="6"/>
      <c r="H65" s="6"/>
      <c r="I65" s="6"/>
      <c r="J65" s="6"/>
      <c r="K65" s="6"/>
      <c r="L65" s="6"/>
      <c r="M65" s="6"/>
      <c r="N65" s="1"/>
      <c r="O65" s="1"/>
      <c r="P65" s="1"/>
      <c r="Q65" s="1"/>
      <c r="R65" s="1"/>
      <c r="S65" s="1"/>
      <c r="T65" s="1"/>
      <c r="U65" s="1"/>
      <c r="V65" s="1"/>
      <c r="W65" s="1"/>
      <c r="X65" s="1"/>
      <c r="Y65" s="1"/>
      <c r="Z65" s="1"/>
      <c r="AA65" s="1"/>
    </row>
    <row r="66" spans="2:27">
      <c r="B66" s="2"/>
      <c r="C66" s="1"/>
      <c r="D66" s="1"/>
      <c r="E66" s="1"/>
      <c r="F66" s="1"/>
      <c r="G66" s="1"/>
      <c r="H66" s="1"/>
      <c r="I66" s="1"/>
      <c r="J66" s="1"/>
      <c r="K66" s="1"/>
      <c r="L66" s="1"/>
      <c r="M66" s="1"/>
      <c r="N66" s="1"/>
      <c r="O66" s="1"/>
      <c r="P66" s="1"/>
      <c r="Q66" s="1"/>
      <c r="R66" s="1"/>
      <c r="S66" s="1"/>
      <c r="T66" s="1"/>
      <c r="U66" s="1"/>
      <c r="V66" s="1"/>
      <c r="W66" s="1"/>
      <c r="X66" s="1"/>
      <c r="Y66" s="1"/>
      <c r="Z66" s="1"/>
      <c r="AA66" s="1"/>
    </row>
    <row r="67" spans="2:27">
      <c r="B67" s="1"/>
      <c r="C67" s="1"/>
      <c r="D67" s="1"/>
      <c r="E67" s="1"/>
      <c r="F67" s="1"/>
      <c r="G67" s="1"/>
      <c r="H67" s="1"/>
      <c r="I67" s="1"/>
      <c r="J67" s="1"/>
      <c r="K67" s="1"/>
      <c r="L67" s="1"/>
      <c r="M67" s="1"/>
      <c r="N67" s="1"/>
      <c r="O67" s="1"/>
      <c r="P67" s="1"/>
      <c r="Q67" s="1"/>
      <c r="R67" s="1"/>
      <c r="S67" s="1"/>
      <c r="T67" s="1"/>
      <c r="U67" s="1"/>
      <c r="V67" s="1"/>
      <c r="W67" s="1"/>
      <c r="X67" s="1"/>
      <c r="Y67" s="1"/>
      <c r="Z67" s="1"/>
      <c r="AA67" s="1"/>
    </row>
    <row r="68" spans="2:27">
      <c r="B68" s="2"/>
      <c r="C68" s="2"/>
      <c r="D68" s="2"/>
      <c r="E68" s="2"/>
      <c r="F68" s="2"/>
      <c r="G68" s="2"/>
      <c r="H68" s="2"/>
      <c r="I68" s="2"/>
      <c r="J68" s="2"/>
      <c r="K68" s="2"/>
      <c r="L68" s="2"/>
      <c r="M68" s="2"/>
      <c r="N68" s="1"/>
      <c r="O68" s="1"/>
      <c r="P68" s="1"/>
      <c r="Q68" s="1"/>
      <c r="R68" s="1"/>
      <c r="S68" s="1"/>
      <c r="T68" s="1"/>
      <c r="U68" s="1"/>
      <c r="V68" s="1"/>
      <c r="W68" s="1"/>
      <c r="X68" s="1"/>
      <c r="Y68" s="1"/>
      <c r="Z68" s="1"/>
      <c r="AA68" s="1"/>
    </row>
    <row r="69" spans="2:27">
      <c r="B69" s="2"/>
      <c r="C69" s="2"/>
      <c r="D69" s="2"/>
      <c r="E69" s="2"/>
      <c r="F69" s="2"/>
      <c r="G69" s="2"/>
      <c r="H69" s="2"/>
      <c r="I69" s="2"/>
      <c r="J69" s="2"/>
      <c r="K69" s="2"/>
      <c r="L69" s="2"/>
      <c r="M69" s="2"/>
      <c r="N69" s="1"/>
      <c r="O69" s="1"/>
      <c r="P69" s="1"/>
      <c r="Q69" s="1"/>
      <c r="R69" s="1"/>
      <c r="S69" s="1"/>
      <c r="T69" s="1"/>
      <c r="U69" s="1"/>
      <c r="V69" s="1"/>
      <c r="W69" s="1"/>
      <c r="X69" s="1"/>
      <c r="Y69" s="1"/>
      <c r="Z69" s="1"/>
      <c r="AA69" s="1"/>
    </row>
    <row r="70" spans="2:27">
      <c r="B70" s="2"/>
      <c r="C70" s="1"/>
      <c r="D70" s="1"/>
      <c r="E70" s="1"/>
      <c r="F70" s="1"/>
      <c r="G70" s="1"/>
      <c r="H70" s="1"/>
      <c r="I70" s="1"/>
      <c r="J70" s="1"/>
      <c r="K70" s="1"/>
      <c r="L70" s="1"/>
      <c r="M70" s="1"/>
      <c r="N70" s="1"/>
      <c r="O70" s="1"/>
      <c r="P70" s="1"/>
      <c r="Q70" s="1"/>
      <c r="R70" s="1"/>
      <c r="S70" s="1"/>
      <c r="T70" s="1"/>
      <c r="U70" s="1"/>
      <c r="V70" s="1"/>
      <c r="W70" s="1"/>
      <c r="X70" s="1"/>
      <c r="Y70" s="1"/>
      <c r="Z70" s="1"/>
      <c r="AA70" s="1"/>
    </row>
    <row r="71" spans="2:27">
      <c r="B71" s="2"/>
      <c r="C71" s="1"/>
      <c r="D71" s="1"/>
      <c r="E71" s="1"/>
      <c r="F71" s="1"/>
      <c r="G71" s="1"/>
      <c r="H71" s="1"/>
      <c r="I71" s="1"/>
      <c r="J71" s="1"/>
      <c r="K71" s="1"/>
      <c r="L71" s="1"/>
      <c r="M71" s="1"/>
      <c r="N71" s="1"/>
      <c r="O71" s="1"/>
      <c r="P71" s="1"/>
      <c r="Q71" s="1"/>
      <c r="R71" s="1"/>
      <c r="S71" s="1"/>
      <c r="T71" s="1"/>
      <c r="U71" s="1"/>
      <c r="V71" s="1"/>
      <c r="W71" s="1"/>
      <c r="X71" s="1"/>
      <c r="Y71" s="1"/>
      <c r="Z71" s="1"/>
      <c r="AA71" s="1"/>
    </row>
    <row r="72" spans="2:27">
      <c r="B72" s="2"/>
      <c r="C72" s="1"/>
      <c r="D72" s="1"/>
      <c r="E72" s="1"/>
      <c r="F72" s="1"/>
      <c r="G72" s="1"/>
      <c r="H72" s="1"/>
      <c r="I72" s="1"/>
      <c r="J72" s="1"/>
      <c r="K72" s="1"/>
      <c r="L72" s="1"/>
      <c r="M72" s="1"/>
      <c r="N72" s="1"/>
      <c r="O72" s="1"/>
      <c r="P72" s="1"/>
      <c r="Q72" s="1"/>
      <c r="R72" s="1"/>
      <c r="S72" s="1"/>
      <c r="T72" s="1"/>
      <c r="U72" s="1"/>
      <c r="V72" s="1"/>
      <c r="W72" s="1"/>
      <c r="X72" s="1"/>
      <c r="Y72" s="1"/>
      <c r="Z72" s="1"/>
      <c r="AA72" s="1"/>
    </row>
    <row r="73" spans="2:27">
      <c r="B73" s="2"/>
      <c r="C73" s="1"/>
      <c r="D73" s="1"/>
      <c r="E73" s="1"/>
      <c r="F73" s="1"/>
      <c r="G73" s="1"/>
      <c r="H73" s="1"/>
      <c r="I73" s="1"/>
      <c r="J73" s="1"/>
      <c r="K73" s="1"/>
      <c r="L73" s="1"/>
      <c r="M73" s="1"/>
      <c r="N73" s="1"/>
      <c r="O73" s="1"/>
      <c r="P73" s="1"/>
      <c r="Q73" s="1"/>
      <c r="R73" s="1"/>
      <c r="S73" s="1"/>
      <c r="T73" s="1"/>
      <c r="U73" s="1"/>
      <c r="V73" s="1"/>
      <c r="W73" s="1"/>
      <c r="X73" s="1"/>
      <c r="Y73" s="1"/>
      <c r="Z73" s="1"/>
      <c r="AA73" s="1"/>
    </row>
    <row r="74" spans="2:27">
      <c r="B74" s="2"/>
      <c r="C74" s="2"/>
      <c r="D74" s="2"/>
      <c r="E74" s="2"/>
      <c r="F74" s="2"/>
      <c r="G74" s="2"/>
      <c r="H74" s="2"/>
      <c r="I74" s="2"/>
      <c r="J74" s="2"/>
      <c r="K74" s="2"/>
      <c r="L74" s="2"/>
      <c r="M74" s="2"/>
      <c r="N74" s="1"/>
      <c r="O74" s="1"/>
      <c r="P74" s="1"/>
      <c r="Q74" s="1"/>
      <c r="R74" s="1"/>
      <c r="S74" s="1"/>
      <c r="T74" s="1"/>
      <c r="U74" s="1"/>
      <c r="V74" s="1"/>
      <c r="W74" s="1"/>
      <c r="X74" s="1"/>
      <c r="Y74" s="1"/>
      <c r="Z74" s="1"/>
      <c r="AA74" s="1"/>
    </row>
    <row r="75" spans="2:27">
      <c r="B75" s="2"/>
      <c r="C75" s="1"/>
      <c r="D75" s="2"/>
      <c r="E75" s="2"/>
      <c r="F75" s="2"/>
      <c r="G75" s="2"/>
      <c r="H75" s="2"/>
      <c r="I75" s="2"/>
      <c r="J75" s="2"/>
      <c r="K75" s="2"/>
      <c r="L75" s="2"/>
      <c r="M75" s="2"/>
      <c r="N75" s="1"/>
      <c r="O75" s="1"/>
      <c r="P75" s="1"/>
      <c r="Q75" s="1"/>
      <c r="R75" s="1"/>
      <c r="S75" s="1"/>
      <c r="T75" s="1"/>
      <c r="U75" s="1"/>
      <c r="V75" s="1"/>
      <c r="W75" s="1"/>
      <c r="X75" s="1"/>
      <c r="Y75" s="1"/>
      <c r="Z75" s="1"/>
      <c r="AA75" s="1"/>
    </row>
    <row r="76" spans="2:27">
      <c r="B76" s="2"/>
      <c r="C76" s="1"/>
      <c r="D76" s="1"/>
      <c r="E76" s="1"/>
      <c r="F76" s="1"/>
      <c r="G76" s="1"/>
      <c r="H76" s="1"/>
      <c r="I76" s="1"/>
      <c r="J76" s="1"/>
      <c r="K76" s="1"/>
      <c r="L76" s="1"/>
      <c r="M76" s="1"/>
      <c r="N76" s="1"/>
      <c r="O76" s="1"/>
      <c r="P76" s="1"/>
      <c r="Q76" s="1"/>
      <c r="R76" s="1"/>
      <c r="S76" s="1"/>
      <c r="T76" s="1"/>
      <c r="U76" s="1"/>
      <c r="V76" s="1"/>
      <c r="W76" s="1"/>
      <c r="X76" s="1"/>
      <c r="Y76" s="1"/>
      <c r="Z76" s="1"/>
      <c r="AA76" s="1"/>
    </row>
    <row r="77" spans="2:27">
      <c r="B77" s="1"/>
      <c r="C77" s="1"/>
      <c r="D77" s="1"/>
      <c r="E77" s="1"/>
      <c r="F77" s="1"/>
      <c r="G77" s="1"/>
      <c r="H77" s="1"/>
      <c r="I77" s="1"/>
      <c r="J77" s="1"/>
      <c r="K77" s="1"/>
      <c r="L77" s="1"/>
      <c r="M77" s="1"/>
      <c r="N77" s="1"/>
      <c r="O77" s="1"/>
      <c r="P77" s="1"/>
      <c r="Q77" s="1"/>
      <c r="R77" s="1"/>
      <c r="S77" s="1"/>
      <c r="T77" s="1"/>
      <c r="U77" s="1"/>
      <c r="V77" s="1"/>
      <c r="W77" s="1"/>
      <c r="X77" s="1"/>
      <c r="Y77" s="1"/>
      <c r="Z77" s="1"/>
      <c r="AA77" s="1"/>
    </row>
    <row r="78" spans="2:27">
      <c r="B78" s="2"/>
      <c r="C78" s="1"/>
      <c r="D78" s="1"/>
      <c r="E78" s="1"/>
      <c r="F78" s="1"/>
      <c r="G78" s="1"/>
      <c r="H78" s="1"/>
      <c r="I78" s="1"/>
      <c r="J78" s="1"/>
      <c r="K78" s="1"/>
      <c r="L78" s="1"/>
      <c r="M78" s="1"/>
      <c r="N78" s="1"/>
      <c r="O78" s="1"/>
      <c r="P78" s="1"/>
      <c r="Q78" s="1"/>
      <c r="R78" s="1"/>
      <c r="S78" s="1"/>
      <c r="T78" s="1"/>
      <c r="U78" s="1"/>
      <c r="V78" s="1"/>
      <c r="W78" s="1"/>
      <c r="X78" s="1"/>
      <c r="Y78" s="1"/>
      <c r="Z78" s="1"/>
      <c r="AA78" s="1"/>
    </row>
    <row r="79" spans="2:27">
      <c r="B79" s="2"/>
      <c r="C79" s="2"/>
      <c r="D79" s="2"/>
      <c r="E79" s="2"/>
      <c r="F79" s="2"/>
      <c r="G79" s="1"/>
      <c r="H79" s="2"/>
      <c r="I79" s="2"/>
      <c r="J79" s="2"/>
      <c r="K79" s="2"/>
      <c r="L79" s="2"/>
      <c r="M79" s="2"/>
      <c r="N79" s="1"/>
      <c r="O79" s="1"/>
      <c r="P79" s="1"/>
      <c r="Q79" s="1"/>
      <c r="R79" s="1"/>
      <c r="S79" s="1"/>
      <c r="T79" s="1"/>
      <c r="U79" s="1"/>
      <c r="V79" s="1"/>
      <c r="W79" s="1"/>
      <c r="X79" s="1"/>
      <c r="Y79" s="1"/>
      <c r="Z79" s="1"/>
      <c r="AA79" s="1"/>
    </row>
    <row r="80" spans="2:27">
      <c r="B80" s="2"/>
      <c r="C80" s="1"/>
      <c r="D80" s="3"/>
      <c r="E80" s="3"/>
      <c r="F80" s="3"/>
      <c r="G80" s="3"/>
      <c r="H80" s="3"/>
      <c r="I80" s="3"/>
      <c r="J80" s="3"/>
      <c r="K80" s="3"/>
      <c r="L80" s="3"/>
      <c r="M80" s="3"/>
      <c r="N80" s="1"/>
      <c r="O80" s="1"/>
      <c r="P80" s="7"/>
      <c r="Q80" s="1"/>
      <c r="R80" s="1"/>
      <c r="S80" s="1"/>
      <c r="T80" s="1"/>
      <c r="U80" s="1"/>
      <c r="V80" s="1"/>
      <c r="W80" s="1"/>
      <c r="X80" s="1"/>
      <c r="Y80" s="1"/>
      <c r="Z80" s="1"/>
      <c r="AA80" s="1"/>
    </row>
    <row r="81" spans="2:27">
      <c r="B81" s="2"/>
      <c r="C81" s="1"/>
      <c r="D81" s="3"/>
      <c r="E81" s="3"/>
      <c r="F81" s="3"/>
      <c r="G81" s="3"/>
      <c r="H81" s="3"/>
      <c r="I81" s="3"/>
      <c r="J81" s="3"/>
      <c r="K81" s="3"/>
      <c r="L81" s="3"/>
      <c r="M81" s="3"/>
      <c r="N81" s="1"/>
      <c r="O81" s="1"/>
      <c r="P81" s="1"/>
      <c r="Q81" s="1"/>
      <c r="R81" s="1"/>
      <c r="S81" s="1"/>
      <c r="T81" s="1"/>
      <c r="U81" s="1"/>
      <c r="V81" s="1"/>
      <c r="W81" s="1"/>
      <c r="X81" s="1"/>
      <c r="Y81" s="1"/>
      <c r="Z81" s="1"/>
      <c r="AA81" s="1"/>
    </row>
    <row r="82" spans="2:27">
      <c r="B82" s="2"/>
      <c r="C82" s="1"/>
      <c r="D82" s="1"/>
      <c r="E82" s="1"/>
      <c r="F82" s="1"/>
      <c r="G82" s="1"/>
      <c r="H82" s="1"/>
      <c r="I82" s="1"/>
      <c r="J82" s="1"/>
      <c r="K82" s="1"/>
      <c r="L82" s="1"/>
      <c r="M82" s="1"/>
      <c r="N82" s="1"/>
      <c r="O82" s="1"/>
      <c r="P82" s="1"/>
      <c r="Q82" s="1"/>
      <c r="R82" s="1"/>
      <c r="S82" s="1"/>
      <c r="T82" s="1"/>
      <c r="U82" s="1"/>
      <c r="V82" s="1"/>
      <c r="W82" s="1"/>
      <c r="X82" s="1"/>
      <c r="Y82" s="1"/>
      <c r="Z82" s="1"/>
      <c r="AA82" s="1"/>
    </row>
    <row r="83" spans="2:27">
      <c r="B83" s="2"/>
      <c r="C83" s="1"/>
      <c r="D83" s="8"/>
      <c r="E83" s="8"/>
      <c r="F83" s="8"/>
      <c r="G83" s="8"/>
      <c r="H83" s="8"/>
      <c r="I83" s="8"/>
      <c r="J83" s="8"/>
      <c r="K83" s="8"/>
      <c r="L83" s="8"/>
      <c r="M83" s="8"/>
      <c r="N83" s="1"/>
      <c r="O83" s="1"/>
      <c r="P83" s="1"/>
      <c r="Q83" s="1"/>
      <c r="R83" s="1"/>
      <c r="S83" s="1"/>
      <c r="T83" s="1"/>
      <c r="U83" s="1"/>
      <c r="V83" s="1"/>
      <c r="W83" s="1"/>
      <c r="X83" s="1"/>
      <c r="Y83" s="1"/>
      <c r="Z83" s="1"/>
      <c r="AA83" s="1"/>
    </row>
    <row r="84" spans="2:27">
      <c r="B84" s="1"/>
      <c r="C84" s="1"/>
      <c r="D84" s="1"/>
      <c r="E84" s="1"/>
      <c r="F84" s="1"/>
      <c r="G84" s="1"/>
      <c r="H84" s="1"/>
      <c r="I84" s="1"/>
      <c r="J84" s="1"/>
      <c r="K84" s="1"/>
      <c r="L84" s="1"/>
      <c r="M84" s="1"/>
      <c r="N84" s="1"/>
      <c r="O84" s="1"/>
      <c r="P84" s="1"/>
      <c r="Q84" s="1"/>
      <c r="R84" s="1"/>
      <c r="S84" s="1"/>
      <c r="T84" s="1"/>
      <c r="U84" s="1"/>
      <c r="V84" s="1"/>
      <c r="W84" s="1"/>
      <c r="X84" s="1"/>
      <c r="Y84" s="1"/>
      <c r="Z84" s="1"/>
      <c r="AA84" s="1"/>
    </row>
    <row r="85" spans="2:27">
      <c r="B85" s="2"/>
      <c r="C85" s="1"/>
      <c r="D85" s="1"/>
      <c r="E85" s="1"/>
      <c r="F85" s="1"/>
      <c r="G85" s="1"/>
      <c r="H85" s="1"/>
      <c r="I85" s="1"/>
      <c r="J85" s="1"/>
      <c r="K85" s="1"/>
      <c r="L85" s="1"/>
      <c r="M85" s="1"/>
      <c r="N85" s="1"/>
      <c r="O85" s="1"/>
      <c r="P85" s="1"/>
      <c r="Q85" s="1"/>
      <c r="R85" s="1"/>
      <c r="S85" s="1"/>
      <c r="T85" s="1"/>
      <c r="U85" s="1"/>
      <c r="V85" s="1"/>
      <c r="W85" s="1"/>
      <c r="X85" s="1"/>
      <c r="Y85" s="1"/>
      <c r="Z85" s="1"/>
      <c r="AA85" s="1"/>
    </row>
    <row r="86" spans="2:27">
      <c r="B86" s="2"/>
      <c r="C86" s="1"/>
      <c r="D86" s="2"/>
      <c r="E86" s="2"/>
      <c r="F86" s="2"/>
      <c r="G86" s="2"/>
      <c r="H86" s="2"/>
      <c r="I86" s="2"/>
      <c r="J86" s="2"/>
      <c r="K86" s="2"/>
      <c r="L86" s="2"/>
      <c r="M86" s="2"/>
      <c r="N86" s="1"/>
      <c r="O86" s="1"/>
      <c r="P86" s="1"/>
      <c r="Q86" s="1"/>
      <c r="R86" s="1"/>
      <c r="S86" s="1"/>
      <c r="T86" s="1"/>
      <c r="U86" s="1"/>
      <c r="V86" s="1"/>
      <c r="W86" s="1"/>
      <c r="X86" s="1"/>
      <c r="Y86" s="1"/>
      <c r="Z86" s="1"/>
      <c r="AA86" s="1"/>
    </row>
    <row r="87" spans="2:27">
      <c r="B87" s="2"/>
      <c r="C87" s="1"/>
      <c r="D87" s="3"/>
      <c r="E87" s="3"/>
      <c r="F87" s="3"/>
      <c r="G87" s="3"/>
      <c r="H87" s="3"/>
      <c r="I87" s="3"/>
      <c r="J87" s="3"/>
      <c r="K87" s="3"/>
      <c r="L87" s="3"/>
      <c r="M87" s="3"/>
      <c r="N87" s="1"/>
      <c r="O87" s="1"/>
      <c r="P87" s="1"/>
      <c r="Q87" s="1"/>
      <c r="R87" s="1"/>
      <c r="S87" s="1"/>
      <c r="T87" s="1"/>
      <c r="U87" s="1"/>
      <c r="V87" s="1"/>
      <c r="W87" s="1"/>
      <c r="X87" s="1"/>
      <c r="Y87" s="1"/>
      <c r="Z87" s="1"/>
      <c r="AA87" s="1"/>
    </row>
    <row r="88" spans="2:27">
      <c r="B88" s="2"/>
      <c r="C88" s="1"/>
      <c r="D88" s="3"/>
      <c r="E88" s="3"/>
      <c r="F88" s="3"/>
      <c r="G88" s="3"/>
      <c r="H88" s="3"/>
      <c r="I88" s="3"/>
      <c r="J88" s="3"/>
      <c r="K88" s="3"/>
      <c r="L88" s="3"/>
      <c r="M88" s="3"/>
      <c r="N88" s="1"/>
      <c r="O88" s="1"/>
      <c r="P88" s="1"/>
      <c r="Q88" s="1"/>
      <c r="R88" s="1"/>
      <c r="S88" s="1"/>
      <c r="T88" s="1"/>
      <c r="U88" s="1"/>
      <c r="V88" s="1"/>
      <c r="W88" s="1"/>
      <c r="X88" s="1"/>
      <c r="Y88" s="1"/>
      <c r="Z88" s="1"/>
      <c r="AA88" s="1"/>
    </row>
    <row r="89" spans="2:27">
      <c r="B89" s="2"/>
      <c r="C89" s="1"/>
      <c r="D89" s="3"/>
      <c r="E89" s="3"/>
      <c r="F89" s="3"/>
      <c r="G89" s="3"/>
      <c r="H89" s="3"/>
      <c r="I89" s="3"/>
      <c r="J89" s="3"/>
      <c r="K89" s="3"/>
      <c r="L89" s="3"/>
      <c r="M89" s="3"/>
      <c r="N89" s="1"/>
      <c r="O89" s="1"/>
      <c r="P89" s="1"/>
      <c r="Q89" s="1"/>
      <c r="R89" s="1"/>
      <c r="S89" s="1"/>
      <c r="T89" s="1"/>
      <c r="U89" s="1"/>
      <c r="V89" s="1"/>
      <c r="W89" s="1"/>
      <c r="X89" s="1"/>
      <c r="Y89" s="1"/>
      <c r="Z89" s="1"/>
      <c r="AA89" s="1"/>
    </row>
    <row r="90" spans="2:27">
      <c r="B90" s="2"/>
      <c r="C90" s="1"/>
      <c r="D90" s="1"/>
      <c r="E90" s="1"/>
      <c r="F90" s="1"/>
      <c r="G90" s="1"/>
      <c r="H90" s="1"/>
      <c r="I90" s="1"/>
      <c r="J90" s="1"/>
      <c r="K90" s="1"/>
      <c r="L90" s="1"/>
      <c r="M90" s="1"/>
      <c r="N90" s="1"/>
      <c r="O90" s="1"/>
      <c r="P90" s="1"/>
      <c r="Q90" s="1"/>
      <c r="R90" s="1"/>
      <c r="S90" s="1"/>
      <c r="T90" s="1"/>
      <c r="U90" s="1"/>
      <c r="V90" s="1"/>
      <c r="W90" s="1"/>
      <c r="X90" s="1"/>
      <c r="Y90" s="1"/>
      <c r="Z90" s="1"/>
      <c r="AA90" s="1"/>
    </row>
    <row r="91" spans="2:27">
      <c r="B91" s="2"/>
      <c r="C91" s="1"/>
      <c r="D91" s="1"/>
      <c r="E91" s="1"/>
      <c r="F91" s="1"/>
      <c r="G91" s="1"/>
      <c r="H91" s="1"/>
      <c r="I91" s="1"/>
      <c r="J91" s="1"/>
      <c r="K91" s="1"/>
      <c r="L91" s="1"/>
      <c r="M91" s="1"/>
      <c r="N91" s="1"/>
      <c r="O91" s="1"/>
      <c r="P91" s="1"/>
      <c r="Q91" s="1"/>
      <c r="R91" s="1"/>
      <c r="S91" s="1"/>
      <c r="T91" s="1"/>
      <c r="U91" s="1"/>
      <c r="V91" s="1"/>
      <c r="W91" s="1"/>
      <c r="X91" s="1"/>
      <c r="Y91" s="1"/>
      <c r="Z91" s="1"/>
      <c r="AA91" s="1"/>
    </row>
    <row r="92" spans="2:27">
      <c r="B92" s="2"/>
      <c r="C92" s="1"/>
      <c r="D92" s="1"/>
      <c r="E92" s="1"/>
      <c r="F92" s="1"/>
      <c r="G92" s="1"/>
      <c r="H92" s="1"/>
      <c r="I92" s="1"/>
      <c r="J92" s="1"/>
      <c r="K92" s="1"/>
      <c r="L92" s="1"/>
      <c r="M92" s="1"/>
      <c r="N92" s="1"/>
      <c r="O92" s="1"/>
      <c r="P92" s="1"/>
      <c r="Q92" s="1"/>
      <c r="R92" s="1"/>
      <c r="S92" s="1"/>
      <c r="T92" s="1"/>
      <c r="U92" s="1"/>
      <c r="V92" s="1"/>
      <c r="W92" s="1"/>
      <c r="X92" s="1"/>
      <c r="Y92" s="1"/>
      <c r="Z92" s="1"/>
      <c r="AA92" s="1"/>
    </row>
    <row r="93" spans="2:27">
      <c r="B93" s="2"/>
      <c r="C93" s="1"/>
      <c r="D93" s="1"/>
      <c r="E93" s="1"/>
      <c r="F93" s="1"/>
      <c r="G93" s="1"/>
      <c r="H93" s="1"/>
      <c r="I93" s="1"/>
      <c r="J93" s="1"/>
      <c r="K93" s="1"/>
      <c r="L93" s="1"/>
      <c r="M93" s="1"/>
      <c r="N93" s="1"/>
      <c r="O93" s="1"/>
      <c r="P93" s="1"/>
      <c r="Q93" s="1"/>
      <c r="R93" s="1"/>
      <c r="S93" s="1"/>
      <c r="T93" s="1"/>
      <c r="U93" s="1"/>
      <c r="V93" s="1"/>
      <c r="W93" s="1"/>
      <c r="X93" s="1"/>
      <c r="Y93" s="1"/>
      <c r="Z93" s="1"/>
      <c r="AA93" s="1"/>
    </row>
    <row r="94" spans="2:27">
      <c r="B94" s="2"/>
      <c r="C94" s="1"/>
      <c r="D94" s="8"/>
      <c r="E94" s="8"/>
      <c r="F94" s="8"/>
      <c r="G94" s="8"/>
      <c r="H94" s="8"/>
      <c r="I94" s="8"/>
      <c r="J94" s="8"/>
      <c r="K94" s="8"/>
      <c r="L94" s="8"/>
      <c r="M94" s="8"/>
      <c r="N94" s="1"/>
      <c r="O94" s="1"/>
      <c r="P94" s="1"/>
      <c r="Q94" s="1"/>
      <c r="R94" s="1"/>
      <c r="S94" s="1"/>
      <c r="T94" s="1"/>
      <c r="U94" s="1"/>
      <c r="V94" s="1"/>
      <c r="W94" s="1"/>
      <c r="X94" s="1"/>
      <c r="Y94" s="1"/>
      <c r="Z94" s="1"/>
      <c r="AA94" s="1"/>
    </row>
    <row r="95" spans="2:27">
      <c r="B95" s="1"/>
      <c r="C95" s="1"/>
      <c r="D95" s="1"/>
      <c r="E95" s="1"/>
      <c r="F95" s="1"/>
      <c r="G95" s="1"/>
      <c r="H95" s="1"/>
      <c r="I95" s="1"/>
      <c r="J95" s="1"/>
      <c r="K95" s="1"/>
      <c r="L95" s="1"/>
      <c r="M95" s="1"/>
      <c r="N95" s="1"/>
      <c r="O95" s="1"/>
      <c r="P95" s="1"/>
      <c r="Q95" s="1"/>
      <c r="R95" s="1"/>
      <c r="S95" s="1"/>
      <c r="T95" s="1"/>
      <c r="U95" s="1"/>
      <c r="V95" s="1"/>
      <c r="W95" s="1"/>
      <c r="X95" s="1"/>
      <c r="Y95" s="1"/>
      <c r="Z95" s="1"/>
      <c r="AA95" s="1"/>
    </row>
    <row r="96" spans="2:27">
      <c r="B96" s="2"/>
      <c r="C96" s="1"/>
      <c r="D96" s="1"/>
      <c r="E96" s="1"/>
      <c r="F96" s="1"/>
      <c r="G96" s="1"/>
      <c r="H96" s="1"/>
      <c r="I96" s="1"/>
      <c r="J96" s="1"/>
      <c r="K96" s="1"/>
      <c r="L96" s="1"/>
      <c r="M96" s="1"/>
      <c r="N96" s="1"/>
      <c r="O96" s="1"/>
      <c r="P96" s="1"/>
      <c r="Q96" s="1"/>
      <c r="R96" s="1"/>
      <c r="S96" s="1"/>
      <c r="T96" s="1"/>
      <c r="U96" s="1"/>
      <c r="V96" s="1"/>
      <c r="W96" s="1"/>
      <c r="X96" s="1"/>
      <c r="Y96" s="1"/>
      <c r="Z96" s="1"/>
      <c r="AA96" s="1"/>
    </row>
    <row r="97" spans="2:27">
      <c r="B97" s="2"/>
      <c r="C97" s="1"/>
      <c r="D97" s="3"/>
      <c r="E97" s="3"/>
      <c r="F97" s="3"/>
      <c r="G97" s="3"/>
      <c r="H97" s="3"/>
      <c r="I97" s="3"/>
      <c r="J97" s="3"/>
      <c r="K97" s="3"/>
      <c r="L97" s="3"/>
      <c r="M97" s="3"/>
      <c r="N97" s="1"/>
      <c r="O97" s="1"/>
      <c r="P97" s="1"/>
      <c r="Q97" s="1"/>
      <c r="R97" s="1"/>
      <c r="S97" s="1"/>
      <c r="T97" s="1"/>
      <c r="U97" s="1"/>
      <c r="V97" s="1"/>
      <c r="W97" s="1"/>
      <c r="X97" s="1"/>
      <c r="Y97" s="1"/>
      <c r="Z97" s="1"/>
      <c r="AA97" s="1"/>
    </row>
    <row r="98" spans="2:27">
      <c r="B98" s="2"/>
      <c r="C98" s="1"/>
      <c r="D98" s="3"/>
      <c r="E98" s="3"/>
      <c r="F98" s="3"/>
      <c r="G98" s="3"/>
      <c r="H98" s="3"/>
      <c r="I98" s="3"/>
      <c r="J98" s="3"/>
      <c r="K98" s="3"/>
      <c r="L98" s="3"/>
      <c r="M98" s="3"/>
      <c r="N98" s="1"/>
      <c r="O98" s="1"/>
      <c r="P98" s="1"/>
      <c r="Q98" s="1"/>
      <c r="R98" s="1"/>
      <c r="S98" s="1"/>
      <c r="T98" s="1"/>
      <c r="U98" s="1"/>
      <c r="V98" s="1"/>
      <c r="W98" s="1"/>
      <c r="X98" s="1"/>
      <c r="Y98" s="1"/>
      <c r="Z98" s="1"/>
      <c r="AA98" s="1"/>
    </row>
    <row r="99" spans="2:27">
      <c r="B99" s="2"/>
      <c r="C99" s="1"/>
      <c r="D99" s="3"/>
      <c r="E99" s="3"/>
      <c r="F99" s="3"/>
      <c r="G99" s="3"/>
      <c r="H99" s="3"/>
      <c r="I99" s="3"/>
      <c r="J99" s="3"/>
      <c r="K99" s="3"/>
      <c r="L99" s="3"/>
      <c r="M99" s="3"/>
      <c r="N99" s="1"/>
      <c r="O99" s="1"/>
      <c r="P99" s="1"/>
      <c r="Q99" s="1"/>
      <c r="R99" s="1"/>
      <c r="S99" s="1"/>
      <c r="T99" s="1"/>
      <c r="U99" s="1"/>
      <c r="V99" s="1"/>
      <c r="W99" s="1"/>
      <c r="X99" s="1"/>
      <c r="Y99" s="1"/>
      <c r="Z99" s="1"/>
      <c r="AA99" s="1"/>
    </row>
    <row r="100" spans="2:2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2:27">
      <c r="B101" s="2"/>
      <c r="C101" s="2"/>
      <c r="D101" s="9"/>
      <c r="E101" s="9"/>
      <c r="F101" s="9"/>
      <c r="G101" s="9"/>
      <c r="H101" s="9"/>
      <c r="I101" s="9"/>
      <c r="J101" s="9"/>
      <c r="K101" s="9"/>
      <c r="L101" s="9"/>
      <c r="M101" s="9"/>
      <c r="N101" s="1"/>
      <c r="O101" s="1"/>
      <c r="P101" s="1"/>
      <c r="Q101" s="1"/>
      <c r="R101" s="1"/>
      <c r="S101" s="1"/>
      <c r="T101" s="1"/>
      <c r="U101" s="1"/>
      <c r="V101" s="1"/>
      <c r="W101" s="1"/>
      <c r="X101" s="1"/>
      <c r="Y101" s="1"/>
      <c r="Z101" s="1"/>
      <c r="AA101" s="1"/>
    </row>
    <row r="102" spans="2:2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2:27">
      <c r="B103" s="2"/>
      <c r="C103" s="1"/>
      <c r="D103" s="3"/>
      <c r="E103" s="3"/>
      <c r="F103" s="3"/>
      <c r="G103" s="3"/>
      <c r="H103" s="3"/>
      <c r="I103" s="3"/>
      <c r="J103" s="3"/>
      <c r="K103" s="3"/>
      <c r="L103" s="3"/>
      <c r="M103" s="3"/>
      <c r="N103" s="1"/>
      <c r="O103" s="1"/>
      <c r="P103" s="1"/>
      <c r="Q103" s="1"/>
      <c r="R103" s="1"/>
      <c r="S103" s="1"/>
      <c r="T103" s="1"/>
      <c r="U103" s="1"/>
      <c r="V103" s="1"/>
      <c r="W103" s="1"/>
      <c r="X103" s="1"/>
      <c r="Y103" s="1"/>
      <c r="Z103" s="1"/>
      <c r="AA103" s="1"/>
    </row>
    <row r="104" spans="2:27">
      <c r="B104" s="2"/>
      <c r="C104" s="1"/>
      <c r="D104" s="3"/>
      <c r="E104" s="3"/>
      <c r="F104" s="3"/>
      <c r="G104" s="3"/>
      <c r="H104" s="3"/>
      <c r="I104" s="3"/>
      <c r="J104" s="3"/>
      <c r="K104" s="3"/>
      <c r="L104" s="3"/>
      <c r="M104" s="3"/>
      <c r="N104" s="1"/>
      <c r="O104" s="1"/>
      <c r="P104" s="1"/>
      <c r="Q104" s="1"/>
      <c r="R104" s="1"/>
      <c r="S104" s="1"/>
      <c r="T104" s="1"/>
      <c r="U104" s="1"/>
      <c r="V104" s="1"/>
      <c r="W104" s="1"/>
      <c r="X104" s="1"/>
      <c r="Y104" s="1"/>
      <c r="Z104" s="1"/>
      <c r="AA104" s="1"/>
    </row>
    <row r="105" spans="2:27">
      <c r="B105" s="2"/>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2:27">
      <c r="B106" s="2"/>
      <c r="C106" s="1"/>
      <c r="D106" s="7"/>
      <c r="E106" s="7"/>
      <c r="F106" s="7"/>
      <c r="G106" s="7"/>
      <c r="H106" s="7"/>
      <c r="I106" s="7"/>
      <c r="J106" s="7"/>
      <c r="K106" s="7"/>
      <c r="L106" s="7"/>
      <c r="M106" s="7"/>
      <c r="N106" s="1"/>
      <c r="O106" s="1"/>
      <c r="P106" s="1"/>
      <c r="Q106" s="1"/>
      <c r="R106" s="1"/>
      <c r="S106" s="1"/>
      <c r="T106" s="1"/>
      <c r="U106" s="1"/>
      <c r="V106" s="1"/>
      <c r="W106" s="1"/>
      <c r="X106" s="1"/>
      <c r="Y106" s="1"/>
      <c r="Z106" s="1"/>
      <c r="AA106" s="1"/>
    </row>
    <row r="107" spans="2:27">
      <c r="B107" s="2"/>
      <c r="C107" s="1"/>
      <c r="D107" s="3"/>
      <c r="E107" s="3"/>
      <c r="F107" s="3"/>
      <c r="G107" s="3"/>
      <c r="H107" s="3"/>
      <c r="I107" s="3"/>
      <c r="J107" s="3"/>
      <c r="K107" s="3"/>
      <c r="L107" s="3"/>
      <c r="M107" s="3"/>
      <c r="N107" s="1"/>
      <c r="O107" s="1"/>
      <c r="P107" s="1"/>
      <c r="Q107" s="1"/>
      <c r="R107" s="1"/>
      <c r="S107" s="1"/>
      <c r="T107" s="1"/>
      <c r="U107" s="1"/>
      <c r="V107" s="1"/>
      <c r="W107" s="1"/>
      <c r="X107" s="1"/>
      <c r="Y107" s="1"/>
      <c r="Z107" s="1"/>
      <c r="AA107" s="1"/>
    </row>
    <row r="108" spans="2:27">
      <c r="B108" s="2"/>
      <c r="C108" s="1"/>
      <c r="D108" s="3"/>
      <c r="E108" s="3"/>
      <c r="F108" s="3"/>
      <c r="G108" s="3"/>
      <c r="H108" s="3"/>
      <c r="I108" s="3"/>
      <c r="J108" s="3"/>
      <c r="K108" s="3"/>
      <c r="L108" s="3"/>
      <c r="M108" s="3"/>
      <c r="N108" s="1"/>
      <c r="O108" s="1"/>
      <c r="P108" s="1"/>
      <c r="Q108" s="1"/>
      <c r="R108" s="1"/>
      <c r="S108" s="1"/>
      <c r="T108" s="1"/>
      <c r="U108" s="1"/>
      <c r="V108" s="1"/>
      <c r="W108" s="1"/>
      <c r="X108" s="1"/>
      <c r="Y108" s="1"/>
      <c r="Z108" s="1"/>
      <c r="AA108" s="1"/>
    </row>
    <row r="109" spans="2:2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2:27">
      <c r="B110" s="2"/>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2:27">
      <c r="B111" s="2"/>
      <c r="C111" s="1"/>
      <c r="D111" s="3"/>
      <c r="E111" s="3"/>
      <c r="F111" s="3"/>
      <c r="G111" s="3"/>
      <c r="H111" s="3"/>
      <c r="I111" s="3"/>
      <c r="J111" s="3"/>
      <c r="K111" s="3"/>
      <c r="L111" s="3"/>
      <c r="M111" s="3"/>
      <c r="N111" s="1"/>
      <c r="O111" s="1"/>
      <c r="P111" s="1"/>
      <c r="Q111" s="1"/>
      <c r="R111" s="1"/>
      <c r="S111" s="1"/>
      <c r="T111" s="1"/>
      <c r="U111" s="1"/>
      <c r="V111" s="1"/>
      <c r="W111" s="1"/>
      <c r="X111" s="1"/>
      <c r="Y111" s="1"/>
      <c r="Z111" s="1"/>
      <c r="AA111" s="1"/>
    </row>
    <row r="112" spans="2:27">
      <c r="B112" s="2"/>
      <c r="C112" s="1"/>
      <c r="D112" s="3"/>
      <c r="E112" s="3"/>
      <c r="F112" s="3"/>
      <c r="G112" s="3"/>
      <c r="H112" s="3"/>
      <c r="I112" s="3"/>
      <c r="J112" s="3"/>
      <c r="K112" s="3"/>
      <c r="L112" s="3"/>
      <c r="M112" s="3"/>
      <c r="N112" s="1"/>
      <c r="O112" s="1"/>
      <c r="P112" s="1"/>
      <c r="Q112" s="1"/>
      <c r="R112" s="1"/>
      <c r="S112" s="1"/>
      <c r="T112" s="1"/>
      <c r="U112" s="1"/>
      <c r="V112" s="1"/>
      <c r="W112" s="1"/>
      <c r="X112" s="1"/>
      <c r="Y112" s="1"/>
      <c r="Z112" s="1"/>
      <c r="AA112" s="1"/>
    </row>
    <row r="113" spans="2:27">
      <c r="B113" s="2"/>
      <c r="C113" s="1"/>
      <c r="D113" s="3"/>
      <c r="E113" s="3"/>
      <c r="F113" s="3"/>
      <c r="G113" s="3"/>
      <c r="H113" s="3"/>
      <c r="I113" s="3"/>
      <c r="J113" s="3"/>
      <c r="K113" s="3"/>
      <c r="L113" s="3"/>
      <c r="M113" s="3"/>
      <c r="N113" s="1"/>
      <c r="O113" s="1"/>
      <c r="P113" s="1"/>
      <c r="Q113" s="1"/>
      <c r="R113" s="1"/>
      <c r="S113" s="1"/>
      <c r="T113" s="1"/>
      <c r="U113" s="1"/>
      <c r="V113" s="1"/>
      <c r="W113" s="1"/>
      <c r="X113" s="1"/>
      <c r="Y113" s="1"/>
      <c r="Z113" s="1"/>
      <c r="AA113" s="1"/>
    </row>
    <row r="114" spans="2:2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2:27">
      <c r="B115" s="2"/>
      <c r="C115" s="1"/>
      <c r="D115" s="3"/>
      <c r="E115" s="1"/>
      <c r="F115" s="1"/>
      <c r="G115" s="3"/>
      <c r="H115" s="1"/>
      <c r="I115" s="1"/>
      <c r="J115" s="1"/>
      <c r="K115" s="1"/>
      <c r="L115" s="1"/>
      <c r="M115" s="1"/>
      <c r="N115" s="1"/>
      <c r="O115" s="1"/>
      <c r="P115" s="1"/>
      <c r="Q115" s="1"/>
      <c r="R115" s="1"/>
      <c r="S115" s="1"/>
      <c r="T115" s="1"/>
      <c r="U115" s="1"/>
      <c r="V115" s="1"/>
      <c r="W115" s="1"/>
      <c r="X115" s="1"/>
      <c r="Y115" s="1"/>
      <c r="Z115" s="1"/>
      <c r="AA115" s="1"/>
    </row>
    <row r="116" spans="2:27">
      <c r="B116" s="2"/>
      <c r="C116" s="1"/>
      <c r="D116" s="3"/>
      <c r="E116" s="3"/>
      <c r="F116" s="3"/>
      <c r="G116" s="3"/>
      <c r="H116" s="3"/>
      <c r="I116" s="3"/>
      <c r="J116" s="3"/>
      <c r="K116" s="3"/>
      <c r="L116" s="3"/>
      <c r="M116" s="3"/>
      <c r="N116" s="1"/>
      <c r="O116" s="1"/>
      <c r="P116" s="1"/>
      <c r="Q116" s="1"/>
      <c r="R116" s="1"/>
      <c r="S116" s="1"/>
      <c r="T116" s="1"/>
      <c r="U116" s="1"/>
      <c r="V116" s="1"/>
      <c r="W116" s="1"/>
      <c r="X116" s="1"/>
      <c r="Y116" s="1"/>
      <c r="Z116" s="1"/>
      <c r="AA116" s="1"/>
    </row>
    <row r="117" spans="2:2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2:27">
      <c r="B118" s="2"/>
      <c r="C118" s="1"/>
      <c r="D118" s="3"/>
      <c r="E118" s="3"/>
      <c r="F118" s="3"/>
      <c r="G118" s="3"/>
      <c r="H118" s="1"/>
      <c r="I118" s="1"/>
      <c r="J118" s="1"/>
      <c r="K118" s="1"/>
      <c r="L118" s="1"/>
      <c r="M118" s="1"/>
      <c r="N118" s="1"/>
      <c r="O118" s="1"/>
      <c r="P118" s="1"/>
      <c r="Q118" s="1"/>
      <c r="R118" s="1"/>
      <c r="S118" s="1"/>
      <c r="T118" s="1"/>
      <c r="U118" s="1"/>
      <c r="V118" s="1"/>
      <c r="W118" s="1"/>
      <c r="X118" s="1"/>
      <c r="Y118" s="1"/>
      <c r="Z118" s="1"/>
      <c r="AA118" s="1"/>
    </row>
    <row r="119" spans="2:27">
      <c r="B119" s="2"/>
      <c r="C119" s="1"/>
      <c r="D119" s="3"/>
      <c r="E119" s="3"/>
      <c r="F119" s="3"/>
      <c r="G119" s="3"/>
      <c r="H119" s="1"/>
      <c r="I119" s="1"/>
      <c r="J119" s="1"/>
      <c r="K119" s="1"/>
      <c r="L119" s="1"/>
      <c r="M119" s="1"/>
      <c r="N119" s="1"/>
      <c r="O119" s="1"/>
      <c r="P119" s="1"/>
      <c r="Q119" s="1"/>
      <c r="R119" s="1"/>
      <c r="S119" s="1"/>
      <c r="T119" s="1"/>
      <c r="U119" s="1"/>
      <c r="V119" s="1"/>
      <c r="W119" s="1"/>
      <c r="X119" s="1"/>
      <c r="Y119" s="1"/>
      <c r="Z119" s="1"/>
      <c r="AA119" s="1"/>
    </row>
    <row r="120" spans="2:2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2:27">
      <c r="B121" s="2"/>
      <c r="C121" s="1"/>
      <c r="D121" s="1"/>
      <c r="E121" s="3"/>
      <c r="F121" s="3"/>
      <c r="G121" s="3"/>
      <c r="H121" s="3"/>
      <c r="I121" s="3"/>
      <c r="J121" s="3"/>
      <c r="K121" s="3"/>
      <c r="L121" s="3"/>
      <c r="M121" s="3"/>
      <c r="N121" s="1"/>
      <c r="O121" s="1"/>
      <c r="P121" s="1"/>
      <c r="Q121" s="1"/>
      <c r="R121" s="1"/>
      <c r="S121" s="1"/>
      <c r="T121" s="1"/>
      <c r="U121" s="1"/>
      <c r="V121" s="1"/>
      <c r="W121" s="1"/>
      <c r="X121" s="1"/>
      <c r="Y121" s="1"/>
      <c r="Z121" s="1"/>
      <c r="AA121" s="1"/>
    </row>
    <row r="122" spans="2:27">
      <c r="B122" s="2"/>
      <c r="C122" s="1"/>
      <c r="D122" s="3"/>
      <c r="E122" s="3"/>
      <c r="F122" s="3"/>
      <c r="G122" s="3"/>
      <c r="H122" s="3"/>
      <c r="I122" s="3"/>
      <c r="J122" s="3"/>
      <c r="K122" s="3"/>
      <c r="L122" s="3"/>
      <c r="M122" s="3"/>
      <c r="N122" s="1"/>
      <c r="O122" s="1"/>
      <c r="P122" s="1"/>
      <c r="Q122" s="1"/>
      <c r="R122" s="1"/>
      <c r="S122" s="1"/>
      <c r="T122" s="1"/>
      <c r="U122" s="1"/>
      <c r="V122" s="1"/>
      <c r="W122" s="1"/>
      <c r="X122" s="1"/>
      <c r="Y122" s="1"/>
      <c r="Z122" s="1"/>
      <c r="AA122" s="1"/>
    </row>
    <row r="123" spans="2:27">
      <c r="B123" s="2"/>
      <c r="C123" s="1"/>
      <c r="D123" s="3"/>
      <c r="E123" s="3"/>
      <c r="F123" s="3"/>
      <c r="G123" s="3"/>
      <c r="H123" s="3"/>
      <c r="I123" s="3"/>
      <c r="J123" s="3"/>
      <c r="K123" s="3"/>
      <c r="L123" s="3"/>
      <c r="M123" s="3"/>
      <c r="N123" s="1"/>
      <c r="O123" s="1"/>
      <c r="P123" s="1"/>
      <c r="Q123" s="1"/>
      <c r="R123" s="1"/>
      <c r="S123" s="1"/>
      <c r="T123" s="1"/>
      <c r="U123" s="1"/>
      <c r="V123" s="1"/>
      <c r="W123" s="1"/>
      <c r="X123" s="1"/>
      <c r="Y123" s="1"/>
      <c r="Z123" s="1"/>
      <c r="AA123" s="1"/>
    </row>
    <row r="124" spans="2:2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2:27">
      <c r="B125" s="2"/>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2:27">
      <c r="B126" s="2"/>
      <c r="C126" s="1"/>
      <c r="D126" s="7"/>
      <c r="E126" s="1"/>
      <c r="F126" s="1"/>
      <c r="G126" s="1"/>
      <c r="H126" s="1"/>
      <c r="I126" s="1"/>
      <c r="J126" s="1"/>
      <c r="K126" s="1"/>
      <c r="L126" s="1"/>
      <c r="M126" s="1"/>
      <c r="N126" s="1"/>
      <c r="O126" s="1"/>
      <c r="P126" s="1"/>
      <c r="Q126" s="1"/>
      <c r="R126" s="1"/>
      <c r="S126" s="1"/>
      <c r="T126" s="1"/>
      <c r="U126" s="1"/>
      <c r="V126" s="1"/>
      <c r="W126" s="1"/>
      <c r="X126" s="1"/>
      <c r="Y126" s="1"/>
      <c r="Z126" s="1"/>
      <c r="AA126" s="1"/>
    </row>
    <row r="127" spans="2:2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2:27">
      <c r="B128" s="1"/>
      <c r="C128" s="1"/>
      <c r="D128" s="8"/>
      <c r="E128" s="1"/>
      <c r="F128" s="1"/>
      <c r="G128" s="1"/>
      <c r="H128" s="8"/>
      <c r="I128" s="1"/>
      <c r="J128" s="1"/>
      <c r="K128" s="1"/>
      <c r="L128" s="1"/>
      <c r="M128" s="1"/>
      <c r="N128" s="1"/>
      <c r="O128" s="1"/>
      <c r="P128" s="1"/>
      <c r="Q128" s="1"/>
      <c r="R128" s="1"/>
      <c r="S128" s="1"/>
      <c r="T128" s="1"/>
      <c r="U128" s="1"/>
      <c r="V128" s="1"/>
      <c r="W128" s="1"/>
      <c r="X128" s="1"/>
      <c r="Y128" s="1"/>
      <c r="Z128" s="1"/>
      <c r="AA128" s="1"/>
    </row>
    <row r="129" spans="2:2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2:27">
      <c r="B130" s="2"/>
      <c r="C130" s="2"/>
      <c r="D130" s="8"/>
      <c r="E130" s="1"/>
      <c r="F130" s="1"/>
      <c r="G130" s="1"/>
      <c r="H130" s="1"/>
      <c r="I130" s="1"/>
      <c r="J130" s="1"/>
      <c r="K130" s="1"/>
      <c r="L130" s="1"/>
      <c r="M130" s="1"/>
      <c r="N130" s="1"/>
      <c r="O130" s="1"/>
      <c r="P130" s="1"/>
      <c r="Q130" s="1"/>
      <c r="R130" s="1"/>
      <c r="S130" s="1"/>
      <c r="T130" s="1"/>
      <c r="U130" s="1"/>
      <c r="V130" s="1"/>
      <c r="W130" s="1"/>
      <c r="X130" s="1"/>
      <c r="Y130" s="1"/>
      <c r="Z130" s="1"/>
      <c r="AA130" s="1"/>
    </row>
    <row r="131" spans="2:2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2:2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2:2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2:27">
      <c r="B134" s="1"/>
      <c r="C134" s="1"/>
      <c r="D134" s="3"/>
      <c r="E134" s="3"/>
      <c r="F134" s="3"/>
      <c r="G134" s="3"/>
      <c r="H134" s="3"/>
      <c r="I134" s="3"/>
      <c r="J134" s="3"/>
      <c r="K134" s="3"/>
      <c r="L134" s="3"/>
      <c r="M134" s="3"/>
      <c r="N134" s="1"/>
      <c r="O134" s="1"/>
      <c r="P134" s="1"/>
      <c r="Q134" s="1"/>
      <c r="R134" s="1"/>
      <c r="S134" s="1"/>
      <c r="T134" s="1"/>
      <c r="U134" s="1"/>
      <c r="V134" s="1"/>
      <c r="W134" s="1"/>
      <c r="X134" s="1"/>
      <c r="Y134" s="1"/>
      <c r="Z134" s="1"/>
      <c r="AA134" s="1"/>
    </row>
    <row r="135" spans="2:2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2:27">
      <c r="B136" s="2"/>
      <c r="C136" s="2"/>
      <c r="D136" s="2"/>
      <c r="E136" s="1"/>
      <c r="F136" s="1"/>
      <c r="G136" s="1"/>
      <c r="H136" s="1"/>
      <c r="I136" s="1"/>
      <c r="J136" s="1"/>
      <c r="K136" s="1"/>
      <c r="L136" s="1"/>
      <c r="M136" s="1"/>
      <c r="N136" s="1"/>
      <c r="O136" s="1"/>
      <c r="P136" s="1"/>
      <c r="Q136" s="1"/>
      <c r="R136" s="1"/>
      <c r="S136" s="1"/>
      <c r="T136" s="1"/>
      <c r="U136" s="1"/>
      <c r="V136" s="1"/>
      <c r="W136" s="1"/>
      <c r="X136" s="1"/>
      <c r="Y136" s="1"/>
      <c r="Z136" s="1"/>
      <c r="AA136" s="1"/>
    </row>
    <row r="137" spans="2:2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2:2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2:27">
      <c r="B139" s="2"/>
      <c r="C139" s="1"/>
      <c r="D139" s="1"/>
      <c r="E139" s="7"/>
      <c r="F139" s="7"/>
      <c r="G139" s="7"/>
      <c r="H139" s="1"/>
      <c r="I139" s="1"/>
      <c r="J139" s="1"/>
      <c r="K139" s="1"/>
      <c r="L139" s="1"/>
      <c r="M139" s="1"/>
      <c r="N139" s="1"/>
      <c r="O139" s="1"/>
      <c r="P139" s="1"/>
      <c r="Q139" s="1"/>
      <c r="R139" s="1"/>
      <c r="S139" s="1"/>
      <c r="T139" s="1"/>
      <c r="U139" s="1"/>
      <c r="V139" s="1"/>
      <c r="W139" s="1"/>
      <c r="X139" s="1"/>
      <c r="Y139" s="1"/>
      <c r="Z139" s="1"/>
      <c r="AA139" s="1"/>
    </row>
    <row r="140" spans="2:2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2:27">
      <c r="B141" s="2"/>
      <c r="C141" s="2"/>
      <c r="D141" s="2"/>
      <c r="E141" s="2"/>
      <c r="F141" s="2"/>
      <c r="G141" s="2"/>
      <c r="H141" s="2"/>
      <c r="I141" s="2"/>
      <c r="J141" s="2"/>
      <c r="K141" s="2"/>
      <c r="L141" s="2"/>
      <c r="M141" s="2"/>
      <c r="N141" s="1"/>
      <c r="O141" s="1"/>
      <c r="P141" s="1"/>
      <c r="Q141" s="1"/>
      <c r="R141" s="1"/>
      <c r="S141" s="1"/>
      <c r="T141" s="1"/>
      <c r="U141" s="1"/>
      <c r="V141" s="1"/>
      <c r="W141" s="1"/>
      <c r="X141" s="1"/>
      <c r="Y141" s="1"/>
      <c r="Z141" s="1"/>
      <c r="AA141" s="1"/>
    </row>
    <row r="142" spans="2:2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2:27">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2:2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2:27">
      <c r="B145" s="2"/>
      <c r="C145" s="2"/>
      <c r="D145" s="2"/>
      <c r="E145" s="2"/>
      <c r="F145" s="2"/>
      <c r="G145" s="2"/>
      <c r="H145" s="2"/>
      <c r="I145" s="2"/>
      <c r="J145" s="2"/>
      <c r="K145" s="2"/>
      <c r="L145" s="2"/>
      <c r="M145" s="2"/>
      <c r="N145" s="1"/>
      <c r="O145" s="1"/>
      <c r="P145" s="1"/>
      <c r="Q145" s="1"/>
      <c r="R145" s="1"/>
      <c r="S145" s="1"/>
      <c r="T145" s="1"/>
      <c r="U145" s="1"/>
      <c r="V145" s="1"/>
      <c r="W145" s="1"/>
      <c r="X145" s="1"/>
      <c r="Y145" s="1"/>
      <c r="Z145" s="1"/>
      <c r="AA145" s="1"/>
    </row>
    <row r="146" spans="2:27">
      <c r="B146" s="2"/>
      <c r="C146" s="2"/>
      <c r="D146" s="2"/>
      <c r="E146" s="2"/>
      <c r="F146" s="2"/>
      <c r="G146" s="2"/>
      <c r="H146" s="1"/>
      <c r="I146" s="1"/>
      <c r="J146" s="1"/>
      <c r="K146" s="1"/>
      <c r="L146" s="1"/>
      <c r="M146" s="1"/>
      <c r="N146" s="1"/>
      <c r="O146" s="1"/>
      <c r="P146" s="1"/>
      <c r="Q146" s="1"/>
      <c r="R146" s="1"/>
      <c r="S146" s="1"/>
      <c r="T146" s="1"/>
      <c r="U146" s="1"/>
      <c r="V146" s="1"/>
      <c r="W146" s="1"/>
      <c r="X146" s="1"/>
      <c r="Y146" s="1"/>
      <c r="Z146" s="1"/>
      <c r="AA146" s="1"/>
    </row>
    <row r="147" spans="2:27">
      <c r="B147" s="2"/>
      <c r="C147" s="3"/>
      <c r="D147" s="3"/>
      <c r="E147" s="3"/>
      <c r="F147" s="3"/>
      <c r="G147" s="3"/>
      <c r="H147" s="1"/>
      <c r="I147" s="1"/>
      <c r="J147" s="1"/>
      <c r="K147" s="1"/>
      <c r="L147" s="1"/>
      <c r="M147" s="1"/>
      <c r="N147" s="1"/>
      <c r="O147" s="1"/>
      <c r="P147" s="1"/>
      <c r="Q147" s="1"/>
      <c r="R147" s="1"/>
      <c r="S147" s="1"/>
      <c r="T147" s="1"/>
      <c r="U147" s="1"/>
      <c r="V147" s="1"/>
      <c r="W147" s="1"/>
      <c r="X147" s="1"/>
      <c r="Y147" s="1"/>
      <c r="Z147" s="1"/>
      <c r="AA147" s="1"/>
    </row>
    <row r="148" spans="2:27">
      <c r="B148" s="2"/>
      <c r="C148" s="3"/>
      <c r="D148" s="3"/>
      <c r="E148" s="3"/>
      <c r="F148" s="3"/>
      <c r="G148" s="3"/>
      <c r="H148" s="1"/>
      <c r="I148" s="1"/>
      <c r="J148" s="1"/>
      <c r="K148" s="1"/>
      <c r="L148" s="1"/>
      <c r="M148" s="1"/>
      <c r="N148" s="1"/>
      <c r="O148" s="1"/>
      <c r="P148" s="1"/>
      <c r="Q148" s="1"/>
      <c r="R148" s="1"/>
      <c r="S148" s="1"/>
      <c r="T148" s="1"/>
      <c r="U148" s="1"/>
      <c r="V148" s="1"/>
      <c r="W148" s="1"/>
      <c r="X148" s="1"/>
      <c r="Y148" s="1"/>
      <c r="Z148" s="1"/>
      <c r="AA148" s="1"/>
    </row>
    <row r="149" spans="2:2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2:27">
      <c r="B150" s="2"/>
      <c r="C150" s="3"/>
      <c r="D150" s="3"/>
      <c r="E150" s="3"/>
      <c r="F150" s="3"/>
      <c r="G150" s="3"/>
      <c r="H150" s="1"/>
      <c r="I150" s="1"/>
      <c r="J150" s="1"/>
      <c r="K150" s="1"/>
      <c r="L150" s="1"/>
      <c r="M150" s="1"/>
      <c r="N150" s="1"/>
      <c r="O150" s="1"/>
      <c r="P150" s="1"/>
      <c r="Q150" s="1"/>
      <c r="R150" s="1"/>
      <c r="S150" s="1"/>
      <c r="T150" s="1"/>
      <c r="U150" s="1"/>
      <c r="V150" s="1"/>
      <c r="W150" s="1"/>
      <c r="X150" s="1"/>
      <c r="Y150" s="1"/>
      <c r="Z150" s="1"/>
      <c r="AA150" s="1"/>
    </row>
    <row r="151" spans="2:2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2:2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2:2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2:2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2:2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2:2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2:2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2:2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2:2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2:2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2:2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2:2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2:2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2:2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2:2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2:2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2:2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2:2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2:2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2:2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2:2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2:27">
      <c r="B172" s="2"/>
      <c r="C172" s="2"/>
      <c r="D172" s="2"/>
      <c r="E172" s="2"/>
      <c r="F172" s="2"/>
      <c r="G172" s="2"/>
      <c r="H172" s="2"/>
      <c r="I172" s="2"/>
      <c r="J172" s="2"/>
      <c r="K172" s="2"/>
      <c r="L172" s="2"/>
      <c r="M172" s="2"/>
      <c r="N172" s="1"/>
      <c r="O172" s="1"/>
      <c r="P172" s="1"/>
      <c r="Q172" s="1"/>
      <c r="R172" s="1"/>
      <c r="S172" s="1"/>
      <c r="T172" s="1"/>
      <c r="U172" s="1"/>
      <c r="V172" s="1"/>
      <c r="W172" s="1"/>
      <c r="X172" s="1"/>
      <c r="Y172" s="1"/>
      <c r="Z172" s="1"/>
      <c r="AA172" s="1"/>
    </row>
    <row r="173" spans="2:2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2:2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2:2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2:2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2:2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2:2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2:2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2:2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2:2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2:2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2:2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2:2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2:2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2:2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2:2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2:2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2:27">
      <c r="B189" s="2"/>
      <c r="C189" s="2"/>
      <c r="D189" s="2"/>
      <c r="E189" s="2"/>
      <c r="F189" s="2"/>
      <c r="G189" s="2"/>
      <c r="H189" s="2"/>
      <c r="I189" s="2"/>
      <c r="J189" s="2"/>
      <c r="K189" s="2"/>
      <c r="L189" s="2"/>
      <c r="M189" s="2"/>
      <c r="N189" s="1"/>
      <c r="O189" s="1"/>
      <c r="P189" s="1"/>
      <c r="Q189" s="1"/>
      <c r="R189" s="1"/>
      <c r="S189" s="1"/>
      <c r="T189" s="1"/>
      <c r="U189" s="1"/>
      <c r="V189" s="1"/>
      <c r="W189" s="1"/>
      <c r="X189" s="1"/>
      <c r="Y189" s="1"/>
      <c r="Z189" s="1"/>
      <c r="AA189" s="1"/>
    </row>
    <row r="190" spans="2:2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2:2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2:2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2:2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2:2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2:2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2:2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2:2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2:2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2:2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2:2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2:2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2:2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2:2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2:2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2:2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2:2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2:2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2:2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2:2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2:2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2:2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2:2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2:2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2:2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2:2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2:2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2:2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2:2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2:2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2:2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2:2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2:2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2:2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2:2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2:2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2:2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2:2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2:2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2:2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2:2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2:2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2:2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2:2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2:2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2:2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2:2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2:2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2:2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2:2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2:2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2:2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2:2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2:2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2:2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2:2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2:2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2:2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2:2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2:2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2:2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2:2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2:2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2:2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2:2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2:2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2:2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2:2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2:2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2:2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2:2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2:2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2:2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2:2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2:2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2:2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2:2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2:2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2:2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2:2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2:2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2:2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2:2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2:2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2:2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2:2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2:2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2:2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2:2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2:2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2:2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2:2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2:2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2:2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2:2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2:2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2:2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2:2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2:2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2:2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2:2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2:2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2:2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2:2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2:2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2:2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2:2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2:2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2:2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2:2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2:2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2:2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2:2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2:2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2:2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2:2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2:2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2:2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2:2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2:2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2:2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2:2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2:2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2:2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2:2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2:2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2:2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2:2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2:2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2:2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2:2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2:2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2:2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2:2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2:2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2:2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2:2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2:2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2:2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2:2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2:2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2:2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2:2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2:2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2:2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2:2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2:2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2:2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2:2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2:2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2:2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2:2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2:2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2:2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2:2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2:2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2:2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2:2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2:2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2:2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2:2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2:2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2:2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2:2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2:2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2:2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2:2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2:2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2:2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2:2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2:2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2:2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2:2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2:2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2:2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2:2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2:2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2:2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2:2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2:2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2:2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2:2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2:2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2:2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2:2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2:2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2:2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2:2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2:2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2:2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2:2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2:2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2:2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2:2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2:2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2:2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2:2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2:2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2:2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2:2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2:2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2:2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2:2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2:2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2:2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2:2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2:2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2:2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2:2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2:2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2:2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2:2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2:2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2:2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2:2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2:2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2:2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2:2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2:2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2:2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2:2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2:2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2:2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2:2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2:2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2:2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2:2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2:2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2:2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2:2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2:2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2:2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2:2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2:2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2:2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2:2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2:2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2:2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2:2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2:2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2:2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2:2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2:2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2:2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2:2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2:2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2:2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2:2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2:2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2:2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2:2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2:2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2:2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2:2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2:2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2:2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2:2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2:2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2:2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2:2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2:2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2:2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2:2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2:2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2:2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2:2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2:2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2:2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2:2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2:2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2:2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2:2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2:2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2:2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2:2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2:2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2:2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2:2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2:2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2:2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2:2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2:2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2:2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2:2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2:2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2:2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2:2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2:2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2:2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2:2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2:2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2:2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2:2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2:2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2:2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2:2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2:2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2:2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2:2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2:2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2:2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2:2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2:2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2:2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2:2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2:2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2:2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2:2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2:2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2:2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2:2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2:2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2:2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2:2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2:2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2:2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2:2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2:2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2:2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2:2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2:2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2:2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2:2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2:2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2:2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2:2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2:2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2:2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2:2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2:2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2:2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2:2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2:2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2:2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2:2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2:2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2:2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2:2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2:2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2:2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2:2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2:2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2:2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2:2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2:2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2:2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2:2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2:2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2:2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2:2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2:2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2:2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2:2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2:2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2:2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2:2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2:2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2:2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2:2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2:2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2:2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2:2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2:2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2:2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2:2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2:2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2:2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2:2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2:2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2:2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2:2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2:2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2:2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2:2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2:2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2:2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2:2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2:2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2:2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2:2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2:2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2:2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2:2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2:2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2:2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2:2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2:2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2:2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2:2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2:2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2:2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2:2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2:2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2:2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2:2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2:2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2:2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2:2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2:2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2:2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2:2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2:2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2:2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2:2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2:2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2:2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2:2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2:2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2:2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2:2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2:2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2:2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2:2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2:2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2:2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2:2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2:2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2:2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2:2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2:2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2:2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2:2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2:2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2:2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2:2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2:2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2:2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2:2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2:2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2:2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2:2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2:2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2:2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2:2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2:2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2:2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2:2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2:2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2:2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2:2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2:2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2:2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2:2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2:2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2:2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2:2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2:2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2:2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2:2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2:2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2:2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2:2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2:2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2:2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2:2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2:2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2:2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2:2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2:2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2:2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2:2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2:2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2:2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2:2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2:2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2:2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2:2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2:2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2:2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2:2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2:2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2:2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2:2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2:2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2:2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2:2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2:2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2:2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2:2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2:2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2:2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2:2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2:2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2:2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2:2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2:2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2:2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2:2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2:2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2:2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2:2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2:2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2:2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2:2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2:2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2:2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2:2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2:2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2:2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2:2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2:2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2:2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2:2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2:2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2:2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2:2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2:2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2:2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2:2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2:2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2:2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2:2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2:2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2:2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2:2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2:2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2:2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2:2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2:2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2:2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2:2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2:2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2:2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2:2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2:2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2:2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2:2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2:2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2:2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2:2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2:2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2:2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2:2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2:2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2:2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2:2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2:2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2:2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2:2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2:2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2:2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2:2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2:2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2:2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2:2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2:2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2:2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2:2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2:2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2:2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2:2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2:2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2:2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2:2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2:2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2:2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2:2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2:2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2:2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2:2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2:2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2:2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2:2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2:2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2:2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2:2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2:2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2:2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2:2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2:2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2:2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2:2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2:2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2:2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2:2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2:2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2:2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2:2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2:2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2:2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2:2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2:2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2:2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2:2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2:2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2:2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2:2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2:2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2:2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2:2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2:2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2:2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2:2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2:2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2:2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2:2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2:2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2:2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2:2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2:2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2:2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2:2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2:2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2:2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2:2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2:2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2:2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2:2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2:2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2:2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2:2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2:2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2:2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2:2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2:2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2:2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2:2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2:2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2:2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2:2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2:2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2:2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2:2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2:2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2:2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2:2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2:2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2:2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2:2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2:2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2:2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2:2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2:2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2:2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2:2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2:2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2:2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2:2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2:2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2:2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2:2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2:2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2:2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2:2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2:2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2:2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2:2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2:2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2:2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2:2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2:2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2:2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2:2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2:2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2:2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2:2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2:2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2:2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2:2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2:2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2:2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2:2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2:2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2:2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2:2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2:2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2:2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2:2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2:2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2:2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2:2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2:2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2:2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2:2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2:2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2:2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2:2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2:2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2:2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2:2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2:2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2:2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2:2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2:2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2:2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2:2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2:2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2:2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2:2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2:2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2:2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2:2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2:2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2:2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2:2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2:2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2:2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2:2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2:2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2:2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2:2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2:2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2:2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2:2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2:2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2:2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2:2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2:2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2:2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2:2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2:2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2:2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2:2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2:2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2:2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2:2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2:2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2:2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2:2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2:2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2:2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2:2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2:2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2:2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2:2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2:2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2:2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2:2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2:2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2:2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2:2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2:2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2:2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2:2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2:2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2:2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2:2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2:2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2:2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2:2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2:2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2:2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2:2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2:2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2:2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2:2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2:2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2:2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2:2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2:2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2:2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2:2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2:2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2:2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2:2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2:2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2:2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2:2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2:2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2:2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2:2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2:2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2:2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2:2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2:2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2:2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2:2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2:2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2:2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2:2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2:2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2:2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2:2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2:2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2:2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2:2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2:2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2:2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2:2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2:2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2:2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2:2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2:2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2:2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2:2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2:2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2:2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2:2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2:2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2:2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2:2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2:2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2:2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2:2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2:2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2:2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2:2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2:2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2:2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2:2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2:2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2:2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2:2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2:2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2:2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2:2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2:2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2:2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2:2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2:2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2:2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2:27">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2:27">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2:27">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2:27">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2:27">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2:27">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2:27">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2:27">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2:27">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2:27">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2:27">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2:27">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2:27">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2:27">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2:27">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2:27">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2:27">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sheetData>
  <hyperlinks>
    <hyperlink ref="F35" r:id="rId1" xr:uid="{2ECF8585-E996-A642-A43D-4AEF07192F76}"/>
    <hyperlink ref="F42" r:id="rId2" xr:uid="{A6021189-7D26-8246-A530-FCEFF60B7DD6}"/>
    <hyperlink ref="F46" r:id="rId3" location=":~:text=China%2C%20Indonesia%2C%20and%20the%20Philippines,with%20fishers%20and%20other%20uses." xr:uid="{7E8EA26E-BE93-2C47-8478-FAEDD164F83F}"/>
    <hyperlink ref="F50" r:id="rId4" xr:uid="{629DE3AF-5023-7540-A4B2-A371E5EA6A5F}"/>
    <hyperlink ref="F53" r:id="rId5" xr:uid="{C6FF44F1-F791-6444-BAC2-AF4025EBE32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CAA89-3C3A-E94C-A5C1-3DF2D070F14F}">
  <dimension ref="A1:XFD238"/>
  <sheetViews>
    <sheetView tabSelected="1" topLeftCell="A36" zoomScale="99" workbookViewId="0">
      <selection activeCell="K68" sqref="K68:L68"/>
    </sheetView>
  </sheetViews>
  <sheetFormatPr baseColWidth="10" defaultRowHeight="16"/>
  <cols>
    <col min="1" max="1" width="1.83203125" customWidth="1"/>
    <col min="2" max="2" width="40.1640625" customWidth="1"/>
    <col min="3" max="12" width="17.5" customWidth="1"/>
  </cols>
  <sheetData>
    <row r="1" spans="2:13">
      <c r="B1" t="s">
        <v>120</v>
      </c>
    </row>
    <row r="2" spans="2:13">
      <c r="B2" s="16" t="s">
        <v>121</v>
      </c>
      <c r="C2" s="16" t="s">
        <v>122</v>
      </c>
    </row>
    <row r="3" spans="2:13">
      <c r="C3" s="16" t="s">
        <v>123</v>
      </c>
    </row>
    <row r="4" spans="2:13">
      <c r="C4" s="16" t="s">
        <v>124</v>
      </c>
    </row>
    <row r="5" spans="2:13">
      <c r="B5" s="14" t="s">
        <v>49</v>
      </c>
      <c r="C5" s="49">
        <v>3</v>
      </c>
    </row>
    <row r="7" spans="2:13">
      <c r="B7" t="s">
        <v>50</v>
      </c>
      <c r="C7" t="s">
        <v>71</v>
      </c>
      <c r="D7" t="s">
        <v>72</v>
      </c>
      <c r="E7" t="s">
        <v>73</v>
      </c>
      <c r="F7" t="s">
        <v>74</v>
      </c>
      <c r="G7" t="s">
        <v>75</v>
      </c>
      <c r="H7" t="s">
        <v>76</v>
      </c>
      <c r="I7" t="s">
        <v>77</v>
      </c>
      <c r="J7" t="s">
        <v>78</v>
      </c>
      <c r="K7" t="s">
        <v>79</v>
      </c>
      <c r="L7" t="s">
        <v>80</v>
      </c>
    </row>
    <row r="8" spans="2:13">
      <c r="B8" s="34" t="s">
        <v>51</v>
      </c>
      <c r="C8" s="29">
        <f t="shared" ref="C8:L8" si="0">SUM(C9:C10)</f>
        <v>32400</v>
      </c>
      <c r="D8" s="29">
        <f t="shared" si="0"/>
        <v>79380</v>
      </c>
      <c r="E8" s="29">
        <f t="shared" si="0"/>
        <v>158760</v>
      </c>
      <c r="F8" s="29">
        <f t="shared" si="0"/>
        <v>254016</v>
      </c>
      <c r="G8" s="29">
        <f t="shared" si="0"/>
        <v>355622.39999999997</v>
      </c>
      <c r="H8" s="29">
        <f t="shared" si="0"/>
        <v>462309.12</v>
      </c>
      <c r="I8" s="29">
        <f t="shared" si="0"/>
        <v>554770.94400000002</v>
      </c>
      <c r="J8" s="29">
        <f t="shared" si="0"/>
        <v>610248.03840000008</v>
      </c>
      <c r="K8" s="29">
        <f t="shared" si="0"/>
        <v>671272.84224000014</v>
      </c>
      <c r="L8" s="29">
        <f t="shared" si="0"/>
        <v>718261.94119680021</v>
      </c>
    </row>
    <row r="9" spans="2:13">
      <c r="B9" s="27" t="s">
        <v>81</v>
      </c>
      <c r="C9" s="15">
        <v>16200</v>
      </c>
      <c r="D9" s="15">
        <f>C9*D98</f>
        <v>39690</v>
      </c>
      <c r="E9" s="15">
        <f>D9*E98</f>
        <v>79380</v>
      </c>
      <c r="F9" s="15">
        <f>E9*F98</f>
        <v>127008</v>
      </c>
      <c r="G9" s="15">
        <f>F9*G98</f>
        <v>177811.19999999998</v>
      </c>
      <c r="H9" s="15">
        <f>G9*H98</f>
        <v>231154.56</v>
      </c>
      <c r="I9" s="15">
        <f>H9*I98</f>
        <v>277385.47200000001</v>
      </c>
      <c r="J9" s="15">
        <f>I9*J98</f>
        <v>305124.01920000004</v>
      </c>
      <c r="K9" s="15">
        <f>J9*K98</f>
        <v>335636.42112000007</v>
      </c>
      <c r="L9" s="15">
        <f>K9*L98</f>
        <v>359130.9705984001</v>
      </c>
    </row>
    <row r="10" spans="2:13" s="32" customFormat="1">
      <c r="B10" s="33" t="s">
        <v>82</v>
      </c>
      <c r="C10" s="31">
        <v>16200</v>
      </c>
      <c r="D10" s="31">
        <f>C10*D98</f>
        <v>39690</v>
      </c>
      <c r="E10" s="31">
        <f>D10*E98</f>
        <v>79380</v>
      </c>
      <c r="F10" s="31">
        <f>E10*F98</f>
        <v>127008</v>
      </c>
      <c r="G10" s="31">
        <f>F10*G98</f>
        <v>177811.19999999998</v>
      </c>
      <c r="H10" s="31">
        <f>G10*H98</f>
        <v>231154.56</v>
      </c>
      <c r="I10" s="31">
        <f>H10*I98</f>
        <v>277385.47200000001</v>
      </c>
      <c r="J10" s="31">
        <f>I10*J98</f>
        <v>305124.01920000004</v>
      </c>
      <c r="K10" s="31">
        <f>J10*K98</f>
        <v>335636.42112000007</v>
      </c>
      <c r="L10" s="31">
        <f>K10*L98</f>
        <v>359130.9705984001</v>
      </c>
    </row>
    <row r="11" spans="2:13">
      <c r="B11" s="45" t="s">
        <v>52</v>
      </c>
      <c r="C11" s="46">
        <f>-(C99*C8)</f>
        <v>-24300</v>
      </c>
      <c r="D11" s="46">
        <f>-(D99*D8)</f>
        <v>-59535</v>
      </c>
      <c r="E11" s="46">
        <f>-(E99*E8)</f>
        <v>-119070</v>
      </c>
      <c r="F11" s="46">
        <f>-(F99*F8)</f>
        <v>-190512</v>
      </c>
      <c r="G11" s="46">
        <f>-(G99*G8)</f>
        <v>-266716.79999999999</v>
      </c>
      <c r="H11" s="46">
        <f>-(H99*H8)</f>
        <v>-346731.83999999997</v>
      </c>
      <c r="I11" s="46">
        <f>-(I99*I8)</f>
        <v>-416078.20799999998</v>
      </c>
      <c r="J11" s="46">
        <f>-(J99*J8)</f>
        <v>-457686.02880000009</v>
      </c>
      <c r="K11" s="46">
        <f>-(K99*K8)</f>
        <v>-503454.63168000011</v>
      </c>
      <c r="L11" s="46">
        <f>-(L99*L8)</f>
        <v>-538696.45589760016</v>
      </c>
    </row>
    <row r="12" spans="2:13">
      <c r="B12" s="34" t="s">
        <v>53</v>
      </c>
      <c r="C12" s="29">
        <f t="shared" ref="C12:L12" si="1">C8+C11</f>
        <v>8100</v>
      </c>
      <c r="D12" s="29">
        <f t="shared" si="1"/>
        <v>19845</v>
      </c>
      <c r="E12" s="29">
        <f t="shared" si="1"/>
        <v>39690</v>
      </c>
      <c r="F12" s="29">
        <f t="shared" si="1"/>
        <v>63504</v>
      </c>
      <c r="G12" s="29">
        <f t="shared" si="1"/>
        <v>88905.599999999977</v>
      </c>
      <c r="H12" s="29">
        <f t="shared" si="1"/>
        <v>115577.28000000003</v>
      </c>
      <c r="I12" s="29">
        <f t="shared" si="1"/>
        <v>138692.73600000003</v>
      </c>
      <c r="J12" s="29">
        <f t="shared" si="1"/>
        <v>152562.00959999999</v>
      </c>
      <c r="K12" s="29">
        <f t="shared" si="1"/>
        <v>167818.21056000004</v>
      </c>
      <c r="L12" s="29">
        <f t="shared" si="1"/>
        <v>179565.48529920005</v>
      </c>
    </row>
    <row r="13" spans="2:13">
      <c r="B13" s="27" t="s">
        <v>54</v>
      </c>
      <c r="C13" s="15">
        <f>C$8*C101</f>
        <v>1296</v>
      </c>
      <c r="D13" s="15">
        <f>D$8*D101</f>
        <v>3175.2000000000003</v>
      </c>
      <c r="E13" s="15">
        <f>E$8*E101</f>
        <v>6350.4000000000005</v>
      </c>
      <c r="F13" s="15">
        <f>F$8*F101</f>
        <v>10160.64</v>
      </c>
      <c r="G13" s="15">
        <f>G$8*G101</f>
        <v>14224.895999999999</v>
      </c>
      <c r="H13" s="15">
        <f>H$8*H101</f>
        <v>18492.364799999999</v>
      </c>
      <c r="I13" s="15">
        <f>I$8*I101</f>
        <v>22190.837760000002</v>
      </c>
      <c r="J13" s="15">
        <f>J$8*J101</f>
        <v>24409.921536000005</v>
      </c>
      <c r="K13" s="15">
        <f>K$8*K101</f>
        <v>26850.913689600005</v>
      </c>
      <c r="L13" s="15">
        <f>L$8*L101</f>
        <v>28730.477647872009</v>
      </c>
    </row>
    <row r="14" spans="2:13">
      <c r="B14" s="27" t="s">
        <v>85</v>
      </c>
      <c r="C14" s="15">
        <f>C$8*C102</f>
        <v>1296</v>
      </c>
      <c r="D14" s="15">
        <f>D$8*D102</f>
        <v>3175.2000000000003</v>
      </c>
      <c r="E14" s="15">
        <f>E$8*E102</f>
        <v>6350.4000000000005</v>
      </c>
      <c r="F14" s="15">
        <f>F$8*F102</f>
        <v>10160.64</v>
      </c>
      <c r="G14" s="15">
        <f>G$8*G102</f>
        <v>14224.895999999999</v>
      </c>
      <c r="H14" s="15">
        <f>H$8*H102</f>
        <v>18492.364799999999</v>
      </c>
      <c r="I14" s="15">
        <f>I$8*I102</f>
        <v>22190.837760000002</v>
      </c>
      <c r="J14" s="15">
        <f>J$8*J102</f>
        <v>24409.921536000005</v>
      </c>
      <c r="K14" s="15">
        <f>K$8*K102</f>
        <v>26850.913689600005</v>
      </c>
      <c r="L14" s="15">
        <f>L$8*L102</f>
        <v>28730.477647872009</v>
      </c>
    </row>
    <row r="15" spans="2:13" s="16" customFormat="1">
      <c r="B15" s="27" t="s">
        <v>84</v>
      </c>
      <c r="C15" s="15">
        <f>C$8*C103</f>
        <v>972</v>
      </c>
      <c r="D15" s="15">
        <f>D$8*D103</f>
        <v>2381.4</v>
      </c>
      <c r="E15" s="15">
        <f>E$8*E103</f>
        <v>4762.8</v>
      </c>
      <c r="F15" s="15">
        <f>F$8*F103</f>
        <v>7620.48</v>
      </c>
      <c r="G15" s="15">
        <f>G$8*G103</f>
        <v>10668.671999999999</v>
      </c>
      <c r="H15" s="15">
        <f>H$8*H103</f>
        <v>13869.273599999999</v>
      </c>
      <c r="I15" s="15">
        <f>I$8*I103</f>
        <v>16643.12832</v>
      </c>
      <c r="J15" s="15">
        <f>J$8*J103</f>
        <v>18307.441152000003</v>
      </c>
      <c r="K15" s="15">
        <f>K$8*K103</f>
        <v>20138.185267200002</v>
      </c>
      <c r="L15" s="15">
        <f>L$8*L103</f>
        <v>21547.858235904005</v>
      </c>
      <c r="M15" s="15"/>
    </row>
    <row r="16" spans="2:13" s="16" customFormat="1">
      <c r="B16" s="27" t="s">
        <v>83</v>
      </c>
      <c r="C16" s="15">
        <f>C$8*C104</f>
        <v>1296</v>
      </c>
      <c r="D16" s="15">
        <f>D$8*D104</f>
        <v>3175.2000000000003</v>
      </c>
      <c r="E16" s="15">
        <f>E$8*E104</f>
        <v>6350.4000000000005</v>
      </c>
      <c r="F16" s="15">
        <f>F$8*F104</f>
        <v>10160.64</v>
      </c>
      <c r="G16" s="15">
        <f>G$8*G104</f>
        <v>14224.895999999999</v>
      </c>
      <c r="H16" s="15">
        <f>H$8*H104</f>
        <v>18492.364799999999</v>
      </c>
      <c r="I16" s="15">
        <f>I$8*I104</f>
        <v>22190.837760000002</v>
      </c>
      <c r="J16" s="15">
        <f>J$8*J104</f>
        <v>24409.921536000005</v>
      </c>
      <c r="K16" s="15">
        <f>K$8*K104</f>
        <v>26850.913689600005</v>
      </c>
      <c r="L16" s="15">
        <f>L$8*L104</f>
        <v>28730.477647872009</v>
      </c>
      <c r="M16" s="15"/>
    </row>
    <row r="17" spans="2:22" s="16" customFormat="1">
      <c r="B17" s="47" t="s">
        <v>86</v>
      </c>
      <c r="C17" s="29">
        <f>C$8*C105</f>
        <v>7452</v>
      </c>
      <c r="D17" s="29">
        <f>D$8*D105</f>
        <v>18257.400000000001</v>
      </c>
      <c r="E17" s="29">
        <f>E$8*E105</f>
        <v>36514.800000000003</v>
      </c>
      <c r="F17" s="29">
        <f>F$8*F105</f>
        <v>58423.68</v>
      </c>
      <c r="G17" s="29">
        <f>G$8*G105</f>
        <v>81793.152000000002</v>
      </c>
      <c r="H17" s="29">
        <f>H$8*H105</f>
        <v>106331.09760000001</v>
      </c>
      <c r="I17" s="29">
        <f>I$8*I105</f>
        <v>127597.31712000001</v>
      </c>
      <c r="J17" s="29">
        <f>J$8*J105</f>
        <v>140357.04883200003</v>
      </c>
      <c r="K17" s="29">
        <f>K$8*K105</f>
        <v>154392.75371520003</v>
      </c>
      <c r="L17" s="29">
        <f>L$8*L105</f>
        <v>165200.24647526405</v>
      </c>
      <c r="M17" s="15"/>
    </row>
    <row r="18" spans="2:22">
      <c r="B18" s="45" t="s">
        <v>55</v>
      </c>
      <c r="C18" s="46">
        <f>C$8*C106</f>
        <v>7128</v>
      </c>
      <c r="D18" s="46">
        <f>D$8*D106</f>
        <v>17463.599999999999</v>
      </c>
      <c r="E18" s="46">
        <f>E$8*E106</f>
        <v>34927.199999999997</v>
      </c>
      <c r="F18" s="46">
        <f>F$8*F106</f>
        <v>55883.519999999997</v>
      </c>
      <c r="G18" s="46">
        <f>G$8*G106</f>
        <v>78236.928</v>
      </c>
      <c r="H18" s="46">
        <f>H$8*H106</f>
        <v>101708.0064</v>
      </c>
      <c r="I18" s="46">
        <f>I$8*I106</f>
        <v>122049.60768</v>
      </c>
      <c r="J18" s="46">
        <f>J$8*J106</f>
        <v>134254.56844800001</v>
      </c>
      <c r="K18" s="46">
        <f>K$8*K106</f>
        <v>147680.02529280004</v>
      </c>
      <c r="L18" s="46">
        <f>L$8*L106</f>
        <v>158017.62706329604</v>
      </c>
    </row>
    <row r="19" spans="2:22">
      <c r="B19" s="45" t="s">
        <v>56</v>
      </c>
      <c r="C19" s="46">
        <f t="shared" ref="C19:L19" si="2">C12-C18</f>
        <v>972</v>
      </c>
      <c r="D19" s="46">
        <f t="shared" si="2"/>
        <v>2381.4000000000015</v>
      </c>
      <c r="E19" s="46">
        <f t="shared" si="2"/>
        <v>4762.8000000000029</v>
      </c>
      <c r="F19" s="46">
        <f t="shared" si="2"/>
        <v>7620.4800000000032</v>
      </c>
      <c r="G19" s="46">
        <f t="shared" si="2"/>
        <v>10668.671999999977</v>
      </c>
      <c r="H19" s="46">
        <f t="shared" si="2"/>
        <v>13869.27360000003</v>
      </c>
      <c r="I19" s="46">
        <f t="shared" si="2"/>
        <v>16643.128320000033</v>
      </c>
      <c r="J19" s="46">
        <f t="shared" si="2"/>
        <v>18307.441151999985</v>
      </c>
      <c r="K19" s="46">
        <f t="shared" si="2"/>
        <v>20138.185267199995</v>
      </c>
      <c r="L19" s="46">
        <f t="shared" si="2"/>
        <v>21547.858235904016</v>
      </c>
    </row>
    <row r="20" spans="2:22">
      <c r="B20" t="s">
        <v>57</v>
      </c>
      <c r="C20" s="15">
        <f>C107*C8</f>
        <v>25.92</v>
      </c>
      <c r="D20" s="15">
        <f>-D46</f>
        <v>6475.5</v>
      </c>
      <c r="E20" s="15">
        <f>-E46</f>
        <v>5108.875</v>
      </c>
      <c r="F20" s="15">
        <f>-F46</f>
        <v>4083.90625</v>
      </c>
      <c r="G20" s="15">
        <f>-G46</f>
        <v>3315.1796875</v>
      </c>
      <c r="H20" s="15">
        <f>-H46</f>
        <v>2738.634765625</v>
      </c>
      <c r="I20" s="15">
        <f>-I46</f>
        <v>2349.2760246187495</v>
      </c>
      <c r="J20" s="15">
        <f>-J46</f>
        <v>2145.8469539840626</v>
      </c>
      <c r="K20" s="15">
        <f>-K46</f>
        <v>2070.0531381120477</v>
      </c>
      <c r="L20" s="15">
        <f>-L46</f>
        <v>2059.2745684704355</v>
      </c>
      <c r="M20" s="17"/>
    </row>
    <row r="21" spans="2:22">
      <c r="B21" t="s">
        <v>58</v>
      </c>
      <c r="C21" s="32">
        <f>C19+C20</f>
        <v>997.92</v>
      </c>
      <c r="D21" s="15">
        <f t="shared" ref="D21:L21" si="3">D19+D20</f>
        <v>8856.9000000000015</v>
      </c>
      <c r="E21" s="15">
        <f t="shared" si="3"/>
        <v>9871.6750000000029</v>
      </c>
      <c r="F21" s="15">
        <f t="shared" si="3"/>
        <v>11704.386250000003</v>
      </c>
      <c r="G21" s="15">
        <f t="shared" si="3"/>
        <v>13983.851687499977</v>
      </c>
      <c r="H21" s="15">
        <f t="shared" si="3"/>
        <v>16607.90836562503</v>
      </c>
      <c r="I21" s="15">
        <f t="shared" si="3"/>
        <v>18992.404344618782</v>
      </c>
      <c r="J21" s="15">
        <f t="shared" si="3"/>
        <v>20453.288105984047</v>
      </c>
      <c r="K21" s="15">
        <f t="shared" si="3"/>
        <v>22208.238405312044</v>
      </c>
      <c r="L21" s="15">
        <f t="shared" si="3"/>
        <v>23607.132804374451</v>
      </c>
      <c r="M21" s="15"/>
      <c r="N21" s="15"/>
      <c r="O21" s="15"/>
      <c r="P21" s="15"/>
      <c r="Q21" s="15"/>
      <c r="R21" s="15"/>
      <c r="S21" s="15"/>
      <c r="T21" s="15"/>
      <c r="U21" s="15"/>
      <c r="V21" s="15"/>
    </row>
    <row r="22" spans="2:22">
      <c r="B22" t="s">
        <v>59</v>
      </c>
      <c r="C22" s="15">
        <f>-(C108*C8)</f>
        <v>-25.92</v>
      </c>
      <c r="D22" s="15">
        <f>-(D108*D8)</f>
        <v>-63.504000000000005</v>
      </c>
      <c r="E22" s="15">
        <f>-(E108*E8)</f>
        <v>-127.00800000000001</v>
      </c>
      <c r="F22" s="15">
        <f>-(F108*F8)</f>
        <v>-203.21280000000002</v>
      </c>
      <c r="G22" s="15">
        <f>-(G108*G8)</f>
        <v>-284.49791999999997</v>
      </c>
      <c r="H22" s="15">
        <f>-(H108*H8)</f>
        <v>-369.84729600000003</v>
      </c>
      <c r="I22" s="15">
        <f>-(I108*I8)</f>
        <v>-443.81675520000005</v>
      </c>
      <c r="J22" s="15">
        <f>-(J108*J8)</f>
        <v>-488.19843072000009</v>
      </c>
      <c r="K22" s="15">
        <f>-(K108*K8)</f>
        <v>-537.01827379200017</v>
      </c>
      <c r="L22" s="15">
        <f>-(L108*L8)</f>
        <v>-574.6095529574402</v>
      </c>
    </row>
    <row r="23" spans="2:22">
      <c r="B23" t="s">
        <v>60</v>
      </c>
      <c r="C23" s="15">
        <f>SUM(C19,C22:C22)</f>
        <v>946.08</v>
      </c>
      <c r="D23" s="15">
        <f>SUM(D19,D22:D22)</f>
        <v>2317.8960000000015</v>
      </c>
      <c r="E23" s="15">
        <f>SUM(E19,E22:E22)</f>
        <v>4635.7920000000031</v>
      </c>
      <c r="F23" s="15">
        <f>SUM(F19,F22:F22)</f>
        <v>7417.267200000003</v>
      </c>
      <c r="G23" s="15">
        <f>SUM(G19,G22:G22)</f>
        <v>10384.174079999977</v>
      </c>
      <c r="H23" s="15">
        <f>SUM(H19,H22:H22)</f>
        <v>13499.42630400003</v>
      </c>
      <c r="I23" s="15">
        <f>SUM(I19,I22:I22)</f>
        <v>16199.311564800033</v>
      </c>
      <c r="J23" s="15">
        <f>SUM(J19,J22:J22)</f>
        <v>17819.242721279985</v>
      </c>
      <c r="K23" s="15">
        <f>SUM(K19,K22:K22)</f>
        <v>19601.166993407995</v>
      </c>
      <c r="L23" s="15">
        <f>SUM(L19,L22:L22)</f>
        <v>20973.248682946574</v>
      </c>
    </row>
    <row r="24" spans="2:22">
      <c r="B24" s="48" t="s">
        <v>61</v>
      </c>
      <c r="C24" s="29">
        <f>IF(C23&gt;0,C23*C109,C23*0)</f>
        <v>236.52</v>
      </c>
      <c r="D24" s="29">
        <f>IF(D23&gt;0,D23*D109,D23*0)</f>
        <v>579.47400000000039</v>
      </c>
      <c r="E24" s="29">
        <f>IF(E23&gt;0,E23*E109,E23*0)</f>
        <v>1158.9480000000008</v>
      </c>
      <c r="F24" s="29">
        <f>IF(F23&gt;0,F23*F109,F23*0)</f>
        <v>1854.3168000000007</v>
      </c>
      <c r="G24" s="29">
        <f>IF(G23&gt;0,G23*G109,G23*0)</f>
        <v>2596.0435199999943</v>
      </c>
      <c r="H24" s="29">
        <f>IF(H23&gt;0,H23*H109,H23*0)</f>
        <v>3374.8565760000074</v>
      </c>
      <c r="I24" s="29">
        <f>IF(I23&gt;0,I23*I109,I23*0)</f>
        <v>4049.8278912000083</v>
      </c>
      <c r="J24" s="29">
        <f>IF(J23&gt;0,J23*J109,J23*0)</f>
        <v>4454.8106803199962</v>
      </c>
      <c r="K24" s="29">
        <f>IF(K23&gt;0,K23*K109,K23*0)</f>
        <v>4900.2917483519986</v>
      </c>
      <c r="L24" s="29">
        <f>IF(L23&gt;0,L23*L109,L23*0)</f>
        <v>5243.3121707366436</v>
      </c>
    </row>
    <row r="25" spans="2:22" ht="17" thickBot="1">
      <c r="B25" s="50" t="s">
        <v>62</v>
      </c>
      <c r="C25" s="51">
        <f t="shared" ref="C25:L25" si="4">SUM(C23:C24)</f>
        <v>1182.6000000000001</v>
      </c>
      <c r="D25" s="51">
        <f t="shared" si="4"/>
        <v>2897.3700000000017</v>
      </c>
      <c r="E25" s="51">
        <f t="shared" si="4"/>
        <v>5794.7400000000034</v>
      </c>
      <c r="F25" s="51">
        <f t="shared" si="4"/>
        <v>9271.5840000000044</v>
      </c>
      <c r="G25" s="51">
        <f t="shared" si="4"/>
        <v>12980.217599999971</v>
      </c>
      <c r="H25" s="51">
        <f t="shared" si="4"/>
        <v>16874.282880000035</v>
      </c>
      <c r="I25" s="51">
        <f t="shared" si="4"/>
        <v>20249.139456000041</v>
      </c>
      <c r="J25" s="51">
        <f t="shared" si="4"/>
        <v>22274.05340159998</v>
      </c>
      <c r="K25" s="51">
        <f t="shared" si="4"/>
        <v>24501.458741759994</v>
      </c>
      <c r="L25" s="51">
        <f t="shared" si="4"/>
        <v>26216.560853683219</v>
      </c>
      <c r="M25" s="15"/>
      <c r="N25" s="15"/>
    </row>
    <row r="26" spans="2:22" ht="17" thickBot="1">
      <c r="B26" s="54" t="s">
        <v>63</v>
      </c>
      <c r="C26" s="53">
        <f t="shared" ref="C26:L26" si="5">SUM(C25:C25)</f>
        <v>1182.6000000000001</v>
      </c>
      <c r="D26" s="53">
        <f t="shared" si="5"/>
        <v>2897.3700000000017</v>
      </c>
      <c r="E26" s="53">
        <f t="shared" si="5"/>
        <v>5794.7400000000034</v>
      </c>
      <c r="F26" s="53">
        <f t="shared" si="5"/>
        <v>9271.5840000000044</v>
      </c>
      <c r="G26" s="53">
        <f t="shared" si="5"/>
        <v>12980.217599999971</v>
      </c>
      <c r="H26" s="53">
        <f t="shared" si="5"/>
        <v>16874.282880000035</v>
      </c>
      <c r="I26" s="53">
        <f t="shared" si="5"/>
        <v>20249.139456000041</v>
      </c>
      <c r="J26" s="53">
        <f t="shared" si="5"/>
        <v>22274.05340159998</v>
      </c>
      <c r="K26" s="53">
        <f t="shared" si="5"/>
        <v>24501.458741759994</v>
      </c>
      <c r="L26" s="53">
        <f t="shared" si="5"/>
        <v>26216.560853683219</v>
      </c>
    </row>
    <row r="29" spans="2:22">
      <c r="B29" s="16" t="s">
        <v>126</v>
      </c>
      <c r="C29" s="64">
        <v>70000</v>
      </c>
      <c r="D29" t="s">
        <v>169</v>
      </c>
    </row>
    <row r="30" spans="2:22">
      <c r="B30" t="s">
        <v>128</v>
      </c>
      <c r="C30" t="s">
        <v>148</v>
      </c>
    </row>
    <row r="31" spans="2:22">
      <c r="C31" s="56" t="s">
        <v>129</v>
      </c>
      <c r="D31" s="56"/>
      <c r="E31" s="22">
        <v>0.09</v>
      </c>
    </row>
    <row r="33" spans="2:12">
      <c r="C33">
        <v>2023</v>
      </c>
      <c r="D33">
        <f>C33+1</f>
        <v>2024</v>
      </c>
      <c r="E33">
        <f>D33+1</f>
        <v>2025</v>
      </c>
      <c r="F33">
        <f>E33+1</f>
        <v>2026</v>
      </c>
      <c r="G33">
        <f>F33+1</f>
        <v>2027</v>
      </c>
      <c r="H33">
        <f>G33+1</f>
        <v>2028</v>
      </c>
      <c r="I33">
        <f>H33+1</f>
        <v>2029</v>
      </c>
      <c r="J33">
        <f>I33+1</f>
        <v>2030</v>
      </c>
      <c r="K33">
        <f>J33+1</f>
        <v>2031</v>
      </c>
      <c r="L33">
        <f>K33+1</f>
        <v>2032</v>
      </c>
    </row>
    <row r="34" spans="2:12" ht="17" thickBot="1">
      <c r="B34" s="54" t="s">
        <v>152</v>
      </c>
      <c r="C34" s="53">
        <f>'Income Statement'!C$26</f>
        <v>1182.6000000000001</v>
      </c>
      <c r="D34" s="53">
        <f>'Income Statement'!D$26</f>
        <v>2897.3700000000017</v>
      </c>
      <c r="E34" s="53">
        <f>'Income Statement'!E$26</f>
        <v>5794.7400000000034</v>
      </c>
      <c r="F34" s="53">
        <f>'Income Statement'!F$26</f>
        <v>9271.5840000000044</v>
      </c>
      <c r="G34" s="53">
        <f>'Income Statement'!G$26</f>
        <v>12980.217599999971</v>
      </c>
      <c r="H34" s="53">
        <f>'Income Statement'!H$26</f>
        <v>16874.282880000035</v>
      </c>
      <c r="I34" s="53">
        <f>'Income Statement'!I$26</f>
        <v>20249.139456000041</v>
      </c>
      <c r="J34" s="53">
        <f>'Income Statement'!J$26</f>
        <v>22274.05340159998</v>
      </c>
      <c r="K34" s="53">
        <f>'Income Statement'!K$26</f>
        <v>24501.458741759994</v>
      </c>
      <c r="L34" s="53">
        <f>'Income Statement'!L$26</f>
        <v>26216.560853683219</v>
      </c>
    </row>
    <row r="35" spans="2:12">
      <c r="B35" t="s">
        <v>144</v>
      </c>
      <c r="C35" s="32">
        <f>70000</f>
        <v>70000</v>
      </c>
      <c r="D35" s="32">
        <f>C39*1.09</f>
        <v>76300</v>
      </c>
      <c r="E35" s="32">
        <f>D39*1.09</f>
        <v>83167</v>
      </c>
      <c r="F35" s="32">
        <f>E39*1.09</f>
        <v>90652.030000000013</v>
      </c>
      <c r="G35" s="32">
        <f>F39*1.09</f>
        <v>98810.712700000018</v>
      </c>
      <c r="H35" s="32">
        <f>G39*1.09</f>
        <v>103459.14568780003</v>
      </c>
      <c r="I35" s="32">
        <f>H39*1.09</f>
        <v>107252.57829794202</v>
      </c>
      <c r="J35" s="32">
        <f>I39*1.09</f>
        <v>110283.8417426448</v>
      </c>
      <c r="K35" s="32">
        <f>J39*1.09</f>
        <v>112925.77203715965</v>
      </c>
      <c r="L35" s="32">
        <f>K39*1.09</f>
        <v>0</v>
      </c>
    </row>
    <row r="36" spans="2:12">
      <c r="B36" t="s">
        <v>127</v>
      </c>
      <c r="C36" s="32">
        <f>$C$35*0.5</f>
        <v>35000</v>
      </c>
      <c r="D36" s="32">
        <f>$C$35*0.5</f>
        <v>35000</v>
      </c>
      <c r="E36" s="32">
        <f>$C$35*0.5</f>
        <v>35000</v>
      </c>
      <c r="F36" s="32">
        <f>$C$35*0.5</f>
        <v>35000</v>
      </c>
      <c r="G36" s="32">
        <f>$C$35*0.5</f>
        <v>35000</v>
      </c>
      <c r="H36" s="32">
        <f>$C$35*0.5</f>
        <v>35000</v>
      </c>
      <c r="I36" s="32">
        <f>$C$35*0.5</f>
        <v>35000</v>
      </c>
      <c r="J36" s="32">
        <f>$C$35*0.5</f>
        <v>35000</v>
      </c>
      <c r="K36" s="32">
        <f>$C$35*0.5-167</f>
        <v>34833</v>
      </c>
      <c r="L36" s="32">
        <v>0</v>
      </c>
    </row>
    <row r="37" spans="2:12">
      <c r="B37" s="60" t="s">
        <v>146</v>
      </c>
      <c r="C37" s="32">
        <f>C35-C36</f>
        <v>35000</v>
      </c>
      <c r="D37" s="32">
        <f>D35-D36</f>
        <v>41300</v>
      </c>
      <c r="E37" s="32">
        <f>E35-E36</f>
        <v>48167</v>
      </c>
      <c r="F37" s="32">
        <f>F35-F36</f>
        <v>55652.030000000013</v>
      </c>
      <c r="G37" s="32">
        <f>G35-G36</f>
        <v>63810.712700000018</v>
      </c>
      <c r="H37" s="32">
        <f>H35-H36</f>
        <v>68459.145687800032</v>
      </c>
      <c r="I37" s="32">
        <f>I35-I36</f>
        <v>72252.578297942018</v>
      </c>
      <c r="J37" s="32">
        <f>J35-J36</f>
        <v>75283.8417426448</v>
      </c>
      <c r="K37" s="32">
        <f>K35-K36</f>
        <v>78092.772037159652</v>
      </c>
      <c r="L37" s="32">
        <f>IF(L35-L36-0.3*L34&gt;0,L35-L36-0.3*L34,0)</f>
        <v>0</v>
      </c>
    </row>
    <row r="38" spans="2:12">
      <c r="B38" s="48" t="s">
        <v>147</v>
      </c>
      <c r="C38" s="31">
        <v>0</v>
      </c>
      <c r="D38" s="31">
        <v>0</v>
      </c>
      <c r="E38" s="31">
        <v>0</v>
      </c>
      <c r="F38" s="31">
        <v>0</v>
      </c>
      <c r="G38" s="31">
        <f>0.3*G34</f>
        <v>3894.0652799999912</v>
      </c>
      <c r="H38" s="31">
        <f>0.3*H34</f>
        <v>5062.2848640000102</v>
      </c>
      <c r="I38" s="31">
        <f>0.3*I34</f>
        <v>6074.7418368000117</v>
      </c>
      <c r="J38" s="31">
        <f>0.3*J34</f>
        <v>6682.2160204799939</v>
      </c>
      <c r="K38" s="31">
        <f>0.3*K34</f>
        <v>7350.4376225279984</v>
      </c>
      <c r="L38" s="31">
        <v>0</v>
      </c>
    </row>
    <row r="39" spans="2:12" ht="17" thickBot="1">
      <c r="B39" s="52" t="s">
        <v>145</v>
      </c>
      <c r="C39" s="63">
        <f>SUM(C36:C37)</f>
        <v>70000</v>
      </c>
      <c r="D39" s="63">
        <f>SUM(D36:D37)</f>
        <v>76300</v>
      </c>
      <c r="E39" s="63">
        <f>SUM(E36:E37)</f>
        <v>83167</v>
      </c>
      <c r="F39" s="63">
        <f>SUM(F36:F37)</f>
        <v>90652.030000000013</v>
      </c>
      <c r="G39" s="63">
        <f>G36+G37-G38</f>
        <v>94916.647420000023</v>
      </c>
      <c r="H39" s="63">
        <f>H36+H37-H38</f>
        <v>98396.860823800016</v>
      </c>
      <c r="I39" s="63">
        <f>I36+I37-I38</f>
        <v>101177.83646114201</v>
      </c>
      <c r="J39" s="63">
        <f>J36+J37-J38</f>
        <v>103601.62572216481</v>
      </c>
      <c r="K39" s="63">
        <v>0</v>
      </c>
      <c r="L39" s="63">
        <v>0</v>
      </c>
    </row>
    <row r="40" spans="2:12" ht="17" thickBot="1">
      <c r="B40" s="61" t="s">
        <v>130</v>
      </c>
      <c r="C40" s="62">
        <f>IF(C34&lt;0,C34,0.7*C34)</f>
        <v>827.82</v>
      </c>
      <c r="D40" s="62">
        <f>IF(D34&lt;0,D34,0.7*D34)</f>
        <v>2028.159000000001</v>
      </c>
      <c r="E40" s="62">
        <f>IF(E34&lt;0,E34,0.7*E34)</f>
        <v>4056.318000000002</v>
      </c>
      <c r="F40" s="62">
        <f>IF(F34&lt;0,F34,0.7*F34)</f>
        <v>6490.1088000000027</v>
      </c>
      <c r="G40" s="62">
        <f>IF(G34&lt;0,G34,0.7*G34)</f>
        <v>9086.1523199999792</v>
      </c>
      <c r="H40" s="62">
        <f>IF(H34&lt;0,H34,0.7*H34)</f>
        <v>11811.998016000023</v>
      </c>
      <c r="I40" s="62">
        <f>IF(I34&lt;0,I34,0.7*I34)</f>
        <v>14174.397619200028</v>
      </c>
      <c r="J40" s="62">
        <f>IF(J34&lt;0,J34,0.7*J34)</f>
        <v>15591.837381119985</v>
      </c>
      <c r="K40" s="62">
        <f>IF(K34&lt;0,K34,0.7*K34)</f>
        <v>17151.021119231995</v>
      </c>
      <c r="L40" s="62">
        <f>IF(L34&lt;0,L34,0.7*L34)</f>
        <v>18351.592597578252</v>
      </c>
    </row>
    <row r="43" spans="2:12">
      <c r="B43" s="16" t="s">
        <v>151</v>
      </c>
    </row>
    <row r="44" spans="2:12">
      <c r="B44" t="s">
        <v>140</v>
      </c>
      <c r="C44" s="15">
        <f>70000+C11-C18-4036</f>
        <v>34536</v>
      </c>
      <c r="D44" s="15">
        <f>C47</f>
        <v>25902</v>
      </c>
      <c r="E44" s="15">
        <f>D47</f>
        <v>20435.5</v>
      </c>
      <c r="F44" s="15">
        <f t="shared" ref="F44:L44" si="6">E47</f>
        <v>16335.625</v>
      </c>
      <c r="G44" s="15">
        <f t="shared" si="6"/>
        <v>13260.71875</v>
      </c>
      <c r="H44" s="15">
        <f t="shared" si="6"/>
        <v>10954.5390625</v>
      </c>
      <c r="I44" s="15">
        <f t="shared" si="6"/>
        <v>9397.104098474998</v>
      </c>
      <c r="J44" s="15">
        <f t="shared" si="6"/>
        <v>8583.3878159362503</v>
      </c>
      <c r="K44" s="15">
        <f t="shared" si="6"/>
        <v>8280.2125524481908</v>
      </c>
      <c r="L44" s="15">
        <f t="shared" si="6"/>
        <v>8237.098273881742</v>
      </c>
    </row>
    <row r="45" spans="2:12">
      <c r="B45" s="18" t="s">
        <v>141</v>
      </c>
      <c r="C45" s="15">
        <v>0</v>
      </c>
      <c r="D45" s="15">
        <f>4036/4</f>
        <v>1009</v>
      </c>
      <c r="E45" s="15">
        <f>4036/4</f>
        <v>1009</v>
      </c>
      <c r="F45" s="15">
        <f>4036/4</f>
        <v>1009</v>
      </c>
      <c r="G45" s="15">
        <f>4036/4</f>
        <v>1009</v>
      </c>
      <c r="H45" s="15">
        <f>IF('Income Statement'!H110*'Income Statement'!G40&gt;0,'Income Statement'!H110*'Income Statement'!G40,0)</f>
        <v>1181.1998015999973</v>
      </c>
      <c r="I45" s="15">
        <f>IF('Income Statement'!I110*'Income Statement'!H40&gt;0,'Income Statement'!I110*'Income Statement'!H40,0)</f>
        <v>1535.5597420800032</v>
      </c>
      <c r="J45" s="15">
        <f>IF('Income Statement'!J110*'Income Statement'!I40&gt;0,'Income Statement'!J110*'Income Statement'!I40,0)</f>
        <v>1842.6716904960037</v>
      </c>
      <c r="K45" s="15">
        <f>IF('Income Statement'!K110*'Income Statement'!J40&gt;0,'Income Statement'!K110*'Income Statement'!J40,0)</f>
        <v>2026.9388595455982</v>
      </c>
      <c r="L45" s="15">
        <f>IF('Income Statement'!L110*'Income Statement'!K40&gt;0,'Income Statement'!L110*'Income Statement'!K40,0)</f>
        <v>2229.6327455001592</v>
      </c>
    </row>
    <row r="46" spans="2:12">
      <c r="B46" s="57" t="s">
        <v>57</v>
      </c>
      <c r="C46" s="15">
        <f>-0.25*C44</f>
        <v>-8634</v>
      </c>
      <c r="D46" s="15">
        <f>-0.25*D44</f>
        <v>-6475.5</v>
      </c>
      <c r="E46" s="15">
        <f>-0.25*E44</f>
        <v>-5108.875</v>
      </c>
      <c r="F46" s="15">
        <f>-0.25*F44</f>
        <v>-4083.90625</v>
      </c>
      <c r="G46" s="15">
        <f>-0.25*G44</f>
        <v>-3315.1796875</v>
      </c>
      <c r="H46" s="15">
        <f>-0.25*H44</f>
        <v>-2738.634765625</v>
      </c>
      <c r="I46" s="15">
        <f>-0.25*I44</f>
        <v>-2349.2760246187495</v>
      </c>
      <c r="J46" s="15">
        <f>-0.25*J44</f>
        <v>-2145.8469539840626</v>
      </c>
      <c r="K46" s="15">
        <f>-0.25*K44</f>
        <v>-2070.0531381120477</v>
      </c>
      <c r="L46" s="15">
        <f>-0.25*L44</f>
        <v>-2059.2745684704355</v>
      </c>
    </row>
    <row r="47" spans="2:12" ht="18" thickBot="1">
      <c r="B47" s="35" t="s">
        <v>143</v>
      </c>
      <c r="C47" s="15">
        <f>C44+C45+C46</f>
        <v>25902</v>
      </c>
      <c r="D47" s="15">
        <f>SUM(D44:D46)</f>
        <v>20435.5</v>
      </c>
      <c r="E47" s="15">
        <f t="shared" ref="E47:L47" si="7">SUM(E44:E46)</f>
        <v>16335.625</v>
      </c>
      <c r="F47" s="15">
        <f t="shared" si="7"/>
        <v>13260.71875</v>
      </c>
      <c r="G47" s="15">
        <f t="shared" si="7"/>
        <v>10954.5390625</v>
      </c>
      <c r="H47" s="15">
        <f t="shared" si="7"/>
        <v>9397.104098474998</v>
      </c>
      <c r="I47" s="15">
        <f t="shared" si="7"/>
        <v>8583.3878159362503</v>
      </c>
      <c r="J47" s="15">
        <f t="shared" si="7"/>
        <v>8280.2125524481908</v>
      </c>
      <c r="K47" s="15">
        <f t="shared" si="7"/>
        <v>8237.098273881742</v>
      </c>
      <c r="L47" s="15">
        <f t="shared" si="7"/>
        <v>8407.4564509114662</v>
      </c>
    </row>
    <row r="48" spans="2:12" ht="17" thickBot="1">
      <c r="B48" s="61" t="s">
        <v>149</v>
      </c>
      <c r="C48" s="62">
        <f>C40</f>
        <v>827.82</v>
      </c>
      <c r="D48" s="62">
        <f>D40</f>
        <v>2028.159000000001</v>
      </c>
      <c r="E48" s="62">
        <f>E40</f>
        <v>4056.318000000002</v>
      </c>
      <c r="F48" s="62">
        <f>F40</f>
        <v>6490.1088000000027</v>
      </c>
      <c r="G48" s="62">
        <f>G40</f>
        <v>9086.1523199999792</v>
      </c>
      <c r="H48" s="62">
        <f>H40-H45</f>
        <v>10630.798214400025</v>
      </c>
      <c r="I48" s="62">
        <f>I40-I45</f>
        <v>12638.837877120026</v>
      </c>
      <c r="J48" s="62">
        <f>J40-J45</f>
        <v>13749.165690623982</v>
      </c>
      <c r="K48" s="62">
        <f>K40-K45</f>
        <v>15124.082259686396</v>
      </c>
      <c r="L48" s="62">
        <f>L40-L45</f>
        <v>16121.959852078093</v>
      </c>
    </row>
    <row r="50" spans="2:22">
      <c r="B50" s="16" t="s">
        <v>150</v>
      </c>
    </row>
    <row r="51" spans="2:22">
      <c r="B51" t="s">
        <v>153</v>
      </c>
      <c r="C51" s="32">
        <v>70000</v>
      </c>
      <c r="D51" s="32">
        <f>C53</f>
        <v>4036</v>
      </c>
      <c r="E51" s="32">
        <f t="shared" ref="E51:L51" si="8">D53</f>
        <v>2028.159000000001</v>
      </c>
      <c r="F51" s="32">
        <f t="shared" si="8"/>
        <v>4056.318000000002</v>
      </c>
      <c r="G51" s="32">
        <f t="shared" si="8"/>
        <v>6490.1088000000027</v>
      </c>
      <c r="H51" s="32">
        <f t="shared" si="8"/>
        <v>9086.1523199999792</v>
      </c>
      <c r="I51" s="32">
        <f t="shared" si="8"/>
        <v>10630.798214400025</v>
      </c>
      <c r="J51" s="32">
        <f t="shared" si="8"/>
        <v>12638.837877120026</v>
      </c>
      <c r="K51" s="32">
        <f t="shared" si="8"/>
        <v>13749.165690623982</v>
      </c>
      <c r="L51" s="32">
        <f t="shared" si="8"/>
        <v>15124.082259686396</v>
      </c>
    </row>
    <row r="52" spans="2:22">
      <c r="B52" t="s">
        <v>138</v>
      </c>
      <c r="C52" s="32">
        <f>-C44+C11-C18</f>
        <v>-65964</v>
      </c>
      <c r="D52" s="32">
        <f>D53-D51</f>
        <v>-2007.840999999999</v>
      </c>
      <c r="E52" s="32">
        <f t="shared" ref="E52:L52" si="9">E53-E51</f>
        <v>2028.159000000001</v>
      </c>
      <c r="F52" s="32">
        <f t="shared" si="9"/>
        <v>2433.7908000000007</v>
      </c>
      <c r="G52" s="32">
        <f t="shared" si="9"/>
        <v>2596.0435199999765</v>
      </c>
      <c r="H52" s="32">
        <f t="shared" si="9"/>
        <v>1544.645894400046</v>
      </c>
      <c r="I52" s="32">
        <f t="shared" si="9"/>
        <v>2008.0396627200007</v>
      </c>
      <c r="J52" s="32">
        <f t="shared" si="9"/>
        <v>1110.3278135039563</v>
      </c>
      <c r="K52" s="32">
        <f t="shared" si="9"/>
        <v>1374.9165690624141</v>
      </c>
      <c r="L52" s="32">
        <f t="shared" si="9"/>
        <v>997.87759239169645</v>
      </c>
      <c r="M52" s="17"/>
      <c r="N52" s="17"/>
      <c r="O52" s="17"/>
      <c r="P52" s="17"/>
      <c r="Q52" s="17"/>
      <c r="R52" s="17"/>
      <c r="S52" s="17"/>
      <c r="T52" s="17"/>
      <c r="U52" s="17"/>
      <c r="V52" s="17"/>
    </row>
    <row r="53" spans="2:22">
      <c r="B53" t="s">
        <v>154</v>
      </c>
      <c r="C53" s="32">
        <f>SUM(C51:C52)</f>
        <v>4036</v>
      </c>
      <c r="D53" s="32">
        <f>D48</f>
        <v>2028.159000000001</v>
      </c>
      <c r="E53" s="32">
        <f>E48</f>
        <v>4056.318000000002</v>
      </c>
      <c r="F53" s="32">
        <f>F48</f>
        <v>6490.1088000000027</v>
      </c>
      <c r="G53" s="32">
        <f>G48</f>
        <v>9086.1523199999792</v>
      </c>
      <c r="H53" s="32">
        <f>H48</f>
        <v>10630.798214400025</v>
      </c>
      <c r="I53" s="32">
        <f>I48</f>
        <v>12638.837877120026</v>
      </c>
      <c r="J53" s="32">
        <f>J48</f>
        <v>13749.165690623982</v>
      </c>
      <c r="K53" s="32">
        <f>K48</f>
        <v>15124.082259686396</v>
      </c>
      <c r="L53" s="32">
        <f>L48</f>
        <v>16121.959852078093</v>
      </c>
    </row>
    <row r="54" spans="2:22">
      <c r="M54" s="15"/>
    </row>
    <row r="56" spans="2:22" ht="17" thickBot="1">
      <c r="B56" s="74" t="s">
        <v>155</v>
      </c>
      <c r="C56" s="75"/>
      <c r="D56" s="75"/>
      <c r="E56" s="75"/>
      <c r="F56" s="75"/>
      <c r="G56" s="75"/>
      <c r="H56" s="75"/>
      <c r="I56" s="75"/>
      <c r="J56" s="75"/>
      <c r="K56" s="75"/>
      <c r="L56" s="75"/>
    </row>
    <row r="57" spans="2:22">
      <c r="B57" s="76" t="s">
        <v>156</v>
      </c>
      <c r="C57" s="77">
        <v>0.09</v>
      </c>
      <c r="D57" s="75"/>
      <c r="E57" s="75"/>
      <c r="F57" s="75"/>
      <c r="G57" s="75"/>
      <c r="H57" s="75"/>
      <c r="I57" s="75"/>
      <c r="J57" s="75"/>
      <c r="K57" s="75"/>
      <c r="L57" s="75"/>
    </row>
    <row r="58" spans="2:22" ht="17" thickBot="1">
      <c r="B58" s="78" t="s">
        <v>157</v>
      </c>
      <c r="C58" s="79">
        <v>0.02</v>
      </c>
      <c r="D58" s="75"/>
      <c r="E58" s="75"/>
      <c r="F58" s="75"/>
      <c r="G58" s="75"/>
      <c r="H58" s="75"/>
      <c r="I58" s="75"/>
      <c r="J58" s="75"/>
      <c r="K58" s="75"/>
      <c r="L58" s="75"/>
    </row>
    <row r="59" spans="2:22">
      <c r="B59" s="75"/>
      <c r="C59" s="75"/>
      <c r="D59" s="75"/>
      <c r="E59" s="75"/>
      <c r="F59" s="75"/>
      <c r="G59" s="75"/>
      <c r="H59" s="75"/>
      <c r="I59" s="75"/>
      <c r="J59" s="75"/>
      <c r="K59" s="75"/>
      <c r="L59" s="75"/>
      <c r="N59" s="69" t="s">
        <v>175</v>
      </c>
    </row>
    <row r="60" spans="2:22" ht="17" thickBot="1">
      <c r="B60" s="75"/>
      <c r="C60" s="75">
        <v>0</v>
      </c>
      <c r="D60" s="75">
        <f>C60+1</f>
        <v>1</v>
      </c>
      <c r="E60" s="75">
        <f>D60+1</f>
        <v>2</v>
      </c>
      <c r="F60" s="75">
        <f>E60+1</f>
        <v>3</v>
      </c>
      <c r="G60" s="75">
        <f>F60+1</f>
        <v>4</v>
      </c>
      <c r="H60" s="75">
        <f>G60+1</f>
        <v>5</v>
      </c>
      <c r="I60" s="75">
        <f>H60+1</f>
        <v>6</v>
      </c>
      <c r="J60" s="75">
        <f>I60+1</f>
        <v>7</v>
      </c>
      <c r="K60" s="75">
        <f>J60+1</f>
        <v>8</v>
      </c>
      <c r="L60" s="75">
        <f>K60+1</f>
        <v>9</v>
      </c>
      <c r="M60" s="65"/>
    </row>
    <row r="61" spans="2:22">
      <c r="B61" s="80"/>
      <c r="C61" s="81">
        <v>2023</v>
      </c>
      <c r="D61" s="81">
        <f>C61+1</f>
        <v>2024</v>
      </c>
      <c r="E61" s="81">
        <f t="shared" ref="E61:L61" si="10">D61+1</f>
        <v>2025</v>
      </c>
      <c r="F61" s="81">
        <f t="shared" si="10"/>
        <v>2026</v>
      </c>
      <c r="G61" s="81">
        <f t="shared" si="10"/>
        <v>2027</v>
      </c>
      <c r="H61" s="81">
        <f t="shared" si="10"/>
        <v>2028</v>
      </c>
      <c r="I61" s="81">
        <f t="shared" si="10"/>
        <v>2029</v>
      </c>
      <c r="J61" s="81">
        <f t="shared" si="10"/>
        <v>2030</v>
      </c>
      <c r="K61" s="81">
        <f t="shared" si="10"/>
        <v>2031</v>
      </c>
      <c r="L61" s="81">
        <f t="shared" si="10"/>
        <v>2032</v>
      </c>
    </row>
    <row r="62" spans="2:22">
      <c r="B62" s="82" t="s">
        <v>168</v>
      </c>
      <c r="C62" s="58" cm="1">
        <f t="array" ref="C62:L62">C53:L53</f>
        <v>4036</v>
      </c>
      <c r="D62" s="58">
        <v>2028.159000000001</v>
      </c>
      <c r="E62" s="58">
        <v>4056.318000000002</v>
      </c>
      <c r="F62" s="58">
        <v>6490.1088000000027</v>
      </c>
      <c r="G62" s="58">
        <v>9086.1523199999792</v>
      </c>
      <c r="H62" s="58">
        <v>10630.798214400025</v>
      </c>
      <c r="I62" s="58">
        <v>12638.837877120026</v>
      </c>
      <c r="J62" s="58">
        <v>13749.165690623982</v>
      </c>
      <c r="K62" s="58">
        <v>15124.082259686396</v>
      </c>
      <c r="L62" s="58">
        <v>16121.959852078093</v>
      </c>
    </row>
    <row r="63" spans="2:22">
      <c r="B63" s="82"/>
      <c r="C63" s="75"/>
      <c r="D63" s="75"/>
      <c r="E63" s="75"/>
      <c r="F63" s="75"/>
      <c r="G63" s="75"/>
      <c r="H63" s="75"/>
      <c r="I63" s="75"/>
      <c r="J63" s="75"/>
      <c r="K63" s="75"/>
      <c r="L63" s="75"/>
    </row>
    <row r="64" spans="2:22">
      <c r="B64" s="82" t="s">
        <v>158</v>
      </c>
      <c r="C64" s="83">
        <f>1/((1+$C$57)^C60)</f>
        <v>1</v>
      </c>
      <c r="D64" s="83">
        <f>1/((1+$C$57)^D60)</f>
        <v>0.9174311926605504</v>
      </c>
      <c r="E64" s="83">
        <f>1/((1+$C$57)^E60)</f>
        <v>0.84167999326655996</v>
      </c>
      <c r="F64" s="83">
        <f>1/((1+$C$57)^F60)</f>
        <v>0.77218348006106419</v>
      </c>
      <c r="G64" s="83">
        <f>1/((1+$C$57)^G60)</f>
        <v>0.7084252110651964</v>
      </c>
      <c r="H64" s="83">
        <f>1/((1+$C$57)^H60)</f>
        <v>0.64993138629834524</v>
      </c>
      <c r="I64" s="83">
        <f>1/((1+$C$57)^I60)</f>
        <v>0.5962673268792158</v>
      </c>
      <c r="J64" s="83">
        <f>1/((1+$C$57)^J60)</f>
        <v>0.54703424484331731</v>
      </c>
      <c r="K64" s="83">
        <f>1/((1+$C$57)^K60)</f>
        <v>0.50186627967276809</v>
      </c>
      <c r="L64" s="83">
        <f>1/((1+$C$57)^L60)</f>
        <v>0.46042777951630098</v>
      </c>
    </row>
    <row r="65" spans="2:12" ht="17" thickBot="1">
      <c r="B65" s="84" t="s">
        <v>159</v>
      </c>
      <c r="C65" s="85">
        <f>C62*C64</f>
        <v>4036</v>
      </c>
      <c r="D65" s="85">
        <f>D62*D64</f>
        <v>1860.6963302752301</v>
      </c>
      <c r="E65" s="85">
        <f>E62*E64</f>
        <v>3414.1217069270278</v>
      </c>
      <c r="F65" s="85">
        <f>F62*F64</f>
        <v>5011.5547991589392</v>
      </c>
      <c r="G65" s="85">
        <f>G62*G64</f>
        <v>6436.8593750665095</v>
      </c>
      <c r="H65" s="85">
        <f>H62*H64</f>
        <v>6909.2894209429815</v>
      </c>
      <c r="I65" s="85">
        <f>I62*I64</f>
        <v>7536.1260758501403</v>
      </c>
      <c r="J65" s="85">
        <f>J62*J64</f>
        <v>7521.2644707961372</v>
      </c>
      <c r="K65" s="85">
        <f>K62*K64</f>
        <v>7590.2668971337234</v>
      </c>
      <c r="L65" s="85">
        <f>L62*L64</f>
        <v>7422.9981761432682</v>
      </c>
    </row>
    <row r="66" spans="2:12">
      <c r="B66" s="75"/>
      <c r="C66" s="75"/>
      <c r="D66" s="75"/>
      <c r="E66" s="75"/>
      <c r="F66" s="75"/>
      <c r="G66" s="75"/>
      <c r="H66" s="75"/>
      <c r="I66" s="75"/>
      <c r="J66" s="75"/>
      <c r="K66" s="75"/>
      <c r="L66" s="75"/>
    </row>
    <row r="67" spans="2:12">
      <c r="B67" s="75" t="s">
        <v>160</v>
      </c>
      <c r="C67" s="75"/>
      <c r="D67" s="75"/>
      <c r="E67" s="75"/>
      <c r="F67" s="75"/>
      <c r="G67" s="75"/>
      <c r="H67" s="75"/>
      <c r="I67" s="75"/>
      <c r="J67" s="75"/>
      <c r="K67" s="75"/>
      <c r="L67" s="75"/>
    </row>
    <row r="68" spans="2:12">
      <c r="B68" s="86" t="s">
        <v>161</v>
      </c>
      <c r="C68" s="87">
        <f>NPV(C57,D62:L62)</f>
        <v>53703.177252293957</v>
      </c>
      <c r="D68" s="88">
        <f>(C68/C71)</f>
        <v>0.33177375286142929</v>
      </c>
      <c r="E68" s="75"/>
      <c r="F68" s="72"/>
      <c r="G68" s="65"/>
      <c r="H68" s="65"/>
      <c r="I68" s="65"/>
      <c r="J68" s="65"/>
      <c r="K68" s="75"/>
      <c r="L68" s="89"/>
    </row>
    <row r="69" spans="2:12">
      <c r="B69" s="86" t="s">
        <v>162</v>
      </c>
      <c r="C69" s="87">
        <f>(L62*(1+C58))/(C57-C58)</f>
        <v>234919.98641599511</v>
      </c>
      <c r="D69" s="75"/>
      <c r="E69" s="75"/>
      <c r="F69" s="73">
        <f>C71</f>
        <v>161866.86496181018</v>
      </c>
      <c r="G69" s="66">
        <v>7.0000000000000007E-2</v>
      </c>
      <c r="H69" s="66">
        <v>0.08</v>
      </c>
      <c r="I69" s="66">
        <v>0.09</v>
      </c>
      <c r="J69" s="66">
        <v>0.1</v>
      </c>
      <c r="K69" s="75"/>
      <c r="L69" s="75"/>
    </row>
    <row r="70" spans="2:12">
      <c r="B70" s="86" t="s">
        <v>163</v>
      </c>
      <c r="C70" s="87">
        <f>C69*L64</f>
        <v>108163.68770951622</v>
      </c>
      <c r="D70" s="90">
        <f>C70/C71</f>
        <v>0.66822624713857071</v>
      </c>
      <c r="E70" s="75"/>
      <c r="F70" s="66">
        <v>0.01</v>
      </c>
      <c r="G70" s="67">
        <f t="dataTable" ref="G70:J73" dt2D="1" dtr="1" r1="C57" r2="C58"/>
        <v>207419.56852664662</v>
      </c>
      <c r="H70" s="68">
        <v>173010.8786252244</v>
      </c>
      <c r="I70" s="68">
        <v>147418.52922610272</v>
      </c>
      <c r="J70" s="68">
        <v>127691.17863224118</v>
      </c>
      <c r="K70" s="75"/>
      <c r="L70" s="89"/>
    </row>
    <row r="71" spans="2:12">
      <c r="B71" s="91" t="s">
        <v>164</v>
      </c>
      <c r="C71" s="92">
        <f>SUM(C70,C68)</f>
        <v>161866.86496181018</v>
      </c>
      <c r="D71" s="75"/>
      <c r="E71" s="75"/>
      <c r="F71" s="66">
        <v>0.02</v>
      </c>
      <c r="G71" s="70">
        <v>238696.65991778485</v>
      </c>
      <c r="H71" s="71">
        <v>193749.43401871933</v>
      </c>
      <c r="I71" s="71">
        <v>161866.86496181018</v>
      </c>
      <c r="J71" s="71">
        <v>138137.03037451819</v>
      </c>
      <c r="K71" s="75"/>
      <c r="L71" s="75"/>
    </row>
    <row r="72" spans="2:12">
      <c r="B72" s="86" t="s">
        <v>165</v>
      </c>
      <c r="C72" s="87">
        <f>C29</f>
        <v>70000</v>
      </c>
      <c r="D72" s="75"/>
      <c r="E72" s="75"/>
      <c r="F72" s="66">
        <v>0.03</v>
      </c>
      <c r="G72" s="70">
        <v>285612.2970044922</v>
      </c>
      <c r="H72" s="71">
        <v>222783.41156961222</v>
      </c>
      <c r="I72" s="71">
        <v>181131.31260942007</v>
      </c>
      <c r="J72" s="71">
        <v>151567.41118601721</v>
      </c>
      <c r="K72" s="75"/>
      <c r="L72" s="75"/>
    </row>
    <row r="73" spans="2:12">
      <c r="B73" s="86" t="s">
        <v>166</v>
      </c>
      <c r="C73" s="87">
        <f>'[1]Balance Sheet'!S77</f>
        <v>0</v>
      </c>
      <c r="D73" s="75"/>
      <c r="E73" s="75"/>
      <c r="F73" s="66">
        <v>0.04</v>
      </c>
      <c r="G73" s="70">
        <v>363805.02548233769</v>
      </c>
      <c r="H73" s="71">
        <v>266334.37789595156</v>
      </c>
      <c r="I73" s="71">
        <v>208101.53931607393</v>
      </c>
      <c r="J73" s="71">
        <v>169474.58560134922</v>
      </c>
      <c r="K73" s="75"/>
      <c r="L73" s="75"/>
    </row>
    <row r="74" spans="2:12">
      <c r="B74" s="91" t="s">
        <v>167</v>
      </c>
      <c r="C74" s="87">
        <f>SUM(C71:C73)</f>
        <v>231866.86496181018</v>
      </c>
      <c r="D74" s="75"/>
      <c r="E74" s="75"/>
      <c r="F74" s="75"/>
      <c r="G74" s="75"/>
      <c r="H74" s="75"/>
      <c r="I74" s="75"/>
      <c r="J74" s="75"/>
      <c r="K74" s="75"/>
      <c r="L74" s="75"/>
    </row>
    <row r="75" spans="2:12">
      <c r="B75" s="86"/>
      <c r="C75" s="86"/>
      <c r="D75" s="75"/>
      <c r="E75" s="75"/>
      <c r="F75" s="75"/>
      <c r="G75" s="75"/>
      <c r="H75" s="75"/>
      <c r="I75" s="75"/>
      <c r="J75" s="75"/>
      <c r="K75" s="75"/>
      <c r="L75" s="75"/>
    </row>
    <row r="76" spans="2:12">
      <c r="B76" s="86"/>
      <c r="C76" s="86"/>
      <c r="D76" s="75"/>
      <c r="E76" s="75"/>
      <c r="F76" s="75"/>
      <c r="G76" s="75"/>
      <c r="H76" s="75"/>
      <c r="I76" s="75"/>
      <c r="J76" s="75"/>
      <c r="K76" s="75"/>
      <c r="L76" s="75"/>
    </row>
    <row r="77" spans="2:12">
      <c r="B77" s="93" t="s">
        <v>170</v>
      </c>
      <c r="C77" s="86"/>
      <c r="D77" s="75"/>
      <c r="E77" s="75"/>
      <c r="F77" s="75"/>
      <c r="G77" s="75"/>
      <c r="H77" s="75"/>
      <c r="I77" s="75"/>
      <c r="J77" s="75"/>
      <c r="K77" s="75"/>
      <c r="L77" s="75"/>
    </row>
    <row r="78" spans="2:12">
      <c r="B78" s="94" t="s">
        <v>171</v>
      </c>
      <c r="C78" s="98">
        <v>2023</v>
      </c>
      <c r="D78" s="98">
        <f>C78+1</f>
        <v>2024</v>
      </c>
      <c r="E78" s="98">
        <f t="shared" ref="E78:L78" si="11">D78+1</f>
        <v>2025</v>
      </c>
      <c r="F78" s="98">
        <f t="shared" si="11"/>
        <v>2026</v>
      </c>
      <c r="G78" s="98">
        <f t="shared" si="11"/>
        <v>2027</v>
      </c>
      <c r="H78" s="98">
        <f t="shared" si="11"/>
        <v>2028</v>
      </c>
      <c r="I78" s="98">
        <f t="shared" si="11"/>
        <v>2029</v>
      </c>
      <c r="J78" s="98">
        <f t="shared" si="11"/>
        <v>2030</v>
      </c>
      <c r="K78" s="98">
        <f t="shared" si="11"/>
        <v>2031</v>
      </c>
      <c r="L78" s="98">
        <f t="shared" si="11"/>
        <v>2032</v>
      </c>
    </row>
    <row r="79" spans="2:12">
      <c r="B79" s="95" t="s">
        <v>172</v>
      </c>
      <c r="C79" s="97">
        <f>C8</f>
        <v>32400</v>
      </c>
      <c r="D79" s="97">
        <f>D8</f>
        <v>79380</v>
      </c>
      <c r="E79" s="97">
        <f>E8</f>
        <v>158760</v>
      </c>
      <c r="F79" s="97">
        <f>F8</f>
        <v>254016</v>
      </c>
      <c r="G79" s="97">
        <f>G8</f>
        <v>355622.39999999997</v>
      </c>
      <c r="H79" s="97">
        <f>H8</f>
        <v>462309.12</v>
      </c>
      <c r="I79" s="97">
        <f>I8</f>
        <v>554770.94400000002</v>
      </c>
      <c r="J79" s="97">
        <f>J8</f>
        <v>610248.03840000008</v>
      </c>
      <c r="K79" s="97">
        <f>K8</f>
        <v>671272.84224000014</v>
      </c>
      <c r="L79" s="97">
        <f>L8</f>
        <v>718261.94119680021</v>
      </c>
    </row>
    <row r="80" spans="2:12">
      <c r="B80" s="95" t="s">
        <v>173</v>
      </c>
      <c r="C80" s="87">
        <f>-(C11-C18-C20+C22-C24)</f>
        <v>31716.359999999997</v>
      </c>
      <c r="D80" s="87">
        <f>-(D11-D18-D20+D22-D24)</f>
        <v>84117.078000000009</v>
      </c>
      <c r="E80" s="87">
        <f>-(E11-E18-E20+E22-E24)</f>
        <v>160392.03100000002</v>
      </c>
      <c r="F80" s="87">
        <f>-(F11-F18-F20+F22-F24)</f>
        <v>252536.95585</v>
      </c>
      <c r="G80" s="87">
        <f>-(G11-G18-G20+G22-G24)</f>
        <v>351149.4491275</v>
      </c>
      <c r="H80" s="87">
        <f>-(H11-H18-H20+H22-H24)</f>
        <v>454923.18503762496</v>
      </c>
      <c r="I80" s="87">
        <f>-(I11-I18-I20+I22-I24)</f>
        <v>544970.73635101877</v>
      </c>
      <c r="J80" s="87">
        <f>-(J11-J18-J20+J22-J24)</f>
        <v>599029.45331302425</v>
      </c>
      <c r="K80" s="87">
        <f>-(K11-K18-K20+K22-K24)</f>
        <v>658642.02013305621</v>
      </c>
      <c r="L80" s="87">
        <f>-(L11-L18-L20+L22-L24)</f>
        <v>704591.2792530607</v>
      </c>
    </row>
    <row r="81" spans="2:12">
      <c r="B81" s="86"/>
      <c r="C81" s="86"/>
      <c r="D81" s="75"/>
      <c r="E81" s="75"/>
      <c r="F81" s="75"/>
      <c r="G81" s="75"/>
      <c r="H81" s="75"/>
      <c r="I81" s="75"/>
      <c r="J81" s="75"/>
      <c r="K81" s="75"/>
      <c r="L81" s="75"/>
    </row>
    <row r="82" spans="2:12" ht="17" thickBot="1">
      <c r="B82" s="96" t="s">
        <v>174</v>
      </c>
      <c r="C82" s="99">
        <f>C79-C80</f>
        <v>683.64000000000306</v>
      </c>
      <c r="D82" s="99">
        <f t="shared" ref="D82:L82" si="12">D79-D80</f>
        <v>-4737.0780000000086</v>
      </c>
      <c r="E82" s="99">
        <f t="shared" si="12"/>
        <v>-1632.0310000000172</v>
      </c>
      <c r="F82" s="99">
        <f t="shared" si="12"/>
        <v>1479.0441500000015</v>
      </c>
      <c r="G82" s="99">
        <f t="shared" si="12"/>
        <v>4472.9508724999614</v>
      </c>
      <c r="H82" s="99">
        <f t="shared" si="12"/>
        <v>7385.9349623750313</v>
      </c>
      <c r="I82" s="99">
        <f t="shared" si="12"/>
        <v>9800.2076489812462</v>
      </c>
      <c r="J82" s="99">
        <f t="shared" si="12"/>
        <v>11218.585086975829</v>
      </c>
      <c r="K82" s="99">
        <f t="shared" si="12"/>
        <v>12630.822106943931</v>
      </c>
      <c r="L82" s="99">
        <f t="shared" si="12"/>
        <v>13670.661943739513</v>
      </c>
    </row>
    <row r="83" spans="2:12">
      <c r="B83" s="86"/>
      <c r="C83" s="86"/>
      <c r="D83" s="75"/>
      <c r="E83" s="75"/>
      <c r="F83" s="75"/>
      <c r="G83" s="75"/>
      <c r="H83" s="75"/>
      <c r="I83" s="75"/>
      <c r="J83" s="75"/>
      <c r="K83" s="75"/>
      <c r="L83" s="75"/>
    </row>
    <row r="84" spans="2:12">
      <c r="B84" s="101" t="s">
        <v>176</v>
      </c>
      <c r="C84" s="98">
        <v>2023</v>
      </c>
      <c r="D84" s="98">
        <f>C84+1</f>
        <v>2024</v>
      </c>
      <c r="E84" s="98">
        <f t="shared" ref="E84:L84" si="13">D84+1</f>
        <v>2025</v>
      </c>
      <c r="F84" s="98">
        <f t="shared" si="13"/>
        <v>2026</v>
      </c>
      <c r="G84" s="98">
        <f t="shared" si="13"/>
        <v>2027</v>
      </c>
      <c r="H84" s="98">
        <f t="shared" si="13"/>
        <v>2028</v>
      </c>
      <c r="I84" s="98">
        <f t="shared" si="13"/>
        <v>2029</v>
      </c>
      <c r="J84" s="98">
        <f t="shared" si="13"/>
        <v>2030</v>
      </c>
      <c r="K84" s="98">
        <f t="shared" si="13"/>
        <v>2031</v>
      </c>
      <c r="L84" s="98">
        <f t="shared" si="13"/>
        <v>2032</v>
      </c>
    </row>
    <row r="85" spans="2:12">
      <c r="B85" s="86" t="s">
        <v>177</v>
      </c>
      <c r="C85" s="100">
        <v>-3580.1999999999971</v>
      </c>
      <c r="D85" s="100">
        <v>-15577.955999999991</v>
      </c>
      <c r="E85" s="100">
        <v>-24376.911999999982</v>
      </c>
      <c r="F85" s="100">
        <v>-6821.070400000026</v>
      </c>
      <c r="G85" s="100">
        <v>12333.815374400059</v>
      </c>
      <c r="H85" s="100">
        <v>20465.754311600002</v>
      </c>
      <c r="I85" s="100">
        <v>29806.43266608729</v>
      </c>
      <c r="J85" s="100">
        <v>92177.019170818385</v>
      </c>
      <c r="K85" s="100">
        <v>120205.30503874435</v>
      </c>
      <c r="L85" s="100">
        <v>154990.38922820473</v>
      </c>
    </row>
    <row r="86" spans="2:12">
      <c r="B86" s="86" t="s">
        <v>68</v>
      </c>
      <c r="C86" s="87">
        <v>5360.6123999999982</v>
      </c>
      <c r="D86" s="58">
        <v>8602.747199999998</v>
      </c>
      <c r="E86" s="58">
        <v>34394.055500000017</v>
      </c>
      <c r="F86" s="58">
        <v>75890.157875000034</v>
      </c>
      <c r="G86" s="58">
        <v>133192.60510625003</v>
      </c>
      <c r="H86" s="58">
        <v>216044.15859968751</v>
      </c>
      <c r="I86" s="58">
        <v>323662.71913656546</v>
      </c>
      <c r="J86" s="58">
        <v>452054.74821930472</v>
      </c>
      <c r="K86" s="58">
        <v>585626.43417439796</v>
      </c>
      <c r="L86" s="58">
        <v>759132.19344292628</v>
      </c>
    </row>
    <row r="87" spans="2:12">
      <c r="B87" s="86" t="s">
        <v>178</v>
      </c>
      <c r="C87" s="87">
        <v>683.64000000000306</v>
      </c>
      <c r="D87" s="58">
        <v>-4737.0780000000086</v>
      </c>
      <c r="E87" s="58">
        <v>-1632.0310000000172</v>
      </c>
      <c r="F87" s="58">
        <v>1479.0441500000015</v>
      </c>
      <c r="G87" s="58">
        <v>4472.9508724999614</v>
      </c>
      <c r="H87" s="58">
        <v>7385.9349623750313</v>
      </c>
      <c r="I87" s="58">
        <v>9800.2076489812462</v>
      </c>
      <c r="J87" s="58">
        <v>11218.585086975829</v>
      </c>
      <c r="K87" s="58">
        <v>12630.822106943931</v>
      </c>
      <c r="L87" s="58">
        <v>13670.661943739513</v>
      </c>
    </row>
    <row r="88" spans="2:12">
      <c r="B88" s="86"/>
      <c r="C88" s="86"/>
      <c r="D88" s="75"/>
      <c r="E88" s="75"/>
      <c r="F88" s="75"/>
      <c r="G88" s="75"/>
      <c r="H88" s="75"/>
      <c r="I88" s="75"/>
      <c r="J88" s="75"/>
      <c r="K88" s="75"/>
      <c r="L88" s="75"/>
    </row>
    <row r="89" spans="2:12">
      <c r="B89" s="86" t="s">
        <v>179</v>
      </c>
      <c r="C89" s="86"/>
      <c r="D89" s="75"/>
      <c r="E89" s="75"/>
      <c r="F89" s="75"/>
      <c r="G89" s="75"/>
      <c r="H89" s="75"/>
      <c r="I89" s="75"/>
      <c r="J89" s="75"/>
      <c r="K89" s="75"/>
      <c r="L89" s="75"/>
    </row>
    <row r="90" spans="2:12">
      <c r="B90" s="94" t="s">
        <v>171</v>
      </c>
      <c r="C90" s="98">
        <v>2023</v>
      </c>
      <c r="D90" s="98">
        <f>C90+1</f>
        <v>2024</v>
      </c>
      <c r="E90" s="98">
        <f t="shared" ref="E90:L90" si="14">D90+1</f>
        <v>2025</v>
      </c>
      <c r="F90" s="98">
        <f t="shared" si="14"/>
        <v>2026</v>
      </c>
      <c r="G90" s="98">
        <f t="shared" si="14"/>
        <v>2027</v>
      </c>
      <c r="H90" s="98">
        <f t="shared" si="14"/>
        <v>2028</v>
      </c>
      <c r="I90" s="98">
        <f t="shared" si="14"/>
        <v>2029</v>
      </c>
      <c r="J90" s="98">
        <f t="shared" si="14"/>
        <v>2030</v>
      </c>
      <c r="K90" s="98">
        <f t="shared" si="14"/>
        <v>2031</v>
      </c>
      <c r="L90" s="98">
        <f t="shared" si="14"/>
        <v>2032</v>
      </c>
    </row>
    <row r="91" spans="2:12">
      <c r="B91" s="86" t="s">
        <v>180</v>
      </c>
      <c r="C91" s="102">
        <v>1</v>
      </c>
      <c r="D91" s="103">
        <f>D8/$C$8</f>
        <v>2.4500000000000002</v>
      </c>
      <c r="E91" s="103">
        <f t="shared" ref="E91:L91" si="15">E8/$C$8</f>
        <v>4.9000000000000004</v>
      </c>
      <c r="F91" s="103">
        <f t="shared" si="15"/>
        <v>7.84</v>
      </c>
      <c r="G91" s="103">
        <f t="shared" si="15"/>
        <v>10.975999999999999</v>
      </c>
      <c r="H91" s="103">
        <f t="shared" si="15"/>
        <v>14.268800000000001</v>
      </c>
      <c r="I91" s="103">
        <f t="shared" si="15"/>
        <v>17.12256</v>
      </c>
      <c r="J91" s="103">
        <f t="shared" si="15"/>
        <v>18.834816000000004</v>
      </c>
      <c r="K91" s="103">
        <f t="shared" si="15"/>
        <v>20.718297600000003</v>
      </c>
      <c r="L91" s="103">
        <f t="shared" si="15"/>
        <v>22.168578432000007</v>
      </c>
    </row>
    <row r="92" spans="2:12">
      <c r="B92" s="86"/>
      <c r="C92" s="86"/>
      <c r="D92" s="75"/>
      <c r="E92" s="75"/>
      <c r="F92" s="75"/>
      <c r="G92" s="75"/>
      <c r="H92" s="75"/>
      <c r="I92" s="75"/>
      <c r="J92" s="75"/>
      <c r="K92" s="75"/>
      <c r="L92" s="75"/>
    </row>
    <row r="93" spans="2:12">
      <c r="B93" s="86"/>
      <c r="C93" s="86"/>
      <c r="D93" s="75"/>
      <c r="E93" s="75"/>
      <c r="F93" s="75"/>
      <c r="G93" s="75"/>
      <c r="H93" s="75"/>
      <c r="I93" s="75"/>
      <c r="J93" s="75"/>
      <c r="K93" s="75"/>
      <c r="L93" s="75"/>
    </row>
    <row r="94" spans="2:12">
      <c r="B94" s="86"/>
      <c r="C94" s="86"/>
      <c r="D94" s="75"/>
      <c r="E94" s="75"/>
      <c r="F94" s="75"/>
      <c r="G94" s="75"/>
      <c r="H94" s="75"/>
      <c r="I94" s="75"/>
      <c r="J94" s="75"/>
      <c r="K94" s="75"/>
      <c r="L94" s="75"/>
    </row>
    <row r="95" spans="2:12">
      <c r="B95" s="86"/>
      <c r="C95" s="86"/>
      <c r="D95" s="75"/>
      <c r="E95" s="75"/>
      <c r="F95" s="75"/>
      <c r="G95" s="75"/>
      <c r="H95" s="75"/>
      <c r="I95" s="75"/>
      <c r="J95" s="75"/>
      <c r="K95" s="75"/>
      <c r="L95" s="75"/>
    </row>
    <row r="96" spans="2:12">
      <c r="B96" s="86"/>
      <c r="C96" s="86"/>
      <c r="D96" s="75"/>
      <c r="E96" s="75"/>
      <c r="F96" s="75"/>
      <c r="G96" s="75"/>
      <c r="H96" s="75"/>
      <c r="I96" s="75"/>
      <c r="J96" s="75"/>
      <c r="K96" s="75"/>
      <c r="L96" s="75"/>
    </row>
    <row r="97" spans="1:15">
      <c r="B97" s="86"/>
      <c r="C97" s="86"/>
      <c r="D97" s="75"/>
      <c r="E97" s="75"/>
      <c r="F97" s="75"/>
      <c r="G97" s="75"/>
      <c r="H97" s="75"/>
      <c r="I97" s="75"/>
      <c r="J97" s="75"/>
      <c r="K97" s="75"/>
      <c r="L97" s="75"/>
    </row>
    <row r="98" spans="1:15">
      <c r="B98" s="23" t="s">
        <v>64</v>
      </c>
      <c r="C98" s="30"/>
      <c r="D98" s="21">
        <f t="shared" ref="D98:L98" si="16">CHOOSE($C$5,D113,D128,D143)</f>
        <v>2.4500000000000002</v>
      </c>
      <c r="E98" s="21">
        <f t="shared" si="16"/>
        <v>2</v>
      </c>
      <c r="F98" s="21">
        <f t="shared" si="16"/>
        <v>1.6</v>
      </c>
      <c r="G98" s="21">
        <f t="shared" si="16"/>
        <v>1.4</v>
      </c>
      <c r="H98" s="21">
        <f t="shared" si="16"/>
        <v>1.3</v>
      </c>
      <c r="I98" s="21">
        <f t="shared" si="16"/>
        <v>1.2</v>
      </c>
      <c r="J98" s="21">
        <f t="shared" si="16"/>
        <v>1.1000000000000001</v>
      </c>
      <c r="K98" s="21">
        <f t="shared" si="16"/>
        <v>1.1000000000000001</v>
      </c>
      <c r="L98" s="21">
        <f t="shared" si="16"/>
        <v>1.07</v>
      </c>
      <c r="M98" s="21"/>
      <c r="N98" s="21"/>
      <c r="O98" s="21"/>
    </row>
    <row r="99" spans="1:15">
      <c r="B99" s="23" t="s">
        <v>52</v>
      </c>
      <c r="C99" s="21">
        <f>CHOOSE($C$5,C114,C129,C144)</f>
        <v>0.75</v>
      </c>
      <c r="D99" s="21">
        <f t="shared" ref="D99:L99" si="17">CHOOSE($C$5,D114,D129,D144)</f>
        <v>0.75</v>
      </c>
      <c r="E99" s="21">
        <f t="shared" si="17"/>
        <v>0.75</v>
      </c>
      <c r="F99" s="21">
        <f t="shared" si="17"/>
        <v>0.75</v>
      </c>
      <c r="G99" s="21">
        <f t="shared" si="17"/>
        <v>0.75</v>
      </c>
      <c r="H99" s="21">
        <f t="shared" si="17"/>
        <v>0.75</v>
      </c>
      <c r="I99" s="21">
        <f t="shared" si="17"/>
        <v>0.75</v>
      </c>
      <c r="J99" s="21">
        <f t="shared" si="17"/>
        <v>0.75</v>
      </c>
      <c r="K99" s="21">
        <f t="shared" si="17"/>
        <v>0.75</v>
      </c>
      <c r="L99" s="21">
        <f t="shared" si="17"/>
        <v>0.75</v>
      </c>
    </row>
    <row r="100" spans="1:15">
      <c r="B100" s="23" t="s">
        <v>53</v>
      </c>
      <c r="C100" s="21">
        <f>CHOOSE($C$5,C115,C130,C145)</f>
        <v>1.7000000000000002</v>
      </c>
      <c r="D100" s="21">
        <f t="shared" ref="D100:L100" si="18">CHOOSE($C$5,D115,D130,D145)</f>
        <v>1.25</v>
      </c>
      <c r="E100" s="21">
        <f t="shared" si="18"/>
        <v>0.85000000000000009</v>
      </c>
      <c r="F100" s="21">
        <f t="shared" si="18"/>
        <v>0.64999999999999991</v>
      </c>
      <c r="G100" s="21">
        <f t="shared" si="18"/>
        <v>0.55000000000000004</v>
      </c>
      <c r="H100" s="21">
        <f t="shared" si="18"/>
        <v>0.44999999999999996</v>
      </c>
      <c r="I100" s="21">
        <f t="shared" si="18"/>
        <v>0.35000000000000009</v>
      </c>
      <c r="J100" s="21">
        <f t="shared" si="18"/>
        <v>0.35000000000000009</v>
      </c>
      <c r="K100" s="21">
        <f t="shared" si="18"/>
        <v>0.32000000000000006</v>
      </c>
      <c r="L100" s="21">
        <f t="shared" si="18"/>
        <v>-0.75</v>
      </c>
    </row>
    <row r="101" spans="1:15">
      <c r="B101" s="23" t="s">
        <v>54</v>
      </c>
      <c r="C101" s="21">
        <f>CHOOSE($C$5,C116,C131,C146)</f>
        <v>0.04</v>
      </c>
      <c r="D101" s="21">
        <f t="shared" ref="D101:L101" si="19">CHOOSE($C$5,D116,D131,D146)</f>
        <v>0.04</v>
      </c>
      <c r="E101" s="21">
        <f t="shared" si="19"/>
        <v>0.04</v>
      </c>
      <c r="F101" s="21">
        <f t="shared" si="19"/>
        <v>0.04</v>
      </c>
      <c r="G101" s="21">
        <f t="shared" si="19"/>
        <v>0.04</v>
      </c>
      <c r="H101" s="21">
        <f t="shared" si="19"/>
        <v>0.04</v>
      </c>
      <c r="I101" s="21">
        <f t="shared" si="19"/>
        <v>0.04</v>
      </c>
      <c r="J101" s="21">
        <f t="shared" si="19"/>
        <v>0.04</v>
      </c>
      <c r="K101" s="21">
        <f t="shared" si="19"/>
        <v>0.04</v>
      </c>
      <c r="L101" s="21">
        <f t="shared" si="19"/>
        <v>0.04</v>
      </c>
      <c r="M101" s="21"/>
    </row>
    <row r="102" spans="1:15">
      <c r="B102" s="23" t="s">
        <v>85</v>
      </c>
      <c r="C102" s="21">
        <f t="shared" ref="C102:L102" si="20">CHOOSE($C$5,C117,C133,C148)</f>
        <v>0.04</v>
      </c>
      <c r="D102" s="21">
        <f t="shared" si="20"/>
        <v>0.04</v>
      </c>
      <c r="E102" s="21">
        <f t="shared" si="20"/>
        <v>0.04</v>
      </c>
      <c r="F102" s="21">
        <f t="shared" si="20"/>
        <v>0.04</v>
      </c>
      <c r="G102" s="21">
        <f t="shared" si="20"/>
        <v>0.04</v>
      </c>
      <c r="H102" s="21">
        <f t="shared" si="20"/>
        <v>0.04</v>
      </c>
      <c r="I102" s="21">
        <f t="shared" si="20"/>
        <v>0.04</v>
      </c>
      <c r="J102" s="21">
        <f t="shared" si="20"/>
        <v>0.04</v>
      </c>
      <c r="K102" s="21">
        <f t="shared" si="20"/>
        <v>0.04</v>
      </c>
      <c r="L102" s="21">
        <f t="shared" si="20"/>
        <v>0.04</v>
      </c>
      <c r="M102" s="21"/>
    </row>
    <row r="103" spans="1:15">
      <c r="B103" s="27" t="s">
        <v>84</v>
      </c>
      <c r="C103" s="21">
        <f t="shared" ref="C103:L103" si="21">CHOOSE($C$5,C118,C134,C149)</f>
        <v>0.03</v>
      </c>
      <c r="D103" s="21">
        <f t="shared" si="21"/>
        <v>0.03</v>
      </c>
      <c r="E103" s="21">
        <f t="shared" si="21"/>
        <v>0.03</v>
      </c>
      <c r="F103" s="21">
        <f t="shared" si="21"/>
        <v>0.03</v>
      </c>
      <c r="G103" s="21">
        <f t="shared" si="21"/>
        <v>0.03</v>
      </c>
      <c r="H103" s="21">
        <f t="shared" si="21"/>
        <v>0.03</v>
      </c>
      <c r="I103" s="21">
        <f t="shared" si="21"/>
        <v>0.03</v>
      </c>
      <c r="J103" s="21">
        <f t="shared" si="21"/>
        <v>0.03</v>
      </c>
      <c r="K103" s="21">
        <f t="shared" si="21"/>
        <v>0.03</v>
      </c>
      <c r="L103" s="21">
        <f t="shared" si="21"/>
        <v>0.03</v>
      </c>
      <c r="M103" s="21"/>
    </row>
    <row r="104" spans="1:15">
      <c r="B104" s="27" t="s">
        <v>83</v>
      </c>
      <c r="C104" s="21">
        <f t="shared" ref="C104:L104" si="22">CHOOSE($C$5,C119,C135,C150)</f>
        <v>0.04</v>
      </c>
      <c r="D104" s="21">
        <f t="shared" si="22"/>
        <v>0.04</v>
      </c>
      <c r="E104" s="21">
        <f t="shared" si="22"/>
        <v>0.04</v>
      </c>
      <c r="F104" s="21">
        <f t="shared" si="22"/>
        <v>0.04</v>
      </c>
      <c r="G104" s="21">
        <f t="shared" si="22"/>
        <v>0.04</v>
      </c>
      <c r="H104" s="21">
        <f t="shared" si="22"/>
        <v>0.04</v>
      </c>
      <c r="I104" s="21">
        <f t="shared" si="22"/>
        <v>0.04</v>
      </c>
      <c r="J104" s="21">
        <f t="shared" si="22"/>
        <v>0.04</v>
      </c>
      <c r="K104" s="21">
        <f t="shared" si="22"/>
        <v>0.04</v>
      </c>
      <c r="L104" s="21">
        <f t="shared" si="22"/>
        <v>0.04</v>
      </c>
      <c r="M104" s="21"/>
    </row>
    <row r="105" spans="1:15">
      <c r="B105" s="27" t="s">
        <v>86</v>
      </c>
      <c r="C105" s="21">
        <f t="shared" ref="C105:L105" si="23">CHOOSE($C$5,C120,C136,C151)</f>
        <v>0.23</v>
      </c>
      <c r="D105" s="21">
        <f t="shared" si="23"/>
        <v>0.23</v>
      </c>
      <c r="E105" s="21">
        <f t="shared" si="23"/>
        <v>0.23</v>
      </c>
      <c r="F105" s="21">
        <f t="shared" si="23"/>
        <v>0.23</v>
      </c>
      <c r="G105" s="21">
        <f t="shared" si="23"/>
        <v>0.23</v>
      </c>
      <c r="H105" s="21">
        <f t="shared" si="23"/>
        <v>0.23</v>
      </c>
      <c r="I105" s="21">
        <f t="shared" si="23"/>
        <v>0.23</v>
      </c>
      <c r="J105" s="21">
        <f t="shared" si="23"/>
        <v>0.23</v>
      </c>
      <c r="K105" s="21">
        <f t="shared" si="23"/>
        <v>0.23</v>
      </c>
      <c r="L105" s="21">
        <f t="shared" si="23"/>
        <v>0.23</v>
      </c>
      <c r="M105" s="21"/>
    </row>
    <row r="106" spans="1:15">
      <c r="B106" s="23" t="s">
        <v>65</v>
      </c>
      <c r="C106" s="21">
        <f t="shared" ref="C106:L106" si="24">CHOOSE($C$5,C121,C137,C152)</f>
        <v>0.22</v>
      </c>
      <c r="D106" s="21">
        <f t="shared" si="24"/>
        <v>0.22</v>
      </c>
      <c r="E106" s="21">
        <f t="shared" si="24"/>
        <v>0.22</v>
      </c>
      <c r="F106" s="21">
        <f t="shared" si="24"/>
        <v>0.22</v>
      </c>
      <c r="G106" s="21">
        <f t="shared" si="24"/>
        <v>0.22</v>
      </c>
      <c r="H106" s="21">
        <f t="shared" si="24"/>
        <v>0.22</v>
      </c>
      <c r="I106" s="21">
        <f t="shared" si="24"/>
        <v>0.22</v>
      </c>
      <c r="J106" s="21">
        <f t="shared" si="24"/>
        <v>0.22</v>
      </c>
      <c r="K106" s="21">
        <f t="shared" si="24"/>
        <v>0.22</v>
      </c>
      <c r="L106" s="21">
        <f t="shared" si="24"/>
        <v>0.22</v>
      </c>
      <c r="M106" s="21"/>
    </row>
    <row r="107" spans="1:15" s="17" customFormat="1">
      <c r="B107" s="23" t="s">
        <v>57</v>
      </c>
      <c r="C107" s="21">
        <f t="shared" ref="C107:L107" si="25">CHOOSE($C$5,C122,C138,C153)</f>
        <v>8.0000000000000004E-4</v>
      </c>
      <c r="D107" s="21">
        <f t="shared" si="25"/>
        <v>8.0000000000000004E-4</v>
      </c>
      <c r="E107" s="21">
        <f t="shared" si="25"/>
        <v>8.0000000000000004E-4</v>
      </c>
      <c r="F107" s="21">
        <f t="shared" si="25"/>
        <v>8.0000000000000004E-4</v>
      </c>
      <c r="G107" s="21">
        <f t="shared" si="25"/>
        <v>8.0000000000000004E-4</v>
      </c>
      <c r="H107" s="21">
        <f t="shared" si="25"/>
        <v>8.0000000000000004E-4</v>
      </c>
      <c r="I107" s="21">
        <f t="shared" si="25"/>
        <v>8.0000000000000004E-4</v>
      </c>
      <c r="J107" s="21">
        <f t="shared" si="25"/>
        <v>8.0000000000000004E-4</v>
      </c>
      <c r="K107" s="21">
        <f t="shared" si="25"/>
        <v>8.0000000000000004E-4</v>
      </c>
      <c r="L107" s="21">
        <f t="shared" si="25"/>
        <v>8.0000000000000004E-4</v>
      </c>
    </row>
    <row r="108" spans="1:15">
      <c r="B108" s="18" t="s">
        <v>66</v>
      </c>
      <c r="C108" s="20">
        <f t="shared" ref="C108:L108" si="26">CHOOSE($C$5,C123,C138,C153)</f>
        <v>8.0000000000000004E-4</v>
      </c>
      <c r="D108" s="20">
        <f t="shared" si="26"/>
        <v>8.0000000000000004E-4</v>
      </c>
      <c r="E108" s="20">
        <f t="shared" si="26"/>
        <v>8.0000000000000004E-4</v>
      </c>
      <c r="F108" s="20">
        <f t="shared" si="26"/>
        <v>8.0000000000000004E-4</v>
      </c>
      <c r="G108" s="20">
        <f t="shared" si="26"/>
        <v>8.0000000000000004E-4</v>
      </c>
      <c r="H108" s="20">
        <f t="shared" si="26"/>
        <v>8.0000000000000004E-4</v>
      </c>
      <c r="I108" s="20">
        <f t="shared" si="26"/>
        <v>8.0000000000000004E-4</v>
      </c>
      <c r="J108" s="20">
        <f t="shared" si="26"/>
        <v>8.0000000000000004E-4</v>
      </c>
      <c r="K108" s="20">
        <f t="shared" si="26"/>
        <v>8.0000000000000004E-4</v>
      </c>
      <c r="L108" s="20">
        <f t="shared" si="26"/>
        <v>8.0000000000000004E-4</v>
      </c>
    </row>
    <row r="109" spans="1:15" s="37" customFormat="1">
      <c r="A109"/>
      <c r="B109" s="18" t="s">
        <v>67</v>
      </c>
      <c r="C109" s="59">
        <f t="shared" ref="C109:L110" si="27">CHOOSE($C$5,C124,C139,C154)</f>
        <v>0.25</v>
      </c>
      <c r="D109" s="59">
        <f t="shared" si="27"/>
        <v>0.25</v>
      </c>
      <c r="E109" s="59">
        <f t="shared" si="27"/>
        <v>0.25</v>
      </c>
      <c r="F109" s="59">
        <f t="shared" si="27"/>
        <v>0.25</v>
      </c>
      <c r="G109" s="59">
        <f t="shared" si="27"/>
        <v>0.25</v>
      </c>
      <c r="H109" s="59">
        <f t="shared" si="27"/>
        <v>0.25</v>
      </c>
      <c r="I109" s="59">
        <f t="shared" si="27"/>
        <v>0.25</v>
      </c>
      <c r="J109" s="59">
        <f t="shared" si="27"/>
        <v>0.25</v>
      </c>
      <c r="K109" s="59">
        <f t="shared" si="27"/>
        <v>0.25</v>
      </c>
      <c r="L109" s="59">
        <f t="shared" si="27"/>
        <v>0.25</v>
      </c>
    </row>
    <row r="110" spans="1:15" s="37" customFormat="1">
      <c r="A110"/>
      <c r="B110" s="18" t="s">
        <v>142</v>
      </c>
      <c r="C110" s="59">
        <f>CHOOSE($C$5,C125,C140,C155)</f>
        <v>0.13</v>
      </c>
      <c r="D110" s="59">
        <f t="shared" si="27"/>
        <v>0.13</v>
      </c>
      <c r="E110" s="59">
        <f t="shared" si="27"/>
        <v>0.13</v>
      </c>
      <c r="F110" s="59">
        <f t="shared" si="27"/>
        <v>0.13</v>
      </c>
      <c r="G110" s="59">
        <f t="shared" si="27"/>
        <v>0.13</v>
      </c>
      <c r="H110" s="59">
        <f t="shared" si="27"/>
        <v>0.13</v>
      </c>
      <c r="I110" s="59">
        <f t="shared" si="27"/>
        <v>0.13</v>
      </c>
      <c r="J110" s="59">
        <f t="shared" si="27"/>
        <v>0.13</v>
      </c>
      <c r="K110" s="59">
        <f t="shared" si="27"/>
        <v>0.13</v>
      </c>
      <c r="L110" s="59">
        <f t="shared" si="27"/>
        <v>0.13</v>
      </c>
    </row>
    <row r="111" spans="1:15">
      <c r="B111" s="23"/>
    </row>
    <row r="112" spans="1:15">
      <c r="B112" s="24" t="s">
        <v>68</v>
      </c>
    </row>
    <row r="113" spans="2:14 16353:16384">
      <c r="B113" s="23" t="s">
        <v>64</v>
      </c>
      <c r="C113" s="30"/>
      <c r="D113" s="22">
        <v>2.78</v>
      </c>
      <c r="E113" s="22">
        <v>2</v>
      </c>
      <c r="F113" s="22">
        <v>1.7</v>
      </c>
      <c r="G113" s="22">
        <v>1.6</v>
      </c>
      <c r="H113" s="22">
        <v>1.5</v>
      </c>
      <c r="I113" s="22">
        <v>1.4</v>
      </c>
      <c r="J113" s="22">
        <v>1.3</v>
      </c>
      <c r="K113" s="22">
        <v>1.3</v>
      </c>
      <c r="L113" s="22">
        <v>1.3</v>
      </c>
      <c r="M113" s="22"/>
      <c r="N113" s="19"/>
      <c r="XDY113" s="19"/>
    </row>
    <row r="114" spans="2:14 16353:16384">
      <c r="B114" s="23" t="s">
        <v>52</v>
      </c>
      <c r="C114" s="28">
        <v>0.7</v>
      </c>
      <c r="D114" s="28">
        <v>0.7</v>
      </c>
      <c r="E114" s="28">
        <v>0.7</v>
      </c>
      <c r="F114" s="28">
        <v>0.7</v>
      </c>
      <c r="G114" s="28">
        <v>0.7</v>
      </c>
      <c r="H114" s="28">
        <v>0.7</v>
      </c>
      <c r="I114" s="28">
        <v>0.7</v>
      </c>
      <c r="J114" s="28">
        <v>0.7</v>
      </c>
      <c r="K114" s="28">
        <v>0.7</v>
      </c>
      <c r="L114" s="28">
        <v>0.7</v>
      </c>
    </row>
    <row r="115" spans="2:14 16353:16384">
      <c r="B115" s="23" t="s">
        <v>53</v>
      </c>
      <c r="C115" s="22">
        <f t="shared" ref="C115:L115" si="28">D113-C114</f>
        <v>2.08</v>
      </c>
      <c r="D115" s="22">
        <f t="shared" si="28"/>
        <v>1.3</v>
      </c>
      <c r="E115" s="22">
        <f t="shared" si="28"/>
        <v>1</v>
      </c>
      <c r="F115" s="22">
        <f t="shared" si="28"/>
        <v>0.90000000000000013</v>
      </c>
      <c r="G115" s="22">
        <f t="shared" si="28"/>
        <v>0.8</v>
      </c>
      <c r="H115" s="22">
        <f t="shared" si="28"/>
        <v>0.7</v>
      </c>
      <c r="I115" s="22">
        <f t="shared" si="28"/>
        <v>0.60000000000000009</v>
      </c>
      <c r="J115" s="22">
        <f t="shared" si="28"/>
        <v>0.60000000000000009</v>
      </c>
      <c r="K115" s="22">
        <f t="shared" si="28"/>
        <v>0.60000000000000009</v>
      </c>
      <c r="L115" s="22">
        <f t="shared" si="28"/>
        <v>-0.7</v>
      </c>
    </row>
    <row r="116" spans="2:14 16353:16384">
      <c r="B116" s="23" t="s">
        <v>54</v>
      </c>
      <c r="C116" s="22">
        <v>0.03</v>
      </c>
      <c r="D116" s="22">
        <v>0.03</v>
      </c>
      <c r="E116" s="22">
        <v>0.03</v>
      </c>
      <c r="F116" s="22">
        <v>0.03</v>
      </c>
      <c r="G116" s="22">
        <v>0.03</v>
      </c>
      <c r="H116" s="22">
        <v>0.03</v>
      </c>
      <c r="I116" s="22">
        <v>0.03</v>
      </c>
      <c r="J116" s="22">
        <v>0.03</v>
      </c>
      <c r="K116" s="22">
        <v>0.03</v>
      </c>
      <c r="L116" s="22">
        <v>0.03</v>
      </c>
    </row>
    <row r="117" spans="2:14 16353:16384">
      <c r="B117" s="23" t="s">
        <v>85</v>
      </c>
      <c r="C117" s="22">
        <v>0.3</v>
      </c>
      <c r="D117" s="22">
        <v>0.3</v>
      </c>
      <c r="E117" s="22">
        <v>0.3</v>
      </c>
      <c r="F117" s="22">
        <v>0.2</v>
      </c>
      <c r="G117" s="22">
        <v>0.15</v>
      </c>
      <c r="H117" s="22">
        <v>0.15</v>
      </c>
      <c r="I117" s="22">
        <v>0.15</v>
      </c>
      <c r="J117" s="22">
        <v>0.1</v>
      </c>
      <c r="K117" s="22">
        <v>0.1</v>
      </c>
      <c r="L117" s="22">
        <v>0.1</v>
      </c>
    </row>
    <row r="118" spans="2:14 16353:16384">
      <c r="B118" s="27" t="s">
        <v>84</v>
      </c>
      <c r="C118" s="22">
        <v>0.03</v>
      </c>
      <c r="D118" s="22">
        <v>0.03</v>
      </c>
      <c r="E118" s="22">
        <v>0.03</v>
      </c>
      <c r="F118" s="22">
        <v>0.03</v>
      </c>
      <c r="G118" s="22">
        <v>0.03</v>
      </c>
      <c r="H118" s="22">
        <v>0.03</v>
      </c>
      <c r="I118" s="22">
        <v>0.03</v>
      </c>
      <c r="J118" s="22">
        <v>0.03</v>
      </c>
      <c r="K118" s="22">
        <v>0.03</v>
      </c>
      <c r="L118" s="22">
        <v>0.03</v>
      </c>
      <c r="XFD118" s="22"/>
    </row>
    <row r="119" spans="2:14 16353:16384">
      <c r="B119" s="27" t="s">
        <v>83</v>
      </c>
      <c r="C119" s="22">
        <v>0.02</v>
      </c>
      <c r="D119" s="22">
        <v>0.02</v>
      </c>
      <c r="E119" s="22">
        <v>0.02</v>
      </c>
      <c r="F119" s="22">
        <v>0.02</v>
      </c>
      <c r="G119" s="22">
        <v>0.02</v>
      </c>
      <c r="H119" s="22">
        <v>0.02</v>
      </c>
      <c r="I119" s="22">
        <v>0.02</v>
      </c>
      <c r="J119" s="22">
        <v>0.02</v>
      </c>
      <c r="K119" s="22">
        <v>0.02</v>
      </c>
      <c r="L119" s="22">
        <v>0.02</v>
      </c>
    </row>
    <row r="120" spans="2:14 16353:16384">
      <c r="B120" s="27" t="s">
        <v>86</v>
      </c>
      <c r="C120" s="22">
        <v>0.03</v>
      </c>
      <c r="D120" s="22">
        <v>0.03</v>
      </c>
      <c r="E120" s="22">
        <v>0.03</v>
      </c>
      <c r="F120" s="22">
        <v>0.03</v>
      </c>
      <c r="G120" s="22">
        <v>0.03</v>
      </c>
      <c r="H120" s="22">
        <v>0.03</v>
      </c>
      <c r="I120" s="22">
        <v>0.03</v>
      </c>
      <c r="J120" s="22">
        <v>0.03</v>
      </c>
      <c r="K120" s="22">
        <v>0.03</v>
      </c>
      <c r="L120" s="22">
        <v>0.03</v>
      </c>
    </row>
    <row r="121" spans="2:14 16353:16384">
      <c r="B121" s="23" t="s">
        <v>65</v>
      </c>
      <c r="C121" s="22">
        <f t="shared" ref="C121:L121" si="29">SUM(C116:C120)</f>
        <v>0.41000000000000003</v>
      </c>
      <c r="D121" s="22">
        <f t="shared" si="29"/>
        <v>0.41000000000000003</v>
      </c>
      <c r="E121" s="22">
        <f t="shared" si="29"/>
        <v>0.41000000000000003</v>
      </c>
      <c r="F121" s="22">
        <f t="shared" si="29"/>
        <v>0.31000000000000005</v>
      </c>
      <c r="G121" s="22">
        <f t="shared" si="29"/>
        <v>0.26</v>
      </c>
      <c r="H121" s="22">
        <f t="shared" si="29"/>
        <v>0.26</v>
      </c>
      <c r="I121" s="22">
        <f t="shared" si="29"/>
        <v>0.26</v>
      </c>
      <c r="J121" s="22">
        <f t="shared" si="29"/>
        <v>0.21</v>
      </c>
      <c r="K121" s="22">
        <f t="shared" si="29"/>
        <v>0.21</v>
      </c>
      <c r="L121" s="22">
        <f t="shared" si="29"/>
        <v>0.21</v>
      </c>
    </row>
    <row r="122" spans="2:14 16353:16384">
      <c r="B122" s="23" t="s">
        <v>57</v>
      </c>
      <c r="C122" s="21">
        <v>0</v>
      </c>
      <c r="D122" s="21">
        <v>0.25</v>
      </c>
      <c r="E122" s="21">
        <v>0.19</v>
      </c>
      <c r="F122" s="21">
        <v>0.19</v>
      </c>
      <c r="G122" s="21">
        <v>0.19</v>
      </c>
      <c r="H122" s="21">
        <v>0.19</v>
      </c>
      <c r="I122" s="21">
        <v>0.19</v>
      </c>
      <c r="J122" s="21">
        <v>0.19</v>
      </c>
      <c r="K122" s="21">
        <v>0.19</v>
      </c>
      <c r="L122" s="21">
        <v>0.19</v>
      </c>
    </row>
    <row r="123" spans="2:14 16353:16384">
      <c r="B123" s="18" t="s">
        <v>59</v>
      </c>
      <c r="C123" s="19">
        <v>5.0000000000000001E-4</v>
      </c>
      <c r="D123" s="19">
        <v>5.0000000000000001E-4</v>
      </c>
      <c r="E123" s="19">
        <v>5.0000000000000001E-4</v>
      </c>
      <c r="F123" s="19">
        <v>5.0000000000000001E-4</v>
      </c>
      <c r="G123" s="19">
        <v>5.0000000000000001E-4</v>
      </c>
      <c r="H123" s="19">
        <v>5.0000000000000001E-4</v>
      </c>
      <c r="I123" s="19">
        <v>5.0000000000000001E-4</v>
      </c>
      <c r="J123" s="19">
        <v>5.0000000000000001E-4</v>
      </c>
      <c r="K123" s="19">
        <v>5.0000000000000001E-4</v>
      </c>
      <c r="L123" s="19">
        <v>5.0000000000000001E-4</v>
      </c>
      <c r="XDY123" s="19"/>
    </row>
    <row r="124" spans="2:14 16353:16384">
      <c r="B124" s="18" t="s">
        <v>67</v>
      </c>
      <c r="C124" s="22">
        <v>0.21</v>
      </c>
      <c r="D124" s="22">
        <v>0.21</v>
      </c>
      <c r="E124" s="22">
        <v>0.21</v>
      </c>
      <c r="F124" s="22">
        <v>0.21</v>
      </c>
      <c r="G124" s="22">
        <v>0.21</v>
      </c>
      <c r="H124" s="22">
        <v>0.21</v>
      </c>
      <c r="I124" s="22">
        <v>0.21</v>
      </c>
      <c r="J124" s="22">
        <v>0.21</v>
      </c>
      <c r="K124" s="22">
        <v>0.21</v>
      </c>
      <c r="L124" s="22">
        <v>0.21</v>
      </c>
      <c r="XDY124" s="22"/>
    </row>
    <row r="125" spans="2:14 16353:16384">
      <c r="B125" s="18" t="s">
        <v>142</v>
      </c>
      <c r="C125" s="22">
        <v>0.11</v>
      </c>
      <c r="D125" s="22">
        <v>0.11</v>
      </c>
      <c r="E125" s="22">
        <v>0.11</v>
      </c>
      <c r="F125" s="22">
        <v>0.11</v>
      </c>
      <c r="G125" s="22">
        <v>0.11</v>
      </c>
      <c r="H125" s="22">
        <v>0.11</v>
      </c>
      <c r="I125" s="22">
        <v>0.11</v>
      </c>
      <c r="J125" s="22">
        <v>0.11</v>
      </c>
      <c r="K125" s="22">
        <v>0.11</v>
      </c>
      <c r="L125" s="22">
        <v>0.11</v>
      </c>
      <c r="XDY125" s="22"/>
    </row>
    <row r="126" spans="2:14 16353:16384">
      <c r="B126" s="23"/>
    </row>
    <row r="127" spans="2:14 16353:16384">
      <c r="B127" s="24" t="s">
        <v>69</v>
      </c>
    </row>
    <row r="128" spans="2:14 16353:16384">
      <c r="B128" s="23" t="s">
        <v>64</v>
      </c>
      <c r="C128" s="30"/>
      <c r="D128" s="22">
        <v>3</v>
      </c>
      <c r="E128" s="22">
        <v>2.5</v>
      </c>
      <c r="F128" s="22">
        <v>2</v>
      </c>
      <c r="G128" s="22">
        <v>1.7</v>
      </c>
      <c r="H128" s="22">
        <v>1.6</v>
      </c>
      <c r="I128" s="22">
        <v>1.5</v>
      </c>
      <c r="J128" s="22">
        <v>1.4</v>
      </c>
      <c r="K128" s="22">
        <v>1.3</v>
      </c>
      <c r="L128" s="22">
        <v>1.3</v>
      </c>
      <c r="M128" s="22"/>
    </row>
    <row r="129" spans="2:13">
      <c r="B129" s="23" t="s">
        <v>52</v>
      </c>
      <c r="C129" s="22">
        <v>0.65</v>
      </c>
      <c r="D129" s="22">
        <v>0.65</v>
      </c>
      <c r="E129" s="22">
        <v>0.65</v>
      </c>
      <c r="F129" s="22">
        <v>0.65</v>
      </c>
      <c r="G129" s="22">
        <v>0.65</v>
      </c>
      <c r="H129" s="22">
        <v>0.65</v>
      </c>
      <c r="I129" s="22">
        <v>0.65</v>
      </c>
      <c r="J129" s="22">
        <v>0.65</v>
      </c>
      <c r="K129" s="22">
        <v>0.65</v>
      </c>
      <c r="L129" s="22">
        <v>0.65</v>
      </c>
    </row>
    <row r="130" spans="2:13">
      <c r="B130" s="23" t="s">
        <v>53</v>
      </c>
      <c r="C130" s="22">
        <f t="shared" ref="C130:L130" si="30">D128-C129</f>
        <v>2.35</v>
      </c>
      <c r="D130" s="22">
        <f t="shared" si="30"/>
        <v>1.85</v>
      </c>
      <c r="E130" s="22">
        <f t="shared" si="30"/>
        <v>1.35</v>
      </c>
      <c r="F130" s="22">
        <f t="shared" si="30"/>
        <v>1.0499999999999998</v>
      </c>
      <c r="G130" s="22">
        <f t="shared" si="30"/>
        <v>0.95000000000000007</v>
      </c>
      <c r="H130" s="22">
        <f t="shared" si="30"/>
        <v>0.85</v>
      </c>
      <c r="I130" s="22">
        <f t="shared" si="30"/>
        <v>0.74999999999999989</v>
      </c>
      <c r="J130" s="22">
        <f t="shared" si="30"/>
        <v>0.65</v>
      </c>
      <c r="K130" s="22">
        <f t="shared" si="30"/>
        <v>0.65</v>
      </c>
      <c r="L130" s="22">
        <f t="shared" si="30"/>
        <v>-0.65</v>
      </c>
    </row>
    <row r="131" spans="2:13">
      <c r="B131" s="23" t="s">
        <v>54</v>
      </c>
      <c r="C131" s="22">
        <v>0.02</v>
      </c>
      <c r="D131" s="22">
        <v>0.02</v>
      </c>
      <c r="E131" s="22">
        <v>0.02</v>
      </c>
      <c r="F131" s="22">
        <v>0.02</v>
      </c>
      <c r="G131" s="22">
        <v>0.02</v>
      </c>
      <c r="H131" s="22">
        <v>0.02</v>
      </c>
      <c r="I131" s="22">
        <v>0.02</v>
      </c>
      <c r="J131" s="22">
        <v>0.02</v>
      </c>
      <c r="K131" s="22">
        <v>0.02</v>
      </c>
      <c r="L131" s="22">
        <v>0.02</v>
      </c>
    </row>
    <row r="132" spans="2:13">
      <c r="B132" s="23" t="s">
        <v>85</v>
      </c>
      <c r="C132" s="22">
        <v>0.3</v>
      </c>
      <c r="D132" s="22">
        <v>0.3</v>
      </c>
      <c r="E132" s="22">
        <v>0.3</v>
      </c>
      <c r="F132" s="22">
        <v>0.3</v>
      </c>
      <c r="G132" s="22">
        <v>0.3</v>
      </c>
      <c r="H132" s="22">
        <v>0.3</v>
      </c>
      <c r="I132" s="22">
        <v>0.3</v>
      </c>
      <c r="J132" s="22">
        <v>0.3</v>
      </c>
      <c r="K132" s="22">
        <v>0.3</v>
      </c>
      <c r="L132" s="22">
        <v>0.3</v>
      </c>
    </row>
    <row r="133" spans="2:13">
      <c r="B133" s="27" t="s">
        <v>84</v>
      </c>
      <c r="C133" s="22">
        <v>0.01</v>
      </c>
      <c r="D133" s="22">
        <v>0.01</v>
      </c>
      <c r="E133" s="22">
        <v>0.01</v>
      </c>
      <c r="F133" s="22">
        <v>0.01</v>
      </c>
      <c r="G133" s="22">
        <v>0.01</v>
      </c>
      <c r="H133" s="22">
        <v>0.01</v>
      </c>
      <c r="I133" s="22">
        <v>0.01</v>
      </c>
      <c r="J133" s="22">
        <v>0.01</v>
      </c>
      <c r="K133" s="22">
        <v>0.01</v>
      </c>
      <c r="L133" s="22">
        <v>0.01</v>
      </c>
    </row>
    <row r="134" spans="2:13">
      <c r="B134" s="27" t="s">
        <v>83</v>
      </c>
      <c r="C134" s="22">
        <v>0.02</v>
      </c>
      <c r="D134" s="22">
        <v>0.02</v>
      </c>
      <c r="E134" s="22">
        <v>0.02</v>
      </c>
      <c r="F134" s="22">
        <v>0.02</v>
      </c>
      <c r="G134" s="22">
        <v>0.02</v>
      </c>
      <c r="H134" s="22">
        <v>0.02</v>
      </c>
      <c r="I134" s="22">
        <v>0.02</v>
      </c>
      <c r="J134" s="22">
        <v>0.02</v>
      </c>
      <c r="K134" s="22">
        <v>0.02</v>
      </c>
      <c r="L134" s="22">
        <v>0.02</v>
      </c>
    </row>
    <row r="135" spans="2:13">
      <c r="B135" s="27" t="s">
        <v>86</v>
      </c>
      <c r="C135" s="22">
        <v>0.01</v>
      </c>
      <c r="D135" s="22">
        <v>0.01</v>
      </c>
      <c r="E135" s="22">
        <v>0.01</v>
      </c>
      <c r="F135" s="22">
        <v>0.01</v>
      </c>
      <c r="G135" s="22">
        <v>0.01</v>
      </c>
      <c r="H135" s="22">
        <v>0.01</v>
      </c>
      <c r="I135" s="22">
        <v>0.01</v>
      </c>
      <c r="J135" s="22">
        <v>0.01</v>
      </c>
      <c r="K135" s="22">
        <v>0.01</v>
      </c>
      <c r="L135" s="22">
        <v>0.01</v>
      </c>
    </row>
    <row r="136" spans="2:13">
      <c r="B136" s="23" t="s">
        <v>65</v>
      </c>
      <c r="C136" s="22">
        <f t="shared" ref="C136:L136" si="31">SUM(C131:C135)</f>
        <v>0.36000000000000004</v>
      </c>
      <c r="D136" s="22">
        <f t="shared" si="31"/>
        <v>0.36000000000000004</v>
      </c>
      <c r="E136" s="22">
        <f t="shared" si="31"/>
        <v>0.36000000000000004</v>
      </c>
      <c r="F136" s="22">
        <f t="shared" si="31"/>
        <v>0.36000000000000004</v>
      </c>
      <c r="G136" s="22">
        <f t="shared" si="31"/>
        <v>0.36000000000000004</v>
      </c>
      <c r="H136" s="22">
        <f t="shared" si="31"/>
        <v>0.36000000000000004</v>
      </c>
      <c r="I136" s="22">
        <f t="shared" si="31"/>
        <v>0.36000000000000004</v>
      </c>
      <c r="J136" s="22">
        <f t="shared" si="31"/>
        <v>0.36000000000000004</v>
      </c>
      <c r="K136" s="22">
        <f t="shared" si="31"/>
        <v>0.36000000000000004</v>
      </c>
      <c r="L136" s="22">
        <f t="shared" si="31"/>
        <v>0.36000000000000004</v>
      </c>
    </row>
    <row r="137" spans="2:13" s="15" customFormat="1">
      <c r="B137" s="25" t="s">
        <v>57</v>
      </c>
      <c r="C137" s="21">
        <v>0.15</v>
      </c>
      <c r="D137" s="21">
        <v>0.15</v>
      </c>
      <c r="E137" s="21">
        <v>0.15</v>
      </c>
      <c r="F137" s="21">
        <v>0.15</v>
      </c>
      <c r="G137" s="21">
        <v>0.15</v>
      </c>
      <c r="H137" s="21">
        <v>0.15</v>
      </c>
      <c r="I137" s="21">
        <v>0.15</v>
      </c>
      <c r="J137" s="21">
        <v>0.15</v>
      </c>
      <c r="K137" s="21">
        <v>0.15</v>
      </c>
      <c r="L137" s="21">
        <v>0.15</v>
      </c>
    </row>
    <row r="138" spans="2:13">
      <c r="B138" s="18" t="s">
        <v>59</v>
      </c>
      <c r="C138" s="19">
        <v>2.9999999999999997E-4</v>
      </c>
      <c r="D138" s="19">
        <v>2.9999999999999997E-4</v>
      </c>
      <c r="E138" s="19">
        <v>2.9999999999999997E-4</v>
      </c>
      <c r="F138" s="19">
        <v>2.9999999999999997E-4</v>
      </c>
      <c r="G138" s="19">
        <v>2.9999999999999997E-4</v>
      </c>
      <c r="H138" s="19">
        <v>2.9999999999999997E-4</v>
      </c>
      <c r="I138" s="19">
        <v>2.9999999999999997E-4</v>
      </c>
      <c r="J138" s="19">
        <v>2.9999999999999997E-4</v>
      </c>
      <c r="K138" s="19">
        <v>2.9999999999999997E-4</v>
      </c>
      <c r="L138" s="19">
        <v>2.9999999999999997E-4</v>
      </c>
      <c r="M138" s="26"/>
    </row>
    <row r="139" spans="2:13">
      <c r="B139" s="18" t="s">
        <v>67</v>
      </c>
      <c r="C139" s="22">
        <v>0.17</v>
      </c>
      <c r="D139" s="22">
        <v>0.17</v>
      </c>
      <c r="E139" s="22">
        <v>0.17</v>
      </c>
      <c r="F139" s="22">
        <v>0.17</v>
      </c>
      <c r="G139" s="22">
        <v>0.17</v>
      </c>
      <c r="H139" s="22">
        <v>0.17</v>
      </c>
      <c r="I139" s="22">
        <v>0.17</v>
      </c>
      <c r="J139" s="22">
        <v>0.17</v>
      </c>
      <c r="K139" s="22">
        <v>0.17</v>
      </c>
      <c r="L139" s="22">
        <v>0.17</v>
      </c>
    </row>
    <row r="140" spans="2:13">
      <c r="B140" s="18" t="s">
        <v>142</v>
      </c>
      <c r="C140" s="22">
        <v>0.08</v>
      </c>
      <c r="D140" s="22">
        <v>0.08</v>
      </c>
      <c r="E140" s="22">
        <v>0.08</v>
      </c>
      <c r="F140" s="22">
        <v>0.08</v>
      </c>
      <c r="G140" s="22">
        <v>0.08</v>
      </c>
      <c r="H140" s="22">
        <v>0.08</v>
      </c>
      <c r="I140" s="22">
        <v>0.08</v>
      </c>
      <c r="J140" s="22">
        <v>0.08</v>
      </c>
      <c r="K140" s="22">
        <v>0.08</v>
      </c>
      <c r="L140" s="22">
        <v>0.08</v>
      </c>
    </row>
    <row r="142" spans="2:13">
      <c r="B142" s="24" t="s">
        <v>70</v>
      </c>
    </row>
    <row r="143" spans="2:13">
      <c r="B143" s="23" t="s">
        <v>64</v>
      </c>
      <c r="C143" s="30"/>
      <c r="D143" s="22">
        <v>2.4500000000000002</v>
      </c>
      <c r="E143" s="22">
        <v>2</v>
      </c>
      <c r="F143" s="22">
        <v>1.6</v>
      </c>
      <c r="G143" s="22">
        <v>1.4</v>
      </c>
      <c r="H143" s="22">
        <v>1.3</v>
      </c>
      <c r="I143" s="22">
        <v>1.2</v>
      </c>
      <c r="J143" s="22">
        <v>1.1000000000000001</v>
      </c>
      <c r="K143" s="22">
        <v>1.1000000000000001</v>
      </c>
      <c r="L143" s="22">
        <v>1.07</v>
      </c>
      <c r="M143" s="22"/>
    </row>
    <row r="144" spans="2:13">
      <c r="B144" s="23" t="s">
        <v>52</v>
      </c>
      <c r="C144" s="22">
        <v>0.75</v>
      </c>
      <c r="D144" s="22">
        <v>0.75</v>
      </c>
      <c r="E144" s="22">
        <v>0.75</v>
      </c>
      <c r="F144" s="22">
        <v>0.75</v>
      </c>
      <c r="G144" s="22">
        <v>0.75</v>
      </c>
      <c r="H144" s="22">
        <v>0.75</v>
      </c>
      <c r="I144" s="22">
        <v>0.75</v>
      </c>
      <c r="J144" s="22">
        <v>0.75</v>
      </c>
      <c r="K144" s="22">
        <v>0.75</v>
      </c>
      <c r="L144" s="22">
        <v>0.75</v>
      </c>
    </row>
    <row r="145" spans="2:13 16353:16353">
      <c r="B145" s="23" t="s">
        <v>53</v>
      </c>
      <c r="C145" s="22">
        <f t="shared" ref="C145:L145" si="32">D143-C144</f>
        <v>1.7000000000000002</v>
      </c>
      <c r="D145" s="22">
        <f t="shared" si="32"/>
        <v>1.25</v>
      </c>
      <c r="E145" s="22">
        <f t="shared" si="32"/>
        <v>0.85000000000000009</v>
      </c>
      <c r="F145" s="22">
        <f t="shared" si="32"/>
        <v>0.64999999999999991</v>
      </c>
      <c r="G145" s="22">
        <f t="shared" si="32"/>
        <v>0.55000000000000004</v>
      </c>
      <c r="H145" s="22">
        <f t="shared" si="32"/>
        <v>0.44999999999999996</v>
      </c>
      <c r="I145" s="22">
        <f t="shared" si="32"/>
        <v>0.35000000000000009</v>
      </c>
      <c r="J145" s="22">
        <f t="shared" si="32"/>
        <v>0.35000000000000009</v>
      </c>
      <c r="K145" s="22">
        <f t="shared" si="32"/>
        <v>0.32000000000000006</v>
      </c>
      <c r="L145" s="22">
        <f t="shared" si="32"/>
        <v>-0.75</v>
      </c>
    </row>
    <row r="146" spans="2:13 16353:16353">
      <c r="B146" s="23" t="s">
        <v>54</v>
      </c>
      <c r="C146" s="22">
        <v>0.04</v>
      </c>
      <c r="D146" s="22">
        <v>0.04</v>
      </c>
      <c r="E146" s="22">
        <v>0.04</v>
      </c>
      <c r="F146" s="22">
        <v>0.04</v>
      </c>
      <c r="G146" s="22">
        <v>0.04</v>
      </c>
      <c r="H146" s="22">
        <v>0.04</v>
      </c>
      <c r="I146" s="22">
        <v>0.04</v>
      </c>
      <c r="J146" s="22">
        <v>0.04</v>
      </c>
      <c r="K146" s="22">
        <v>0.04</v>
      </c>
      <c r="L146" s="22">
        <v>0.04</v>
      </c>
    </row>
    <row r="147" spans="2:13 16353:16353">
      <c r="B147" s="23" t="s">
        <v>85</v>
      </c>
      <c r="C147" s="22">
        <v>0.08</v>
      </c>
      <c r="D147" s="22">
        <v>0.08</v>
      </c>
      <c r="E147" s="22">
        <v>0.08</v>
      </c>
      <c r="F147" s="22">
        <v>0.08</v>
      </c>
      <c r="G147" s="22">
        <v>0.08</v>
      </c>
      <c r="H147" s="22">
        <v>0.08</v>
      </c>
      <c r="I147" s="22">
        <v>0.08</v>
      </c>
      <c r="J147" s="22">
        <v>0.08</v>
      </c>
      <c r="K147" s="22">
        <v>0.08</v>
      </c>
      <c r="L147" s="22">
        <v>0.08</v>
      </c>
    </row>
    <row r="148" spans="2:13 16353:16353">
      <c r="B148" s="27" t="s">
        <v>84</v>
      </c>
      <c r="C148" s="22">
        <v>0.04</v>
      </c>
      <c r="D148" s="22">
        <v>0.04</v>
      </c>
      <c r="E148" s="22">
        <v>0.04</v>
      </c>
      <c r="F148" s="22">
        <v>0.04</v>
      </c>
      <c r="G148" s="22">
        <v>0.04</v>
      </c>
      <c r="H148" s="22">
        <v>0.04</v>
      </c>
      <c r="I148" s="22">
        <v>0.04</v>
      </c>
      <c r="J148" s="22">
        <v>0.04</v>
      </c>
      <c r="K148" s="22">
        <v>0.04</v>
      </c>
      <c r="L148" s="22">
        <v>0.04</v>
      </c>
    </row>
    <row r="149" spans="2:13 16353:16353">
      <c r="B149" s="27" t="s">
        <v>83</v>
      </c>
      <c r="C149" s="22">
        <v>0.03</v>
      </c>
      <c r="D149" s="22">
        <v>0.03</v>
      </c>
      <c r="E149" s="22">
        <v>0.03</v>
      </c>
      <c r="F149" s="22">
        <v>0.03</v>
      </c>
      <c r="G149" s="22">
        <v>0.03</v>
      </c>
      <c r="H149" s="22">
        <v>0.03</v>
      </c>
      <c r="I149" s="22">
        <v>0.03</v>
      </c>
      <c r="J149" s="22">
        <v>0.03</v>
      </c>
      <c r="K149" s="22">
        <v>0.03</v>
      </c>
      <c r="L149" s="36">
        <v>0.03</v>
      </c>
    </row>
    <row r="150" spans="2:13 16353:16353">
      <c r="B150" s="27" t="s">
        <v>86</v>
      </c>
      <c r="C150" s="22">
        <v>0.04</v>
      </c>
      <c r="D150" s="22">
        <v>0.04</v>
      </c>
      <c r="E150" s="22">
        <v>0.04</v>
      </c>
      <c r="F150" s="22">
        <v>0.04</v>
      </c>
      <c r="G150" s="22">
        <v>0.04</v>
      </c>
      <c r="H150" s="22">
        <v>0.04</v>
      </c>
      <c r="I150" s="22">
        <v>0.04</v>
      </c>
      <c r="J150" s="22">
        <v>0.04</v>
      </c>
      <c r="K150" s="22">
        <v>0.04</v>
      </c>
      <c r="L150" s="22">
        <v>0.04</v>
      </c>
    </row>
    <row r="151" spans="2:13 16353:16353">
      <c r="B151" s="23" t="s">
        <v>65</v>
      </c>
      <c r="C151" s="22">
        <f t="shared" ref="C151:L151" si="33">SUM(C146:C150)</f>
        <v>0.23</v>
      </c>
      <c r="D151" s="22">
        <f t="shared" si="33"/>
        <v>0.23</v>
      </c>
      <c r="E151" s="22">
        <f t="shared" si="33"/>
        <v>0.23</v>
      </c>
      <c r="F151" s="22">
        <f t="shared" si="33"/>
        <v>0.23</v>
      </c>
      <c r="G151" s="22">
        <f t="shared" si="33"/>
        <v>0.23</v>
      </c>
      <c r="H151" s="22">
        <f t="shared" si="33"/>
        <v>0.23</v>
      </c>
      <c r="I151" s="22">
        <f t="shared" si="33"/>
        <v>0.23</v>
      </c>
      <c r="J151" s="22">
        <f t="shared" si="33"/>
        <v>0.23</v>
      </c>
      <c r="K151" s="22">
        <f t="shared" si="33"/>
        <v>0.23</v>
      </c>
      <c r="L151" s="22">
        <f t="shared" si="33"/>
        <v>0.23</v>
      </c>
      <c r="M151" s="22"/>
    </row>
    <row r="152" spans="2:13 16353:16353" s="15" customFormat="1">
      <c r="B152" s="15" t="s">
        <v>57</v>
      </c>
      <c r="C152" s="21">
        <v>0.22</v>
      </c>
      <c r="D152" s="21">
        <v>0.22</v>
      </c>
      <c r="E152" s="21">
        <v>0.22</v>
      </c>
      <c r="F152" s="21">
        <v>0.22</v>
      </c>
      <c r="G152" s="21">
        <v>0.22</v>
      </c>
      <c r="H152" s="21">
        <v>0.22</v>
      </c>
      <c r="I152" s="21">
        <v>0.22</v>
      </c>
      <c r="J152" s="21">
        <v>0.22</v>
      </c>
      <c r="K152" s="21">
        <v>0.22</v>
      </c>
      <c r="L152" s="21">
        <v>0.22</v>
      </c>
    </row>
    <row r="153" spans="2:13 16353:16353">
      <c r="B153" s="18" t="s">
        <v>59</v>
      </c>
      <c r="C153" s="19">
        <v>8.0000000000000004E-4</v>
      </c>
      <c r="D153" s="19">
        <v>8.0000000000000004E-4</v>
      </c>
      <c r="E153" s="19">
        <v>8.0000000000000004E-4</v>
      </c>
      <c r="F153" s="19">
        <v>8.0000000000000004E-4</v>
      </c>
      <c r="G153" s="19">
        <v>8.0000000000000004E-4</v>
      </c>
      <c r="H153" s="19">
        <v>8.0000000000000004E-4</v>
      </c>
      <c r="I153" s="19">
        <v>8.0000000000000004E-4</v>
      </c>
      <c r="J153" s="19">
        <v>8.0000000000000004E-4</v>
      </c>
      <c r="K153" s="19">
        <v>8.0000000000000004E-4</v>
      </c>
      <c r="L153" s="19">
        <v>8.0000000000000004E-4</v>
      </c>
      <c r="XDY153" s="19"/>
    </row>
    <row r="154" spans="2:13 16353:16353">
      <c r="B154" s="18" t="s">
        <v>67</v>
      </c>
      <c r="C154" s="22">
        <v>0.25</v>
      </c>
      <c r="D154" s="22">
        <v>0.25</v>
      </c>
      <c r="E154" s="22">
        <v>0.25</v>
      </c>
      <c r="F154" s="22">
        <v>0.25</v>
      </c>
      <c r="G154" s="22">
        <v>0.25</v>
      </c>
      <c r="H154" s="22">
        <v>0.25</v>
      </c>
      <c r="I154" s="22">
        <v>0.25</v>
      </c>
      <c r="J154" s="22">
        <v>0.25</v>
      </c>
      <c r="K154" s="22">
        <v>0.25</v>
      </c>
      <c r="L154" s="22">
        <v>0.25</v>
      </c>
    </row>
    <row r="155" spans="2:13 16353:16353">
      <c r="B155" s="18" t="s">
        <v>142</v>
      </c>
      <c r="C155" s="22">
        <v>0.13</v>
      </c>
      <c r="D155" s="22">
        <v>0.13</v>
      </c>
      <c r="E155" s="22">
        <v>0.13</v>
      </c>
      <c r="F155" s="22">
        <v>0.13</v>
      </c>
      <c r="G155" s="22">
        <v>0.13</v>
      </c>
      <c r="H155" s="22">
        <v>0.13</v>
      </c>
      <c r="I155" s="22">
        <v>0.13</v>
      </c>
      <c r="J155" s="22">
        <v>0.13</v>
      </c>
      <c r="K155" s="22">
        <v>0.13</v>
      </c>
      <c r="L155" s="22">
        <v>0.13</v>
      </c>
    </row>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sheetData>
  <mergeCells count="1">
    <mergeCell ref="C31:D31"/>
  </mergeCells>
  <dataValidations count="1">
    <dataValidation type="list" allowBlank="1" showInputMessage="1" showErrorMessage="1" sqref="C5" xr:uid="{24A06B8F-ECAF-6046-8362-D21D647CCDA2}">
      <formula1>"1, 2, 3"</formula1>
    </dataValidation>
  </dataValidation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F4953-CAEF-724D-9112-06B92183B606}">
  <dimension ref="B2:M13"/>
  <sheetViews>
    <sheetView workbookViewId="0">
      <selection activeCell="B11" sqref="B11:B13"/>
    </sheetView>
  </sheetViews>
  <sheetFormatPr baseColWidth="10" defaultRowHeight="16"/>
  <cols>
    <col min="1" max="1" width="2" customWidth="1"/>
    <col min="4" max="13" width="14.83203125" customWidth="1"/>
  </cols>
  <sheetData>
    <row r="2" spans="2:13">
      <c r="B2" s="55" t="s">
        <v>131</v>
      </c>
      <c r="C2" s="1"/>
      <c r="D2" s="1"/>
      <c r="E2" s="1"/>
      <c r="F2" s="1"/>
      <c r="G2" s="1"/>
      <c r="H2" s="1"/>
      <c r="I2" s="1"/>
      <c r="J2" s="1"/>
      <c r="K2" s="1"/>
      <c r="L2" s="1"/>
      <c r="M2" s="1"/>
    </row>
    <row r="3" spans="2:13">
      <c r="B3" s="2" t="s">
        <v>132</v>
      </c>
      <c r="C3" s="1"/>
      <c r="D3" s="3" cm="1">
        <f t="array" ref="D3:M3">'Income Statement'!C40:L40</f>
        <v>827.82</v>
      </c>
      <c r="E3" s="3">
        <v>2028.159000000001</v>
      </c>
      <c r="F3" s="3">
        <v>4056.318000000002</v>
      </c>
      <c r="G3" s="3">
        <v>6490.1088000000027</v>
      </c>
      <c r="H3" s="3">
        <v>9086.1523199999792</v>
      </c>
      <c r="I3" s="3">
        <v>11811.998016000023</v>
      </c>
      <c r="J3" s="3">
        <v>14174.397619200028</v>
      </c>
      <c r="K3" s="3">
        <v>15591.837381119985</v>
      </c>
      <c r="L3" s="3">
        <v>17151.021119231995</v>
      </c>
      <c r="M3" s="3">
        <v>18351.592597578252</v>
      </c>
    </row>
    <row r="4" spans="2:13">
      <c r="B4" s="1"/>
      <c r="C4" s="1"/>
      <c r="D4" s="1"/>
      <c r="E4" s="1"/>
      <c r="F4" s="1"/>
      <c r="G4" s="1"/>
      <c r="H4" s="1"/>
      <c r="I4" s="1"/>
      <c r="J4" s="1"/>
      <c r="K4" s="1"/>
      <c r="L4" s="1"/>
      <c r="M4" s="1"/>
    </row>
    <row r="5" spans="2:13">
      <c r="B5" s="2" t="s">
        <v>133</v>
      </c>
      <c r="C5" s="1"/>
      <c r="D5" s="3">
        <f>'Income Statement'!C35+'Income Statement'!C11</f>
        <v>45700</v>
      </c>
      <c r="E5" s="1"/>
      <c r="F5" s="1"/>
      <c r="G5" s="3">
        <v>150</v>
      </c>
      <c r="H5" s="1"/>
      <c r="I5" s="1"/>
      <c r="J5" s="1"/>
      <c r="K5" s="1"/>
      <c r="L5" s="1"/>
      <c r="M5" s="1"/>
    </row>
    <row r="6" spans="2:13">
      <c r="B6" s="2" t="s">
        <v>134</v>
      </c>
      <c r="C6" s="1"/>
      <c r="D6" s="3">
        <v>-250</v>
      </c>
      <c r="E6" s="3">
        <v>0</v>
      </c>
      <c r="F6" s="3">
        <v>0</v>
      </c>
      <c r="G6" s="3">
        <v>-150</v>
      </c>
      <c r="H6" s="3">
        <v>0</v>
      </c>
      <c r="I6" s="3">
        <v>0</v>
      </c>
      <c r="J6" s="3">
        <v>0</v>
      </c>
      <c r="K6" s="3">
        <v>0</v>
      </c>
      <c r="L6" s="3">
        <v>0</v>
      </c>
      <c r="M6" s="3">
        <v>0</v>
      </c>
    </row>
    <row r="7" spans="2:13">
      <c r="B7" s="1"/>
      <c r="C7" s="1"/>
      <c r="D7" s="1"/>
      <c r="E7" s="1"/>
      <c r="F7" s="1"/>
      <c r="G7" s="1"/>
      <c r="H7" s="1"/>
      <c r="I7" s="1"/>
      <c r="J7" s="1"/>
      <c r="K7" s="1"/>
      <c r="L7" s="1"/>
      <c r="M7" s="1"/>
    </row>
    <row r="8" spans="2:13">
      <c r="B8" s="2" t="s">
        <v>135</v>
      </c>
      <c r="C8" s="1"/>
      <c r="D8" s="3">
        <v>400</v>
      </c>
      <c r="E8" s="3">
        <v>500</v>
      </c>
      <c r="F8" s="3">
        <v>500</v>
      </c>
      <c r="G8" s="3">
        <v>500</v>
      </c>
      <c r="H8" s="1"/>
      <c r="I8" s="1"/>
      <c r="J8" s="1"/>
      <c r="K8" s="1"/>
      <c r="L8" s="1"/>
      <c r="M8" s="1"/>
    </row>
    <row r="9" spans="2:13">
      <c r="B9" s="2" t="s">
        <v>136</v>
      </c>
      <c r="C9" s="1"/>
      <c r="D9" s="3">
        <v>400</v>
      </c>
      <c r="E9" s="3">
        <v>500</v>
      </c>
      <c r="F9" s="3">
        <v>500</v>
      </c>
      <c r="G9" s="3">
        <v>500</v>
      </c>
      <c r="H9" s="1"/>
      <c r="I9" s="1"/>
      <c r="J9" s="1"/>
      <c r="K9" s="1"/>
      <c r="L9" s="1"/>
      <c r="M9" s="1"/>
    </row>
    <row r="10" spans="2:13">
      <c r="B10" s="1"/>
      <c r="C10" s="1"/>
      <c r="D10" s="1"/>
      <c r="E10" s="1"/>
      <c r="F10" s="1"/>
      <c r="G10" s="1"/>
      <c r="H10" s="1"/>
      <c r="I10" s="1"/>
      <c r="J10" s="1"/>
      <c r="K10" s="1"/>
      <c r="L10" s="1"/>
      <c r="M10" s="1"/>
    </row>
    <row r="11" spans="2:13">
      <c r="B11" s="2" t="s">
        <v>137</v>
      </c>
      <c r="C11" s="1"/>
      <c r="D11" s="1">
        <v>0</v>
      </c>
      <c r="E11" s="3">
        <v>490.75</v>
      </c>
      <c r="F11" s="3">
        <v>812.25</v>
      </c>
      <c r="G11" s="3">
        <v>994.5</v>
      </c>
      <c r="H11" s="3">
        <v>391.5</v>
      </c>
      <c r="I11" s="3">
        <v>-805.75</v>
      </c>
      <c r="J11" s="3">
        <v>-2762.5</v>
      </c>
      <c r="K11" s="3">
        <v>-6034.31</v>
      </c>
      <c r="L11" s="3">
        <v>-11578.42</v>
      </c>
      <c r="M11" s="3">
        <v>-21047.49</v>
      </c>
    </row>
    <row r="12" spans="2:13">
      <c r="B12" s="2" t="s">
        <v>138</v>
      </c>
      <c r="C12" s="1"/>
      <c r="D12" s="3">
        <v>490.75</v>
      </c>
      <c r="E12" s="3">
        <v>321.5</v>
      </c>
      <c r="F12" s="3">
        <v>182.25</v>
      </c>
      <c r="G12" s="3">
        <v>-603</v>
      </c>
      <c r="H12" s="3">
        <v>-1197.25</v>
      </c>
      <c r="I12" s="3">
        <v>-1956.75</v>
      </c>
      <c r="J12" s="3">
        <v>-3271.81</v>
      </c>
      <c r="K12" s="3">
        <v>-5544.11</v>
      </c>
      <c r="L12" s="3">
        <v>-9469.07</v>
      </c>
      <c r="M12" s="3">
        <v>-16252.43</v>
      </c>
    </row>
    <row r="13" spans="2:13">
      <c r="B13" s="2" t="s">
        <v>139</v>
      </c>
      <c r="C13" s="1"/>
      <c r="D13" s="3">
        <v>490.75</v>
      </c>
      <c r="E13" s="3">
        <v>812.25</v>
      </c>
      <c r="F13" s="3">
        <v>994.5</v>
      </c>
      <c r="G13" s="3">
        <v>391.5</v>
      </c>
      <c r="H13" s="3">
        <v>-805.75</v>
      </c>
      <c r="I13" s="3">
        <v>-2762.5</v>
      </c>
      <c r="J13" s="3">
        <v>-6034.31</v>
      </c>
      <c r="K13" s="3">
        <v>-11578.42</v>
      </c>
      <c r="L13" s="3">
        <v>-21047.49</v>
      </c>
      <c r="M13" s="3">
        <v>-37299.919999999998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C056B-EBE6-E44E-AA98-8C74444A347E}">
  <dimension ref="A1"/>
  <sheetViews>
    <sheetView workbookViewId="0"/>
  </sheetViews>
  <sheetFormatPr baseColWidth="10" defaultRowHeight="16"/>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Assumptions</vt:lpstr>
      <vt:lpstr>Income Statement</vt:lpstr>
      <vt:lpstr>Cash Flow Analysis</vt:lpstr>
      <vt:lpstr>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2023-01-23T11:48:19Z</dcterms:created>
  <dcterms:modified xsi:type="dcterms:W3CDTF">2023-02-05T04:16:56Z</dcterms:modified>
</cp:coreProperties>
</file>