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v/Desktop/"/>
    </mc:Choice>
  </mc:AlternateContent>
  <xr:revisionPtr revIDLastSave="0" documentId="13_ncr:1_{4D9C4184-4E03-9241-8AA2-72E5F5B97735}" xr6:coauthVersionLast="47" xr6:coauthVersionMax="47" xr10:uidLastSave="{00000000-0000-0000-0000-000000000000}"/>
  <bookViews>
    <workbookView xWindow="0" yWindow="0" windowWidth="28800" windowHeight="18000" activeTab="2" xr2:uid="{9FB622D3-E170-A64D-8466-F63128B49907}"/>
  </bookViews>
  <sheets>
    <sheet name="Income Statement" sheetId="1" r:id="rId1"/>
    <sheet name="Balance Sheet" sheetId="2" r:id="rId2"/>
    <sheet name="Cash Flow Statement" sheetId="3" r:id="rId3"/>
    <sheet name="D&amp;A_CapEx" sheetId="4" r:id="rId4"/>
    <sheet name="WC (Days)" sheetId="5" r:id="rId5"/>
    <sheet name="Interest Financing" sheetId="6" r:id="rId6"/>
    <sheet name="DCF_Sens" sheetId="7" r:id="rId7"/>
    <sheet name="Charts" sheetId="8" r:id="rId8"/>
    <sheet name="Current Issue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5" i="8" l="1"/>
  <c r="N5" i="8"/>
  <c r="J5" i="8"/>
  <c r="F5" i="8"/>
  <c r="U13" i="7"/>
  <c r="U22" i="7"/>
  <c r="V9" i="7"/>
  <c r="W9" i="7" s="1"/>
  <c r="W13" i="7" s="1"/>
  <c r="C13" i="6"/>
  <c r="C14" i="6" s="1"/>
  <c r="U12" i="6"/>
  <c r="U13" i="6" s="1"/>
  <c r="U14" i="6" s="1"/>
  <c r="C12" i="6"/>
  <c r="D9" i="6"/>
  <c r="E9" i="6"/>
  <c r="G9" i="6"/>
  <c r="H9" i="6"/>
  <c r="I9" i="6"/>
  <c r="K9" i="6"/>
  <c r="L9" i="6"/>
  <c r="M9" i="6"/>
  <c r="O9" i="6"/>
  <c r="P9" i="6"/>
  <c r="Q9" i="6"/>
  <c r="S9" i="6"/>
  <c r="T9" i="6"/>
  <c r="C9" i="6"/>
  <c r="T8" i="6"/>
  <c r="D8" i="6"/>
  <c r="E8" i="6"/>
  <c r="F8" i="6"/>
  <c r="G8" i="6"/>
  <c r="H8" i="6"/>
  <c r="I8" i="6"/>
  <c r="J8" i="6"/>
  <c r="K8" i="6"/>
  <c r="L8" i="6"/>
  <c r="M8" i="6"/>
  <c r="N8" i="6"/>
  <c r="O8" i="6"/>
  <c r="P8" i="6"/>
  <c r="Q8" i="6"/>
  <c r="R8" i="6"/>
  <c r="S8" i="6"/>
  <c r="C8" i="6"/>
  <c r="R31" i="5"/>
  <c r="T30" i="1"/>
  <c r="S30" i="1"/>
  <c r="R30" i="1"/>
  <c r="Q30" i="1"/>
  <c r="P30" i="1"/>
  <c r="O30" i="1"/>
  <c r="N30" i="1"/>
  <c r="M30" i="1"/>
  <c r="L30" i="1"/>
  <c r="K30" i="1"/>
  <c r="J30" i="1"/>
  <c r="I30" i="1"/>
  <c r="H30" i="1"/>
  <c r="G30" i="1"/>
  <c r="F30" i="1"/>
  <c r="E30" i="1"/>
  <c r="D30" i="1"/>
  <c r="C30" i="1"/>
  <c r="F32" i="5"/>
  <c r="I32" i="5"/>
  <c r="L32" i="5"/>
  <c r="L31" i="1" s="1"/>
  <c r="N32" i="5"/>
  <c r="Q32" i="5"/>
  <c r="Q31" i="1" s="1"/>
  <c r="D31" i="5"/>
  <c r="E31" i="5"/>
  <c r="F31" i="5"/>
  <c r="G31" i="5"/>
  <c r="H31" i="5"/>
  <c r="I31" i="5"/>
  <c r="J31" i="5"/>
  <c r="K31" i="5"/>
  <c r="L31" i="5"/>
  <c r="M31" i="5"/>
  <c r="N31" i="5"/>
  <c r="O31" i="5"/>
  <c r="P31" i="5"/>
  <c r="Q31" i="5"/>
  <c r="S31" i="5"/>
  <c r="T31" i="5"/>
  <c r="T32" i="5" s="1"/>
  <c r="T31" i="1" s="1"/>
  <c r="E30" i="5"/>
  <c r="F30" i="5"/>
  <c r="G30" i="5"/>
  <c r="G32" i="5" s="1"/>
  <c r="G31" i="1" s="1"/>
  <c r="H30" i="5"/>
  <c r="H32" i="5" s="1"/>
  <c r="I30" i="5"/>
  <c r="J30" i="5"/>
  <c r="J32" i="5" s="1"/>
  <c r="K30" i="5"/>
  <c r="K32" i="5" s="1"/>
  <c r="K31" i="1" s="1"/>
  <c r="L30" i="5"/>
  <c r="M30" i="5"/>
  <c r="N30" i="5"/>
  <c r="O30" i="5"/>
  <c r="O32" i="5" s="1"/>
  <c r="O31" i="1" s="1"/>
  <c r="P30" i="5"/>
  <c r="P32" i="5" s="1"/>
  <c r="Q30" i="5"/>
  <c r="R30" i="5"/>
  <c r="R32" i="5" s="1"/>
  <c r="S30" i="5"/>
  <c r="S32" i="5" s="1"/>
  <c r="T30" i="5"/>
  <c r="D30" i="5"/>
  <c r="D32" i="5" s="1"/>
  <c r="C30" i="5"/>
  <c r="P31" i="1" l="1"/>
  <c r="H31" i="1"/>
  <c r="I31" i="1"/>
  <c r="E32" i="5"/>
  <c r="E31" i="1" s="1"/>
  <c r="M32" i="5"/>
  <c r="R31" i="1"/>
  <c r="J31" i="1"/>
  <c r="V13" i="7"/>
  <c r="X9" i="7"/>
  <c r="X13" i="7" s="1"/>
  <c r="S31" i="1"/>
  <c r="F31" i="1" l="1"/>
  <c r="M31" i="1"/>
  <c r="N31" i="1"/>
  <c r="Y9" i="7"/>
  <c r="Y13" i="7" s="1"/>
  <c r="Z9" i="7" l="1"/>
  <c r="Z13" i="7" s="1"/>
  <c r="AA9" i="7" l="1"/>
  <c r="AA13" i="7" s="1"/>
  <c r="AB9" i="7" l="1"/>
  <c r="AB13" i="7" s="1"/>
  <c r="AC9" i="7" l="1"/>
  <c r="AC13" i="7" s="1"/>
  <c r="AD9" i="7" l="1"/>
  <c r="AD13" i="7" s="1"/>
  <c r="AE9" i="7" l="1"/>
  <c r="AE13" i="7" s="1"/>
  <c r="AF9" i="7" l="1"/>
  <c r="AF13" i="7" s="1"/>
  <c r="AG9" i="7" l="1"/>
  <c r="AG13" i="7" s="1"/>
  <c r="AH9" i="7" l="1"/>
  <c r="AH13" i="7" s="1"/>
  <c r="AI9" i="7" l="1"/>
  <c r="AI13" i="7" s="1"/>
  <c r="AJ9" i="7" l="1"/>
  <c r="AJ13" i="7" s="1"/>
  <c r="AK9" i="7" l="1"/>
  <c r="AK13" i="7" s="1"/>
  <c r="AL9" i="7" l="1"/>
  <c r="AL13" i="7" s="1"/>
  <c r="AM9" i="7" l="1"/>
  <c r="AM13" i="7" s="1"/>
  <c r="AN9" i="7" l="1"/>
  <c r="AN13" i="7" s="1"/>
  <c r="AO9" i="7" l="1"/>
  <c r="AO13" i="7" s="1"/>
  <c r="AP9" i="7" l="1"/>
  <c r="AP13" i="7" s="1"/>
  <c r="AQ9" i="7" l="1"/>
  <c r="AQ13" i="7" s="1"/>
  <c r="J14" i="1" l="1"/>
  <c r="T46" i="1"/>
  <c r="D46" i="1"/>
  <c r="E46" i="1"/>
  <c r="G46" i="1"/>
  <c r="H46" i="1"/>
  <c r="I46" i="1"/>
  <c r="K46" i="1"/>
  <c r="L46" i="1"/>
  <c r="M46" i="1"/>
  <c r="O46" i="1"/>
  <c r="P46" i="1"/>
  <c r="Q46" i="1"/>
  <c r="S46" i="1"/>
  <c r="D45" i="1"/>
  <c r="E45" i="1"/>
  <c r="G45" i="1"/>
  <c r="H45" i="1"/>
  <c r="I45" i="1"/>
  <c r="K45" i="1"/>
  <c r="L45" i="1"/>
  <c r="M45" i="1"/>
  <c r="O45" i="1"/>
  <c r="P45" i="1"/>
  <c r="Q45" i="1"/>
  <c r="S45" i="1"/>
  <c r="T45" i="1"/>
  <c r="C45" i="1"/>
  <c r="V57" i="1"/>
  <c r="AQ60" i="1" l="1"/>
  <c r="AQ27" i="1" s="1"/>
  <c r="AP60" i="1"/>
  <c r="AP27" i="1" s="1"/>
  <c r="AO60" i="1"/>
  <c r="AO27" i="1" s="1"/>
  <c r="AN60" i="1"/>
  <c r="AN27" i="1" s="1"/>
  <c r="AM60" i="1"/>
  <c r="AM27" i="1" s="1"/>
  <c r="AL60" i="1"/>
  <c r="AL27" i="1" s="1"/>
  <c r="AK60" i="1"/>
  <c r="AK27" i="1" s="1"/>
  <c r="AJ60" i="1"/>
  <c r="AJ27" i="1" s="1"/>
  <c r="AI60" i="1"/>
  <c r="AI27" i="1" s="1"/>
  <c r="AH60" i="1"/>
  <c r="AH27" i="1" s="1"/>
  <c r="AG60" i="1"/>
  <c r="AG27" i="1" s="1"/>
  <c r="AF60" i="1"/>
  <c r="AF27" i="1" s="1"/>
  <c r="AE60" i="1"/>
  <c r="AE27" i="1" s="1"/>
  <c r="AD60" i="1"/>
  <c r="AD27" i="1" s="1"/>
  <c r="AC60" i="1"/>
  <c r="AC27" i="1" s="1"/>
  <c r="AB60" i="1"/>
  <c r="AB27" i="1" s="1"/>
  <c r="AA60" i="1"/>
  <c r="AA27" i="1" s="1"/>
  <c r="Z60" i="1"/>
  <c r="Z27" i="1" s="1"/>
  <c r="Y60" i="1"/>
  <c r="Y27" i="1" s="1"/>
  <c r="X60" i="1"/>
  <c r="X27" i="1" s="1"/>
  <c r="W60" i="1"/>
  <c r="W27" i="1" s="1"/>
  <c r="AQ59" i="1"/>
  <c r="AP59" i="1"/>
  <c r="AO59" i="1"/>
  <c r="AN59" i="1"/>
  <c r="AM59" i="1"/>
  <c r="AL59" i="1"/>
  <c r="AK59" i="1"/>
  <c r="AJ59" i="1"/>
  <c r="AI59" i="1"/>
  <c r="AH59" i="1"/>
  <c r="AG59" i="1"/>
  <c r="AF59" i="1"/>
  <c r="AE59" i="1"/>
  <c r="AD59" i="1"/>
  <c r="AC59" i="1"/>
  <c r="AB59" i="1"/>
  <c r="AA59" i="1"/>
  <c r="Z59" i="1"/>
  <c r="Y59" i="1"/>
  <c r="X59" i="1"/>
  <c r="W59" i="1"/>
  <c r="AQ58" i="1"/>
  <c r="AP58" i="1"/>
  <c r="AO58" i="1"/>
  <c r="AN58" i="1"/>
  <c r="AM58" i="1"/>
  <c r="AL58" i="1"/>
  <c r="AK58" i="1"/>
  <c r="AJ58" i="1"/>
  <c r="AI58" i="1"/>
  <c r="AH58" i="1"/>
  <c r="AG58" i="1"/>
  <c r="AF58" i="1"/>
  <c r="AE58" i="1"/>
  <c r="AD58" i="1"/>
  <c r="AC58" i="1"/>
  <c r="AB58" i="1"/>
  <c r="AA58" i="1"/>
  <c r="Z58" i="1"/>
  <c r="Y58" i="1"/>
  <c r="X58" i="1"/>
  <c r="W58" i="1"/>
  <c r="AQ57" i="1"/>
  <c r="AP57" i="1"/>
  <c r="AO57" i="1"/>
  <c r="AN57" i="1"/>
  <c r="AM57" i="1"/>
  <c r="AL57" i="1"/>
  <c r="AK57" i="1"/>
  <c r="AJ57" i="1"/>
  <c r="AI57" i="1"/>
  <c r="AH57" i="1"/>
  <c r="AG57" i="1"/>
  <c r="AF57" i="1"/>
  <c r="AE57" i="1"/>
  <c r="AD57" i="1"/>
  <c r="AC57" i="1"/>
  <c r="AB57" i="1"/>
  <c r="AA57" i="1"/>
  <c r="Z57" i="1"/>
  <c r="Y57" i="1"/>
  <c r="X57" i="1"/>
  <c r="W57" i="1"/>
  <c r="AQ54" i="1"/>
  <c r="AP54" i="1"/>
  <c r="AO54" i="1"/>
  <c r="AN54" i="1"/>
  <c r="AM54" i="1"/>
  <c r="AL54" i="1"/>
  <c r="AK54" i="1"/>
  <c r="AJ54" i="1"/>
  <c r="AI54" i="1"/>
  <c r="AH54" i="1"/>
  <c r="AG54" i="1"/>
  <c r="AF54" i="1"/>
  <c r="AE54" i="1"/>
  <c r="AD54" i="1"/>
  <c r="AC54" i="1"/>
  <c r="AB54" i="1"/>
  <c r="AA54" i="1"/>
  <c r="Z54" i="1"/>
  <c r="Y54" i="1"/>
  <c r="X54" i="1"/>
  <c r="W54" i="1"/>
  <c r="AK53" i="1"/>
  <c r="AJ53" i="1"/>
  <c r="AI53" i="1"/>
  <c r="AH53" i="1"/>
  <c r="AQ52" i="1"/>
  <c r="AP52" i="1"/>
  <c r="AO52" i="1"/>
  <c r="AN52" i="1"/>
  <c r="AM52" i="1"/>
  <c r="AL52" i="1"/>
  <c r="AK52" i="1"/>
  <c r="AJ52" i="1"/>
  <c r="AI52" i="1"/>
  <c r="AH52" i="1"/>
  <c r="AG52" i="1"/>
  <c r="AF52" i="1"/>
  <c r="AE52" i="1"/>
  <c r="AD52" i="1"/>
  <c r="AC52" i="1"/>
  <c r="AB52" i="1"/>
  <c r="AA52" i="1"/>
  <c r="Z52" i="1"/>
  <c r="Y52" i="1"/>
  <c r="X52" i="1"/>
  <c r="W52" i="1"/>
  <c r="AQ51" i="1"/>
  <c r="AP51" i="1"/>
  <c r="AO51" i="1"/>
  <c r="AN51" i="1"/>
  <c r="AM51" i="1"/>
  <c r="AL51" i="1"/>
  <c r="AK51" i="1"/>
  <c r="AJ51" i="1"/>
  <c r="AI51" i="1"/>
  <c r="AH51" i="1"/>
  <c r="AG51" i="1"/>
  <c r="AF51" i="1"/>
  <c r="AE51" i="1"/>
  <c r="AD51" i="1"/>
  <c r="AC51" i="1"/>
  <c r="AB51" i="1"/>
  <c r="AA51" i="1"/>
  <c r="Z51" i="1"/>
  <c r="Y51" i="1"/>
  <c r="X51" i="1"/>
  <c r="W51" i="1"/>
  <c r="V60" i="1"/>
  <c r="V27" i="1" s="1"/>
  <c r="V59" i="1"/>
  <c r="V58" i="1"/>
  <c r="V54" i="1"/>
  <c r="V52" i="1"/>
  <c r="V51" i="1"/>
  <c r="V8" i="1" s="1"/>
  <c r="V5" i="8" s="1"/>
  <c r="AQ67" i="1"/>
  <c r="AQ55" i="1" s="1"/>
  <c r="AP67" i="1"/>
  <c r="AP55" i="1" s="1"/>
  <c r="AO67" i="1"/>
  <c r="AO55" i="1" s="1"/>
  <c r="AN67" i="1"/>
  <c r="AN55" i="1" s="1"/>
  <c r="AM67" i="1"/>
  <c r="AM55" i="1" s="1"/>
  <c r="AL67" i="1"/>
  <c r="AL55" i="1" s="1"/>
  <c r="AK67" i="1"/>
  <c r="AK55" i="1" s="1"/>
  <c r="AJ67" i="1"/>
  <c r="AJ55" i="1" s="1"/>
  <c r="AI67" i="1"/>
  <c r="AI55" i="1" s="1"/>
  <c r="AH67" i="1"/>
  <c r="AH55" i="1" s="1"/>
  <c r="AG67" i="1"/>
  <c r="AG55" i="1" s="1"/>
  <c r="AF67" i="1"/>
  <c r="AF55" i="1" s="1"/>
  <c r="AE67" i="1"/>
  <c r="AE55" i="1" s="1"/>
  <c r="AD67" i="1"/>
  <c r="AD55" i="1" s="1"/>
  <c r="AC67" i="1"/>
  <c r="AC55" i="1" s="1"/>
  <c r="AB67" i="1"/>
  <c r="AB55" i="1" s="1"/>
  <c r="AA67" i="1"/>
  <c r="AA55" i="1" s="1"/>
  <c r="Z67" i="1"/>
  <c r="Z55" i="1" s="1"/>
  <c r="Y67" i="1"/>
  <c r="Y55" i="1" s="1"/>
  <c r="X67" i="1"/>
  <c r="X55" i="1" s="1"/>
  <c r="W67" i="1"/>
  <c r="W55" i="1" s="1"/>
  <c r="V67" i="1"/>
  <c r="V55" i="1" s="1"/>
  <c r="AQ79" i="1"/>
  <c r="AP79" i="1"/>
  <c r="AO79" i="1"/>
  <c r="AN79" i="1"/>
  <c r="AM79" i="1"/>
  <c r="AL79" i="1"/>
  <c r="AK79" i="1"/>
  <c r="AJ79" i="1"/>
  <c r="AI79" i="1"/>
  <c r="AH79" i="1"/>
  <c r="AG79" i="1"/>
  <c r="AF79" i="1"/>
  <c r="AE79" i="1"/>
  <c r="AD79" i="1"/>
  <c r="AC79" i="1"/>
  <c r="AB79" i="1"/>
  <c r="AA79" i="1"/>
  <c r="Z79" i="1"/>
  <c r="Y79" i="1"/>
  <c r="X79" i="1"/>
  <c r="W79" i="1"/>
  <c r="V79" i="1"/>
  <c r="AQ91" i="1"/>
  <c r="AP91" i="1"/>
  <c r="AO91" i="1"/>
  <c r="AN91" i="1"/>
  <c r="AM91" i="1"/>
  <c r="AL91" i="1"/>
  <c r="AK91" i="1"/>
  <c r="AJ91" i="1"/>
  <c r="AI91" i="1"/>
  <c r="AH91" i="1"/>
  <c r="AG91" i="1"/>
  <c r="AF91" i="1"/>
  <c r="AE91" i="1"/>
  <c r="AD91" i="1"/>
  <c r="AC91" i="1"/>
  <c r="AB91" i="1"/>
  <c r="AA91" i="1"/>
  <c r="Z91" i="1"/>
  <c r="Y91" i="1"/>
  <c r="X91" i="1"/>
  <c r="W91" i="1"/>
  <c r="V91" i="1"/>
  <c r="AQ89" i="1"/>
  <c r="AP89" i="1"/>
  <c r="AO89" i="1"/>
  <c r="AN89" i="1"/>
  <c r="AM89" i="1"/>
  <c r="AL89" i="1"/>
  <c r="AK89" i="1"/>
  <c r="AJ89" i="1"/>
  <c r="AI89" i="1"/>
  <c r="AH89" i="1"/>
  <c r="AG89" i="1"/>
  <c r="AF89" i="1"/>
  <c r="AE89" i="1"/>
  <c r="AD89" i="1"/>
  <c r="AC89" i="1"/>
  <c r="AB89" i="1"/>
  <c r="AA89" i="1"/>
  <c r="Z89" i="1"/>
  <c r="Y89" i="1"/>
  <c r="X89" i="1"/>
  <c r="W89" i="1"/>
  <c r="V89" i="1"/>
  <c r="AQ65" i="1"/>
  <c r="AQ53" i="1" s="1"/>
  <c r="AP65" i="1"/>
  <c r="AP53" i="1" s="1"/>
  <c r="AO65" i="1"/>
  <c r="AO53" i="1" s="1"/>
  <c r="AN65" i="1"/>
  <c r="AN53" i="1" s="1"/>
  <c r="AM65" i="1"/>
  <c r="AM53" i="1" s="1"/>
  <c r="AL65" i="1"/>
  <c r="AL53" i="1" s="1"/>
  <c r="AK65" i="1"/>
  <c r="AJ65" i="1"/>
  <c r="AI65" i="1"/>
  <c r="AH65" i="1"/>
  <c r="AG65" i="1"/>
  <c r="AG53" i="1" s="1"/>
  <c r="AF65" i="1"/>
  <c r="AF53" i="1" s="1"/>
  <c r="AE65" i="1"/>
  <c r="AE53" i="1" s="1"/>
  <c r="AD65" i="1"/>
  <c r="AD53" i="1" s="1"/>
  <c r="AC65" i="1"/>
  <c r="AC53" i="1" s="1"/>
  <c r="AB65" i="1"/>
  <c r="AB53" i="1" s="1"/>
  <c r="AA65" i="1"/>
  <c r="AA53" i="1" s="1"/>
  <c r="Z65" i="1"/>
  <c r="Z53" i="1" s="1"/>
  <c r="Y65" i="1"/>
  <c r="Y53" i="1" s="1"/>
  <c r="X65" i="1"/>
  <c r="X53" i="1" s="1"/>
  <c r="W65" i="1"/>
  <c r="W53" i="1" s="1"/>
  <c r="V65" i="1"/>
  <c r="V53" i="1" s="1"/>
  <c r="AQ77" i="1"/>
  <c r="AP77" i="1"/>
  <c r="AO77" i="1"/>
  <c r="AN77" i="1"/>
  <c r="AM77" i="1"/>
  <c r="AL77" i="1"/>
  <c r="AK77" i="1"/>
  <c r="AJ77" i="1"/>
  <c r="AI77" i="1"/>
  <c r="AH77" i="1"/>
  <c r="AG77" i="1"/>
  <c r="AF77" i="1"/>
  <c r="AE77" i="1"/>
  <c r="AD77" i="1"/>
  <c r="AC77" i="1"/>
  <c r="AB77" i="1"/>
  <c r="AA77" i="1"/>
  <c r="Z77" i="1"/>
  <c r="Y77" i="1"/>
  <c r="X77" i="1"/>
  <c r="W77" i="1"/>
  <c r="V77" i="1"/>
  <c r="V17" i="1" l="1"/>
  <c r="V18" i="1"/>
  <c r="V19" i="1"/>
  <c r="V8" i="4"/>
  <c r="V30" i="1" s="1"/>
  <c r="W8" i="1"/>
  <c r="W5" i="8" s="1"/>
  <c r="W17" i="1"/>
  <c r="V11" i="1"/>
  <c r="V12" i="1" s="1"/>
  <c r="V9" i="1"/>
  <c r="V10" i="1" s="1"/>
  <c r="V16" i="1"/>
  <c r="P11" i="5"/>
  <c r="O11" i="5"/>
  <c r="N11" i="5"/>
  <c r="M11" i="5"/>
  <c r="L11" i="5"/>
  <c r="K11" i="5"/>
  <c r="J11" i="5"/>
  <c r="I11" i="5"/>
  <c r="I22" i="5" s="1"/>
  <c r="H11" i="5"/>
  <c r="H22" i="5" s="1"/>
  <c r="G11" i="5"/>
  <c r="F11" i="5"/>
  <c r="E11" i="5"/>
  <c r="D11" i="5"/>
  <c r="C11" i="5"/>
  <c r="Q11" i="5"/>
  <c r="Q22" i="5" s="1"/>
  <c r="Q27" i="5" s="1"/>
  <c r="R11" i="5"/>
  <c r="S11" i="5"/>
  <c r="T11" i="5"/>
  <c r="C10" i="5"/>
  <c r="T9" i="5"/>
  <c r="T20" i="5" s="1"/>
  <c r="S9" i="5"/>
  <c r="R9" i="5"/>
  <c r="Q9" i="5"/>
  <c r="P9" i="5"/>
  <c r="O9" i="5"/>
  <c r="N9" i="5"/>
  <c r="M9" i="5"/>
  <c r="M20" i="5" s="1"/>
  <c r="L9" i="5"/>
  <c r="L20" i="5" s="1"/>
  <c r="K9" i="5"/>
  <c r="J9" i="5"/>
  <c r="I9" i="5"/>
  <c r="H9" i="5"/>
  <c r="G9" i="5"/>
  <c r="F9" i="5"/>
  <c r="E9" i="5"/>
  <c r="D9" i="5"/>
  <c r="D20" i="5" s="1"/>
  <c r="C9" i="5"/>
  <c r="C20" i="5" s="1"/>
  <c r="C25" i="5" s="1"/>
  <c r="W16" i="1" l="1"/>
  <c r="S20" i="5"/>
  <c r="S15" i="5" s="1"/>
  <c r="C22" i="5"/>
  <c r="C17" i="5" s="1"/>
  <c r="K20" i="5"/>
  <c r="K25" i="5" s="1"/>
  <c r="L22" i="5"/>
  <c r="L27" i="5" s="1"/>
  <c r="O20" i="5"/>
  <c r="O25" i="5" s="1"/>
  <c r="S22" i="5"/>
  <c r="S17" i="5" s="1"/>
  <c r="P22" i="5"/>
  <c r="P27" i="5" s="1"/>
  <c r="C21" i="5"/>
  <c r="C16" i="5" s="1"/>
  <c r="T22" i="5"/>
  <c r="T17" i="5" s="1"/>
  <c r="P20" i="5"/>
  <c r="P15" i="5" s="1"/>
  <c r="K22" i="5"/>
  <c r="K27" i="5" s="1"/>
  <c r="D22" i="5"/>
  <c r="D17" i="5" s="1"/>
  <c r="E22" i="5"/>
  <c r="E27" i="5" s="1"/>
  <c r="M17" i="5"/>
  <c r="M22" i="5"/>
  <c r="M27" i="5" s="1"/>
  <c r="E20" i="5"/>
  <c r="E25" i="5" s="1"/>
  <c r="G22" i="5"/>
  <c r="G17" i="5" s="1"/>
  <c r="O22" i="5"/>
  <c r="O27" i="5" s="1"/>
  <c r="G20" i="5"/>
  <c r="G25" i="5" s="1"/>
  <c r="H20" i="5"/>
  <c r="H15" i="5" s="1"/>
  <c r="I20" i="5"/>
  <c r="I25" i="5" s="1"/>
  <c r="Q20" i="5"/>
  <c r="Q15" i="5" s="1"/>
  <c r="V13" i="1"/>
  <c r="W18" i="1"/>
  <c r="W19" i="1"/>
  <c r="W8" i="4"/>
  <c r="W30" i="1" s="1"/>
  <c r="W11" i="1"/>
  <c r="W12" i="1" s="1"/>
  <c r="X8" i="1"/>
  <c r="X5" i="8" s="1"/>
  <c r="W9" i="1"/>
  <c r="W10" i="1" s="1"/>
  <c r="C12" i="5"/>
  <c r="H27" i="5"/>
  <c r="H17" i="5"/>
  <c r="I27" i="5"/>
  <c r="I17" i="5"/>
  <c r="L25" i="5"/>
  <c r="M25" i="5"/>
  <c r="D25" i="5"/>
  <c r="O17" i="5"/>
  <c r="S25" i="5"/>
  <c r="Q25" i="5"/>
  <c r="C15" i="5"/>
  <c r="P17" i="5"/>
  <c r="Q17" i="5"/>
  <c r="G27" i="5"/>
  <c r="T27" i="5"/>
  <c r="T15" i="5"/>
  <c r="T25" i="5"/>
  <c r="E15" i="5"/>
  <c r="K17" i="5"/>
  <c r="L17" i="5" l="1"/>
  <c r="P25" i="5"/>
  <c r="H25" i="5"/>
  <c r="I15" i="5"/>
  <c r="S27" i="5"/>
  <c r="C27" i="5"/>
  <c r="D27" i="5"/>
  <c r="C26" i="5"/>
  <c r="E17" i="5"/>
  <c r="K15" i="5"/>
  <c r="O15" i="5"/>
  <c r="V20" i="1"/>
  <c r="V21" i="1" s="1"/>
  <c r="V22" i="1" s="1"/>
  <c r="V25" i="1" s="1"/>
  <c r="V26" i="1" s="1"/>
  <c r="G15" i="5"/>
  <c r="X19" i="1"/>
  <c r="X8" i="4"/>
  <c r="X30" i="1" s="1"/>
  <c r="X18" i="1"/>
  <c r="X11" i="1"/>
  <c r="X12" i="1" s="1"/>
  <c r="Y8" i="1"/>
  <c r="Y5" i="8" s="1"/>
  <c r="X9" i="1"/>
  <c r="X10" i="1" s="1"/>
  <c r="X17" i="1"/>
  <c r="X16" i="1"/>
  <c r="W13" i="1"/>
  <c r="L15" i="5"/>
  <c r="D15" i="5"/>
  <c r="M15" i="5"/>
  <c r="AJ25" i="5"/>
  <c r="AB25" i="5"/>
  <c r="AG25" i="5"/>
  <c r="AF25" i="5"/>
  <c r="W25" i="5"/>
  <c r="AD25" i="5"/>
  <c r="AQ25" i="5"/>
  <c r="AI25" i="5"/>
  <c r="AA25" i="5"/>
  <c r="AO25" i="5"/>
  <c r="AN25" i="5"/>
  <c r="AM25" i="5"/>
  <c r="AL25" i="5"/>
  <c r="AP25" i="5"/>
  <c r="AH25" i="5"/>
  <c r="Z25" i="5"/>
  <c r="Y25" i="5"/>
  <c r="AE25" i="5"/>
  <c r="V25" i="5"/>
  <c r="AK25" i="5"/>
  <c r="AC25" i="5"/>
  <c r="X25" i="5"/>
  <c r="AK27" i="5"/>
  <c r="AC27" i="5"/>
  <c r="V27" i="5"/>
  <c r="AH27" i="5"/>
  <c r="AF27" i="5"/>
  <c r="AJ27" i="5"/>
  <c r="AB27" i="5"/>
  <c r="AN27" i="5"/>
  <c r="AM27" i="5"/>
  <c r="AI27" i="5"/>
  <c r="AA27" i="5"/>
  <c r="Z27" i="5"/>
  <c r="Y27" i="5"/>
  <c r="AE27" i="5"/>
  <c r="AL27" i="5"/>
  <c r="AD27" i="5"/>
  <c r="AQ27" i="5"/>
  <c r="AO27" i="5"/>
  <c r="AG27" i="5"/>
  <c r="X27" i="5"/>
  <c r="W27" i="5"/>
  <c r="W20" i="1" l="1"/>
  <c r="W21" i="1" s="1"/>
  <c r="W22" i="1" s="1"/>
  <c r="W25" i="1" s="1"/>
  <c r="W26" i="1" s="1"/>
  <c r="X13" i="1"/>
  <c r="Y19" i="1"/>
  <c r="Y18" i="1"/>
  <c r="Y8" i="4"/>
  <c r="Y30" i="1" s="1"/>
  <c r="Z8" i="1"/>
  <c r="Z5" i="8" s="1"/>
  <c r="Y9" i="1"/>
  <c r="Y10" i="1" s="1"/>
  <c r="Y11" i="1"/>
  <c r="Y12" i="1" s="1"/>
  <c r="Y17" i="1"/>
  <c r="Y16" i="1"/>
  <c r="X20" i="1" l="1"/>
  <c r="X21" i="1" s="1"/>
  <c r="X22" i="1" s="1"/>
  <c r="X25" i="1" s="1"/>
  <c r="X26" i="1" s="1"/>
  <c r="Y13" i="1"/>
  <c r="Z18" i="1"/>
  <c r="Z19" i="1"/>
  <c r="Z8" i="4"/>
  <c r="Z30" i="1" s="1"/>
  <c r="AA8" i="1"/>
  <c r="AA5" i="8" s="1"/>
  <c r="Z9" i="1"/>
  <c r="Z10" i="1" s="1"/>
  <c r="Z11" i="1"/>
  <c r="Z12" i="1" s="1"/>
  <c r="Z16" i="1"/>
  <c r="Z17" i="1"/>
  <c r="Z13" i="1" l="1"/>
  <c r="Y20" i="1"/>
  <c r="Z20" i="1"/>
  <c r="Z21" i="1" s="1"/>
  <c r="Z22" i="1" s="1"/>
  <c r="Z25" i="1" s="1"/>
  <c r="Z26" i="1" s="1"/>
  <c r="AA18" i="1"/>
  <c r="AA19" i="1"/>
  <c r="AA8" i="4"/>
  <c r="AA30" i="1" s="1"/>
  <c r="AB8" i="1"/>
  <c r="AB5" i="8" s="1"/>
  <c r="AA9" i="1"/>
  <c r="AA10" i="1" s="1"/>
  <c r="AA11" i="1"/>
  <c r="AA12" i="1" s="1"/>
  <c r="AA16" i="1"/>
  <c r="AA17" i="1"/>
  <c r="Y21" i="1"/>
  <c r="Y22" i="1" s="1"/>
  <c r="Y25" i="1" s="1"/>
  <c r="Y26" i="1" s="1"/>
  <c r="AA13" i="1" l="1"/>
  <c r="AB18" i="1"/>
  <c r="AB19" i="1"/>
  <c r="AB8" i="4"/>
  <c r="AB30" i="1" s="1"/>
  <c r="AB9" i="1"/>
  <c r="AB10" i="1" s="1"/>
  <c r="AB11" i="1"/>
  <c r="AB12" i="1" s="1"/>
  <c r="AC8" i="1"/>
  <c r="AC5" i="8" s="1"/>
  <c r="AB17" i="1"/>
  <c r="AB16" i="1"/>
  <c r="AA20" i="1" l="1"/>
  <c r="AA21" i="1" s="1"/>
  <c r="AA22" i="1" s="1"/>
  <c r="AA25" i="1" s="1"/>
  <c r="AA26" i="1" s="1"/>
  <c r="AC8" i="4"/>
  <c r="AC30" i="1" s="1"/>
  <c r="AC18" i="1"/>
  <c r="AC19" i="1"/>
  <c r="AC9" i="1"/>
  <c r="AC10" i="1" s="1"/>
  <c r="AD8" i="1"/>
  <c r="AD5" i="8" s="1"/>
  <c r="AC11" i="1"/>
  <c r="AC12" i="1" s="1"/>
  <c r="AC16" i="1"/>
  <c r="AC17" i="1"/>
  <c r="AB13" i="1"/>
  <c r="AC13" i="1" l="1"/>
  <c r="AB20" i="1"/>
  <c r="AB21" i="1" s="1"/>
  <c r="AB22" i="1" s="1"/>
  <c r="AB25" i="1" s="1"/>
  <c r="AB26" i="1" s="1"/>
  <c r="AD8" i="4"/>
  <c r="AD30" i="1" s="1"/>
  <c r="AD19" i="1"/>
  <c r="AD18" i="1"/>
  <c r="AD9" i="1"/>
  <c r="AD10" i="1" s="1"/>
  <c r="AD11" i="1"/>
  <c r="AD12" i="1" s="1"/>
  <c r="AE8" i="1"/>
  <c r="AE5" i="8" s="1"/>
  <c r="AD16" i="1"/>
  <c r="AD17" i="1"/>
  <c r="AD13" i="1" l="1"/>
  <c r="AD20" i="1" s="1"/>
  <c r="AD21" i="1" s="1"/>
  <c r="AD22" i="1" s="1"/>
  <c r="AD25" i="1" s="1"/>
  <c r="AD26" i="1" s="1"/>
  <c r="AC20" i="1"/>
  <c r="AC21" i="1" s="1"/>
  <c r="AC22" i="1" s="1"/>
  <c r="AC25" i="1" s="1"/>
  <c r="AC26" i="1" s="1"/>
  <c r="AE18" i="1"/>
  <c r="AE8" i="4"/>
  <c r="AE30" i="1" s="1"/>
  <c r="AE19" i="1"/>
  <c r="AE11" i="1"/>
  <c r="AE12" i="1" s="1"/>
  <c r="AF8" i="1"/>
  <c r="AF5" i="8" s="1"/>
  <c r="AE9" i="1"/>
  <c r="AE10" i="1" s="1"/>
  <c r="AE16" i="1"/>
  <c r="AE17" i="1"/>
  <c r="AE13" i="1" l="1"/>
  <c r="AE20" i="1"/>
  <c r="AE21" i="1" s="1"/>
  <c r="AE22" i="1" s="1"/>
  <c r="AE25" i="1" s="1"/>
  <c r="AE26" i="1" s="1"/>
  <c r="AF18" i="1"/>
  <c r="AF19" i="1"/>
  <c r="AF8" i="4"/>
  <c r="AF30" i="1" s="1"/>
  <c r="AF11" i="1"/>
  <c r="AF12" i="1" s="1"/>
  <c r="AG8" i="1"/>
  <c r="AG5" i="8" s="1"/>
  <c r="AF9" i="1"/>
  <c r="AF10" i="1" s="1"/>
  <c r="AF16" i="1"/>
  <c r="AF17" i="1"/>
  <c r="AF13" i="1" l="1"/>
  <c r="AG19" i="1"/>
  <c r="AG18" i="1"/>
  <c r="AG8" i="4"/>
  <c r="AG30" i="1" s="1"/>
  <c r="AH8" i="1"/>
  <c r="AH5" i="8" s="1"/>
  <c r="AG9" i="1"/>
  <c r="AG10" i="1" s="1"/>
  <c r="AG11" i="1"/>
  <c r="AG12" i="1" s="1"/>
  <c r="AG17" i="1"/>
  <c r="AG16" i="1"/>
  <c r="AG13" i="1" l="1"/>
  <c r="AG20" i="1"/>
  <c r="AG21" i="1" s="1"/>
  <c r="AG22" i="1" s="1"/>
  <c r="AG25" i="1" s="1"/>
  <c r="AG26" i="1" s="1"/>
  <c r="AF20" i="1"/>
  <c r="AF21" i="1" s="1"/>
  <c r="AF22" i="1" s="1"/>
  <c r="AF25" i="1" s="1"/>
  <c r="AF26" i="1" s="1"/>
  <c r="AH18" i="1"/>
  <c r="AH19" i="1"/>
  <c r="AH8" i="4"/>
  <c r="AH30" i="1" s="1"/>
  <c r="AI8" i="1"/>
  <c r="AI5" i="8" s="1"/>
  <c r="AH9" i="1"/>
  <c r="AH10" i="1" s="1"/>
  <c r="AH11" i="1"/>
  <c r="AH12" i="1" s="1"/>
  <c r="AH16" i="1"/>
  <c r="AH17" i="1"/>
  <c r="AH13" i="1" l="1"/>
  <c r="AI18" i="1"/>
  <c r="AI19" i="1"/>
  <c r="AI8" i="4"/>
  <c r="AI30" i="1" s="1"/>
  <c r="AJ8" i="1"/>
  <c r="AJ5" i="8" s="1"/>
  <c r="AI11" i="1"/>
  <c r="AI12" i="1" s="1"/>
  <c r="AI9" i="1"/>
  <c r="AI10" i="1" s="1"/>
  <c r="AI17" i="1"/>
  <c r="AI16" i="1"/>
  <c r="AI13" i="1" l="1"/>
  <c r="AI20" i="1"/>
  <c r="AI21" i="1" s="1"/>
  <c r="AI22" i="1" s="1"/>
  <c r="AI25" i="1" s="1"/>
  <c r="AI26" i="1" s="1"/>
  <c r="AH20" i="1"/>
  <c r="AH21" i="1" s="1"/>
  <c r="AH22" i="1" s="1"/>
  <c r="AH25" i="1" s="1"/>
  <c r="AH26" i="1" s="1"/>
  <c r="AJ18" i="1"/>
  <c r="AJ19" i="1"/>
  <c r="AJ8" i="4"/>
  <c r="AJ30" i="1" s="1"/>
  <c r="AJ9" i="1"/>
  <c r="AJ10" i="1" s="1"/>
  <c r="AJ11" i="1"/>
  <c r="AJ12" i="1" s="1"/>
  <c r="AK8" i="1"/>
  <c r="AK5" i="8" s="1"/>
  <c r="AJ17" i="1"/>
  <c r="AJ16" i="1"/>
  <c r="AJ13" i="1" l="1"/>
  <c r="AK8" i="4"/>
  <c r="AK30" i="1" s="1"/>
  <c r="AK18" i="1"/>
  <c r="AK19" i="1"/>
  <c r="AK9" i="1"/>
  <c r="AK10" i="1" s="1"/>
  <c r="AK11" i="1"/>
  <c r="AK12" i="1" s="1"/>
  <c r="AL8" i="1"/>
  <c r="AL5" i="8" s="1"/>
  <c r="AK16" i="1"/>
  <c r="AK17" i="1"/>
  <c r="AK13" i="1" l="1"/>
  <c r="AJ20" i="1"/>
  <c r="AJ21" i="1" s="1"/>
  <c r="AJ22" i="1" s="1"/>
  <c r="AJ25" i="1" s="1"/>
  <c r="AJ26" i="1" s="1"/>
  <c r="AL19" i="1"/>
  <c r="AL8" i="4"/>
  <c r="AL30" i="1" s="1"/>
  <c r="AL18" i="1"/>
  <c r="AL9" i="1"/>
  <c r="AL10" i="1" s="1"/>
  <c r="AL11" i="1"/>
  <c r="AL12" i="1" s="1"/>
  <c r="AM8" i="1"/>
  <c r="AM5" i="8" s="1"/>
  <c r="AL17" i="1"/>
  <c r="AL16" i="1"/>
  <c r="AL13" i="1" l="1"/>
  <c r="AK20" i="1"/>
  <c r="AM19" i="1"/>
  <c r="AM18" i="1"/>
  <c r="AM8" i="4"/>
  <c r="AM30" i="1" s="1"/>
  <c r="AM11" i="1"/>
  <c r="AM12" i="1" s="1"/>
  <c r="AN8" i="1"/>
  <c r="AN5" i="8" s="1"/>
  <c r="AM9" i="1"/>
  <c r="AM10" i="1" s="1"/>
  <c r="AM13" i="1" s="1"/>
  <c r="AM16" i="1"/>
  <c r="AM17" i="1"/>
  <c r="AM20" i="1" l="1"/>
  <c r="AK21" i="1"/>
  <c r="AK22" i="1" s="1"/>
  <c r="AK25" i="1" s="1"/>
  <c r="AK26" i="1" s="1"/>
  <c r="AL20" i="1"/>
  <c r="AM21" i="1"/>
  <c r="AM22" i="1" s="1"/>
  <c r="AM25" i="1" s="1"/>
  <c r="AM26" i="1" s="1"/>
  <c r="AN19" i="1"/>
  <c r="AN18" i="1"/>
  <c r="AN8" i="4"/>
  <c r="AN30" i="1" s="1"/>
  <c r="AN11" i="1"/>
  <c r="AN12" i="1" s="1"/>
  <c r="AN9" i="1"/>
  <c r="AN10" i="1" s="1"/>
  <c r="AO8" i="1"/>
  <c r="AO5" i="8" s="1"/>
  <c r="AN16" i="1"/>
  <c r="AN17" i="1"/>
  <c r="AN13" i="1" l="1"/>
  <c r="AL21" i="1"/>
  <c r="AL22" i="1" s="1"/>
  <c r="AL25" i="1" s="1"/>
  <c r="AL26" i="1" s="1"/>
  <c r="AN20" i="1"/>
  <c r="AN21" i="1" s="1"/>
  <c r="AN22" i="1" s="1"/>
  <c r="AN25" i="1" s="1"/>
  <c r="AN26" i="1" s="1"/>
  <c r="AO19" i="1"/>
  <c r="AO18" i="1"/>
  <c r="AO8" i="4"/>
  <c r="AO30" i="1" s="1"/>
  <c r="AP8" i="1"/>
  <c r="AP5" i="8" s="1"/>
  <c r="AO9" i="1"/>
  <c r="AO10" i="1" s="1"/>
  <c r="AO11" i="1"/>
  <c r="AO12" i="1" s="1"/>
  <c r="AO17" i="1"/>
  <c r="AO16" i="1"/>
  <c r="AO13" i="1" l="1"/>
  <c r="AP18" i="1"/>
  <c r="AP19" i="1"/>
  <c r="AP8" i="4"/>
  <c r="AP30" i="1" s="1"/>
  <c r="AQ8" i="1"/>
  <c r="AQ5" i="8" s="1"/>
  <c r="AP9" i="1"/>
  <c r="AP10" i="1" s="1"/>
  <c r="AP11" i="1"/>
  <c r="AP12" i="1" s="1"/>
  <c r="AP17" i="1"/>
  <c r="AP16" i="1"/>
  <c r="AP13" i="1" l="1"/>
  <c r="AP20" i="1" s="1"/>
  <c r="AP21" i="1" s="1"/>
  <c r="AP22" i="1" s="1"/>
  <c r="AP25" i="1" s="1"/>
  <c r="AP26" i="1" s="1"/>
  <c r="AO20" i="1"/>
  <c r="AO21" i="1" s="1"/>
  <c r="AO22" i="1" s="1"/>
  <c r="AO25" i="1" s="1"/>
  <c r="AO26" i="1" s="1"/>
  <c r="AQ18" i="1"/>
  <c r="AQ19" i="1"/>
  <c r="AQ8" i="4"/>
  <c r="AQ30" i="1" s="1"/>
  <c r="AQ9" i="1"/>
  <c r="AQ10" i="1" s="1"/>
  <c r="AQ11" i="1"/>
  <c r="AQ12" i="1" s="1"/>
  <c r="AQ16" i="1"/>
  <c r="AQ17" i="1"/>
  <c r="AQ13" i="1" l="1"/>
  <c r="AQ20" i="1" l="1"/>
  <c r="T10" i="5"/>
  <c r="T21" i="5" s="1"/>
  <c r="T26" i="5" s="1"/>
  <c r="S10" i="5"/>
  <c r="S21" i="5" s="1"/>
  <c r="R10" i="5"/>
  <c r="Q10" i="5"/>
  <c r="Q21" i="5" s="1"/>
  <c r="P10" i="5"/>
  <c r="P21" i="5" s="1"/>
  <c r="O10" i="5"/>
  <c r="O21" i="5" s="1"/>
  <c r="N10" i="5"/>
  <c r="M10" i="5"/>
  <c r="M21" i="5" s="1"/>
  <c r="L10" i="5"/>
  <c r="L21" i="5" s="1"/>
  <c r="K10" i="5"/>
  <c r="K21" i="5" s="1"/>
  <c r="J10" i="5"/>
  <c r="I10" i="5"/>
  <c r="I21" i="5" s="1"/>
  <c r="H10" i="5"/>
  <c r="H21" i="5" s="1"/>
  <c r="G10" i="5"/>
  <c r="G21" i="5" s="1"/>
  <c r="F10" i="5"/>
  <c r="E10" i="5"/>
  <c r="E21" i="5" s="1"/>
  <c r="D10" i="5"/>
  <c r="D21" i="5" s="1"/>
  <c r="T11" i="4"/>
  <c r="T12" i="4" s="1"/>
  <c r="V12" i="4" s="1"/>
  <c r="V11" i="4" s="1"/>
  <c r="V29" i="1" s="1"/>
  <c r="S11" i="4"/>
  <c r="S12" i="4" s="1"/>
  <c r="R11" i="4"/>
  <c r="R12" i="4" s="1"/>
  <c r="Q11" i="4"/>
  <c r="Q12" i="4" s="1"/>
  <c r="P11" i="4"/>
  <c r="P12" i="4" s="1"/>
  <c r="O11" i="4"/>
  <c r="O12" i="4" s="1"/>
  <c r="N11" i="4"/>
  <c r="N12" i="4" s="1"/>
  <c r="M11" i="4"/>
  <c r="M12" i="4" s="1"/>
  <c r="L11" i="4"/>
  <c r="L12" i="4" s="1"/>
  <c r="K11" i="4"/>
  <c r="K12" i="4" s="1"/>
  <c r="J11" i="4"/>
  <c r="J12" i="4" s="1"/>
  <c r="I11" i="4"/>
  <c r="I12" i="4" s="1"/>
  <c r="H11" i="4"/>
  <c r="H12" i="4" s="1"/>
  <c r="G11" i="4"/>
  <c r="G12" i="4" s="1"/>
  <c r="F11" i="4"/>
  <c r="F12" i="4" s="1"/>
  <c r="E11" i="4"/>
  <c r="E12" i="4" s="1"/>
  <c r="D11" i="4"/>
  <c r="D12" i="4" s="1"/>
  <c r="C11" i="4"/>
  <c r="C12" i="4" s="1"/>
  <c r="Q9" i="4"/>
  <c r="T8" i="4"/>
  <c r="S8" i="4"/>
  <c r="R8" i="4"/>
  <c r="Q8" i="4"/>
  <c r="P8" i="4"/>
  <c r="P9" i="4" s="1"/>
  <c r="O8" i="4"/>
  <c r="O9" i="4" s="1"/>
  <c r="N8" i="4"/>
  <c r="M8" i="4"/>
  <c r="M9" i="4" s="1"/>
  <c r="L8" i="4"/>
  <c r="L9" i="4" s="1"/>
  <c r="K8" i="4"/>
  <c r="K9" i="4" s="1"/>
  <c r="J8" i="4"/>
  <c r="I8" i="4"/>
  <c r="I9" i="4" s="1"/>
  <c r="H8" i="4"/>
  <c r="H9" i="4" s="1"/>
  <c r="G8" i="4"/>
  <c r="G9" i="4" s="1"/>
  <c r="F8" i="4"/>
  <c r="E8" i="4"/>
  <c r="E9" i="4" s="1"/>
  <c r="D8" i="4"/>
  <c r="D9" i="4" s="1"/>
  <c r="C8" i="4"/>
  <c r="C9" i="4" s="1"/>
  <c r="T37" i="1"/>
  <c r="Q37" i="1"/>
  <c r="P37" i="1"/>
  <c r="M37" i="1"/>
  <c r="L37" i="1"/>
  <c r="I37" i="1"/>
  <c r="H37" i="1"/>
  <c r="E37" i="1"/>
  <c r="D37" i="1"/>
  <c r="T43" i="1"/>
  <c r="S43" i="1"/>
  <c r="Q43" i="1"/>
  <c r="P43" i="1"/>
  <c r="O43" i="1"/>
  <c r="M43" i="1"/>
  <c r="L43" i="1"/>
  <c r="K43" i="1"/>
  <c r="I43" i="1"/>
  <c r="H43" i="1"/>
  <c r="G43" i="1"/>
  <c r="E43" i="1"/>
  <c r="D43" i="1"/>
  <c r="C43" i="1"/>
  <c r="T42" i="1"/>
  <c r="S42" i="1"/>
  <c r="Q42" i="1"/>
  <c r="P42" i="1"/>
  <c r="O42" i="1"/>
  <c r="M42" i="1"/>
  <c r="L42" i="1"/>
  <c r="K42" i="1"/>
  <c r="I42" i="1"/>
  <c r="H42" i="1"/>
  <c r="G42" i="1"/>
  <c r="E42" i="1"/>
  <c r="D42" i="1"/>
  <c r="C42" i="1"/>
  <c r="T41" i="1"/>
  <c r="S41" i="1"/>
  <c r="Q41" i="1"/>
  <c r="P41" i="1"/>
  <c r="O41" i="1"/>
  <c r="M41" i="1"/>
  <c r="L41" i="1"/>
  <c r="K41" i="1"/>
  <c r="I41" i="1"/>
  <c r="H41" i="1"/>
  <c r="G41" i="1"/>
  <c r="E41" i="1"/>
  <c r="D41" i="1"/>
  <c r="C41" i="1"/>
  <c r="F52" i="3"/>
  <c r="F49" i="3"/>
  <c r="F44" i="3"/>
  <c r="F53" i="3" s="1"/>
  <c r="D29" i="3"/>
  <c r="E29" i="3"/>
  <c r="F28" i="3"/>
  <c r="F18" i="3"/>
  <c r="F29" i="3" s="1"/>
  <c r="F24" i="1"/>
  <c r="F21" i="1"/>
  <c r="F18" i="1"/>
  <c r="F16" i="1"/>
  <c r="F11" i="1"/>
  <c r="F9" i="1"/>
  <c r="F8" i="1"/>
  <c r="E44" i="3"/>
  <c r="E33" i="3"/>
  <c r="E41" i="3" s="1"/>
  <c r="E23" i="1"/>
  <c r="E17" i="1"/>
  <c r="E44" i="1" s="1"/>
  <c r="C46" i="2"/>
  <c r="C48" i="2" s="1"/>
  <c r="D32" i="2"/>
  <c r="D37" i="2" s="1"/>
  <c r="C27" i="2"/>
  <c r="C31" i="5" s="1"/>
  <c r="C32" i="5" s="1"/>
  <c r="D31" i="1" s="1"/>
  <c r="C14" i="2"/>
  <c r="C22" i="2" s="1"/>
  <c r="D14" i="1"/>
  <c r="D29" i="1" s="1"/>
  <c r="D58" i="3"/>
  <c r="C58" i="3"/>
  <c r="C44" i="3"/>
  <c r="C53" i="3" s="1"/>
  <c r="D34" i="3"/>
  <c r="C34" i="3"/>
  <c r="C41" i="3" s="1"/>
  <c r="D18" i="3"/>
  <c r="I18" i="3"/>
  <c r="J18" i="3"/>
  <c r="H18" i="3"/>
  <c r="H29" i="3" s="1"/>
  <c r="C18" i="3"/>
  <c r="G18" i="3"/>
  <c r="E18" i="3"/>
  <c r="C17" i="3"/>
  <c r="C15" i="3"/>
  <c r="D44" i="3"/>
  <c r="D53" i="3" s="1"/>
  <c r="D23" i="1"/>
  <c r="D17" i="1"/>
  <c r="D44" i="1" s="1"/>
  <c r="C23" i="1"/>
  <c r="C17" i="1"/>
  <c r="C44" i="1" s="1"/>
  <c r="J44" i="3"/>
  <c r="J53" i="3" s="1"/>
  <c r="J39" i="3"/>
  <c r="J28" i="3"/>
  <c r="J17" i="3"/>
  <c r="I44" i="3"/>
  <c r="I53" i="3" s="1"/>
  <c r="I17" i="3"/>
  <c r="J23" i="1"/>
  <c r="J21" i="1"/>
  <c r="J16" i="1"/>
  <c r="J18" i="1"/>
  <c r="J9" i="6" s="1"/>
  <c r="J11" i="1"/>
  <c r="J9" i="1"/>
  <c r="J8" i="1"/>
  <c r="I17" i="1"/>
  <c r="I44" i="1" s="1"/>
  <c r="H44" i="3"/>
  <c r="H53" i="3" s="1"/>
  <c r="H14" i="2"/>
  <c r="H22" i="2" s="1"/>
  <c r="H17" i="1"/>
  <c r="H44" i="1" s="1"/>
  <c r="G44" i="3"/>
  <c r="G53" i="3" s="1"/>
  <c r="G17" i="3"/>
  <c r="G29" i="3" s="1"/>
  <c r="G24" i="1"/>
  <c r="J24" i="1" s="1"/>
  <c r="G17" i="1"/>
  <c r="G44" i="1" s="1"/>
  <c r="N49" i="3"/>
  <c r="N44" i="3"/>
  <c r="N28" i="3"/>
  <c r="N20" i="3"/>
  <c r="N18" i="3" s="1"/>
  <c r="N17" i="3"/>
  <c r="N21" i="1"/>
  <c r="N19" i="1"/>
  <c r="N46" i="1" s="1"/>
  <c r="N18" i="1"/>
  <c r="N16" i="1"/>
  <c r="N11" i="1"/>
  <c r="N12" i="1" s="1"/>
  <c r="N9" i="1"/>
  <c r="N8" i="1"/>
  <c r="M44" i="3"/>
  <c r="M53" i="3" s="1"/>
  <c r="M17" i="1"/>
  <c r="L44" i="3"/>
  <c r="L53" i="3" s="1"/>
  <c r="L23" i="1"/>
  <c r="L17" i="1"/>
  <c r="L44" i="1" s="1"/>
  <c r="K44" i="3"/>
  <c r="K53" i="3" s="1"/>
  <c r="K17" i="3"/>
  <c r="K24" i="1"/>
  <c r="N24" i="1" s="1"/>
  <c r="K17" i="1"/>
  <c r="K44" i="1" s="1"/>
  <c r="R49" i="3"/>
  <c r="R44" i="3"/>
  <c r="R39" i="3"/>
  <c r="R41" i="3" s="1"/>
  <c r="R28" i="3"/>
  <c r="R18" i="3" s="1"/>
  <c r="R17" i="3"/>
  <c r="R24" i="1"/>
  <c r="R23" i="1"/>
  <c r="R21" i="1"/>
  <c r="R19" i="1"/>
  <c r="R18" i="1"/>
  <c r="Q44" i="3"/>
  <c r="Q53" i="3" s="1"/>
  <c r="Q39" i="3"/>
  <c r="Q41" i="3" s="1"/>
  <c r="Q17" i="1"/>
  <c r="P44" i="3"/>
  <c r="P53" i="3" s="1"/>
  <c r="P17" i="1"/>
  <c r="P44" i="1" s="1"/>
  <c r="O44" i="3"/>
  <c r="O53" i="3" s="1"/>
  <c r="O17" i="1"/>
  <c r="O44" i="1" s="1"/>
  <c r="O12" i="1"/>
  <c r="Q12" i="1"/>
  <c r="P12" i="1"/>
  <c r="M12" i="1"/>
  <c r="L12" i="1"/>
  <c r="K12" i="1"/>
  <c r="I12" i="1"/>
  <c r="H12" i="1"/>
  <c r="G12" i="1"/>
  <c r="E12" i="1"/>
  <c r="D12" i="1"/>
  <c r="C12" i="1"/>
  <c r="R11" i="1"/>
  <c r="R12" i="1" s="1"/>
  <c r="R9" i="1"/>
  <c r="R8" i="1"/>
  <c r="S58" i="3"/>
  <c r="R58" i="3"/>
  <c r="Q58" i="3"/>
  <c r="P58" i="3"/>
  <c r="O58" i="3"/>
  <c r="N58" i="3"/>
  <c r="M58" i="3"/>
  <c r="L58" i="3"/>
  <c r="K58" i="3"/>
  <c r="J58" i="3"/>
  <c r="I58" i="3"/>
  <c r="H58" i="3"/>
  <c r="G58" i="3"/>
  <c r="F58" i="3"/>
  <c r="E58" i="3"/>
  <c r="E53" i="3"/>
  <c r="S44" i="3"/>
  <c r="S53" i="3" s="1"/>
  <c r="P41" i="3"/>
  <c r="O41" i="3"/>
  <c r="N41" i="3"/>
  <c r="M41" i="3"/>
  <c r="L41" i="3"/>
  <c r="K41" i="3"/>
  <c r="J41" i="3"/>
  <c r="I41" i="3"/>
  <c r="H41" i="3"/>
  <c r="G41" i="3"/>
  <c r="F41" i="3"/>
  <c r="D41" i="3"/>
  <c r="S41" i="3"/>
  <c r="S18" i="3"/>
  <c r="S29" i="3" s="1"/>
  <c r="Q18" i="3"/>
  <c r="Q29" i="3" s="1"/>
  <c r="P18" i="3"/>
  <c r="P29" i="3" s="1"/>
  <c r="O18" i="3"/>
  <c r="O29" i="3" s="1"/>
  <c r="M18" i="3"/>
  <c r="M29" i="3" s="1"/>
  <c r="L18" i="3"/>
  <c r="L29" i="3" s="1"/>
  <c r="K18" i="3"/>
  <c r="S46" i="2"/>
  <c r="S48" i="2" s="1"/>
  <c r="R46" i="2"/>
  <c r="R48" i="2" s="1"/>
  <c r="Q46" i="2"/>
  <c r="Q48" i="2" s="1"/>
  <c r="P46" i="2"/>
  <c r="P48" i="2" s="1"/>
  <c r="O46" i="2"/>
  <c r="O48" i="2" s="1"/>
  <c r="N46" i="2"/>
  <c r="N48" i="2" s="1"/>
  <c r="M46" i="2"/>
  <c r="M48" i="2" s="1"/>
  <c r="L46" i="2"/>
  <c r="L48" i="2" s="1"/>
  <c r="K46" i="2"/>
  <c r="K48" i="2" s="1"/>
  <c r="J46" i="2"/>
  <c r="J48" i="2" s="1"/>
  <c r="I46" i="2"/>
  <c r="I48" i="2" s="1"/>
  <c r="H46" i="2"/>
  <c r="H48" i="2" s="1"/>
  <c r="G46" i="2"/>
  <c r="G48" i="2" s="1"/>
  <c r="F46" i="2"/>
  <c r="F48" i="2" s="1"/>
  <c r="E46" i="2"/>
  <c r="E48" i="2" s="1"/>
  <c r="D46" i="2"/>
  <c r="D48" i="2" s="1"/>
  <c r="S32" i="2"/>
  <c r="S37" i="2" s="1"/>
  <c r="R32" i="2"/>
  <c r="R37" i="2" s="1"/>
  <c r="Q32" i="2"/>
  <c r="Q37" i="2" s="1"/>
  <c r="P32" i="2"/>
  <c r="P37" i="2" s="1"/>
  <c r="O32" i="2"/>
  <c r="O37" i="2" s="1"/>
  <c r="N32" i="2"/>
  <c r="N37" i="2" s="1"/>
  <c r="M32" i="2"/>
  <c r="M37" i="2" s="1"/>
  <c r="L32" i="2"/>
  <c r="L37" i="2" s="1"/>
  <c r="K32" i="2"/>
  <c r="K37" i="2" s="1"/>
  <c r="J32" i="2"/>
  <c r="J37" i="2" s="1"/>
  <c r="I32" i="2"/>
  <c r="I37" i="2" s="1"/>
  <c r="H32" i="2"/>
  <c r="H37" i="2" s="1"/>
  <c r="G32" i="2"/>
  <c r="G37" i="2" s="1"/>
  <c r="F32" i="2"/>
  <c r="F37" i="2" s="1"/>
  <c r="E32" i="2"/>
  <c r="E37" i="2" s="1"/>
  <c r="S14" i="2"/>
  <c r="S22" i="2" s="1"/>
  <c r="R14" i="2"/>
  <c r="R22" i="2" s="1"/>
  <c r="Q14" i="2"/>
  <c r="Q22" i="2" s="1"/>
  <c r="P14" i="2"/>
  <c r="P22" i="2" s="1"/>
  <c r="O14" i="2"/>
  <c r="O22" i="2" s="1"/>
  <c r="N14" i="2"/>
  <c r="N22" i="2" s="1"/>
  <c r="M14" i="2"/>
  <c r="M22" i="2" s="1"/>
  <c r="L14" i="2"/>
  <c r="L22" i="2" s="1"/>
  <c r="K14" i="2"/>
  <c r="K22" i="2" s="1"/>
  <c r="J14" i="2"/>
  <c r="J22" i="2" s="1"/>
  <c r="I14" i="2"/>
  <c r="I22" i="2" s="1"/>
  <c r="G14" i="2"/>
  <c r="G22" i="2" s="1"/>
  <c r="F14" i="2"/>
  <c r="F22" i="2" s="1"/>
  <c r="E14" i="2"/>
  <c r="E22" i="2" s="1"/>
  <c r="D14" i="2"/>
  <c r="D22" i="2" s="1"/>
  <c r="S17" i="1"/>
  <c r="S44" i="1" s="1"/>
  <c r="Q10" i="1"/>
  <c r="Q36" i="1" s="1"/>
  <c r="P10" i="1"/>
  <c r="P36" i="1" s="1"/>
  <c r="O10" i="1"/>
  <c r="M10" i="1"/>
  <c r="M36" i="1" s="1"/>
  <c r="L10" i="1"/>
  <c r="L36" i="1" s="1"/>
  <c r="K10" i="1"/>
  <c r="K36" i="1" s="1"/>
  <c r="I10" i="1"/>
  <c r="I36" i="1" s="1"/>
  <c r="H10" i="1"/>
  <c r="G10" i="1"/>
  <c r="G36" i="1" s="1"/>
  <c r="E10" i="1"/>
  <c r="D10" i="1"/>
  <c r="D36" i="1" s="1"/>
  <c r="C10" i="1"/>
  <c r="R14" i="1"/>
  <c r="R29" i="1" s="1"/>
  <c r="Q14" i="1"/>
  <c r="Q29" i="1" s="1"/>
  <c r="P14" i="1"/>
  <c r="P29" i="1" s="1"/>
  <c r="O14" i="1"/>
  <c r="O29" i="1" s="1"/>
  <c r="N14" i="1"/>
  <c r="N29" i="1" s="1"/>
  <c r="M14" i="1"/>
  <c r="M29" i="1" s="1"/>
  <c r="L14" i="1"/>
  <c r="L29" i="1" s="1"/>
  <c r="K14" i="1"/>
  <c r="K29" i="1" s="1"/>
  <c r="J29" i="1"/>
  <c r="I14" i="1"/>
  <c r="I29" i="1" s="1"/>
  <c r="H14" i="1"/>
  <c r="H29" i="1" s="1"/>
  <c r="G14" i="1"/>
  <c r="G29" i="1" s="1"/>
  <c r="F14" i="1"/>
  <c r="F29" i="1" s="1"/>
  <c r="E14" i="1"/>
  <c r="E29" i="1" s="1"/>
  <c r="C14" i="1"/>
  <c r="C29" i="1" s="1"/>
  <c r="S14" i="1"/>
  <c r="S29" i="1" s="1"/>
  <c r="S12" i="1"/>
  <c r="S10" i="1"/>
  <c r="S36" i="1" s="1"/>
  <c r="T17" i="1"/>
  <c r="T44" i="1" s="1"/>
  <c r="T10" i="1"/>
  <c r="T36" i="1" s="1"/>
  <c r="T14" i="1"/>
  <c r="T29" i="1" s="1"/>
  <c r="T58" i="3"/>
  <c r="T44" i="3"/>
  <c r="T53" i="3" s="1"/>
  <c r="T41" i="3"/>
  <c r="T18" i="3"/>
  <c r="T29" i="3" s="1"/>
  <c r="T46" i="2"/>
  <c r="T48" i="2" s="1"/>
  <c r="T32" i="2"/>
  <c r="T37" i="2" s="1"/>
  <c r="U21" i="7" s="1"/>
  <c r="T14" i="2"/>
  <c r="T22" i="2" s="1"/>
  <c r="T12" i="1"/>
  <c r="R45" i="1" l="1"/>
  <c r="R9" i="6"/>
  <c r="R12" i="5"/>
  <c r="R21" i="5"/>
  <c r="N37" i="1"/>
  <c r="N22" i="5"/>
  <c r="N20" i="5"/>
  <c r="F45" i="1"/>
  <c r="F9" i="6"/>
  <c r="R43" i="1"/>
  <c r="R20" i="5"/>
  <c r="R22" i="5"/>
  <c r="J12" i="5"/>
  <c r="J21" i="5"/>
  <c r="D32" i="1"/>
  <c r="F46" i="1"/>
  <c r="F22" i="5"/>
  <c r="F20" i="5"/>
  <c r="N45" i="1"/>
  <c r="N9" i="6"/>
  <c r="J46" i="1"/>
  <c r="J20" i="5"/>
  <c r="J22" i="5"/>
  <c r="J29" i="3"/>
  <c r="C32" i="2"/>
  <c r="C37" i="2" s="1"/>
  <c r="C49" i="2" s="1"/>
  <c r="F12" i="5"/>
  <c r="F21" i="5"/>
  <c r="N12" i="5"/>
  <c r="N21" i="5"/>
  <c r="AQ21" i="1"/>
  <c r="AQ22" i="1" s="1"/>
  <c r="AQ25" i="1" s="1"/>
  <c r="AQ26" i="1" s="1"/>
  <c r="J45" i="1"/>
  <c r="R46" i="1"/>
  <c r="H12" i="5"/>
  <c r="G12" i="5"/>
  <c r="O12" i="5"/>
  <c r="D12" i="5"/>
  <c r="L12" i="5"/>
  <c r="T12" i="5"/>
  <c r="P12" i="5"/>
  <c r="I12" i="5"/>
  <c r="E12" i="5"/>
  <c r="M12" i="5"/>
  <c r="Q12" i="5"/>
  <c r="K12" i="5"/>
  <c r="S12" i="5"/>
  <c r="F10" i="1"/>
  <c r="F36" i="1" s="1"/>
  <c r="F23" i="1"/>
  <c r="F42" i="1"/>
  <c r="J43" i="1"/>
  <c r="H13" i="1"/>
  <c r="N42" i="1"/>
  <c r="J9" i="4"/>
  <c r="R41" i="1"/>
  <c r="R17" i="1"/>
  <c r="R44" i="1" s="1"/>
  <c r="O13" i="1"/>
  <c r="F12" i="1"/>
  <c r="N43" i="1"/>
  <c r="F41" i="1"/>
  <c r="F9" i="4"/>
  <c r="N9" i="4"/>
  <c r="Q13" i="1"/>
  <c r="J41" i="1"/>
  <c r="F43" i="1"/>
  <c r="P13" i="1"/>
  <c r="J42" i="1"/>
  <c r="F17" i="1"/>
  <c r="F44" i="1" s="1"/>
  <c r="H36" i="1"/>
  <c r="E13" i="1"/>
  <c r="N17" i="1"/>
  <c r="N44" i="1" s="1"/>
  <c r="C13" i="1"/>
  <c r="C20" i="1" s="1"/>
  <c r="C22" i="1" s="1"/>
  <c r="J12" i="1"/>
  <c r="O36" i="1"/>
  <c r="R9" i="4"/>
  <c r="M44" i="1"/>
  <c r="G37" i="1"/>
  <c r="R42" i="1"/>
  <c r="O37" i="1"/>
  <c r="R10" i="1"/>
  <c r="R36" i="1" s="1"/>
  <c r="J17" i="1"/>
  <c r="J44" i="1" s="1"/>
  <c r="Q44" i="1"/>
  <c r="E36" i="1"/>
  <c r="J37" i="1"/>
  <c r="R37" i="1"/>
  <c r="F37" i="1"/>
  <c r="W12" i="4"/>
  <c r="W11" i="4" s="1"/>
  <c r="W29" i="1" s="1"/>
  <c r="N10" i="1"/>
  <c r="N36" i="1" s="1"/>
  <c r="C36" i="1"/>
  <c r="J10" i="1"/>
  <c r="J36" i="1" s="1"/>
  <c r="N41" i="1"/>
  <c r="K37" i="1"/>
  <c r="S37" i="1"/>
  <c r="F49" i="2"/>
  <c r="E49" i="2"/>
  <c r="C29" i="3"/>
  <c r="N53" i="3"/>
  <c r="R53" i="3"/>
  <c r="K29" i="3"/>
  <c r="N29" i="3"/>
  <c r="D13" i="1"/>
  <c r="D15" i="1" s="1"/>
  <c r="I29" i="3"/>
  <c r="I13" i="1"/>
  <c r="R29" i="3"/>
  <c r="G13" i="1"/>
  <c r="M13" i="1"/>
  <c r="L13" i="1"/>
  <c r="K13" i="1"/>
  <c r="T49" i="2"/>
  <c r="G49" i="2"/>
  <c r="P49" i="2"/>
  <c r="S49" i="2"/>
  <c r="H49" i="2"/>
  <c r="Q49" i="2"/>
  <c r="N49" i="2"/>
  <c r="I49" i="2"/>
  <c r="R49" i="2"/>
  <c r="J49" i="2"/>
  <c r="K49" i="2"/>
  <c r="L49" i="2"/>
  <c r="M49" i="2"/>
  <c r="O49" i="2"/>
  <c r="S13" i="1"/>
  <c r="O15" i="1"/>
  <c r="T13" i="1"/>
  <c r="T32" i="1" s="1"/>
  <c r="E20" i="1" l="1"/>
  <c r="E32" i="1"/>
  <c r="Q20" i="1"/>
  <c r="Q22" i="1" s="1"/>
  <c r="Q25" i="1" s="1"/>
  <c r="Q32" i="1"/>
  <c r="U11" i="7"/>
  <c r="U14" i="7" s="1"/>
  <c r="T12" i="6"/>
  <c r="T13" i="6" s="1"/>
  <c r="T14" i="6" s="1"/>
  <c r="K20" i="1"/>
  <c r="K22" i="1" s="1"/>
  <c r="K25" i="1" s="1"/>
  <c r="K32" i="1"/>
  <c r="S20" i="1"/>
  <c r="S34" i="1" s="1"/>
  <c r="S32" i="1"/>
  <c r="L15" i="1"/>
  <c r="L32" i="1"/>
  <c r="H20" i="1"/>
  <c r="H34" i="1" s="1"/>
  <c r="H32" i="1"/>
  <c r="M20" i="1"/>
  <c r="M22" i="1" s="1"/>
  <c r="M25" i="1" s="1"/>
  <c r="M32" i="1"/>
  <c r="P20" i="1"/>
  <c r="P32" i="1"/>
  <c r="I15" i="1"/>
  <c r="I32" i="1"/>
  <c r="D11" i="7"/>
  <c r="D12" i="6"/>
  <c r="D13" i="6" s="1"/>
  <c r="D14" i="6" s="1"/>
  <c r="G20" i="1"/>
  <c r="G22" i="1" s="1"/>
  <c r="G25" i="1" s="1"/>
  <c r="G32" i="1"/>
  <c r="O20" i="1"/>
  <c r="O32" i="1"/>
  <c r="E22" i="1"/>
  <c r="E25" i="1" s="1"/>
  <c r="E34" i="1"/>
  <c r="S22" i="1"/>
  <c r="S25" i="1" s="1"/>
  <c r="P22" i="1"/>
  <c r="P34" i="1"/>
  <c r="F13" i="1"/>
  <c r="F32" i="1" s="1"/>
  <c r="O22" i="1"/>
  <c r="O34" i="1"/>
  <c r="D26" i="5"/>
  <c r="D16" i="5"/>
  <c r="O26" i="5"/>
  <c r="O16" i="5"/>
  <c r="M16" i="5"/>
  <c r="M26" i="5"/>
  <c r="K26" i="5"/>
  <c r="K16" i="5"/>
  <c r="G26" i="5"/>
  <c r="G16" i="5"/>
  <c r="I26" i="5"/>
  <c r="I16" i="5"/>
  <c r="Q16" i="5"/>
  <c r="Q26" i="5"/>
  <c r="P16" i="5"/>
  <c r="P26" i="5"/>
  <c r="E16" i="5"/>
  <c r="E26" i="5"/>
  <c r="S26" i="5"/>
  <c r="S16" i="5"/>
  <c r="L26" i="5"/>
  <c r="L16" i="5"/>
  <c r="H16" i="5"/>
  <c r="H26" i="5"/>
  <c r="D20" i="1"/>
  <c r="D22" i="1" s="1"/>
  <c r="H15" i="1"/>
  <c r="E15" i="1"/>
  <c r="Q15" i="1"/>
  <c r="R13" i="1"/>
  <c r="C15" i="1"/>
  <c r="M15" i="1"/>
  <c r="G15" i="1"/>
  <c r="P15" i="1"/>
  <c r="L20" i="1"/>
  <c r="J13" i="1"/>
  <c r="J32" i="1" s="1"/>
  <c r="N25" i="5"/>
  <c r="N15" i="5"/>
  <c r="F25" i="5"/>
  <c r="F15" i="5"/>
  <c r="R27" i="5"/>
  <c r="R17" i="5"/>
  <c r="V22" i="5"/>
  <c r="W22" i="5" s="1"/>
  <c r="N13" i="1"/>
  <c r="N32" i="1" s="1"/>
  <c r="F26" i="5"/>
  <c r="F16" i="5"/>
  <c r="R15" i="5"/>
  <c r="R25" i="5"/>
  <c r="V20" i="5"/>
  <c r="Z12" i="4"/>
  <c r="Z11" i="4" s="1"/>
  <c r="Z29" i="1" s="1"/>
  <c r="J16" i="5"/>
  <c r="J26" i="5"/>
  <c r="K15" i="1"/>
  <c r="F27" i="5"/>
  <c r="F17" i="5"/>
  <c r="R16" i="5"/>
  <c r="R26" i="5"/>
  <c r="V21" i="5"/>
  <c r="N26" i="5"/>
  <c r="N16" i="5"/>
  <c r="X12" i="4"/>
  <c r="X11" i="4" s="1"/>
  <c r="X29" i="1" s="1"/>
  <c r="Y12" i="4"/>
  <c r="Y11" i="4" s="1"/>
  <c r="Y29" i="1" s="1"/>
  <c r="J27" i="5"/>
  <c r="J17" i="5"/>
  <c r="J15" i="5"/>
  <c r="J25" i="5"/>
  <c r="I20" i="1"/>
  <c r="I22" i="1" s="1"/>
  <c r="I25" i="1" s="1"/>
  <c r="N17" i="5"/>
  <c r="N27" i="5"/>
  <c r="O25" i="1"/>
  <c r="D25" i="1"/>
  <c r="P25" i="1"/>
  <c r="C25" i="1"/>
  <c r="S15" i="1"/>
  <c r="T15" i="1"/>
  <c r="T20" i="1"/>
  <c r="H22" i="1" l="1"/>
  <c r="H25" i="1" s="1"/>
  <c r="L11" i="7"/>
  <c r="L12" i="6"/>
  <c r="L13" i="6" s="1"/>
  <c r="L14" i="6" s="1"/>
  <c r="P11" i="7"/>
  <c r="P12" i="6"/>
  <c r="P13" i="6" s="1"/>
  <c r="P14" i="6" s="1"/>
  <c r="R15" i="1"/>
  <c r="R32" i="1"/>
  <c r="R20" i="1"/>
  <c r="R22" i="1" s="1"/>
  <c r="R25" i="1" s="1"/>
  <c r="J12" i="6"/>
  <c r="J13" i="6" s="1"/>
  <c r="J14" i="6" s="1"/>
  <c r="J11" i="7"/>
  <c r="M34" i="1"/>
  <c r="I11" i="7"/>
  <c r="I12" i="6"/>
  <c r="I13" i="6" s="1"/>
  <c r="I14" i="6" s="1"/>
  <c r="Q34" i="1"/>
  <c r="S11" i="7"/>
  <c r="S12" i="6"/>
  <c r="S13" i="6" s="1"/>
  <c r="S14" i="6" s="1"/>
  <c r="E11" i="7"/>
  <c r="E12" i="6"/>
  <c r="E13" i="6" s="1"/>
  <c r="E14" i="6" s="1"/>
  <c r="H11" i="7"/>
  <c r="H12" i="6"/>
  <c r="H13" i="6" s="1"/>
  <c r="H14" i="6" s="1"/>
  <c r="N11" i="7"/>
  <c r="N12" i="6"/>
  <c r="N13" i="6" s="1"/>
  <c r="N14" i="6" s="1"/>
  <c r="G34" i="1"/>
  <c r="Q11" i="7"/>
  <c r="Q12" i="6"/>
  <c r="Q13" i="6" s="1"/>
  <c r="Q14" i="6" s="1"/>
  <c r="O11" i="7"/>
  <c r="O12" i="6"/>
  <c r="O13" i="6" s="1"/>
  <c r="O14" i="6" s="1"/>
  <c r="F11" i="7"/>
  <c r="F12" i="6"/>
  <c r="F13" i="6" s="1"/>
  <c r="F14" i="6" s="1"/>
  <c r="G11" i="7"/>
  <c r="G12" i="6"/>
  <c r="G13" i="6" s="1"/>
  <c r="G14" i="6" s="1"/>
  <c r="M11" i="7"/>
  <c r="M12" i="6"/>
  <c r="M13" i="6" s="1"/>
  <c r="M14" i="6" s="1"/>
  <c r="K12" i="6"/>
  <c r="K13" i="6" s="1"/>
  <c r="K14" i="6" s="1"/>
  <c r="K11" i="7"/>
  <c r="L22" i="1"/>
  <c r="L25" i="1" s="1"/>
  <c r="L27" i="1" s="1"/>
  <c r="L34" i="1"/>
  <c r="F15" i="1"/>
  <c r="F20" i="1"/>
  <c r="T22" i="1"/>
  <c r="T25" i="1" s="1"/>
  <c r="T34" i="1"/>
  <c r="W68" i="1"/>
  <c r="W80" i="1"/>
  <c r="W14" i="1"/>
  <c r="W15" i="1" s="1"/>
  <c r="W92" i="1"/>
  <c r="V14" i="1"/>
  <c r="V15" i="1" s="1"/>
  <c r="V80" i="1"/>
  <c r="V68" i="1"/>
  <c r="V56" i="1" s="1"/>
  <c r="V92" i="1"/>
  <c r="J20" i="1"/>
  <c r="J15" i="1"/>
  <c r="W17" i="5"/>
  <c r="W11" i="5" s="1"/>
  <c r="W31" i="5" s="1"/>
  <c r="E27" i="1"/>
  <c r="E38" i="1"/>
  <c r="AC12" i="4"/>
  <c r="AC11" i="4" s="1"/>
  <c r="AC29" i="1" s="1"/>
  <c r="H27" i="1"/>
  <c r="H38" i="1"/>
  <c r="Q27" i="1"/>
  <c r="Q38" i="1"/>
  <c r="I27" i="1"/>
  <c r="I38" i="1"/>
  <c r="V17" i="5"/>
  <c r="V11" i="5" s="1"/>
  <c r="V31" i="5" s="1"/>
  <c r="X22" i="5"/>
  <c r="C27" i="1"/>
  <c r="C38" i="1"/>
  <c r="AB12" i="4"/>
  <c r="AB11" i="4" s="1"/>
  <c r="AB29" i="1" s="1"/>
  <c r="AA12" i="4"/>
  <c r="AA11" i="4" s="1"/>
  <c r="AA29" i="1" s="1"/>
  <c r="G27" i="1"/>
  <c r="G38" i="1"/>
  <c r="P27" i="1"/>
  <c r="P38" i="1"/>
  <c r="D27" i="1"/>
  <c r="D38" i="1"/>
  <c r="S27" i="1"/>
  <c r="S38" i="1"/>
  <c r="V15" i="5"/>
  <c r="V9" i="5" s="1"/>
  <c r="W20" i="5"/>
  <c r="M27" i="1"/>
  <c r="M38" i="1"/>
  <c r="O27" i="1"/>
  <c r="O38" i="1"/>
  <c r="K27" i="1"/>
  <c r="K38" i="1"/>
  <c r="W21" i="5"/>
  <c r="N15" i="1"/>
  <c r="N20" i="1"/>
  <c r="D49" i="2"/>
  <c r="V16" i="5"/>
  <c r="V10" i="5" s="1"/>
  <c r="T16" i="5"/>
  <c r="W56" i="1" l="1"/>
  <c r="R26" i="1"/>
  <c r="R38" i="1"/>
  <c r="R34" i="1"/>
  <c r="R11" i="7"/>
  <c r="R12" i="6"/>
  <c r="R13" i="6" s="1"/>
  <c r="R14" i="6" s="1"/>
  <c r="V30" i="5"/>
  <c r="V32" i="5" s="1"/>
  <c r="V31" i="1" s="1"/>
  <c r="V32" i="1" s="1"/>
  <c r="V12" i="5"/>
  <c r="T38" i="1"/>
  <c r="T27" i="1"/>
  <c r="N22" i="1"/>
  <c r="N25" i="1" s="1"/>
  <c r="N26" i="1" s="1"/>
  <c r="N34" i="1"/>
  <c r="F34" i="1"/>
  <c r="F22" i="1"/>
  <c r="F25" i="1" s="1"/>
  <c r="L38" i="1"/>
  <c r="J22" i="1"/>
  <c r="J25" i="1" s="1"/>
  <c r="J34" i="1"/>
  <c r="Z92" i="1"/>
  <c r="Z80" i="1"/>
  <c r="Z14" i="1"/>
  <c r="Z15" i="1" s="1"/>
  <c r="Z68" i="1"/>
  <c r="Z56" i="1" s="1"/>
  <c r="Y80" i="1"/>
  <c r="Y68" i="1"/>
  <c r="Y14" i="1"/>
  <c r="Y15" i="1" s="1"/>
  <c r="Y92" i="1"/>
  <c r="X80" i="1"/>
  <c r="X14" i="1"/>
  <c r="X15" i="1" s="1"/>
  <c r="X92" i="1"/>
  <c r="X68" i="1"/>
  <c r="X56" i="1" s="1"/>
  <c r="X17" i="5"/>
  <c r="X11" i="5" s="1"/>
  <c r="X31" i="5" s="1"/>
  <c r="AD12" i="4"/>
  <c r="AD11" i="4" s="1"/>
  <c r="AD29" i="1" s="1"/>
  <c r="X20" i="5"/>
  <c r="AF12" i="4"/>
  <c r="AF11" i="4" s="1"/>
  <c r="AF29" i="1" s="1"/>
  <c r="X21" i="5"/>
  <c r="Y21" i="5" s="1"/>
  <c r="AE12" i="4"/>
  <c r="AE11" i="4" s="1"/>
  <c r="AE29" i="1" s="1"/>
  <c r="W15" i="5"/>
  <c r="W9" i="5" s="1"/>
  <c r="W16" i="5"/>
  <c r="W10" i="5" s="1"/>
  <c r="Y22" i="5"/>
  <c r="N38" i="1" l="1"/>
  <c r="Y56" i="1"/>
  <c r="W30" i="5"/>
  <c r="W32" i="5" s="1"/>
  <c r="W31" i="1" s="1"/>
  <c r="W32" i="1" s="1"/>
  <c r="W12" i="5"/>
  <c r="V12" i="6"/>
  <c r="V13" i="6" s="1"/>
  <c r="V14" i="6" s="1"/>
  <c r="V11" i="7"/>
  <c r="J38" i="1"/>
  <c r="J26" i="1"/>
  <c r="F38" i="1"/>
  <c r="F26" i="1"/>
  <c r="AC80" i="1"/>
  <c r="AC14" i="1"/>
  <c r="AC15" i="1" s="1"/>
  <c r="AC92" i="1"/>
  <c r="AC68" i="1"/>
  <c r="AC56" i="1" s="1"/>
  <c r="AB92" i="1"/>
  <c r="AB68" i="1"/>
  <c r="AB80" i="1"/>
  <c r="AB14" i="1"/>
  <c r="AB15" i="1" s="1"/>
  <c r="AA92" i="1"/>
  <c r="AA14" i="1"/>
  <c r="AA15" i="1" s="1"/>
  <c r="AA68" i="1"/>
  <c r="AA80" i="1"/>
  <c r="AG12" i="4"/>
  <c r="AG11" i="4" s="1"/>
  <c r="AG29" i="1" s="1"/>
  <c r="Y16" i="5"/>
  <c r="Y10" i="5" s="1"/>
  <c r="X15" i="5"/>
  <c r="X9" i="5" s="1"/>
  <c r="Y17" i="5"/>
  <c r="Y11" i="5" s="1"/>
  <c r="Y31" i="5" s="1"/>
  <c r="X16" i="5"/>
  <c r="X10" i="5" s="1"/>
  <c r="Z21" i="5"/>
  <c r="AH12" i="4"/>
  <c r="AH11" i="4" s="1"/>
  <c r="AH29" i="1" s="1"/>
  <c r="Z22" i="5"/>
  <c r="AI12" i="4"/>
  <c r="AI11" i="4" s="1"/>
  <c r="AI29" i="1" s="1"/>
  <c r="Y20" i="5"/>
  <c r="Z20" i="5" s="1"/>
  <c r="AB56" i="1" l="1"/>
  <c r="AA56" i="1"/>
  <c r="W11" i="7"/>
  <c r="W14" i="7" s="1"/>
  <c r="W12" i="6"/>
  <c r="W13" i="6" s="1"/>
  <c r="W14" i="6" s="1"/>
  <c r="V14" i="7"/>
  <c r="X30" i="5"/>
  <c r="X32" i="5" s="1"/>
  <c r="X31" i="1" s="1"/>
  <c r="X32" i="1" s="1"/>
  <c r="X12" i="5"/>
  <c r="AF80" i="1"/>
  <c r="AF92" i="1"/>
  <c r="AF68" i="1"/>
  <c r="AF14" i="1"/>
  <c r="AF15" i="1" s="1"/>
  <c r="AE68" i="1"/>
  <c r="AE80" i="1"/>
  <c r="AE92" i="1"/>
  <c r="AE14" i="1"/>
  <c r="AE15" i="1" s="1"/>
  <c r="AD80" i="1"/>
  <c r="AD92" i="1"/>
  <c r="AD68" i="1"/>
  <c r="AD14" i="1"/>
  <c r="AD15" i="1" s="1"/>
  <c r="Z15" i="5"/>
  <c r="Z9" i="5" s="1"/>
  <c r="Z16" i="5"/>
  <c r="Z10" i="5" s="1"/>
  <c r="AL12" i="4"/>
  <c r="AL11" i="4" s="1"/>
  <c r="AL29" i="1" s="1"/>
  <c r="Z17" i="5"/>
  <c r="Z11" i="5" s="1"/>
  <c r="Z31" i="5" s="1"/>
  <c r="AK12" i="4"/>
  <c r="AK11" i="4" s="1"/>
  <c r="AK29" i="1" s="1"/>
  <c r="Y15" i="5"/>
  <c r="Y9" i="5" s="1"/>
  <c r="AA21" i="5"/>
  <c r="AA22" i="5"/>
  <c r="AB22" i="5" s="1"/>
  <c r="AA20" i="5"/>
  <c r="AB20" i="5" s="1"/>
  <c r="AJ12" i="4"/>
  <c r="AJ11" i="4" s="1"/>
  <c r="AJ29" i="1" s="1"/>
  <c r="AD56" i="1" l="1"/>
  <c r="AE56" i="1"/>
  <c r="AF56" i="1"/>
  <c r="X11" i="7"/>
  <c r="X12" i="6"/>
  <c r="X13" i="6" s="1"/>
  <c r="X14" i="6" s="1"/>
  <c r="Z30" i="5"/>
  <c r="Z32" i="5" s="1"/>
  <c r="Z12" i="5"/>
  <c r="Y30" i="5"/>
  <c r="Y32" i="5" s="1"/>
  <c r="Y31" i="1" s="1"/>
  <c r="Y32" i="1" s="1"/>
  <c r="Y12" i="5"/>
  <c r="AI68" i="1"/>
  <c r="AI92" i="1"/>
  <c r="AI80" i="1"/>
  <c r="AI14" i="1"/>
  <c r="AI15" i="1" s="1"/>
  <c r="AH68" i="1"/>
  <c r="AH80" i="1"/>
  <c r="AH14" i="1"/>
  <c r="AH15" i="1" s="1"/>
  <c r="AH92" i="1"/>
  <c r="AG68" i="1"/>
  <c r="AG14" i="1"/>
  <c r="AG15" i="1" s="1"/>
  <c r="AG80" i="1"/>
  <c r="AG92" i="1"/>
  <c r="AB15" i="5"/>
  <c r="AB9" i="5" s="1"/>
  <c r="AA16" i="5"/>
  <c r="AA10" i="5" s="1"/>
  <c r="AO12" i="4"/>
  <c r="AO11" i="4" s="1"/>
  <c r="AO29" i="1" s="1"/>
  <c r="AM12" i="4"/>
  <c r="AM11" i="4" s="1"/>
  <c r="AM29" i="1" s="1"/>
  <c r="AC20" i="5"/>
  <c r="AD20" i="5" s="1"/>
  <c r="AE20" i="5" s="1"/>
  <c r="AB17" i="5"/>
  <c r="AB11" i="5" s="1"/>
  <c r="AB31" i="5" s="1"/>
  <c r="AA15" i="5"/>
  <c r="AA9" i="5" s="1"/>
  <c r="AN12" i="4"/>
  <c r="AN11" i="4" s="1"/>
  <c r="AN29" i="1" s="1"/>
  <c r="AA17" i="5"/>
  <c r="AA11" i="5" s="1"/>
  <c r="AA31" i="5" s="1"/>
  <c r="AB21" i="5"/>
  <c r="AC22" i="5"/>
  <c r="AH56" i="1" l="1"/>
  <c r="AI56" i="1"/>
  <c r="AG56" i="1"/>
  <c r="Y11" i="7"/>
  <c r="Y14" i="7" s="1"/>
  <c r="Y12" i="6"/>
  <c r="Y13" i="6" s="1"/>
  <c r="Y14" i="6" s="1"/>
  <c r="AA30" i="5"/>
  <c r="AA32" i="5" s="1"/>
  <c r="AA31" i="1" s="1"/>
  <c r="AA32" i="1" s="1"/>
  <c r="AA12" i="5"/>
  <c r="Z31" i="1"/>
  <c r="Z32" i="1" s="1"/>
  <c r="X14" i="7"/>
  <c r="AO14" i="1"/>
  <c r="AO15" i="1" s="1"/>
  <c r="AO92" i="1"/>
  <c r="AO80" i="1"/>
  <c r="AO68" i="1"/>
  <c r="AO56" i="1" s="1"/>
  <c r="AL80" i="1"/>
  <c r="AL68" i="1"/>
  <c r="AL56" i="1" s="1"/>
  <c r="AL92" i="1"/>
  <c r="AL14" i="1"/>
  <c r="AL15" i="1" s="1"/>
  <c r="AK68" i="1"/>
  <c r="AK92" i="1"/>
  <c r="AK14" i="1"/>
  <c r="AK15" i="1" s="1"/>
  <c r="AK80" i="1"/>
  <c r="AJ80" i="1"/>
  <c r="AJ92" i="1"/>
  <c r="AJ68" i="1"/>
  <c r="AJ56" i="1" s="1"/>
  <c r="AJ14" i="1"/>
  <c r="AJ15" i="1" s="1"/>
  <c r="AE15" i="5"/>
  <c r="AE9" i="5" s="1"/>
  <c r="AQ12" i="4"/>
  <c r="AQ11" i="4" s="1"/>
  <c r="AQ29" i="1" s="1"/>
  <c r="AB16" i="5"/>
  <c r="AB10" i="5" s="1"/>
  <c r="AB30" i="5" s="1"/>
  <c r="AB32" i="5" s="1"/>
  <c r="AC21" i="5"/>
  <c r="AD15" i="5"/>
  <c r="AD9" i="5" s="1"/>
  <c r="AC17" i="5"/>
  <c r="AC11" i="5" s="1"/>
  <c r="AC31" i="5" s="1"/>
  <c r="AD22" i="5"/>
  <c r="AC15" i="5"/>
  <c r="AC9" i="5" s="1"/>
  <c r="AF20" i="5"/>
  <c r="AP12" i="4"/>
  <c r="AP11" i="4" s="1"/>
  <c r="AP29" i="1" s="1"/>
  <c r="AK56" i="1" l="1"/>
  <c r="AB31" i="1"/>
  <c r="AB32" i="1" s="1"/>
  <c r="AB11" i="7" s="1"/>
  <c r="AB14" i="7" s="1"/>
  <c r="AB12" i="6"/>
  <c r="AB13" i="6" s="1"/>
  <c r="AB14" i="6" s="1"/>
  <c r="AA11" i="7"/>
  <c r="AA14" i="7" s="1"/>
  <c r="AA12" i="6"/>
  <c r="AA13" i="6" s="1"/>
  <c r="AA14" i="6" s="1"/>
  <c r="AB12" i="5"/>
  <c r="Z11" i="7"/>
  <c r="Z12" i="6"/>
  <c r="Z13" i="6" s="1"/>
  <c r="Z14" i="6" s="1"/>
  <c r="AQ92" i="1"/>
  <c r="AQ68" i="1"/>
  <c r="AQ80" i="1"/>
  <c r="AQ14" i="1"/>
  <c r="AQ15" i="1" s="1"/>
  <c r="AP80" i="1"/>
  <c r="AP92" i="1"/>
  <c r="AP14" i="1"/>
  <c r="AP15" i="1" s="1"/>
  <c r="AP68" i="1"/>
  <c r="AN80" i="1"/>
  <c r="AN92" i="1"/>
  <c r="AN68" i="1"/>
  <c r="AN14" i="1"/>
  <c r="AN15" i="1" s="1"/>
  <c r="AM68" i="1"/>
  <c r="AM92" i="1"/>
  <c r="AM80" i="1"/>
  <c r="AM14" i="1"/>
  <c r="AM15" i="1" s="1"/>
  <c r="AD17" i="5"/>
  <c r="AD11" i="5" s="1"/>
  <c r="AD31" i="5" s="1"/>
  <c r="AC16" i="5"/>
  <c r="AC10" i="5" s="1"/>
  <c r="AC30" i="5" s="1"/>
  <c r="AC32" i="5" s="1"/>
  <c r="AC31" i="1" s="1"/>
  <c r="AC32" i="1" s="1"/>
  <c r="AE22" i="5"/>
  <c r="AD21" i="5"/>
  <c r="AE21" i="5" s="1"/>
  <c r="AF15" i="5"/>
  <c r="AF9" i="5" s="1"/>
  <c r="AG20" i="5"/>
  <c r="AH20" i="5" s="1"/>
  <c r="AP56" i="1" l="1"/>
  <c r="AM56" i="1"/>
  <c r="AN56" i="1"/>
  <c r="AQ56" i="1"/>
  <c r="AC12" i="5"/>
  <c r="Z14" i="7"/>
  <c r="AC12" i="6"/>
  <c r="AC13" i="6" s="1"/>
  <c r="AC14" i="6" s="1"/>
  <c r="AC11" i="7"/>
  <c r="AC14" i="7" s="1"/>
  <c r="AE17" i="5"/>
  <c r="AE11" i="5" s="1"/>
  <c r="AE31" i="5" s="1"/>
  <c r="AF22" i="5"/>
  <c r="AG22" i="5" s="1"/>
  <c r="AH15" i="5"/>
  <c r="AH9" i="5" s="1"/>
  <c r="AE16" i="5"/>
  <c r="AE10" i="5" s="1"/>
  <c r="AF21" i="5"/>
  <c r="AG21" i="5" s="1"/>
  <c r="AI20" i="5"/>
  <c r="AJ20" i="5" s="1"/>
  <c r="AG15" i="5"/>
  <c r="AG9" i="5" s="1"/>
  <c r="AD16" i="5"/>
  <c r="AD10" i="5" s="1"/>
  <c r="AD30" i="5" l="1"/>
  <c r="AD32" i="5" s="1"/>
  <c r="AD31" i="1" s="1"/>
  <c r="AD32" i="1" s="1"/>
  <c r="AD12" i="5"/>
  <c r="AE30" i="5"/>
  <c r="AE32" i="5" s="1"/>
  <c r="AE31" i="1" s="1"/>
  <c r="AE32" i="1" s="1"/>
  <c r="AE12" i="5"/>
  <c r="AG17" i="5"/>
  <c r="AG11" i="5" s="1"/>
  <c r="AG31" i="5" s="1"/>
  <c r="AJ15" i="5"/>
  <c r="AJ9" i="5" s="1"/>
  <c r="AH22" i="5"/>
  <c r="AG16" i="5"/>
  <c r="AG10" i="5" s="1"/>
  <c r="AG30" i="5" s="1"/>
  <c r="AG32" i="5" s="1"/>
  <c r="AK20" i="5"/>
  <c r="AL20" i="5" s="1"/>
  <c r="AF17" i="5"/>
  <c r="AF11" i="5" s="1"/>
  <c r="AF31" i="5" s="1"/>
  <c r="AI15" i="5"/>
  <c r="AI9" i="5" s="1"/>
  <c r="AF16" i="5"/>
  <c r="AF10" i="5" s="1"/>
  <c r="AH21" i="5"/>
  <c r="AG12" i="5" l="1"/>
  <c r="AE11" i="7"/>
  <c r="AE14" i="7" s="1"/>
  <c r="AE12" i="6"/>
  <c r="AE13" i="6" s="1"/>
  <c r="AE14" i="6" s="1"/>
  <c r="AF30" i="5"/>
  <c r="AF32" i="5" s="1"/>
  <c r="AF31" i="1" s="1"/>
  <c r="AF32" i="1" s="1"/>
  <c r="AF12" i="5"/>
  <c r="AD12" i="6"/>
  <c r="AD13" i="6" s="1"/>
  <c r="AD14" i="6" s="1"/>
  <c r="AD11" i="7"/>
  <c r="AL15" i="5"/>
  <c r="AL9" i="5" s="1"/>
  <c r="AM20" i="5"/>
  <c r="AN20" i="5" s="1"/>
  <c r="AN15" i="5" s="1"/>
  <c r="AN9" i="5" s="1"/>
  <c r="AI22" i="5"/>
  <c r="AH17" i="5"/>
  <c r="AH11" i="5" s="1"/>
  <c r="AH31" i="5" s="1"/>
  <c r="AH16" i="5"/>
  <c r="AH10" i="5" s="1"/>
  <c r="AI21" i="5"/>
  <c r="AK15" i="5"/>
  <c r="AK9" i="5" s="1"/>
  <c r="AD14" i="7" l="1"/>
  <c r="AH12" i="5"/>
  <c r="AH30" i="5"/>
  <c r="AH32" i="5" s="1"/>
  <c r="AH31" i="1" s="1"/>
  <c r="AH32" i="1" s="1"/>
  <c r="AF11" i="7"/>
  <c r="AF14" i="7" s="1"/>
  <c r="AF12" i="6"/>
  <c r="AF13" i="6" s="1"/>
  <c r="AF14" i="6" s="1"/>
  <c r="AG31" i="1"/>
  <c r="AG32" i="1" s="1"/>
  <c r="AO20" i="5"/>
  <c r="AO15" i="5" s="1"/>
  <c r="AO9" i="5" s="1"/>
  <c r="AI17" i="5"/>
  <c r="AI11" i="5" s="1"/>
  <c r="AI31" i="5" s="1"/>
  <c r="AJ22" i="5"/>
  <c r="AK22" i="5" s="1"/>
  <c r="AM15" i="5"/>
  <c r="AM9" i="5" s="1"/>
  <c r="AI16" i="5"/>
  <c r="AI10" i="5" s="1"/>
  <c r="AJ21" i="5"/>
  <c r="AG11" i="7" l="1"/>
  <c r="AG14" i="7" s="1"/>
  <c r="AG12" i="6"/>
  <c r="AG13" i="6" s="1"/>
  <c r="AG14" i="6" s="1"/>
  <c r="AI12" i="5"/>
  <c r="AI30" i="5"/>
  <c r="AI32" i="5" s="1"/>
  <c r="AI31" i="1" s="1"/>
  <c r="AI32" i="1" s="1"/>
  <c r="AH11" i="7"/>
  <c r="AH14" i="7" s="1"/>
  <c r="AH12" i="6"/>
  <c r="AH13" i="6" s="1"/>
  <c r="AH14" i="6" s="1"/>
  <c r="AP20" i="5"/>
  <c r="AP15" i="5" s="1"/>
  <c r="AP9" i="5" s="1"/>
  <c r="AL22" i="5"/>
  <c r="AL17" i="5" s="1"/>
  <c r="AL11" i="5" s="1"/>
  <c r="AL31" i="5" s="1"/>
  <c r="AK17" i="5"/>
  <c r="AK11" i="5" s="1"/>
  <c r="AK31" i="5" s="1"/>
  <c r="AJ17" i="5"/>
  <c r="AJ11" i="5" s="1"/>
  <c r="AJ31" i="5" s="1"/>
  <c r="AJ16" i="5"/>
  <c r="AJ10" i="5" s="1"/>
  <c r="AK21" i="5"/>
  <c r="AL21" i="5" s="1"/>
  <c r="AL16" i="5" s="1"/>
  <c r="AL10" i="5" s="1"/>
  <c r="AM22" i="5" l="1"/>
  <c r="AM17" i="5" s="1"/>
  <c r="AM11" i="5" s="1"/>
  <c r="AM31" i="5" s="1"/>
  <c r="AJ30" i="5"/>
  <c r="AJ32" i="5" s="1"/>
  <c r="AJ31" i="1" s="1"/>
  <c r="AJ32" i="1" s="1"/>
  <c r="AJ12" i="5"/>
  <c r="AI11" i="7"/>
  <c r="AI14" i="7" s="1"/>
  <c r="AI12" i="6"/>
  <c r="AI13" i="6" s="1"/>
  <c r="AI14" i="6" s="1"/>
  <c r="AL12" i="5"/>
  <c r="AL30" i="5"/>
  <c r="AL32" i="5" s="1"/>
  <c r="AQ20" i="5"/>
  <c r="AQ15" i="5" s="1"/>
  <c r="AQ9" i="5" s="1"/>
  <c r="AN22" i="5"/>
  <c r="AN17" i="5" s="1"/>
  <c r="AN11" i="5" s="1"/>
  <c r="AN31" i="5" s="1"/>
  <c r="AK16" i="5"/>
  <c r="AK10" i="5" s="1"/>
  <c r="AM21" i="5"/>
  <c r="AO22" i="5"/>
  <c r="AO17" i="5" s="1"/>
  <c r="AO11" i="5" s="1"/>
  <c r="AO31" i="5" s="1"/>
  <c r="AK30" i="5" l="1"/>
  <c r="AK32" i="5" s="1"/>
  <c r="AK31" i="1" s="1"/>
  <c r="AK32" i="1" s="1"/>
  <c r="AK12" i="5"/>
  <c r="AJ12" i="6"/>
  <c r="AJ13" i="6" s="1"/>
  <c r="AJ14" i="6" s="1"/>
  <c r="AJ11" i="7"/>
  <c r="AJ14" i="7" s="1"/>
  <c r="AM16" i="5"/>
  <c r="AM10" i="5" s="1"/>
  <c r="AN21" i="5"/>
  <c r="AN16" i="5" s="1"/>
  <c r="AN10" i="5" s="1"/>
  <c r="AP22" i="5"/>
  <c r="AM30" i="5" l="1"/>
  <c r="AM32" i="5" s="1"/>
  <c r="AM31" i="1" s="1"/>
  <c r="AM32" i="1" s="1"/>
  <c r="AM12" i="5"/>
  <c r="AK12" i="6"/>
  <c r="AK13" i="6" s="1"/>
  <c r="AK14" i="6" s="1"/>
  <c r="AK11" i="7"/>
  <c r="AK14" i="7" s="1"/>
  <c r="AN30" i="5"/>
  <c r="AN32" i="5" s="1"/>
  <c r="AN31" i="1" s="1"/>
  <c r="AN32" i="1" s="1"/>
  <c r="AN12" i="5"/>
  <c r="AL31" i="1"/>
  <c r="AL32" i="1" s="1"/>
  <c r="AQ22" i="5"/>
  <c r="AQ17" i="5" s="1"/>
  <c r="AQ11" i="5" s="1"/>
  <c r="AQ31" i="5" s="1"/>
  <c r="AP17" i="5"/>
  <c r="AP11" i="5" s="1"/>
  <c r="AP31" i="5" s="1"/>
  <c r="AO21" i="5"/>
  <c r="AN11" i="7" l="1"/>
  <c r="AN14" i="7" s="1"/>
  <c r="AN12" i="6"/>
  <c r="AN13" i="6" s="1"/>
  <c r="AN14" i="6" s="1"/>
  <c r="AL11" i="7"/>
  <c r="AL14" i="7" s="1"/>
  <c r="AL12" i="6"/>
  <c r="AL13" i="6" s="1"/>
  <c r="AL14" i="6" s="1"/>
  <c r="AM11" i="7"/>
  <c r="AM14" i="7" s="1"/>
  <c r="AM12" i="6"/>
  <c r="AM13" i="6" s="1"/>
  <c r="AM14" i="6" s="1"/>
  <c r="AO16" i="5"/>
  <c r="AO10" i="5" s="1"/>
  <c r="AP21" i="5"/>
  <c r="AO30" i="5" l="1"/>
  <c r="AO32" i="5" s="1"/>
  <c r="AO31" i="1" s="1"/>
  <c r="AO32" i="1" s="1"/>
  <c r="AO12" i="5"/>
  <c r="AQ21" i="5"/>
  <c r="AQ16" i="5" s="1"/>
  <c r="AQ10" i="5" s="1"/>
  <c r="AP16" i="5"/>
  <c r="AP10" i="5" s="1"/>
  <c r="AE26" i="5"/>
  <c r="Y26" i="5"/>
  <c r="AJ26" i="5"/>
  <c r="Z26" i="5"/>
  <c r="AN26" i="5"/>
  <c r="AD26" i="5"/>
  <c r="AL26" i="5"/>
  <c r="AQ26" i="5"/>
  <c r="AF26" i="5"/>
  <c r="AG26" i="5"/>
  <c r="AK26" i="5"/>
  <c r="AI26" i="5"/>
  <c r="AC26" i="5"/>
  <c r="W26" i="5"/>
  <c r="AO26" i="5"/>
  <c r="X26" i="5"/>
  <c r="V26" i="5"/>
  <c r="AA26" i="5"/>
  <c r="AM26" i="5"/>
  <c r="AH26" i="5"/>
  <c r="AB26" i="5"/>
  <c r="AP30" i="5" l="1"/>
  <c r="AP32" i="5" s="1"/>
  <c r="AP31" i="1" s="1"/>
  <c r="AP32" i="1" s="1"/>
  <c r="AP12" i="5"/>
  <c r="AQ30" i="5"/>
  <c r="AQ32" i="5" s="1"/>
  <c r="AQ31" i="1" s="1"/>
  <c r="AQ32" i="1" s="1"/>
  <c r="AQ12" i="5"/>
  <c r="AO11" i="7"/>
  <c r="AO14" i="7" s="1"/>
  <c r="AO12" i="6"/>
  <c r="AO13" i="6" s="1"/>
  <c r="AO14" i="6" s="1"/>
  <c r="AQ11" i="7" l="1"/>
  <c r="AQ12" i="6"/>
  <c r="AQ13" i="6" s="1"/>
  <c r="AQ14" i="6" s="1"/>
  <c r="AP11" i="7"/>
  <c r="AP14" i="7" s="1"/>
  <c r="AP12" i="6"/>
  <c r="AP13" i="6" s="1"/>
  <c r="AP14" i="6" s="1"/>
  <c r="U18" i="7" l="1"/>
  <c r="U19" i="7" s="1"/>
  <c r="AQ14" i="7"/>
  <c r="U17" i="7"/>
  <c r="U20" i="7" l="1"/>
  <c r="V19" i="7" s="1"/>
  <c r="X18" i="7" l="1"/>
  <c r="U23" i="7"/>
  <c r="U26" i="7" s="1"/>
  <c r="V17"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<sst xmlns="http://schemas.openxmlformats.org/spreadsheetml/2006/main" count="522" uniqueCount="219">
  <si>
    <t>Q1Y18</t>
  </si>
  <si>
    <t>Q2Y18</t>
  </si>
  <si>
    <t>Q3Y18</t>
  </si>
  <si>
    <t>Q4Y18</t>
  </si>
  <si>
    <t>Q1Y19</t>
  </si>
  <si>
    <t>Q2Y19</t>
  </si>
  <si>
    <t>Q3Y19</t>
  </si>
  <si>
    <t>Q4Y19</t>
  </si>
  <si>
    <t>Q1Y20</t>
  </si>
  <si>
    <t>Q2Y20</t>
  </si>
  <si>
    <t>Q3Y20</t>
  </si>
  <si>
    <t>Q4Y20</t>
  </si>
  <si>
    <t>Q1Y21</t>
  </si>
  <si>
    <t>Q2Y21</t>
  </si>
  <si>
    <t>Q3Y21</t>
  </si>
  <si>
    <t>Q4Y21</t>
  </si>
  <si>
    <t>Q1Y22</t>
  </si>
  <si>
    <t>Q2Y22</t>
  </si>
  <si>
    <t>Q3Y22</t>
  </si>
  <si>
    <t>Q4Y22</t>
  </si>
  <si>
    <t>Q1Y23</t>
  </si>
  <si>
    <t>Q2Y23</t>
  </si>
  <si>
    <t>Q3Y23</t>
  </si>
  <si>
    <t>Q4Y23</t>
  </si>
  <si>
    <t>Q1Y24</t>
  </si>
  <si>
    <t>Q2Y24</t>
  </si>
  <si>
    <t>Q3Y24</t>
  </si>
  <si>
    <t>Q4Y24</t>
  </si>
  <si>
    <t>Q1Y25</t>
  </si>
  <si>
    <t>Q2Y25</t>
  </si>
  <si>
    <t>Q3Y25</t>
  </si>
  <si>
    <t>Q4Y25</t>
  </si>
  <si>
    <t>Q1Y26</t>
  </si>
  <si>
    <t>Q2Y26</t>
  </si>
  <si>
    <t>Q3Y26</t>
  </si>
  <si>
    <t>Q4Y26</t>
  </si>
  <si>
    <t>Q1Y27</t>
  </si>
  <si>
    <t>Q2Y27</t>
  </si>
  <si>
    <t>Q3Y27</t>
  </si>
  <si>
    <t>Q4Y27</t>
  </si>
  <si>
    <t>Sales</t>
  </si>
  <si>
    <t>COGS</t>
  </si>
  <si>
    <t>Gross Profit</t>
  </si>
  <si>
    <t>SG&amp;A</t>
  </si>
  <si>
    <t>OPEX</t>
  </si>
  <si>
    <t>EBIT (Operating Profit)</t>
  </si>
  <si>
    <t>D&amp;A</t>
  </si>
  <si>
    <t>EBITDA</t>
  </si>
  <si>
    <t>Other Income Expenses (I)</t>
  </si>
  <si>
    <t>EBT (Income Before Taxes)</t>
  </si>
  <si>
    <t>Taxes Paid</t>
  </si>
  <si>
    <t>Net Income (from Continuing Ops)</t>
  </si>
  <si>
    <t>Total Net Income</t>
  </si>
  <si>
    <t>Shares Outstanding</t>
  </si>
  <si>
    <t>EPS</t>
  </si>
  <si>
    <t xml:space="preserve">Plus: D&amp;A </t>
  </si>
  <si>
    <t>Less: CapEx</t>
  </si>
  <si>
    <t>(Increase) Decrease in Working
Capital from previous year</t>
  </si>
  <si>
    <t>Unlevered Free Cash Flow
(EBIT+D&amp;A+CapEx+WC)</t>
  </si>
  <si>
    <t>Tax Rate with the tax benefits yatayata</t>
  </si>
  <si>
    <t>Marginal Tax Rate</t>
  </si>
  <si>
    <t>Gross Margin</t>
  </si>
  <si>
    <t>Q/Q Revenue Growth</t>
  </si>
  <si>
    <t xml:space="preserve">Net Profit Percentage </t>
  </si>
  <si>
    <t>COGS as a % of Sales</t>
  </si>
  <si>
    <t>SG&amp;A as a % of Sales</t>
  </si>
  <si>
    <t>Interest Income as % of Sales</t>
  </si>
  <si>
    <t>Capital Expenditures (CapEx)</t>
  </si>
  <si>
    <t xml:space="preserve">Capital Expenditures as a %
of Revenue </t>
  </si>
  <si>
    <t>Current Assets</t>
  </si>
  <si>
    <t>Current Liabilities</t>
  </si>
  <si>
    <t>Working Capital</t>
  </si>
  <si>
    <t>Current Assets:</t>
  </si>
  <si>
    <t>Cash</t>
  </si>
  <si>
    <t>Short-Term Investments</t>
  </si>
  <si>
    <t>Accounts Receivable</t>
  </si>
  <si>
    <t>Inventory</t>
  </si>
  <si>
    <t>Other CA</t>
  </si>
  <si>
    <t>Total CA</t>
  </si>
  <si>
    <t>PPE</t>
  </si>
  <si>
    <t>Goodwill</t>
  </si>
  <si>
    <t>Other Net Intangibles</t>
  </si>
  <si>
    <t>Other Assets</t>
  </si>
  <si>
    <t>Total Assets</t>
  </si>
  <si>
    <t>Liabilities:</t>
  </si>
  <si>
    <t>Current Liabilities:</t>
  </si>
  <si>
    <t>Loans Payable</t>
  </si>
  <si>
    <t>Accounts Payable</t>
  </si>
  <si>
    <t>Other Current Liabilities</t>
  </si>
  <si>
    <t>Total CL</t>
  </si>
  <si>
    <t>Long-Term Debt</t>
  </si>
  <si>
    <t>Deferred Income Tax</t>
  </si>
  <si>
    <t>Other Noncurrent Liabilities</t>
  </si>
  <si>
    <t>Total Liabilities</t>
  </si>
  <si>
    <t>Stockholder's Equity</t>
  </si>
  <si>
    <t>Other Paid-In Capital</t>
  </si>
  <si>
    <t>Retained Earnings</t>
  </si>
  <si>
    <t>Accumulated Other Comphrehensive Loss</t>
  </si>
  <si>
    <t>Less Treasury Stock, at Cost</t>
  </si>
  <si>
    <t>Total Stockholders' Equity</t>
  </si>
  <si>
    <t>Noncontrolling Interests</t>
  </si>
  <si>
    <t>Total Equity</t>
  </si>
  <si>
    <t>Sum of Total Liabiltiies and Equity</t>
  </si>
  <si>
    <t>Net Income from Continuing Operations</t>
  </si>
  <si>
    <t>Adjustments to reconcile net income from continuing operations to 
net cash provided by operating activities of continuing operations:</t>
  </si>
  <si>
    <t>Deferred Income Taxes</t>
  </si>
  <si>
    <t>Share-based Compensation</t>
  </si>
  <si>
    <t>Other</t>
  </si>
  <si>
    <t>Net Cash Provided by Operating Activities of Continuing Ops</t>
  </si>
  <si>
    <t>Cash Flows from Investing Activities:</t>
  </si>
  <si>
    <t>CapEx</t>
  </si>
  <si>
    <t>Proceeds from Sale of securities and Other Investments</t>
  </si>
  <si>
    <t>Net Cash used in Investing Activities</t>
  </si>
  <si>
    <t>Cash Flows from Financing Activities:</t>
  </si>
  <si>
    <t>Net Change in Short-Term Borrowings</t>
  </si>
  <si>
    <t>Dividends paid to Shareholders</t>
  </si>
  <si>
    <t>Net Cash used in Financing Activities</t>
  </si>
  <si>
    <t>Effect of Exchange Rate Changes on Cash, Cash Equivalents &amp;
Restricted Cash</t>
  </si>
  <si>
    <t xml:space="preserve">Bunge Ltd. </t>
  </si>
  <si>
    <t>Bunge Ltd.</t>
  </si>
  <si>
    <t>Bunge Ltd</t>
  </si>
  <si>
    <t>(US$Millions)</t>
  </si>
  <si>
    <t>Interest Income</t>
  </si>
  <si>
    <t>Interest Expenses</t>
  </si>
  <si>
    <t>FX Gains/Losses</t>
  </si>
  <si>
    <t>FX Gains/(Losses)</t>
  </si>
  <si>
    <t>Operating Lease Assets</t>
  </si>
  <si>
    <t>Investments in Affiliates</t>
  </si>
  <si>
    <t>Short-term debt</t>
  </si>
  <si>
    <t>Current Operating Lease Obligations</t>
  </si>
  <si>
    <t>Liabilities held for Sale</t>
  </si>
  <si>
    <t>Non-Current Operating Lease Obligations</t>
  </si>
  <si>
    <t xml:space="preserve">Redeemable Noncontrolling Interest: </t>
  </si>
  <si>
    <t xml:space="preserve"> </t>
  </si>
  <si>
    <t>Foreign Exchange (gain) loss on net debt</t>
  </si>
  <si>
    <t>Bad Debt Expense</t>
  </si>
  <si>
    <t>(Gain) Loss on sale of investments in PPE</t>
  </si>
  <si>
    <t>Other, Net</t>
  </si>
  <si>
    <t>Changes in Operating Assets &amp; Liabilities,
excluding the effects of Acquisitions and Dispositions</t>
  </si>
  <si>
    <t>Trade Accounts Receivable</t>
  </si>
  <si>
    <t>Inventories</t>
  </si>
  <si>
    <t>Secured Advances to Suppliers</t>
  </si>
  <si>
    <t>Trade Accounts Receivable &amp; Accrued Liabilities</t>
  </si>
  <si>
    <t>Advances on Sales</t>
  </si>
  <si>
    <t>Net unrealized (gains) losses on derivative contracts</t>
  </si>
  <si>
    <t>Margin deposits</t>
  </si>
  <si>
    <t>Marketable Securities</t>
  </si>
  <si>
    <t>Beneficial interest in securitized trade receivables</t>
  </si>
  <si>
    <t>Other, net</t>
  </si>
  <si>
    <t>Purchases of Securities and other Investments</t>
  </si>
  <si>
    <t>Settlements of net investment hedges</t>
  </si>
  <si>
    <t>Proceeds from beneficial interest in securitized trade receivables</t>
  </si>
  <si>
    <t>Payments for beneficial interest in securitized trade receivables</t>
  </si>
  <si>
    <t>Proceeds from disposals of businesses and PPE</t>
  </si>
  <si>
    <t>Payments for investments in affiliates</t>
  </si>
  <si>
    <t>Proceeds from exercise of common shares</t>
  </si>
  <si>
    <t>Sale of noncontrolling interest</t>
  </si>
  <si>
    <t>Acqusition of noncontrolling Interest</t>
  </si>
  <si>
    <t>Cash and Cash Equivalents and restricted cash - beginning of period</t>
  </si>
  <si>
    <t>Cash and Cash Equivalents and restricted cash - end of period</t>
  </si>
  <si>
    <t>//</t>
  </si>
  <si>
    <t>Income Loss from Affiliates</t>
  </si>
  <si>
    <t>Proceeds from long term Debt</t>
  </si>
  <si>
    <t>Payments for Long-term Debt</t>
  </si>
  <si>
    <t>Covertible Preference Share Dividends</t>
  </si>
  <si>
    <t>Common Shares - Par Value</t>
  </si>
  <si>
    <t>Net Increase (Decrease) in cash and cash equivalents and restricted cash</t>
  </si>
  <si>
    <t>Repurchases of Common Shares</t>
  </si>
  <si>
    <t>Additional Net Income from Discontinued Ops and net income loss attributable
 to noncontrolling interests, etc</t>
  </si>
  <si>
    <t>Cash Flows from Operating Activities of 
Continuing Operations:</t>
  </si>
  <si>
    <t>-</t>
  </si>
  <si>
    <t>FX Gains/ Losses as a % of Sales</t>
  </si>
  <si>
    <t>Depreciation as a % of CapEx</t>
  </si>
  <si>
    <t>Trade Receivables</t>
  </si>
  <si>
    <t>Trade Payables</t>
  </si>
  <si>
    <t>Net Trade Cycle</t>
  </si>
  <si>
    <t>Selected Case</t>
  </si>
  <si>
    <t>DSO</t>
  </si>
  <si>
    <t>DIO</t>
  </si>
  <si>
    <t>DPO</t>
  </si>
  <si>
    <t>Using Average</t>
  </si>
  <si>
    <t>Using Most Recent</t>
  </si>
  <si>
    <t>Legend:</t>
  </si>
  <si>
    <t>Case 1 = Using Average Scenario</t>
  </si>
  <si>
    <t>Case 2 = Using Most Recent
 (Q1Y22) Scenario</t>
  </si>
  <si>
    <t>Do we only select trade receivables for days or do we select all short term CA that are liquid?</t>
  </si>
  <si>
    <t>Do we only select trade payables for days or do we select all short term CL that need to be paid within the year?</t>
  </si>
  <si>
    <t>Note: For CapEx, Taking the 
average of FY21 and using that value
 since it is the most recent</t>
  </si>
  <si>
    <t>Revenue</t>
  </si>
  <si>
    <t>Opex</t>
  </si>
  <si>
    <t>Interest Income as a % of Sales</t>
  </si>
  <si>
    <t>Taxes</t>
  </si>
  <si>
    <t>Shares</t>
  </si>
  <si>
    <t>Best Case</t>
  </si>
  <si>
    <t>Base Case</t>
  </si>
  <si>
    <t>Worst Case</t>
  </si>
  <si>
    <t>Other interest Income Expenses as a % of Sales</t>
  </si>
  <si>
    <t>Income Loss from Affiliates as a % Of Sales</t>
  </si>
  <si>
    <t>Long term debt</t>
  </si>
  <si>
    <t>Interest Rate</t>
  </si>
  <si>
    <t>Unlevered Free Cash Flow
(NOPAT+D&amp;A+CapEx+WC)</t>
  </si>
  <si>
    <t>Equity</t>
  </si>
  <si>
    <t>Debt</t>
  </si>
  <si>
    <t>WACC</t>
  </si>
  <si>
    <t>UFCF</t>
  </si>
  <si>
    <t>Discount Factor</t>
  </si>
  <si>
    <t>Present Value</t>
  </si>
  <si>
    <t>PV of Continuing Value</t>
  </si>
  <si>
    <t>Equity Value</t>
  </si>
  <si>
    <t>S/O</t>
  </si>
  <si>
    <t>Terminal Value</t>
  </si>
  <si>
    <t>Net Present Value</t>
  </si>
  <si>
    <t>Enterprise Value</t>
  </si>
  <si>
    <t>Financial Liabilities</t>
  </si>
  <si>
    <t>DCF Valuation:</t>
  </si>
  <si>
    <t>g</t>
  </si>
  <si>
    <t>EV</t>
  </si>
  <si>
    <t>CFs in Forecast Period</t>
  </si>
  <si>
    <t>Continuing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</si>
</sst>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_(&quot;$&quot;* #,##0_);_(&quot;$&quot;* \(#,##0\);_(&quot;$&quot;* &quot;-&quot;??_);_(@_)"/>
    <numFmt numFmtId="165" formatCode="_(&quot;$&quot;* #,##0.0_);_(&quot;$&quot;* \(#,##0.0\);_(&quot;$&quot;* &quot;-&quot;??_);_(@_)"/>
    <numFmt numFmtId="166" formatCode="0.0%"/>
    <numFmt numFmtId="167" formatCode="_(&quot;$&quot;* #,##0.0_);_(&quot;$&quot;* \(#,##0.0\);_(&quot;$&quot;* &quot;-&quot;?_);_(@_)"/>
    <numFmt numFmtId="168" formatCode="_(&quot;$&quot;* #,##0_);_(&quot;$&quot;* \(#,##0\);_(&quot;$&quot;* &quot;-&quot;?_);_(@_)"/>
    <numFmt numFmtId="169" formatCode="_([$$-409]* #,##0.00_);_([$$-409]* \(#,##0.00\);_([$$-409]* &quot;-&quot;??_);_(@_)"/>
  </numFmts>
  <fonts count="17">
    <font>
      <sz val="12"/>
      <color theme="1"/>
      <name val="TimesNewRomanPSMT"/>
      <family val="2"/>
    </font>
    <font>
      <sz val="12"/>
      <color theme="1"/>
      <name val="TimesNewRomanPSMT"/>
      <family val="2"/>
    </font>
    <font>
      <sz val="12"/>
      <color theme="0"/>
      <name val="TimesNewRomanPSMT"/>
      <family val="2"/>
    </font>
    <font>
      <sz val="12"/>
      <color theme="1"/>
      <name val="TimesNewRomanPSMT"/>
    </font>
    <font>
      <sz val="12"/>
      <color theme="1"/>
      <name val="Times New Roman"/>
      <family val="1"/>
    </font>
    <font>
      <b/>
      <sz val="12"/>
      <color theme="1"/>
      <name val="Times New Roman"/>
      <family val="1"/>
    </font>
    <font>
      <b/>
      <sz val="12"/>
      <color theme="1"/>
      <name val="TimesNewRomanPSMT"/>
    </font>
    <font>
      <sz val="12"/>
      <color rgb="FF000000"/>
      <name val="TimesNewRomanPSMT"/>
      <family val="2"/>
    </font>
    <font>
      <b/>
      <sz val="12"/>
      <color theme="1"/>
      <name val="Calibri"/>
      <family val="2"/>
      <scheme val="minor"/>
    </font>
    <font>
      <b/>
      <sz val="12"/>
      <color theme="4" tint="-0.499984740745262"/>
      <name val="Calibri"/>
      <family val="2"/>
      <scheme val="minor"/>
    </font>
    <font>
      <b/>
      <i/>
      <sz val="12"/>
      <color theme="1"/>
      <name val="Times New Roman"/>
      <family val="1"/>
    </font>
    <font>
      <b/>
      <i/>
      <sz val="12"/>
      <color theme="0"/>
      <name val="Calibri"/>
      <family val="2"/>
      <scheme val="minor"/>
    </font>
    <font>
      <b/>
      <i/>
      <sz val="12"/>
      <color theme="0"/>
      <name val="Times New Roman"/>
      <family val="1"/>
    </font>
    <font>
      <sz val="12"/>
      <color rgb="FF000000"/>
      <name val="Times New Roman"/>
      <family val="1"/>
    </font>
    <font>
      <sz val="9"/>
      <color theme="1"/>
      <name val="Arial"/>
      <family val="2"/>
    </font>
    <font>
      <sz val="8"/>
      <name val="TimesNewRomanPSMT"/>
      <family val="2"/>
    </font>
    <font>
      <u/>
      <sz val="12"/>
      <color theme="1"/>
      <name val="TimesNewRomanPSMT"/>
      <family val="2"/>
    </font>
  </fonts>
  <fills count="7">
    <fill>
      <patternFill patternType="none"/>
    </fill>
    <fill>
      <patternFill patternType="gray125"/>
    </fill>
    <fill>
      <patternFill patternType="solid">
        <fgColor theme="3"/>
        <bgColor indexed="64"/>
      </patternFill>
    </fill>
    <fill>
      <patternFill patternType="lightTrellis">
        <bgColor theme="3"/>
      </patternFill>
    </fill>
    <fill>
      <patternFill patternType="gray0625">
        <bgColor theme="3" tint="-0.24994659260841701"/>
      </patternFill>
    </fill>
    <fill>
      <patternFill patternType="solid">
        <fgColor theme="3" tint="-0.249977111117893"/>
        <bgColor indexed="64"/>
      </patternFill>
    </fill>
    <fill>
      <patternFill patternType="solid">
        <fgColor theme="0"/>
        <bgColor indexed="64"/>
      </patternFill>
    </fill>
  </fills>
  <borders count="18">
    <border>
      <left/>
      <right/>
      <top/>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right/>
      <top/>
      <bottom style="thin">
        <color theme="0"/>
      </bottom>
      <diagonal/>
    </border>
    <border>
      <left/>
      <right style="thin">
        <color theme="0"/>
      </right>
      <top/>
      <bottom/>
      <diagonal/>
    </border>
    <border>
      <left style="thin">
        <color theme="0"/>
      </left>
      <right style="thin">
        <color indexed="64"/>
      </right>
      <top style="thin">
        <color indexed="64"/>
      </top>
      <bottom style="thin">
        <color theme="0"/>
      </bottom>
      <diagonal/>
    </border>
    <border>
      <left style="thin">
        <color theme="1"/>
      </left>
      <right/>
      <top style="thin">
        <color theme="1"/>
      </top>
      <bottom/>
      <diagonal/>
    </border>
    <border>
      <left/>
      <right/>
      <top style="thin">
        <color theme="1"/>
      </top>
      <bottom/>
      <diagonal/>
    </border>
    <border>
      <left style="thin">
        <color theme="1"/>
      </left>
      <right/>
      <top/>
      <bottom/>
      <diagonal/>
    </border>
    <border>
      <left style="medium">
        <color theme="1" tint="4.9989318521683403E-2"/>
      </left>
      <right/>
      <top style="medium">
        <color theme="1" tint="4.9989318521683403E-2"/>
      </top>
      <bottom/>
      <diagonal/>
    </border>
    <border>
      <left/>
      <right/>
      <top style="medium">
        <color theme="1" tint="4.9989318521683403E-2"/>
      </top>
      <bottom/>
      <diagonal/>
    </border>
    <border>
      <left/>
      <right style="medium">
        <color theme="1" tint="4.9989318521683403E-2"/>
      </right>
      <top style="medium">
        <color theme="1" tint="4.9989318521683403E-2"/>
      </top>
      <bottom/>
      <diagonal/>
    </border>
    <border>
      <left style="medium">
        <color theme="1" tint="4.9989318521683403E-2"/>
      </left>
      <right/>
      <top/>
      <bottom/>
      <diagonal/>
    </border>
    <border>
      <left/>
      <right style="medium">
        <color theme="1" tint="4.9989318521683403E-2"/>
      </right>
      <top/>
      <bottom/>
      <diagonal/>
    </border>
    <border>
      <left style="medium">
        <color theme="1" tint="4.9989318521683403E-2"/>
      </left>
      <right/>
      <top/>
      <bottom style="medium">
        <color theme="1" tint="4.9989318521683403E-2"/>
      </bottom>
      <diagonal/>
    </border>
    <border>
      <left/>
      <right/>
      <top/>
      <bottom style="medium">
        <color theme="1" tint="4.9989318521683403E-2"/>
      </bottom>
      <diagonal/>
    </border>
    <border>
      <left/>
      <right style="medium">
        <color theme="1" tint="4.9989318521683403E-2"/>
      </right>
      <top/>
      <bottom style="medium">
        <color theme="1" tint="4.9989318521683403E-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1">
    <xf numFmtId="0" fontId="0" fillId="0" borderId="0" xfId="0"/>
    <xf numFmtId="0" fontId="3" fillId="0" borderId="0" xfId="0" applyFont="1" applyAlignment="1">
      <alignment horizontal="left"/>
    </xf>
    <xf numFmtId="164" fontId="0" fillId="0" borderId="1" xfId="0" applyNumberFormat="1" applyBorder="1"/>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xf numFmtId="0" fontId="0" fillId="0" borderId="0" xfId="0" applyAlignment="1">
      <alignment wrapText="1"/>
    </xf>
    <xf numFmtId="44" fontId="0" fillId="0" borderId="0" xfId="0" applyNumberFormat="1"/>
    <xf numFmtId="165" fontId="0" fillId="0" borderId="0" xfId="0" applyNumberFormat="1"/>
    <xf numFmtId="164" fontId="0" fillId="0" borderId="0" xfId="0" applyNumberFormat="1"/>
    <xf numFmtId="164" fontId="3" fillId="0" borderId="0" xfId="0" applyNumberFormat="1" applyFont="1" applyAlignment="1">
      <alignment horizontal="left"/>
    </xf>
    <xf numFmtId="164" fontId="6" fillId="0" borderId="0" xfId="0" applyNumberFormat="1" applyFont="1"/>
    <xf numFmtId="2" fontId="0" fillId="0" borderId="0" xfId="0" applyNumberFormat="1"/>
    <xf numFmtId="1" fontId="0" fillId="0" borderId="0" xfId="0" applyNumberFormat="1"/>
    <xf numFmtId="164" fontId="0" fillId="0" borderId="0" xfId="0" applyNumberFormat="1" applyAlignment="1">
      <alignment wrapText="1"/>
    </xf>
    <xf numFmtId="164" fontId="3" fillId="0" borderId="0" xfId="0" applyNumberFormat="1" applyFont="1"/>
    <xf numFmtId="164" fontId="6" fillId="0" borderId="0" xfId="0" applyNumberFormat="1" applyFont="1" applyAlignment="1">
      <alignment wrapText="1"/>
    </xf>
    <xf numFmtId="164" fontId="2" fillId="2" borderId="2" xfId="0" applyNumberFormat="1" applyFont="1" applyFill="1" applyBorder="1"/>
    <xf numFmtId="164" fontId="2" fillId="2" borderId="1" xfId="0" applyNumberFormat="1" applyFont="1" applyFill="1" applyBorder="1"/>
    <xf numFmtId="164" fontId="0" fillId="0" borderId="0" xfId="0" applyNumberFormat="1" applyAlignment="1">
      <alignment horizontal="left"/>
    </xf>
    <xf numFmtId="9" fontId="0" fillId="0" borderId="0" xfId="2" applyFont="1"/>
    <xf numFmtId="10" fontId="0" fillId="0" borderId="0" xfId="0" applyNumberFormat="1"/>
    <xf numFmtId="166" fontId="0" fillId="0" borderId="0" xfId="2" applyNumberFormat="1" applyFont="1"/>
    <xf numFmtId="10" fontId="0" fillId="0" borderId="0" xfId="2" applyNumberFormat="1" applyFont="1"/>
    <xf numFmtId="166" fontId="0" fillId="0" borderId="0" xfId="0" applyNumberFormat="1"/>
    <xf numFmtId="0" fontId="0" fillId="3" borderId="0" xfId="0" applyFill="1"/>
    <xf numFmtId="10" fontId="7" fillId="0" borderId="0" xfId="0" applyNumberFormat="1" applyFont="1"/>
    <xf numFmtId="0" fontId="8" fillId="0" borderId="0" xfId="0" applyFont="1"/>
    <xf numFmtId="1" fontId="9" fillId="0" borderId="0" xfId="0" applyNumberFormat="1" applyFont="1"/>
    <xf numFmtId="9" fontId="0" fillId="0" borderId="0" xfId="0" applyNumberFormat="1"/>
    <xf numFmtId="0" fontId="10" fillId="0" borderId="0" xfId="0" applyFont="1"/>
    <xf numFmtId="0" fontId="4" fillId="0" borderId="0" xfId="0" applyFont="1"/>
    <xf numFmtId="0" fontId="0" fillId="4" borderId="0" xfId="0" applyFill="1"/>
    <xf numFmtId="44" fontId="4" fillId="0" borderId="0" xfId="0" applyNumberFormat="1" applyFont="1"/>
    <xf numFmtId="44" fontId="0" fillId="4" borderId="0" xfId="0" applyNumberFormat="1" applyFill="1"/>
    <xf numFmtId="44" fontId="0" fillId="0" borderId="0" xfId="2" applyNumberFormat="1" applyFont="1"/>
    <xf numFmtId="1" fontId="0" fillId="0" borderId="0" xfId="2" applyNumberFormat="1" applyFont="1"/>
    <xf numFmtId="0" fontId="0" fillId="0" borderId="4" xfId="0" applyBorder="1"/>
    <xf numFmtId="1" fontId="2" fillId="5" borderId="6" xfId="0" applyNumberFormat="1" applyFont="1" applyFill="1" applyBorder="1"/>
    <xf numFmtId="1" fontId="11" fillId="5" borderId="5" xfId="0" applyNumberFormat="1" applyFont="1" applyFill="1" applyBorder="1"/>
    <xf numFmtId="0" fontId="12" fillId="5" borderId="0" xfId="0" applyFont="1" applyFill="1"/>
    <xf numFmtId="0" fontId="2" fillId="5" borderId="0" xfId="0" applyFont="1" applyFill="1"/>
    <xf numFmtId="0" fontId="12" fillId="0" borderId="0" xfId="0" applyFont="1" applyFill="1"/>
    <xf numFmtId="0" fontId="2" fillId="0" borderId="0" xfId="0" applyFont="1" applyFill="1"/>
    <xf numFmtId="164" fontId="8" fillId="0" borderId="3" xfId="0" applyNumberFormat="1" applyFont="1" applyBorder="1"/>
    <xf numFmtId="164" fontId="6" fillId="0" borderId="1" xfId="0" applyNumberFormat="1" applyFont="1" applyBorder="1"/>
    <xf numFmtId="164" fontId="4" fillId="0" borderId="0" xfId="0" applyNumberFormat="1" applyFont="1"/>
    <xf numFmtId="164" fontId="13" fillId="0" borderId="0" xfId="0" applyNumberFormat="1" applyFont="1" applyAlignment="1">
      <alignment horizontal="right"/>
    </xf>
    <xf numFmtId="167" fontId="0" fillId="0" borderId="0" xfId="0" applyNumberFormat="1"/>
    <xf numFmtId="168" fontId="0" fillId="0" borderId="0" xfId="0" applyNumberFormat="1"/>
    <xf numFmtId="164" fontId="0" fillId="4" borderId="0" xfId="0" applyNumberFormat="1" applyFill="1"/>
    <xf numFmtId="0" fontId="0" fillId="6" borderId="0" xfId="0" applyFill="1" applyBorder="1"/>
    <xf numFmtId="0" fontId="0" fillId="6" borderId="0" xfId="0" applyFill="1" applyBorder="1" applyAlignment="1">
      <alignment vertical="center"/>
    </xf>
    <xf numFmtId="164" fontId="0" fillId="6" borderId="0" xfId="0" applyNumberFormat="1" applyFill="1" applyBorder="1" applyAlignment="1">
      <alignment vertical="center"/>
    </xf>
    <xf numFmtId="1" fontId="0" fillId="6" borderId="0" xfId="0" applyNumberFormat="1" applyFill="1" applyBorder="1" applyAlignment="1">
      <alignment vertical="center"/>
    </xf>
    <xf numFmtId="164" fontId="0" fillId="6" borderId="11" xfId="0" applyNumberFormat="1" applyFill="1" applyBorder="1" applyAlignment="1">
      <alignment vertical="center"/>
    </xf>
    <xf numFmtId="0" fontId="0" fillId="6" borderId="14" xfId="0" applyFill="1" applyBorder="1"/>
    <xf numFmtId="0" fontId="0" fillId="6" borderId="0" xfId="0" applyFill="1"/>
    <xf numFmtId="43" fontId="14" fillId="6" borderId="0" xfId="1" applyFont="1" applyFill="1" applyBorder="1"/>
    <xf numFmtId="9" fontId="0" fillId="6" borderId="0" xfId="2" applyFont="1" applyFill="1"/>
    <xf numFmtId="0" fontId="0" fillId="6" borderId="10" xfId="0" applyFill="1" applyBorder="1"/>
    <xf numFmtId="0" fontId="0" fillId="6" borderId="11" xfId="0" applyFill="1" applyBorder="1" applyAlignment="1">
      <alignment horizontal="center" vertical="center"/>
    </xf>
    <xf numFmtId="0" fontId="3" fillId="6" borderId="11" xfId="0" applyFont="1"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xf numFmtId="164" fontId="0" fillId="6" borderId="0" xfId="0" applyNumberFormat="1" applyFill="1" applyBorder="1"/>
    <xf numFmtId="164" fontId="0" fillId="6" borderId="14" xfId="0" applyNumberFormat="1" applyFill="1" applyBorder="1"/>
    <xf numFmtId="43" fontId="14" fillId="6" borderId="14" xfId="1" applyFont="1" applyFill="1" applyBorder="1"/>
    <xf numFmtId="0" fontId="0" fillId="6" borderId="15" xfId="0" applyFill="1" applyBorder="1"/>
    <xf numFmtId="0" fontId="0" fillId="6" borderId="16" xfId="0" applyFill="1" applyBorder="1"/>
    <xf numFmtId="164" fontId="0" fillId="6" borderId="16" xfId="0" applyNumberFormat="1" applyFill="1" applyBorder="1"/>
    <xf numFmtId="164" fontId="0" fillId="6" borderId="17" xfId="0" applyNumberFormat="1" applyFill="1" applyBorder="1"/>
    <xf numFmtId="164" fontId="6" fillId="6" borderId="0" xfId="0" applyNumberFormat="1" applyFont="1" applyFill="1" applyBorder="1" applyAlignment="1">
      <alignment vertical="center"/>
    </xf>
    <xf numFmtId="0" fontId="3" fillId="6" borderId="0" xfId="0" applyFont="1" applyFill="1"/>
    <xf numFmtId="1" fontId="0" fillId="6" borderId="0" xfId="0" applyNumberFormat="1" applyFill="1"/>
    <xf numFmtId="0" fontId="0" fillId="6" borderId="10" xfId="0" applyFill="1" applyBorder="1" applyAlignment="1">
      <alignment horizontal="center" vertical="center"/>
    </xf>
    <xf numFmtId="0" fontId="0" fillId="6" borderId="15" xfId="0" applyFill="1" applyBorder="1" applyAlignment="1">
      <alignment horizontal="center" vertical="center"/>
    </xf>
    <xf numFmtId="1" fontId="0" fillId="6" borderId="8" xfId="0" applyNumberFormat="1" applyFill="1" applyBorder="1"/>
    <xf numFmtId="1" fontId="0" fillId="6" borderId="7" xfId="0" applyNumberFormat="1" applyFill="1" applyBorder="1"/>
    <xf numFmtId="1" fontId="0" fillId="6" borderId="9" xfId="0" applyNumberFormat="1" applyFill="1" applyBorder="1"/>
    <xf numFmtId="164" fontId="2" fillId="6" borderId="0" xfId="0" applyNumberFormat="1" applyFont="1" applyFill="1"/>
    <xf numFmtId="9" fontId="6" fillId="6" borderId="0" xfId="2" applyFont="1" applyFill="1"/>
    <xf numFmtId="169" fontId="0" fillId="6" borderId="0" xfId="0" applyNumberFormat="1" applyFill="1"/>
    <xf numFmtId="166" fontId="0" fillId="6" borderId="12" xfId="0" applyNumberFormat="1" applyFill="1" applyBorder="1" applyAlignment="1">
      <alignment horizontal="center" vertical="center"/>
    </xf>
    <xf numFmtId="166" fontId="0" fillId="6" borderId="17" xfId="0" applyNumberFormat="1" applyFill="1" applyBorder="1" applyAlignment="1">
      <alignment horizontal="center" vertical="center"/>
    </xf>
    <xf numFmtId="0" fontId="16" fillId="0" borderId="0" xfId="0" applyFont="1"/>
    <xf numFmtId="166" fontId="0" fillId="6" borderId="0" xfId="2" applyNumberFormat="1" applyFont="1" applyFill="1" applyBorder="1" applyAlignment="1">
      <alignment horizontal="center" vertical="center"/>
    </xf>
    <xf numFmtId="166" fontId="0" fillId="6" borderId="0" xfId="2" applyNumberFormat="1" applyFont="1" applyFill="1" applyBorder="1" applyAlignment="1">
      <alignment horizontal="center"/>
    </xf>
    <xf numFmtId="0" fontId="6" fillId="6" borderId="0" xfId="0" applyFont="1" applyFill="1" applyBorder="1" applyAlignment="1">
      <alignment vertical="center"/>
    </xf>
    <xf numFmtId="44" fontId="6" fillId="6" borderId="0" xfId="0" applyNumberFormat="1" applyFont="1" applyFill="1" applyBorder="1" applyAlignment="1">
      <alignment vertical="center"/>
    </xf>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Sales (Q1 2018 - Q2</a:t>
            </a:r>
            <a:r>
              <a:rPr lang="en-US" baseline="0"/>
              <a:t> 2022</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Charts!$B$5</c:f>
              <c:strCache>
                <c:ptCount val="1"/>
                <c:pt idx="0">
                  <c:v> Sales </c:v>
                </c:pt>
              </c:strCache>
            </c:strRef>
          </c:tx>
          <c:spPr>
            <a:solidFill>
              <a:schemeClr val="accent1"/>
            </a:solidFill>
            <a:ln>
              <a:noFill/>
            </a:ln>
            <a:effectLst/>
          </c:spPr>
          <c:invertIfNegative val="0"/>
          <c:cat>
            <c:strRef>
              <c:f>Charts!$C$4:$T$4</c:f>
              <c:strCache>
                <c:ptCount val="18"/>
                <c:pt idx="0">
                  <c:v> Q1Y18 </c:v>
                </c:pt>
                <c:pt idx="1">
                  <c:v> Q2Y18 </c:v>
                </c:pt>
                <c:pt idx="2">
                  <c:v> Q3Y18 </c:v>
                </c:pt>
                <c:pt idx="3">
                  <c:v> Q4Y18 </c:v>
                </c:pt>
                <c:pt idx="4">
                  <c:v> Q1Y19 </c:v>
                </c:pt>
                <c:pt idx="5">
                  <c:v> Q2Y19 </c:v>
                </c:pt>
                <c:pt idx="6">
                  <c:v> Q3Y19 </c:v>
                </c:pt>
                <c:pt idx="7">
                  <c:v> Q4Y19 </c:v>
                </c:pt>
                <c:pt idx="8">
                  <c:v> Q1Y20 </c:v>
                </c:pt>
                <c:pt idx="9">
                  <c:v> Q2Y20 </c:v>
                </c:pt>
                <c:pt idx="10">
                  <c:v> Q3Y20 </c:v>
                </c:pt>
                <c:pt idx="11">
                  <c:v> Q4Y20 </c:v>
                </c:pt>
                <c:pt idx="12">
                  <c:v> Q1Y21 </c:v>
                </c:pt>
                <c:pt idx="13">
                  <c:v> Q2Y21 </c:v>
                </c:pt>
                <c:pt idx="14">
                  <c:v> Q3Y21 </c:v>
                </c:pt>
                <c:pt idx="15">
                  <c:v> Q4Y21 </c:v>
                </c:pt>
                <c:pt idx="16">
                  <c:v> Q1Y22 </c:v>
                </c:pt>
                <c:pt idx="17">
                  <c:v> Q2Y22 </c:v>
                </c:pt>
              </c:strCache>
            </c:strRef>
          </c:cat>
          <c:val>
            <c:numRef>
              <c:f>Charts!$C$5:$T$5</c:f>
              <c:numCache>
                <c:formatCode>_("$"* #,##0_);_("$"* \(#,##0\);_("$"* "-"??_);_(@_)</c:formatCode>
                <c:ptCount val="18"/>
                <c:pt idx="0">
                  <c:v>10641</c:v>
                </c:pt>
                <c:pt idx="1">
                  <c:v>12147</c:v>
                </c:pt>
                <c:pt idx="2">
                  <c:v>11412</c:v>
                </c:pt>
                <c:pt idx="3">
                  <c:v>11543</c:v>
                </c:pt>
                <c:pt idx="4">
                  <c:v>9938</c:v>
                </c:pt>
                <c:pt idx="5">
                  <c:v>10096</c:v>
                </c:pt>
                <c:pt idx="6">
                  <c:v>10323</c:v>
                </c:pt>
                <c:pt idx="7">
                  <c:v>10783</c:v>
                </c:pt>
                <c:pt idx="8">
                  <c:v>9173</c:v>
                </c:pt>
                <c:pt idx="9">
                  <c:v>9462</c:v>
                </c:pt>
                <c:pt idx="10">
                  <c:v>10159</c:v>
                </c:pt>
                <c:pt idx="11">
                  <c:v>12610</c:v>
                </c:pt>
                <c:pt idx="12">
                  <c:v>12961</c:v>
                </c:pt>
                <c:pt idx="13">
                  <c:v>15391</c:v>
                </c:pt>
                <c:pt idx="14">
                  <c:v>14117</c:v>
                </c:pt>
                <c:pt idx="15">
                  <c:v>16683</c:v>
                </c:pt>
                <c:pt idx="16">
                  <c:v>15880</c:v>
                </c:pt>
                <c:pt idx="17">
                  <c:v>17933</c:v>
                </c:pt>
              </c:numCache>
            </c:numRef>
          </c:val>
          <c:extLst>
            <c:ext xmlns:c16="http://schemas.microsoft.com/office/drawing/2014/chart" uri="{C3380CC4-5D6E-409C-BE32-E72D297353CC}">
              <c16:uniqueId val="{00000000-00D3-0944-A0B4-6771B32BC78F}"/>
            </c:ext>
          </c:extLst>
        </c:ser>
        <c:dLbls>
          <c:dLblPos val="outEnd"/>
          <c:showLegendKey val="0"/>
          <c:showVal val="0"/>
          <c:showCatName val="0"/>
          <c:showSerName val="0"/>
          <c:showPercent val="0"/>
          <c:showBubbleSize val="0"/>
        </c:dLbls>
        <c:gapWidth val="219"/>
        <c:overlap val="-27"/>
        <c:axId val="1138446863"/>
        <c:axId val="1012714335"/>
      </c:barChart>
      <c:catAx>
        <c:axId val="113844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714335"/>
        <c:crosses val="autoZero"/>
        <c:auto val="1"/>
        <c:lblAlgn val="ctr"/>
        <c:lblOffset val="100"/>
        <c:noMultiLvlLbl val="0"/>
      </c:catAx>
      <c:valAx>
        <c:axId val="101271433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4468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Forecasted</a:t>
            </a:r>
            <a:r>
              <a:rPr lang="en-GB" baseline="0"/>
              <a:t> Sales for FY22-FY27</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Charts!$V$4:$AQ$4</c:f>
              <c:strCache>
                <c:ptCount val="22"/>
                <c:pt idx="0">
                  <c:v>Q3Y22</c:v>
                </c:pt>
                <c:pt idx="1">
                  <c:v>Q4Y22</c:v>
                </c:pt>
                <c:pt idx="2">
                  <c:v>Q1Y23</c:v>
                </c:pt>
                <c:pt idx="3">
                  <c:v>Q2Y23</c:v>
                </c:pt>
                <c:pt idx="4">
                  <c:v>Q3Y23</c:v>
                </c:pt>
                <c:pt idx="5">
                  <c:v>Q4Y23</c:v>
                </c:pt>
                <c:pt idx="6">
                  <c:v>Q1Y24</c:v>
                </c:pt>
                <c:pt idx="7">
                  <c:v>Q2Y24</c:v>
                </c:pt>
                <c:pt idx="8">
                  <c:v>Q3Y24</c:v>
                </c:pt>
                <c:pt idx="9">
                  <c:v>Q4Y24</c:v>
                </c:pt>
                <c:pt idx="10">
                  <c:v>Q1Y25</c:v>
                </c:pt>
                <c:pt idx="11">
                  <c:v>Q2Y25</c:v>
                </c:pt>
                <c:pt idx="12">
                  <c:v>Q3Y25</c:v>
                </c:pt>
                <c:pt idx="13">
                  <c:v>Q4Y25</c:v>
                </c:pt>
                <c:pt idx="14">
                  <c:v>Q1Y26</c:v>
                </c:pt>
                <c:pt idx="15">
                  <c:v>Q2Y26</c:v>
                </c:pt>
                <c:pt idx="16">
                  <c:v>Q3Y26</c:v>
                </c:pt>
                <c:pt idx="17">
                  <c:v>Q4Y26</c:v>
                </c:pt>
                <c:pt idx="18">
                  <c:v>Q1Y27</c:v>
                </c:pt>
                <c:pt idx="19">
                  <c:v>Q2Y27</c:v>
                </c:pt>
                <c:pt idx="20">
                  <c:v>Q3Y27</c:v>
                </c:pt>
                <c:pt idx="21">
                  <c:v>Q4Y27</c:v>
                </c:pt>
              </c:strCache>
            </c:strRef>
          </c:cat>
          <c:val>
            <c:numRef>
              <c:f>Charts!$V$5:$AQ$5</c:f>
              <c:numCache>
                <c:formatCode>_("$"* #,##0_);_("$"* \(#,##0\);_("$"* "-"??_);_(@_)</c:formatCode>
                <c:ptCount val="22"/>
                <c:pt idx="0">
                  <c:v>18650.32</c:v>
                </c:pt>
                <c:pt idx="1">
                  <c:v>19396.3328</c:v>
                </c:pt>
                <c:pt idx="2">
                  <c:v>20172.186111999999</c:v>
                </c:pt>
                <c:pt idx="3">
                  <c:v>20979.073556480002</c:v>
                </c:pt>
                <c:pt idx="4">
                  <c:v>21818.236498739203</c:v>
                </c:pt>
                <c:pt idx="5">
                  <c:v>22690.965958688772</c:v>
                </c:pt>
                <c:pt idx="6">
                  <c:v>23598.604597036323</c:v>
                </c:pt>
                <c:pt idx="7">
                  <c:v>24542.548780917776</c:v>
                </c:pt>
                <c:pt idx="8">
                  <c:v>25524.250732154487</c:v>
                </c:pt>
                <c:pt idx="9">
                  <c:v>26545.220761440669</c:v>
                </c:pt>
                <c:pt idx="10">
                  <c:v>27607.029591898296</c:v>
                </c:pt>
                <c:pt idx="11">
                  <c:v>28711.310775574228</c:v>
                </c:pt>
                <c:pt idx="12">
                  <c:v>29859.763206597199</c:v>
                </c:pt>
                <c:pt idx="13">
                  <c:v>31054.153734861087</c:v>
                </c:pt>
                <c:pt idx="14">
                  <c:v>32296.319884255532</c:v>
                </c:pt>
                <c:pt idx="15">
                  <c:v>33588.172679625757</c:v>
                </c:pt>
                <c:pt idx="16">
                  <c:v>34931.699586810792</c:v>
                </c:pt>
                <c:pt idx="17">
                  <c:v>36328.967570283225</c:v>
                </c:pt>
                <c:pt idx="18">
                  <c:v>37782.126273094553</c:v>
                </c:pt>
                <c:pt idx="19">
                  <c:v>39293.411324018336</c:v>
                </c:pt>
                <c:pt idx="20">
                  <c:v>40865.147776979073</c:v>
                </c:pt>
                <c:pt idx="21">
                  <c:v>42499.753688058234</c:v>
                </c:pt>
              </c:numCache>
            </c:numRef>
          </c:val>
          <c:extLst>
            <c:ext xmlns:c16="http://schemas.microsoft.com/office/drawing/2014/chart" uri="{C3380CC4-5D6E-409C-BE32-E72D297353CC}">
              <c16:uniqueId val="{00000000-86D3-5747-AA51-81B3D8687BB6}"/>
            </c:ext>
          </c:extLst>
        </c:ser>
        <c:dLbls>
          <c:showLegendKey val="0"/>
          <c:showVal val="0"/>
          <c:showCatName val="0"/>
          <c:showSerName val="0"/>
          <c:showPercent val="0"/>
          <c:showBubbleSize val="0"/>
        </c:dLbls>
        <c:gapWidth val="219"/>
        <c:overlap val="-27"/>
        <c:axId val="1029296271"/>
        <c:axId val="1029692143"/>
      </c:barChart>
      <c:catAx>
        <c:axId val="102929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692143"/>
        <c:crosses val="autoZero"/>
        <c:auto val="1"/>
        <c:lblAlgn val="ctr"/>
        <c:lblOffset val="100"/>
        <c:noMultiLvlLbl val="0"/>
      </c:catAx>
      <c:valAx>
        <c:axId val="10296921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296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all" spc="50" baseline="0">
                <a:solidFill>
                  <a:schemeClr val="tx1">
                    <a:lumMod val="65000"/>
                    <a:lumOff val="35000"/>
                  </a:schemeClr>
                </a:solidFill>
                <a:latin typeface="+mn-lt"/>
                <a:ea typeface="+mn-ea"/>
                <a:cs typeface="+mn-cs"/>
              </a:defRPr>
            </a:pPr>
            <a:r>
              <a:rPr lang="en-GB" b="0"/>
              <a:t>Enterprise Value: </a:t>
            </a:r>
          </a:p>
          <a:p>
            <a:pPr>
              <a:defRPr b="0"/>
            </a:pPr>
            <a:r>
              <a:rPr lang="en-GB" b="0"/>
              <a:t>Base Scenario</a:t>
            </a:r>
          </a:p>
        </c:rich>
      </c:tx>
      <c:overlay val="0"/>
      <c:spPr>
        <a:noFill/>
        <a:ln>
          <a:noFill/>
        </a:ln>
        <a:effectLst/>
      </c:spPr>
      <c:txPr>
        <a:bodyPr rot="0" spcFirstLastPara="1" vertOverflow="ellipsis" vert="horz" wrap="square" anchor="ctr" anchorCtr="1"/>
        <a:lstStyle/>
        <a:p>
          <a:pPr>
            <a:defRPr sz="14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chemeClr val="accent1">
                <a:lumMod val="50000"/>
              </a:schemeClr>
            </a:solidFill>
          </c:spPr>
          <c:dPt>
            <c:idx val="0"/>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8B9-DD47-B4BB-F1DD75CE3959}"/>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Charts!$E$28:$E$29</c:f>
              <c:strCache>
                <c:ptCount val="2"/>
                <c:pt idx="0">
                  <c:v>CFs in Forecast Period</c:v>
                </c:pt>
                <c:pt idx="1">
                  <c:v>Continuing Period</c:v>
                </c:pt>
              </c:strCache>
            </c:strRef>
          </c:cat>
          <c:val>
            <c:numRef>
              <c:f>Charts!$F$28:$F$29</c:f>
              <c:numCache>
                <c:formatCode>_("$"* #,##0_);_("$"* \(#,##0\);_("$"* "-"??_);_(@_)</c:formatCode>
                <c:ptCount val="2"/>
                <c:pt idx="0">
                  <c:v>25035.11942420193</c:v>
                </c:pt>
                <c:pt idx="1">
                  <c:v>18075.441978298237</c:v>
                </c:pt>
              </c:numCache>
            </c:numRef>
          </c:val>
          <c:extLst>
            <c:ext xmlns:c16="http://schemas.microsoft.com/office/drawing/2014/chart" uri="{C3380CC4-5D6E-409C-BE32-E72D297353CC}">
              <c16:uniqueId val="{00000000-88B9-DD47-B4BB-F1DD75CE3959}"/>
            </c:ext>
          </c:extLst>
        </c:ser>
        <c:dLbls>
          <c:showLegendKey val="0"/>
          <c:showVal val="0"/>
          <c:showCatName val="0"/>
          <c:showSerName val="0"/>
          <c:showPercent val="1"/>
          <c:showBubbleSize val="0"/>
          <c:showLeaderLines val="1"/>
        </c:dLbls>
        <c:firstSliceAng val="115"/>
        <c:holeSize val="50"/>
      </c:doughnutChart>
      <c:spPr>
        <a:noFill/>
        <a:ln>
          <a:solidFill>
            <a:schemeClr val="bg1"/>
          </a:solid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ENTERPRISE</a:t>
            </a:r>
            <a:r>
              <a:rPr lang="en-GB" baseline="0"/>
              <a:t> VALUE: </a:t>
            </a:r>
          </a:p>
          <a:p>
            <a:pPr>
              <a:defRPr/>
            </a:pPr>
            <a:r>
              <a:rPr lang="en-GB" baseline="0"/>
              <a:t>BEST SCENARIO</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7DE9-0F42-B5FE-279EAAB1D4D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7DE9-0F42-B5FE-279EAAB1D4D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Charts!$H$28:$H$29</c:f>
              <c:strCache>
                <c:ptCount val="2"/>
                <c:pt idx="0">
                  <c:v>CFs in Forecast Period</c:v>
                </c:pt>
                <c:pt idx="1">
                  <c:v>Continuing Period</c:v>
                </c:pt>
              </c:strCache>
            </c:strRef>
          </c:cat>
          <c:val>
            <c:numRef>
              <c:f>Charts!$I$28:$I$29</c:f>
              <c:numCache>
                <c:formatCode>_("$"* #,##0_);_("$"* \(#,##0\);_("$"* "-"??_);_(@_)</c:formatCode>
                <c:ptCount val="2"/>
                <c:pt idx="0">
                  <c:v>47105.651529043702</c:v>
                </c:pt>
                <c:pt idx="1">
                  <c:v>47816.772671389677</c:v>
                </c:pt>
              </c:numCache>
            </c:numRef>
          </c:val>
          <c:extLst>
            <c:ext xmlns:c16="http://schemas.microsoft.com/office/drawing/2014/chart" uri="{C3380CC4-5D6E-409C-BE32-E72D297353CC}">
              <c16:uniqueId val="{00000000-7DE9-0F42-B5FE-279EAAB1D4D1}"/>
            </c:ext>
          </c:extLst>
        </c:ser>
        <c:dLbls>
          <c:showLegendKey val="0"/>
          <c:showVal val="0"/>
          <c:showCatName val="0"/>
          <c:showSerName val="0"/>
          <c:showPercent val="1"/>
          <c:showBubbleSize val="0"/>
          <c:showLeaderLines val="1"/>
        </c:dLbls>
        <c:firstSliceAng val="149"/>
        <c:holeSize val="44"/>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ENTERPRISE</a:t>
            </a:r>
            <a:r>
              <a:rPr lang="en-GB" baseline="0"/>
              <a:t> VALUE:</a:t>
            </a:r>
          </a:p>
          <a:p>
            <a:pPr>
              <a:defRPr/>
            </a:pPr>
            <a:r>
              <a:rPr lang="en-GB" baseline="0"/>
              <a:t>WORST SCENARIO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chemeClr val="accent1"/>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6798-E549-B779-8B5F853C9C14}"/>
              </c:ext>
            </c:extLst>
          </c:dPt>
          <c:dPt>
            <c:idx val="1"/>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Charts!$K$28:$K$29</c:f>
              <c:strCache>
                <c:ptCount val="2"/>
                <c:pt idx="0">
                  <c:v>CFs in Forecast Period</c:v>
                </c:pt>
                <c:pt idx="1">
                  <c:v>Continuing Period</c:v>
                </c:pt>
              </c:strCache>
            </c:strRef>
          </c:cat>
          <c:val>
            <c:numRef>
              <c:f>Charts!$L$28:$L$29</c:f>
              <c:numCache>
                <c:formatCode>_("$"* #,##0_);_("$"* \(#,##0\);_("$"* "-"??_);_(@_)</c:formatCode>
                <c:ptCount val="2"/>
                <c:pt idx="0">
                  <c:v>9781.1867260974668</c:v>
                </c:pt>
                <c:pt idx="1">
                  <c:v>2956.9763261264607</c:v>
                </c:pt>
              </c:numCache>
            </c:numRef>
          </c:val>
          <c:extLst>
            <c:ext xmlns:c16="http://schemas.microsoft.com/office/drawing/2014/chart" uri="{C3380CC4-5D6E-409C-BE32-E72D297353CC}">
              <c16:uniqueId val="{00000000-6798-E549-B779-8B5F853C9C14}"/>
            </c:ext>
          </c:extLst>
        </c:ser>
        <c:dLbls>
          <c:showLegendKey val="0"/>
          <c:showVal val="0"/>
          <c:showCatName val="0"/>
          <c:showSerName val="0"/>
          <c:showPercent val="1"/>
          <c:showBubbleSize val="0"/>
          <c:showLeaderLines val="1"/>
        </c:dLbls>
        <c:firstSliceAng val="9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24</xdr:col>
      <xdr:colOff>12700</xdr:colOff>
      <xdr:row>15</xdr:row>
      <xdr:rowOff>139700</xdr:rowOff>
    </xdr:from>
    <xdr:to>
      <xdr:col>27</xdr:col>
      <xdr:colOff>698500</xdr:colOff>
      <xdr:row>16</xdr:row>
      <xdr:rowOff>190500</xdr:rowOff>
    </xdr:to>
    <xdr:sp macro="" textlink="">
      <xdr:nvSpPr>
        <xdr:cNvPr id="2" name="TextBox 1">
          <a:extLst>
            <a:ext uri="{FF2B5EF4-FFF2-40B4-BE49-F238E27FC236}">
              <a16:creationId xmlns:a16="http://schemas.microsoft.com/office/drawing/2014/main" id="{16B4300D-F1FA-6886-84D4-CD255014B6BE}"/>
            </a:ext>
          </a:extLst>
        </xdr:cNvPr>
        <xdr:cNvSpPr txBox="1"/>
      </xdr:nvSpPr>
      <xdr:spPr>
        <a:xfrm>
          <a:off x="7315200" y="5283200"/>
          <a:ext cx="3162300" cy="266700"/>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chemeClr val="bg1"/>
              </a:solidFill>
            </a:rPr>
            <a:t>WACC</a:t>
          </a:r>
        </a:p>
      </xdr:txBody>
    </xdr:sp>
    <xdr:clientData/>
  </xdr:twoCellAnchor>
  <xdr:twoCellAnchor>
    <xdr:from>
      <xdr:col>23</xdr:col>
      <xdr:colOff>127000</xdr:colOff>
      <xdr:row>18</xdr:row>
      <xdr:rowOff>38100</xdr:rowOff>
    </xdr:from>
    <xdr:to>
      <xdr:col>23</xdr:col>
      <xdr:colOff>495300</xdr:colOff>
      <xdr:row>21</xdr:row>
      <xdr:rowOff>190500</xdr:rowOff>
    </xdr:to>
    <xdr:sp macro="" textlink="">
      <xdr:nvSpPr>
        <xdr:cNvPr id="3" name="TextBox 2">
          <a:extLst>
            <a:ext uri="{FF2B5EF4-FFF2-40B4-BE49-F238E27FC236}">
              <a16:creationId xmlns:a16="http://schemas.microsoft.com/office/drawing/2014/main" id="{94B0E9F0-4C63-7A7F-C157-A1C8FFFF29CE}"/>
            </a:ext>
          </a:extLst>
        </xdr:cNvPr>
        <xdr:cNvSpPr txBox="1"/>
      </xdr:nvSpPr>
      <xdr:spPr>
        <a:xfrm>
          <a:off x="6604000" y="5803900"/>
          <a:ext cx="368300" cy="762000"/>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a:solidFill>
                <a:schemeClr val="bg1"/>
              </a:solidFill>
            </a:rPr>
            <a:t>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1473200</xdr:colOff>
      <xdr:row>8</xdr:row>
      <xdr:rowOff>84667</xdr:rowOff>
    </xdr:from>
    <xdr:to>
      <xdr:col>6</xdr:col>
      <xdr:colOff>571500</xdr:colOff>
      <xdr:row>23</xdr:row>
      <xdr:rowOff>12700</xdr:rowOff>
    </xdr:to>
    <xdr:graphicFrame macro="">
      <xdr:nvGraphicFramePr>
        <xdr:cNvPr id="8" name="Chart 7">
          <a:extLst>
            <a:ext uri="{FF2B5EF4-FFF2-40B4-BE49-F238E27FC236}">
              <a16:creationId xmlns:a16="http://schemas.microsoft.com/office/drawing/2014/main" id="{290B3EF1-534F-A6F5-7FEB-EE0C3F468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1187450</xdr:colOff>
      <xdr:row>7</xdr:row>
      <xdr:rowOff>0</xdr:rowOff>
    </xdr:from>
    <xdr:to>
      <xdr:col>6</xdr:col>
      <xdr:colOff>146050</xdr:colOff>
      <xdr:row>20</xdr:row>
      <xdr:rowOff>101600</xdr:rowOff>
    </xdr:to>
    <xdr:graphicFrame macro="">
      <xdr:nvGraphicFramePr>
        <xdr:cNvPr id="9" name="Chart 8">
          <a:extLst>
            <a:ext uri="{FF2B5EF4-FFF2-40B4-BE49-F238E27FC236}">
              <a16:creationId xmlns:a16="http://schemas.microsoft.com/office/drawing/2014/main" id="{138C559D-37EC-3657-62A8-1EF20A7B7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2209800</xdr:colOff>
      <xdr:row>31</xdr:row>
      <xdr:rowOff>57150</xdr:rowOff>
    </xdr:from>
    <xdr:to>
      <xdr:col>5</xdr:col>
      <xdr:colOff>723900</xdr:colOff>
      <xdr:row>44</xdr:row>
      <xdr:rowOff>88900</xdr:rowOff>
    </xdr:to>
    <xdr:graphicFrame macro="">
      <xdr:nvGraphicFramePr>
        <xdr:cNvPr id="11" name="Chart 10">
          <a:extLst>
            <a:ext uri="{FF2B5EF4-FFF2-40B4-BE49-F238E27FC236}">
              <a16:creationId xmlns:a16="http://schemas.microsoft.com/office/drawing/2014/main" id="{986DFA6D-0EB2-7690-9D1E-4A8328A61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665480</xdr:colOff>
      <xdr:row>30</xdr:row>
      <xdr:rowOff>132080</xdr:rowOff>
    </xdr:from>
    <xdr:to>
      <xdr:col>8</xdr:col>
      <xdr:colOff>1076960</xdr:colOff>
      <xdr:row>46</xdr:row>
      <xdr:rowOff>182880</xdr:rowOff>
    </xdr:to>
    <xdr:graphicFrame macro="">
      <xdr:nvGraphicFramePr>
        <xdr:cNvPr id="12" name="Chart 11">
          <a:extLst>
            <a:ext uri="{FF2B5EF4-FFF2-40B4-BE49-F238E27FC236}">
              <a16:creationId xmlns:a16="http://schemas.microsoft.com/office/drawing/2014/main" id="{0C48E966-EED3-FF90-4EB2-3F42C32C2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487680</xdr:colOff>
      <xdr:row>31</xdr:row>
      <xdr:rowOff>182880</xdr:rowOff>
    </xdr:from>
    <xdr:to>
      <xdr:col>11</xdr:col>
      <xdr:colOff>822960</xdr:colOff>
      <xdr:row>47</xdr:row>
      <xdr:rowOff>0</xdr:rowOff>
    </xdr:to>
    <xdr:graphicFrame macro="">
      <xdr:nvGraphicFramePr>
        <xdr:cNvPr id="13" name="Chart 12">
          <a:extLst>
            <a:ext uri="{FF2B5EF4-FFF2-40B4-BE49-F238E27FC236}">
              <a16:creationId xmlns:a16="http://schemas.microsoft.com/office/drawing/2014/main" id="{B47D848A-5EEC-7110-55C2-E43FF98375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223520</xdr:colOff>
      <xdr:row>41</xdr:row>
      <xdr:rowOff>30480</xdr:rowOff>
    </xdr:from>
    <xdr:to>
      <xdr:col>11</xdr:col>
      <xdr:colOff>284480</xdr:colOff>
      <xdr:row>42</xdr:row>
      <xdr:rowOff>193040</xdr:rowOff>
    </xdr:to>
    <xdr:sp macro="" textlink="">
      <xdr:nvSpPr>
        <xdr:cNvPr id="14" name="TextBox 13">
          <a:extLst>
            <a:ext uri="{FF2B5EF4-FFF2-40B4-BE49-F238E27FC236}">
              <a16:creationId xmlns:a16="http://schemas.microsoft.com/office/drawing/2014/main" id="{912D2634-C6E1-06CB-92FF-44C2DC2A1C20}"/>
            </a:ext>
          </a:extLst>
        </xdr:cNvPr>
        <xdr:cNvSpPr txBox="1"/>
      </xdr:nvSpPr>
      <xdr:spPr>
        <a:xfrm>
          <a:off x="9631680" y="8371840"/>
          <a:ext cx="88392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latin typeface="Times New Roman" panose="02020603050405020304" pitchFamily="18" charset="0"/>
              <a:cs typeface="Times New Roman" panose="02020603050405020304" pitchFamily="18" charset="0"/>
            </a:rPr>
            <a:t>$12,738m</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0.35054</cdr:x>
      <cdr:y>0.58192</cdr:y>
    </cdr:from>
    <cdr:to>
      <cdr:x>0.64148</cdr:x>
      <cdr:y>0.73933</cdr:y>
    </cdr:to>
    <cdr:sp macro="" textlink="">
      <cdr:nvSpPr>
        <cdr:cNvPr id="2" name="TextBox 1">
          <a:extLst xmlns:a="http://schemas.openxmlformats.org/drawingml/2006/main">
            <a:ext uri="{FF2B5EF4-FFF2-40B4-BE49-F238E27FC236}">
              <a16:creationId xmlns:a16="http://schemas.microsoft.com/office/drawing/2014/main" id="{73B24189-0F90-3C6E-8303-753D96F96899}"/>
            </a:ext>
          </a:extLst>
        </cdr:cNvPr>
        <cdr:cNvSpPr txBox="1"/>
      </cdr:nvSpPr>
      <cdr:spPr>
        <a:xfrm xmlns:a="http://schemas.openxmlformats.org/drawingml/2006/main">
          <a:off x="1119656" y="1363530"/>
          <a:ext cx="929251" cy="36882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100" b="1">
              <a:latin typeface="Times New Roman" panose="02020603050405020304" pitchFamily="18" charset="0"/>
              <a:cs typeface="Times New Roman" panose="02020603050405020304" pitchFamily="18" charset="0"/>
            </a:rPr>
            <a:t>$43,111</a:t>
          </a:r>
          <a:r>
            <a:rPr lang="en-GB" sz="1100" b="1" baseline="0">
              <a:latin typeface="Times New Roman" panose="02020603050405020304" pitchFamily="18" charset="0"/>
              <a:cs typeface="Times New Roman" panose="02020603050405020304" pitchFamily="18" charset="0"/>
            </a:rPr>
            <a:t>m</a:t>
          </a:r>
          <a:endParaRPr lang="en-GB" sz="1100" b="1">
            <a:latin typeface="Times New Roman" panose="02020603050405020304" pitchFamily="18" charset="0"/>
            <a:cs typeface="Times New Roman" panose="02020603050405020304" pitchFamily="18"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0.22684</cdr:x>
      <cdr:y>0.60737</cdr:y>
    </cdr:from>
    <cdr:to>
      <cdr:x>0.74815</cdr:x>
      <cdr:y>0.73435</cdr:y>
    </cdr:to>
    <cdr:sp macro="" textlink="">
      <cdr:nvSpPr>
        <cdr:cNvPr id="2" name="TextBox 1">
          <a:extLst xmlns:a="http://schemas.openxmlformats.org/drawingml/2006/main">
            <a:ext uri="{FF2B5EF4-FFF2-40B4-BE49-F238E27FC236}">
              <a16:creationId xmlns:a16="http://schemas.microsoft.com/office/drawing/2014/main" id="{20625E47-8247-6260-6A18-6F62ED35E71F}"/>
            </a:ext>
          </a:extLst>
        </cdr:cNvPr>
        <cdr:cNvSpPr txBox="1"/>
      </cdr:nvSpPr>
      <cdr:spPr>
        <a:xfrm xmlns:a="http://schemas.openxmlformats.org/drawingml/2006/main">
          <a:off x="466693" y="2005525"/>
          <a:ext cx="1072547" cy="419303"/>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400" b="1">
              <a:latin typeface="Times New Roman" panose="02020603050405020304" pitchFamily="18" charset="0"/>
              <a:cs typeface="Times New Roman" panose="02020603050405020304" pitchFamily="18" charset="0"/>
            </a:rPr>
            <a:t>$94,922m</a:t>
          </a:r>
        </a:p>
      </cdr:txBody>
    </cdr:sp>
  </cdr:relSizeAnchor>
</c:userShape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https://www.bing.com/financeapi/forcetrigger?t=a1oeww&amp;q=XNYS%3aBG&amp;form=skydnc</v>
    <v>Learn more on Bing</v>
  </rv>
  <rv s="1">
    <v>0</v>
    <v>BUNGE LIMITED (XNYS:BG)</v>
    <v>2</v>
    <v>3</v>
    <v>Finance</v>
    <v>4</v>
    <v>en-GB</v>
    <v>a1oeww</v>
    <v>268435456</v>
    <v>1</v>
    <v>Powered by Refinitiv</v>
    <v>128.4</v>
    <v>74.27</v>
    <v>0.56850000000000001</v>
    <v>-0.62</v>
    <v>-6.0229999999999997E-3</v>
    <v>2.68</v>
    <v>2.6192000000000003E-2</v>
    <v>USD</v>
    <v>Bunge Limited is an agricultural business and food company. The Company operates through four segments: Agribusiness, Refined and Specialty Oils, Milling, and Sugar and Bioenergy. The Agribusiness segment is an integrated, global business principally involved in the purchase, storage, transportation, processing and sale of agricultural commodities and commodity products. The Refined and Specialty Oils segment includes businesses that sell vegetable oils and fats, including cooking oils, shortenings, and specialty ingredients. Its Refined and Specialty Oils segment has over 69 refining and packaging facilities and also has approximately 88 storage facilities globally. The Milling segment includes businesses that sell wheat flour, bakery mixes and corn-based products. Its Milling segment has over 23 milling facilities and also has over nine storage facilities globally. The Sugar and Bioenergy segment has over 11 mills located across the Southeast, North and Midwest regions of Brazil.</v>
    <v>22000</v>
    <v>New York Stock Exchange</v>
    <v>XNYS</v>
    <v>XNYS</v>
    <v>1391 Timberlake Manor Parkway, CHESTERFIELD, MO, 63017 US</v>
    <v>103.52</v>
    <v>Food &amp; Tobacco</v>
    <v>Stock</v>
    <v>44799.986879825781</v>
    <v>0</v>
    <v>101.19</v>
    <v>15542220000</v>
    <v>BUNGE LIMITED</v>
    <v>BUNGE LIMITED</v>
    <v>102.63</v>
    <v>8.8544</v>
    <v>102.94</v>
    <v>102.32</v>
    <v>105</v>
    <v>151898200</v>
    <v>BG</v>
    <v>BUNGE LIMITED (XNYS:BG)</v>
    <v>921023</v>
    <v>1416618</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050BC-8B54-1849-BCB1-20BC24D17BA1}">
  <dimension ref="B1:XFD96"/>
  <sheetViews>
    <sheetView workbookViewId="0">
      <pane xSplit="2" ySplit="7" topLeftCell="C8" activePane="bottomRight" state="frozen"/>
      <selection pane="topRight" activeCell="C1" sqref="C1"/>
      <selection pane="bottomLeft" activeCell="A8" sqref="A8"/>
      <selection pane="bottomRight" activeCell="C5" sqref="C5"/>
    </sheetView>
  </sheetViews>
  <sheetFormatPr baseColWidth="10" defaultRowHeight="16"/>
  <cols>
    <col min="1" max="1" width="1.83203125" customWidth="1"/>
    <col min="2" max="2" width="39.1640625" bestFit="1" customWidth="1"/>
    <col min="4" max="5" width="11" bestFit="1" customWidth="1"/>
    <col min="6" max="6" width="11.1640625" bestFit="1" customWidth="1"/>
    <col min="7" max="9" width="11" bestFit="1" customWidth="1"/>
    <col min="10" max="10" width="11.1640625" bestFit="1" customWidth="1"/>
    <col min="11" max="16" width="11" bestFit="1" customWidth="1"/>
    <col min="17" max="17" width="11.1640625" bestFit="1" customWidth="1"/>
    <col min="18" max="19" width="11" bestFit="1" customWidth="1"/>
    <col min="20" max="20" width="12.6640625" bestFit="1" customWidth="1"/>
    <col min="21" max="21" width="4" customWidth="1"/>
    <col min="22" max="22" width="12.33203125" bestFit="1" customWidth="1"/>
  </cols>
  <sheetData>
    <row r="1" spans="2:53">
      <c r="B1" t="s">
        <v>119</v>
      </c>
    </row>
    <row r="2" spans="2:53">
      <c r="B2" t="e" vm="1">
        <v>#VALUE!</v>
      </c>
    </row>
    <row r="5" spans="2:53">
      <c r="B5" s="41" t="s">
        <v>176</v>
      </c>
      <c r="C5" s="42">
        <v>1</v>
      </c>
    </row>
    <row r="7" spans="2:53">
      <c r="B7" s="10" t="s">
        <v>121</v>
      </c>
      <c r="C7" s="10" t="s">
        <v>0</v>
      </c>
      <c r="D7" s="10" t="s">
        <v>1</v>
      </c>
      <c r="E7" s="10" t="s">
        <v>2</v>
      </c>
      <c r="F7" s="10" t="s">
        <v>3</v>
      </c>
      <c r="G7" s="10" t="s">
        <v>4</v>
      </c>
      <c r="H7" s="10" t="s">
        <v>5</v>
      </c>
      <c r="I7" s="10" t="s">
        <v>6</v>
      </c>
      <c r="J7" s="10" t="s">
        <v>7</v>
      </c>
      <c r="K7" s="10" t="s">
        <v>8</v>
      </c>
      <c r="L7" s="10" t="s">
        <v>9</v>
      </c>
      <c r="M7" s="11" t="s">
        <v>10</v>
      </c>
      <c r="N7" s="11" t="s">
        <v>11</v>
      </c>
      <c r="O7" s="10" t="s">
        <v>12</v>
      </c>
      <c r="P7" s="10" t="s">
        <v>13</v>
      </c>
      <c r="Q7" s="10" t="s">
        <v>14</v>
      </c>
      <c r="R7" s="10" t="s">
        <v>15</v>
      </c>
      <c r="S7" s="10" t="s">
        <v>16</v>
      </c>
      <c r="T7" s="10" t="s">
        <v>17</v>
      </c>
      <c r="V7" t="s">
        <v>18</v>
      </c>
      <c r="W7" t="s">
        <v>19</v>
      </c>
      <c r="X7" t="s">
        <v>20</v>
      </c>
      <c r="Y7" t="s">
        <v>21</v>
      </c>
      <c r="Z7" t="s">
        <v>22</v>
      </c>
      <c r="AA7" t="s">
        <v>23</v>
      </c>
      <c r="AB7" t="s">
        <v>24</v>
      </c>
      <c r="AC7" t="s">
        <v>25</v>
      </c>
      <c r="AD7" t="s">
        <v>26</v>
      </c>
      <c r="AE7" t="s">
        <v>27</v>
      </c>
      <c r="AF7" t="s">
        <v>28</v>
      </c>
      <c r="AG7" t="s">
        <v>29</v>
      </c>
      <c r="AH7" t="s">
        <v>30</v>
      </c>
      <c r="AI7" t="s">
        <v>31</v>
      </c>
      <c r="AJ7" t="s">
        <v>32</v>
      </c>
      <c r="AK7" t="s">
        <v>33</v>
      </c>
      <c r="AL7" t="s">
        <v>34</v>
      </c>
      <c r="AM7" t="s">
        <v>35</v>
      </c>
      <c r="AN7" t="s">
        <v>36</v>
      </c>
      <c r="AO7" t="s">
        <v>37</v>
      </c>
      <c r="AP7" t="s">
        <v>38</v>
      </c>
      <c r="AQ7" t="s">
        <v>39</v>
      </c>
    </row>
    <row r="8" spans="2:53">
      <c r="B8" s="12" t="s">
        <v>40</v>
      </c>
      <c r="C8" s="10">
        <v>10641</v>
      </c>
      <c r="D8" s="10">
        <v>12147</v>
      </c>
      <c r="E8" s="10">
        <v>11412</v>
      </c>
      <c r="F8" s="10">
        <f>45743-E8-D8-C8</f>
        <v>11543</v>
      </c>
      <c r="G8" s="10">
        <v>9938</v>
      </c>
      <c r="H8" s="10">
        <v>10096</v>
      </c>
      <c r="I8" s="10">
        <v>10323</v>
      </c>
      <c r="J8" s="10">
        <f>41140-I8-H8-G8</f>
        <v>10783</v>
      </c>
      <c r="K8" s="10">
        <v>9173</v>
      </c>
      <c r="L8" s="10">
        <v>9462</v>
      </c>
      <c r="M8" s="10">
        <v>10159</v>
      </c>
      <c r="N8" s="10">
        <f>41404-M8-L8-K8</f>
        <v>12610</v>
      </c>
      <c r="O8" s="10">
        <v>12961</v>
      </c>
      <c r="P8" s="10">
        <v>15391</v>
      </c>
      <c r="Q8" s="10">
        <v>14117</v>
      </c>
      <c r="R8" s="10">
        <f>59152-Q8-P8-O8</f>
        <v>16683</v>
      </c>
      <c r="S8" s="10">
        <v>15880</v>
      </c>
      <c r="T8" s="12">
        <v>17933</v>
      </c>
      <c r="V8" s="10">
        <f>T8*V51</f>
        <v>18650.32</v>
      </c>
      <c r="W8" s="10">
        <f t="shared" ref="W8:AQ8" si="0">V8*W51</f>
        <v>19396.3328</v>
      </c>
      <c r="X8" s="10">
        <f t="shared" si="0"/>
        <v>20172.186111999999</v>
      </c>
      <c r="Y8" s="10">
        <f t="shared" si="0"/>
        <v>20979.073556480002</v>
      </c>
      <c r="Z8" s="10">
        <f t="shared" si="0"/>
        <v>21818.236498739203</v>
      </c>
      <c r="AA8" s="10">
        <f t="shared" si="0"/>
        <v>22690.965958688772</v>
      </c>
      <c r="AB8" s="10">
        <f t="shared" si="0"/>
        <v>23598.604597036323</v>
      </c>
      <c r="AC8" s="10">
        <f t="shared" si="0"/>
        <v>24542.548780917776</v>
      </c>
      <c r="AD8" s="10">
        <f t="shared" si="0"/>
        <v>25524.250732154487</v>
      </c>
      <c r="AE8" s="10">
        <f t="shared" si="0"/>
        <v>26545.220761440669</v>
      </c>
      <c r="AF8" s="10">
        <f t="shared" si="0"/>
        <v>27607.029591898296</v>
      </c>
      <c r="AG8" s="10">
        <f t="shared" si="0"/>
        <v>28711.310775574228</v>
      </c>
      <c r="AH8" s="10">
        <f t="shared" si="0"/>
        <v>29859.763206597199</v>
      </c>
      <c r="AI8" s="10">
        <f t="shared" si="0"/>
        <v>31054.153734861087</v>
      </c>
      <c r="AJ8" s="10">
        <f t="shared" si="0"/>
        <v>32296.319884255532</v>
      </c>
      <c r="AK8" s="10">
        <f t="shared" si="0"/>
        <v>33588.172679625757</v>
      </c>
      <c r="AL8" s="10">
        <f t="shared" si="0"/>
        <v>34931.699586810792</v>
      </c>
      <c r="AM8" s="10">
        <f t="shared" si="0"/>
        <v>36328.967570283225</v>
      </c>
      <c r="AN8" s="10">
        <f t="shared" si="0"/>
        <v>37782.126273094553</v>
      </c>
      <c r="AO8" s="10">
        <f t="shared" si="0"/>
        <v>39293.411324018336</v>
      </c>
      <c r="AP8" s="10">
        <f t="shared" si="0"/>
        <v>40865.147776979073</v>
      </c>
      <c r="AQ8" s="10">
        <f t="shared" si="0"/>
        <v>42499.753688058234</v>
      </c>
    </row>
    <row r="9" spans="2:53" s="6" customFormat="1">
      <c r="B9" s="12" t="s">
        <v>41</v>
      </c>
      <c r="C9" s="12">
        <v>-10257</v>
      </c>
      <c r="D9" s="12">
        <v>-11605</v>
      </c>
      <c r="E9" s="12">
        <v>-10494</v>
      </c>
      <c r="F9" s="12">
        <f>-43477-E9-D9-C9</f>
        <v>-11121</v>
      </c>
      <c r="G9" s="12">
        <v>-9501</v>
      </c>
      <c r="H9" s="12">
        <v>-9584</v>
      </c>
      <c r="I9" s="12">
        <v>-11301</v>
      </c>
      <c r="J9" s="12">
        <f>-40598-I9-H9-G9</f>
        <v>-10212</v>
      </c>
      <c r="K9" s="12">
        <v>-8999</v>
      </c>
      <c r="L9" s="12">
        <v>-8357</v>
      </c>
      <c r="M9" s="12">
        <v>-9557</v>
      </c>
      <c r="N9" s="12">
        <f>-38619-M9-L9-K9</f>
        <v>-11706</v>
      </c>
      <c r="O9" s="12">
        <v>-11814</v>
      </c>
      <c r="P9" s="12">
        <v>-14726</v>
      </c>
      <c r="Q9" s="12">
        <v>-13255</v>
      </c>
      <c r="R9" s="12">
        <f>-55789-Q9-P9-O9</f>
        <v>-15994</v>
      </c>
      <c r="S9" s="12">
        <v>-14676</v>
      </c>
      <c r="T9" s="12">
        <v>-17161</v>
      </c>
      <c r="V9" s="10">
        <f>-(V8*V52)</f>
        <v>-17531.300799999997</v>
      </c>
      <c r="W9" s="10">
        <f t="shared" ref="W9:AQ9" si="1">-(W8*W52)</f>
        <v>-18232.552831999998</v>
      </c>
      <c r="X9" s="10">
        <f t="shared" si="1"/>
        <v>-18961.85494528</v>
      </c>
      <c r="Y9" s="10">
        <f t="shared" si="1"/>
        <v>-19720.3291430912</v>
      </c>
      <c r="Z9" s="10">
        <f t="shared" si="1"/>
        <v>-20509.142308814851</v>
      </c>
      <c r="AA9" s="10">
        <f t="shared" si="1"/>
        <v>-21329.508001167444</v>
      </c>
      <c r="AB9" s="10">
        <f t="shared" si="1"/>
        <v>-22182.688321214144</v>
      </c>
      <c r="AC9" s="10">
        <f t="shared" si="1"/>
        <v>-23069.995854062709</v>
      </c>
      <c r="AD9" s="10">
        <f t="shared" si="1"/>
        <v>-23992.795688225218</v>
      </c>
      <c r="AE9" s="10">
        <f t="shared" si="1"/>
        <v>-24952.507515754227</v>
      </c>
      <c r="AF9" s="10">
        <f t="shared" si="1"/>
        <v>-25950.607816384396</v>
      </c>
      <c r="AG9" s="10">
        <f t="shared" si="1"/>
        <v>-26988.632129039772</v>
      </c>
      <c r="AH9" s="10">
        <f t="shared" si="1"/>
        <v>-28068.177414201367</v>
      </c>
      <c r="AI9" s="10">
        <f t="shared" si="1"/>
        <v>-29190.904510769422</v>
      </c>
      <c r="AJ9" s="10">
        <f t="shared" si="1"/>
        <v>-30358.5406912002</v>
      </c>
      <c r="AK9" s="10">
        <f t="shared" si="1"/>
        <v>-31572.882318848209</v>
      </c>
      <c r="AL9" s="10">
        <f t="shared" si="1"/>
        <v>-32835.797611602145</v>
      </c>
      <c r="AM9" s="10">
        <f t="shared" si="1"/>
        <v>-34149.229516066232</v>
      </c>
      <c r="AN9" s="10">
        <f t="shared" si="1"/>
        <v>-35515.198696708874</v>
      </c>
      <c r="AO9" s="10">
        <f t="shared" si="1"/>
        <v>-36935.806644577235</v>
      </c>
      <c r="AP9" s="10">
        <f t="shared" si="1"/>
        <v>-38413.238910360327</v>
      </c>
      <c r="AQ9" s="10">
        <f t="shared" si="1"/>
        <v>-39949.768466774738</v>
      </c>
      <c r="AR9" s="10"/>
    </row>
    <row r="10" spans="2:53" s="6" customFormat="1">
      <c r="B10" s="12" t="s">
        <v>42</v>
      </c>
      <c r="C10" s="12">
        <f t="shared" ref="C10:R10" si="2">SUM(C8:C9)</f>
        <v>384</v>
      </c>
      <c r="D10" s="12">
        <f t="shared" si="2"/>
        <v>542</v>
      </c>
      <c r="E10" s="12">
        <f t="shared" si="2"/>
        <v>918</v>
      </c>
      <c r="F10" s="12">
        <f t="shared" si="2"/>
        <v>422</v>
      </c>
      <c r="G10" s="12">
        <f t="shared" si="2"/>
        <v>437</v>
      </c>
      <c r="H10" s="12">
        <f t="shared" si="2"/>
        <v>512</v>
      </c>
      <c r="I10" s="12">
        <f t="shared" si="2"/>
        <v>-978</v>
      </c>
      <c r="J10" s="12">
        <f t="shared" si="2"/>
        <v>571</v>
      </c>
      <c r="K10" s="12">
        <f t="shared" si="2"/>
        <v>174</v>
      </c>
      <c r="L10" s="12">
        <f t="shared" si="2"/>
        <v>1105</v>
      </c>
      <c r="M10" s="12">
        <f t="shared" si="2"/>
        <v>602</v>
      </c>
      <c r="N10" s="12">
        <f t="shared" si="2"/>
        <v>904</v>
      </c>
      <c r="O10" s="12">
        <f t="shared" si="2"/>
        <v>1147</v>
      </c>
      <c r="P10" s="12">
        <f t="shared" si="2"/>
        <v>665</v>
      </c>
      <c r="Q10" s="12">
        <f t="shared" si="2"/>
        <v>862</v>
      </c>
      <c r="R10" s="12">
        <f t="shared" si="2"/>
        <v>689</v>
      </c>
      <c r="S10" s="12">
        <f>SUM(S8:S9)</f>
        <v>1204</v>
      </c>
      <c r="T10" s="12">
        <f>SUM(T8:T9)</f>
        <v>772</v>
      </c>
      <c r="V10" s="10">
        <f t="shared" ref="V10:AQ10" si="3">V8+V9</f>
        <v>1119.0192000000025</v>
      </c>
      <c r="W10" s="10">
        <f t="shared" si="3"/>
        <v>1163.7799680000026</v>
      </c>
      <c r="X10" s="10">
        <f t="shared" si="3"/>
        <v>1210.3311667199996</v>
      </c>
      <c r="Y10" s="10">
        <f t="shared" si="3"/>
        <v>1258.7444133888021</v>
      </c>
      <c r="Z10" s="10">
        <f t="shared" si="3"/>
        <v>1309.0941899243517</v>
      </c>
      <c r="AA10" s="10">
        <f t="shared" si="3"/>
        <v>1361.4579575213284</v>
      </c>
      <c r="AB10" s="10">
        <f t="shared" si="3"/>
        <v>1415.9162758221792</v>
      </c>
      <c r="AC10" s="10">
        <f t="shared" si="3"/>
        <v>1472.5529268550672</v>
      </c>
      <c r="AD10" s="10">
        <f t="shared" si="3"/>
        <v>1531.4550439292689</v>
      </c>
      <c r="AE10" s="10">
        <f t="shared" si="3"/>
        <v>1592.713245686442</v>
      </c>
      <c r="AF10" s="10">
        <f t="shared" si="3"/>
        <v>1656.4217755138998</v>
      </c>
      <c r="AG10" s="10">
        <f t="shared" si="3"/>
        <v>1722.6786465344558</v>
      </c>
      <c r="AH10" s="10">
        <f t="shared" si="3"/>
        <v>1791.585792395832</v>
      </c>
      <c r="AI10" s="10">
        <f t="shared" si="3"/>
        <v>1863.2492240916654</v>
      </c>
      <c r="AJ10" s="10">
        <f t="shared" si="3"/>
        <v>1937.7791930553321</v>
      </c>
      <c r="AK10" s="10">
        <f t="shared" si="3"/>
        <v>2015.2903607775479</v>
      </c>
      <c r="AL10" s="10">
        <f t="shared" si="3"/>
        <v>2095.901975208646</v>
      </c>
      <c r="AM10" s="10">
        <f t="shared" si="3"/>
        <v>2179.7380542169922</v>
      </c>
      <c r="AN10" s="10">
        <f t="shared" si="3"/>
        <v>2266.9275763856785</v>
      </c>
      <c r="AO10" s="10">
        <f t="shared" si="3"/>
        <v>2357.6046794411013</v>
      </c>
      <c r="AP10" s="10">
        <f t="shared" si="3"/>
        <v>2451.9088666187454</v>
      </c>
      <c r="AQ10" s="10">
        <f t="shared" si="3"/>
        <v>2549.9852212834958</v>
      </c>
      <c r="AR10" s="10"/>
    </row>
    <row r="11" spans="2:53">
      <c r="B11" s="10" t="s">
        <v>43</v>
      </c>
      <c r="C11" s="10">
        <v>-344</v>
      </c>
      <c r="D11" s="10">
        <v>-377</v>
      </c>
      <c r="E11" s="10">
        <v>-333</v>
      </c>
      <c r="F11" s="10">
        <f>-1423-E11-D11-C11</f>
        <v>-369</v>
      </c>
      <c r="G11" s="10">
        <v>-305</v>
      </c>
      <c r="H11" s="10">
        <v>-335</v>
      </c>
      <c r="I11" s="10">
        <v>-329</v>
      </c>
      <c r="J11" s="10">
        <f>-1351-I11-H11-G11</f>
        <v>-382</v>
      </c>
      <c r="K11" s="10">
        <v>-295</v>
      </c>
      <c r="L11" s="10">
        <v>-346</v>
      </c>
      <c r="M11" s="10">
        <v>-352</v>
      </c>
      <c r="N11" s="10">
        <f>-1358-M11-L11-K11</f>
        <v>-365</v>
      </c>
      <c r="O11" s="10">
        <v>-271</v>
      </c>
      <c r="P11" s="10">
        <v>-297</v>
      </c>
      <c r="Q11" s="10">
        <v>-327</v>
      </c>
      <c r="R11" s="10">
        <f>-1234-Q11-P11-Q11-O11</f>
        <v>-12</v>
      </c>
      <c r="S11" s="10">
        <v>-308</v>
      </c>
      <c r="T11" s="10">
        <v>-334</v>
      </c>
      <c r="V11" s="10">
        <f>-(V8*V54)</f>
        <v>-559.50959999999998</v>
      </c>
      <c r="W11" s="10">
        <f>-(W8*W54)</f>
        <v>-581.88998400000003</v>
      </c>
      <c r="X11" s="10">
        <f t="shared" ref="X11:AQ11" si="4">-(X8*X54)</f>
        <v>-605.16558335999991</v>
      </c>
      <c r="Y11" s="10">
        <f t="shared" si="4"/>
        <v>-629.37220669440001</v>
      </c>
      <c r="Z11" s="10">
        <f t="shared" si="4"/>
        <v>-654.54709496217606</v>
      </c>
      <c r="AA11" s="10">
        <f t="shared" si="4"/>
        <v>-680.72897876066315</v>
      </c>
      <c r="AB11" s="10">
        <f t="shared" si="4"/>
        <v>-707.95813791108969</v>
      </c>
      <c r="AC11" s="10">
        <f t="shared" si="4"/>
        <v>-736.27646342753326</v>
      </c>
      <c r="AD11" s="10">
        <f t="shared" si="4"/>
        <v>-765.72752196463455</v>
      </c>
      <c r="AE11" s="10">
        <f t="shared" si="4"/>
        <v>-796.35662284322007</v>
      </c>
      <c r="AF11" s="10">
        <f t="shared" si="4"/>
        <v>-828.21088775694886</v>
      </c>
      <c r="AG11" s="10">
        <f t="shared" si="4"/>
        <v>-861.33932326722675</v>
      </c>
      <c r="AH11" s="10">
        <f t="shared" si="4"/>
        <v>-895.79289619791598</v>
      </c>
      <c r="AI11" s="10">
        <f t="shared" si="4"/>
        <v>-931.62461204583258</v>
      </c>
      <c r="AJ11" s="10">
        <f t="shared" si="4"/>
        <v>-968.88959652766596</v>
      </c>
      <c r="AK11" s="10">
        <f t="shared" si="4"/>
        <v>-1007.6451803887727</v>
      </c>
      <c r="AL11" s="10">
        <f t="shared" si="4"/>
        <v>-1047.9509876043237</v>
      </c>
      <c r="AM11" s="10">
        <f t="shared" si="4"/>
        <v>-1089.8690271084968</v>
      </c>
      <c r="AN11" s="10">
        <f t="shared" si="4"/>
        <v>-1133.4637881928365</v>
      </c>
      <c r="AO11" s="10">
        <f t="shared" si="4"/>
        <v>-1178.80233972055</v>
      </c>
      <c r="AP11" s="10">
        <f t="shared" si="4"/>
        <v>-1225.9544333093722</v>
      </c>
      <c r="AQ11" s="10">
        <f t="shared" si="4"/>
        <v>-1274.992610641747</v>
      </c>
    </row>
    <row r="12" spans="2:53" ht="17" thickBot="1">
      <c r="B12" s="2" t="s">
        <v>44</v>
      </c>
      <c r="C12" s="10">
        <f t="shared" ref="C12:R12" si="5">SUM(C11:C11)</f>
        <v>-344</v>
      </c>
      <c r="D12" s="10">
        <f t="shared" si="5"/>
        <v>-377</v>
      </c>
      <c r="E12" s="10">
        <f t="shared" si="5"/>
        <v>-333</v>
      </c>
      <c r="F12" s="10">
        <f t="shared" si="5"/>
        <v>-369</v>
      </c>
      <c r="G12" s="10">
        <f t="shared" si="5"/>
        <v>-305</v>
      </c>
      <c r="H12" s="10">
        <f t="shared" si="5"/>
        <v>-335</v>
      </c>
      <c r="I12" s="10">
        <f t="shared" si="5"/>
        <v>-329</v>
      </c>
      <c r="J12" s="10">
        <f t="shared" si="5"/>
        <v>-382</v>
      </c>
      <c r="K12" s="10">
        <f t="shared" si="5"/>
        <v>-295</v>
      </c>
      <c r="L12" s="10">
        <f t="shared" si="5"/>
        <v>-346</v>
      </c>
      <c r="M12" s="10">
        <f t="shared" si="5"/>
        <v>-352</v>
      </c>
      <c r="N12" s="10">
        <f t="shared" si="5"/>
        <v>-365</v>
      </c>
      <c r="O12" s="10">
        <f t="shared" si="5"/>
        <v>-271</v>
      </c>
      <c r="P12" s="10">
        <f t="shared" si="5"/>
        <v>-297</v>
      </c>
      <c r="Q12" s="10">
        <f t="shared" si="5"/>
        <v>-327</v>
      </c>
      <c r="R12" s="10">
        <f t="shared" si="5"/>
        <v>-12</v>
      </c>
      <c r="S12" s="10">
        <f>SUM(S11:S11)</f>
        <v>-308</v>
      </c>
      <c r="T12" s="10">
        <f>SUM(T11:T11)</f>
        <v>-334</v>
      </c>
      <c r="V12" s="10">
        <f>V11</f>
        <v>-559.50959999999998</v>
      </c>
      <c r="W12" s="10">
        <f>W11</f>
        <v>-581.88998400000003</v>
      </c>
      <c r="X12" s="10">
        <f t="shared" ref="X12:AQ12" si="6">X11</f>
        <v>-605.16558335999991</v>
      </c>
      <c r="Y12" s="10">
        <f t="shared" si="6"/>
        <v>-629.37220669440001</v>
      </c>
      <c r="Z12" s="10">
        <f t="shared" si="6"/>
        <v>-654.54709496217606</v>
      </c>
      <c r="AA12" s="10">
        <f t="shared" si="6"/>
        <v>-680.72897876066315</v>
      </c>
      <c r="AB12" s="10">
        <f t="shared" si="6"/>
        <v>-707.95813791108969</v>
      </c>
      <c r="AC12" s="10">
        <f t="shared" si="6"/>
        <v>-736.27646342753326</v>
      </c>
      <c r="AD12" s="10">
        <f t="shared" si="6"/>
        <v>-765.72752196463455</v>
      </c>
      <c r="AE12" s="10">
        <f t="shared" si="6"/>
        <v>-796.35662284322007</v>
      </c>
      <c r="AF12" s="10">
        <f t="shared" si="6"/>
        <v>-828.21088775694886</v>
      </c>
      <c r="AG12" s="10">
        <f t="shared" si="6"/>
        <v>-861.33932326722675</v>
      </c>
      <c r="AH12" s="10">
        <f t="shared" si="6"/>
        <v>-895.79289619791598</v>
      </c>
      <c r="AI12" s="10">
        <f t="shared" si="6"/>
        <v>-931.62461204583258</v>
      </c>
      <c r="AJ12" s="10">
        <f t="shared" si="6"/>
        <v>-968.88959652766596</v>
      </c>
      <c r="AK12" s="10">
        <f t="shared" si="6"/>
        <v>-1007.6451803887727</v>
      </c>
      <c r="AL12" s="10">
        <f t="shared" si="6"/>
        <v>-1047.9509876043237</v>
      </c>
      <c r="AM12" s="10">
        <f t="shared" si="6"/>
        <v>-1089.8690271084968</v>
      </c>
      <c r="AN12" s="10">
        <f t="shared" si="6"/>
        <v>-1133.4637881928365</v>
      </c>
      <c r="AO12" s="10">
        <f t="shared" si="6"/>
        <v>-1178.80233972055</v>
      </c>
      <c r="AP12" s="10">
        <f t="shared" si="6"/>
        <v>-1225.9544333093722</v>
      </c>
      <c r="AQ12" s="10">
        <f t="shared" si="6"/>
        <v>-1274.992610641747</v>
      </c>
    </row>
    <row r="13" spans="2:53">
      <c r="B13" s="10" t="s">
        <v>45</v>
      </c>
      <c r="C13" s="10">
        <f t="shared" ref="C13:R13" si="7">C10+C12</f>
        <v>40</v>
      </c>
      <c r="D13" s="10">
        <f t="shared" si="7"/>
        <v>165</v>
      </c>
      <c r="E13" s="10">
        <f t="shared" si="7"/>
        <v>585</v>
      </c>
      <c r="F13" s="10">
        <f t="shared" si="7"/>
        <v>53</v>
      </c>
      <c r="G13" s="10">
        <f t="shared" si="7"/>
        <v>132</v>
      </c>
      <c r="H13" s="10">
        <f t="shared" si="7"/>
        <v>177</v>
      </c>
      <c r="I13" s="10">
        <f t="shared" si="7"/>
        <v>-1307</v>
      </c>
      <c r="J13" s="10">
        <f t="shared" si="7"/>
        <v>189</v>
      </c>
      <c r="K13" s="10">
        <f t="shared" si="7"/>
        <v>-121</v>
      </c>
      <c r="L13" s="10">
        <f t="shared" si="7"/>
        <v>759</v>
      </c>
      <c r="M13" s="10">
        <f t="shared" si="7"/>
        <v>250</v>
      </c>
      <c r="N13" s="10">
        <f t="shared" si="7"/>
        <v>539</v>
      </c>
      <c r="O13" s="10">
        <f t="shared" si="7"/>
        <v>876</v>
      </c>
      <c r="P13" s="10">
        <f t="shared" si="7"/>
        <v>368</v>
      </c>
      <c r="Q13" s="10">
        <f t="shared" si="7"/>
        <v>535</v>
      </c>
      <c r="R13" s="10">
        <f t="shared" si="7"/>
        <v>677</v>
      </c>
      <c r="S13" s="10">
        <f>S10+S12</f>
        <v>896</v>
      </c>
      <c r="T13" s="10">
        <f>T10+T12</f>
        <v>438</v>
      </c>
      <c r="V13" s="10">
        <f>V10+V12</f>
        <v>559.50960000000248</v>
      </c>
      <c r="W13" s="10">
        <f t="shared" ref="W13:AQ13" si="8">W10+W12</f>
        <v>581.88998400000253</v>
      </c>
      <c r="X13" s="10">
        <f t="shared" si="8"/>
        <v>605.16558335999969</v>
      </c>
      <c r="Y13" s="10">
        <f t="shared" si="8"/>
        <v>629.37220669440205</v>
      </c>
      <c r="Z13" s="10">
        <f t="shared" si="8"/>
        <v>654.54709496217561</v>
      </c>
      <c r="AA13" s="10">
        <f t="shared" si="8"/>
        <v>680.7289787606652</v>
      </c>
      <c r="AB13" s="10">
        <f t="shared" si="8"/>
        <v>707.95813791108947</v>
      </c>
      <c r="AC13" s="10">
        <f t="shared" si="8"/>
        <v>736.27646342753394</v>
      </c>
      <c r="AD13" s="10">
        <f t="shared" si="8"/>
        <v>765.72752196463432</v>
      </c>
      <c r="AE13" s="10">
        <f t="shared" si="8"/>
        <v>796.35662284322188</v>
      </c>
      <c r="AF13" s="10">
        <f t="shared" si="8"/>
        <v>828.21088775695091</v>
      </c>
      <c r="AG13" s="10">
        <f t="shared" si="8"/>
        <v>861.33932326722902</v>
      </c>
      <c r="AH13" s="10">
        <f t="shared" si="8"/>
        <v>895.79289619791598</v>
      </c>
      <c r="AI13" s="10">
        <f t="shared" si="8"/>
        <v>931.62461204583281</v>
      </c>
      <c r="AJ13" s="10">
        <f t="shared" si="8"/>
        <v>968.88959652766619</v>
      </c>
      <c r="AK13" s="10">
        <f t="shared" si="8"/>
        <v>1007.6451803887752</v>
      </c>
      <c r="AL13" s="10">
        <f t="shared" si="8"/>
        <v>1047.9509876043223</v>
      </c>
      <c r="AM13" s="10">
        <f t="shared" si="8"/>
        <v>1089.8690271084954</v>
      </c>
      <c r="AN13" s="10">
        <f t="shared" si="8"/>
        <v>1133.463788192842</v>
      </c>
      <c r="AO13" s="10">
        <f t="shared" si="8"/>
        <v>1178.8023397205513</v>
      </c>
      <c r="AP13" s="10">
        <f t="shared" si="8"/>
        <v>1225.9544333093731</v>
      </c>
      <c r="AQ13" s="10">
        <f t="shared" si="8"/>
        <v>1274.9926106417488</v>
      </c>
    </row>
    <row r="14" spans="2:53">
      <c r="B14" s="10" t="s">
        <v>46</v>
      </c>
      <c r="C14" s="10">
        <f>'Cash Flow Statement'!D14</f>
        <v>304</v>
      </c>
      <c r="D14" s="10">
        <f>'Cash Flow Statement'!E14</f>
        <v>31</v>
      </c>
      <c r="E14" s="10">
        <f>'Cash Flow Statement'!E13</f>
        <v>463</v>
      </c>
      <c r="F14" s="10">
        <f>'Cash Flow Statement'!F13</f>
        <v>26</v>
      </c>
      <c r="G14" s="10">
        <f>'Cash Flow Statement'!G13</f>
        <v>139</v>
      </c>
      <c r="H14" s="10">
        <f>'Cash Flow Statement'!H13</f>
        <v>4</v>
      </c>
      <c r="I14" s="10">
        <f>'Cash Flow Statement'!I13</f>
        <v>428</v>
      </c>
      <c r="J14" s="10">
        <f>'Cash Flow Statement'!J13</f>
        <v>548</v>
      </c>
      <c r="K14" s="10">
        <f>'Cash Flow Statement'!K13</f>
        <v>113</v>
      </c>
      <c r="L14" s="10">
        <f>'Cash Flow Statement'!L13</f>
        <v>65</v>
      </c>
      <c r="M14" s="10">
        <f>'Cash Flow Statement'!M13</f>
        <v>68</v>
      </c>
      <c r="N14" s="10">
        <f>'Cash Flow Statement'!N13</f>
        <v>435</v>
      </c>
      <c r="O14" s="10">
        <f>'Cash Flow Statement'!O13</f>
        <v>106</v>
      </c>
      <c r="P14" s="10">
        <f>'Cash Flow Statement'!P13</f>
        <v>212</v>
      </c>
      <c r="Q14" s="10">
        <f>'Cash Flow Statement'!Q13</f>
        <v>317</v>
      </c>
      <c r="R14" s="10">
        <f>'Cash Flow Statement'!R13</f>
        <v>424</v>
      </c>
      <c r="S14" s="10">
        <f>'Cash Flow Statement'!S13</f>
        <v>102</v>
      </c>
      <c r="T14" s="10">
        <f>'Cash Flow Statement'!T13</f>
        <v>204</v>
      </c>
      <c r="V14" s="8">
        <f>'D&amp;A_CapEx'!V11</f>
        <v>303.29643033962265</v>
      </c>
      <c r="W14" s="8">
        <f>'D&amp;A_CapEx'!W11</f>
        <v>315.4282875532075</v>
      </c>
      <c r="X14" s="8">
        <f>'D&amp;A_CapEx'!X11</f>
        <v>260.1070186592604</v>
      </c>
      <c r="Y14" s="8">
        <f>'D&amp;A_CapEx'!Y11</f>
        <v>270.51129940563084</v>
      </c>
      <c r="Z14" s="8">
        <f>'D&amp;A_CapEx'!Z11</f>
        <v>281.33175138185607</v>
      </c>
      <c r="AA14" s="8">
        <f>'D&amp;A_CapEx'!AA11</f>
        <v>292.58502143713031</v>
      </c>
      <c r="AB14" s="8">
        <f>'D&amp;A_CapEx'!AB11</f>
        <v>304.28842229461554</v>
      </c>
      <c r="AC14" s="8">
        <f>'D&amp;A_CapEx'!AC11</f>
        <v>316.45995918640017</v>
      </c>
      <c r="AD14" s="8">
        <f>'D&amp;A_CapEx'!AD11</f>
        <v>329.11835755385619</v>
      </c>
      <c r="AE14" s="8">
        <f>'D&amp;A_CapEx'!AE11</f>
        <v>342.28309185601046</v>
      </c>
      <c r="AF14" s="8">
        <f>'D&amp;A_CapEx'!AF11</f>
        <v>355.97441553025089</v>
      </c>
      <c r="AG14" s="8">
        <f>'D&amp;A_CapEx'!AG11</f>
        <v>370.21339215146094</v>
      </c>
      <c r="AH14" s="8">
        <f>'D&amp;A_CapEx'!AH11</f>
        <v>385.02192783751934</v>
      </c>
      <c r="AI14" s="8">
        <f>'D&amp;A_CapEx'!AI11</f>
        <v>400.42280495102017</v>
      </c>
      <c r="AJ14" s="8">
        <f>'D&amp;A_CapEx'!AJ11</f>
        <v>416.43971714906098</v>
      </c>
      <c r="AK14" s="8">
        <f>'D&amp;A_CapEx'!AK11</f>
        <v>433.09730583502346</v>
      </c>
      <c r="AL14" s="8">
        <f>'D&amp;A_CapEx'!AL11</f>
        <v>450.42119806842447</v>
      </c>
      <c r="AM14" s="8">
        <f>'D&amp;A_CapEx'!AM11</f>
        <v>468.43804599116146</v>
      </c>
      <c r="AN14" s="8">
        <f>'D&amp;A_CapEx'!AN11</f>
        <v>487.17556783080789</v>
      </c>
      <c r="AO14" s="8">
        <f>'D&amp;A_CapEx'!AO11</f>
        <v>506.6625905440402</v>
      </c>
      <c r="AP14" s="8">
        <f>'D&amp;A_CapEx'!AP11</f>
        <v>526.92909416580187</v>
      </c>
      <c r="AQ14" s="8">
        <f>'D&amp;A_CapEx'!AQ11</f>
        <v>548.00625793243398</v>
      </c>
      <c r="AR14" s="8"/>
    </row>
    <row r="15" spans="2:53">
      <c r="B15" s="10" t="s">
        <v>47</v>
      </c>
      <c r="C15" s="10">
        <f t="shared" ref="C15:S15" si="9">C13+C14</f>
        <v>344</v>
      </c>
      <c r="D15" s="10">
        <f t="shared" si="9"/>
        <v>196</v>
      </c>
      <c r="E15" s="10">
        <f t="shared" si="9"/>
        <v>1048</v>
      </c>
      <c r="F15" s="10">
        <f t="shared" si="9"/>
        <v>79</v>
      </c>
      <c r="G15" s="10">
        <f t="shared" si="9"/>
        <v>271</v>
      </c>
      <c r="H15" s="10">
        <f t="shared" si="9"/>
        <v>181</v>
      </c>
      <c r="I15" s="10">
        <f t="shared" si="9"/>
        <v>-879</v>
      </c>
      <c r="J15" s="10">
        <f t="shared" si="9"/>
        <v>737</v>
      </c>
      <c r="K15" s="10">
        <f t="shared" si="9"/>
        <v>-8</v>
      </c>
      <c r="L15" s="10">
        <f t="shared" si="9"/>
        <v>824</v>
      </c>
      <c r="M15" s="10">
        <f t="shared" si="9"/>
        <v>318</v>
      </c>
      <c r="N15" s="10">
        <f t="shared" si="9"/>
        <v>974</v>
      </c>
      <c r="O15" s="10">
        <f t="shared" si="9"/>
        <v>982</v>
      </c>
      <c r="P15" s="10">
        <f t="shared" si="9"/>
        <v>580</v>
      </c>
      <c r="Q15" s="10">
        <f t="shared" si="9"/>
        <v>852</v>
      </c>
      <c r="R15" s="10">
        <f t="shared" si="9"/>
        <v>1101</v>
      </c>
      <c r="S15" s="10">
        <f t="shared" si="9"/>
        <v>998</v>
      </c>
      <c r="T15" s="10">
        <f>T13+T14</f>
        <v>642</v>
      </c>
      <c r="V15" s="10">
        <f>V13+V14</f>
        <v>862.80603033962507</v>
      </c>
      <c r="W15" s="10">
        <f t="shared" ref="W15:AQ15" si="10">W13+W14</f>
        <v>897.31827155321002</v>
      </c>
      <c r="X15" s="10">
        <f t="shared" si="10"/>
        <v>865.27260201926015</v>
      </c>
      <c r="Y15" s="10">
        <f t="shared" si="10"/>
        <v>899.88350610003295</v>
      </c>
      <c r="Z15" s="10">
        <f t="shared" si="10"/>
        <v>935.87884634403167</v>
      </c>
      <c r="AA15" s="10">
        <f t="shared" si="10"/>
        <v>973.31400019779551</v>
      </c>
      <c r="AB15" s="10">
        <f t="shared" si="10"/>
        <v>1012.246560205705</v>
      </c>
      <c r="AC15" s="10">
        <f t="shared" si="10"/>
        <v>1052.7364226139341</v>
      </c>
      <c r="AD15" s="10">
        <f t="shared" si="10"/>
        <v>1094.8458795184906</v>
      </c>
      <c r="AE15" s="10">
        <f t="shared" si="10"/>
        <v>1138.6397146992324</v>
      </c>
      <c r="AF15" s="10">
        <f t="shared" si="10"/>
        <v>1184.1853032872018</v>
      </c>
      <c r="AG15" s="10">
        <f t="shared" si="10"/>
        <v>1231.55271541869</v>
      </c>
      <c r="AH15" s="10">
        <f t="shared" si="10"/>
        <v>1280.8148240354353</v>
      </c>
      <c r="AI15" s="10">
        <f t="shared" si="10"/>
        <v>1332.0474169968529</v>
      </c>
      <c r="AJ15" s="10">
        <f t="shared" si="10"/>
        <v>1385.3293136767272</v>
      </c>
      <c r="AK15" s="10">
        <f t="shared" si="10"/>
        <v>1440.7424862237986</v>
      </c>
      <c r="AL15" s="10">
        <f t="shared" si="10"/>
        <v>1498.3721856727468</v>
      </c>
      <c r="AM15" s="10">
        <f t="shared" si="10"/>
        <v>1558.3070730996569</v>
      </c>
      <c r="AN15" s="10">
        <f t="shared" si="10"/>
        <v>1620.63935602365</v>
      </c>
      <c r="AO15" s="10">
        <f t="shared" si="10"/>
        <v>1685.4649302645917</v>
      </c>
      <c r="AP15" s="10">
        <f t="shared" si="10"/>
        <v>1752.883527475175</v>
      </c>
      <c r="AQ15" s="10">
        <f t="shared" si="10"/>
        <v>1822.9988685741828</v>
      </c>
      <c r="AR15" s="10"/>
      <c r="AS15" s="10"/>
      <c r="AT15" s="10"/>
      <c r="AU15" s="10"/>
      <c r="AV15" s="10"/>
      <c r="AW15" s="10"/>
      <c r="AX15" s="10"/>
      <c r="AY15" s="10"/>
      <c r="AZ15" s="10"/>
      <c r="BA15" s="10"/>
    </row>
    <row r="16" spans="2:53">
      <c r="B16" s="10" t="s">
        <v>125</v>
      </c>
      <c r="C16" s="10">
        <v>0</v>
      </c>
      <c r="D16" s="10">
        <v>-96</v>
      </c>
      <c r="E16" s="10">
        <v>-20</v>
      </c>
      <c r="F16" s="10">
        <f>-101-E16-D16-C16</f>
        <v>15</v>
      </c>
      <c r="G16" s="10">
        <v>-7</v>
      </c>
      <c r="H16" s="10">
        <v>-11</v>
      </c>
      <c r="I16" s="10">
        <v>-129</v>
      </c>
      <c r="J16" s="10">
        <f>-117-I16-H16-G16</f>
        <v>30</v>
      </c>
      <c r="K16" s="10">
        <v>-6</v>
      </c>
      <c r="L16" s="10">
        <v>27</v>
      </c>
      <c r="M16" s="10">
        <v>54</v>
      </c>
      <c r="N16" s="10">
        <f>150-M16-L16-K16</f>
        <v>75</v>
      </c>
      <c r="O16" s="10">
        <v>-10</v>
      </c>
      <c r="P16" s="10">
        <v>35</v>
      </c>
      <c r="Q16" s="10">
        <v>-36</v>
      </c>
      <c r="R16" s="10">
        <v>-38</v>
      </c>
      <c r="S16" s="10">
        <v>12</v>
      </c>
      <c r="T16" s="10">
        <v>-110</v>
      </c>
      <c r="V16" s="8">
        <f>V57*V8</f>
        <v>93.251599999999996</v>
      </c>
      <c r="W16" s="8">
        <f>W57*W8</f>
        <v>96.981664000000009</v>
      </c>
      <c r="X16" s="8">
        <f t="shared" ref="X16:AQ16" si="11">X57*X8</f>
        <v>100.86093056</v>
      </c>
      <c r="Y16" s="8">
        <f t="shared" si="11"/>
        <v>104.89536778240002</v>
      </c>
      <c r="Z16" s="8">
        <f t="shared" si="11"/>
        <v>109.09118249369601</v>
      </c>
      <c r="AA16" s="8">
        <f t="shared" si="11"/>
        <v>113.45482979344386</v>
      </c>
      <c r="AB16" s="8">
        <f t="shared" si="11"/>
        <v>117.99302298518161</v>
      </c>
      <c r="AC16" s="8">
        <f t="shared" si="11"/>
        <v>122.71274390458888</v>
      </c>
      <c r="AD16" s="8">
        <f t="shared" si="11"/>
        <v>127.62125366077244</v>
      </c>
      <c r="AE16" s="8">
        <f t="shared" si="11"/>
        <v>132.72610380720334</v>
      </c>
      <c r="AF16" s="8">
        <f t="shared" si="11"/>
        <v>138.03514795949147</v>
      </c>
      <c r="AG16" s="8">
        <f t="shared" si="11"/>
        <v>143.55655387787115</v>
      </c>
      <c r="AH16" s="8">
        <f t="shared" si="11"/>
        <v>149.298816032986</v>
      </c>
      <c r="AI16" s="8">
        <f t="shared" si="11"/>
        <v>155.27076867430543</v>
      </c>
      <c r="AJ16" s="8">
        <f t="shared" si="11"/>
        <v>161.48159942127765</v>
      </c>
      <c r="AK16" s="8">
        <f t="shared" si="11"/>
        <v>167.94086339812878</v>
      </c>
      <c r="AL16" s="8">
        <f t="shared" si="11"/>
        <v>174.65849793405397</v>
      </c>
      <c r="AM16" s="8">
        <f t="shared" si="11"/>
        <v>181.64483785141613</v>
      </c>
      <c r="AN16" s="8">
        <f t="shared" si="11"/>
        <v>188.91063136547277</v>
      </c>
      <c r="AO16" s="8">
        <f t="shared" si="11"/>
        <v>196.46705662009168</v>
      </c>
      <c r="AP16" s="8">
        <f t="shared" si="11"/>
        <v>204.32573888489537</v>
      </c>
      <c r="AQ16" s="8">
        <f t="shared" si="11"/>
        <v>212.49876844029117</v>
      </c>
    </row>
    <row r="17" spans="2:53">
      <c r="B17" s="10" t="s">
        <v>122</v>
      </c>
      <c r="C17" s="10">
        <f>8-70</f>
        <v>-62</v>
      </c>
      <c r="D17" s="10">
        <f>6-94</f>
        <v>-88</v>
      </c>
      <c r="E17" s="10">
        <f>7-101</f>
        <v>-94</v>
      </c>
      <c r="F17" s="10">
        <f>(31-339)-E17-D17-C17</f>
        <v>-64</v>
      </c>
      <c r="G17" s="10">
        <f>7-75</f>
        <v>-68</v>
      </c>
      <c r="H17" s="10">
        <f>7-88</f>
        <v>-81</v>
      </c>
      <c r="I17" s="10">
        <f>8-86</f>
        <v>-78</v>
      </c>
      <c r="J17" s="10">
        <f>(31-339)-I17-H17-G17</f>
        <v>-81</v>
      </c>
      <c r="K17" s="10">
        <f>7-77</f>
        <v>-70</v>
      </c>
      <c r="L17" s="10">
        <f>6-62</f>
        <v>-56</v>
      </c>
      <c r="M17" s="10">
        <f>5-56</f>
        <v>-51</v>
      </c>
      <c r="N17" s="10">
        <f>(22-265)-M17-L17-K17</f>
        <v>-66</v>
      </c>
      <c r="O17" s="10">
        <f>9-73</f>
        <v>-64</v>
      </c>
      <c r="P17" s="10">
        <f>6-54</f>
        <v>-48</v>
      </c>
      <c r="Q17" s="10">
        <f>19-57</f>
        <v>-38</v>
      </c>
      <c r="R17" s="10">
        <f>(48-243)-Q17-P17-O17</f>
        <v>-45</v>
      </c>
      <c r="S17" s="10">
        <f>9-111</f>
        <v>-102</v>
      </c>
      <c r="T17" s="10">
        <f>11-92</f>
        <v>-81</v>
      </c>
      <c r="V17" s="8">
        <f>-(V58*V8)</f>
        <v>-93.251599999999996</v>
      </c>
      <c r="W17" s="8">
        <f t="shared" ref="W17:AQ17" si="12">-(W58*W8)</f>
        <v>-96.981664000000009</v>
      </c>
      <c r="X17" s="8">
        <f t="shared" si="12"/>
        <v>-100.86093056</v>
      </c>
      <c r="Y17" s="8">
        <f t="shared" si="12"/>
        <v>-104.89536778240002</v>
      </c>
      <c r="Z17" s="8">
        <f t="shared" si="12"/>
        <v>-109.09118249369601</v>
      </c>
      <c r="AA17" s="8">
        <f t="shared" si="12"/>
        <v>-113.45482979344386</v>
      </c>
      <c r="AB17" s="8">
        <f t="shared" si="12"/>
        <v>-117.99302298518161</v>
      </c>
      <c r="AC17" s="8">
        <f t="shared" si="12"/>
        <v>-122.71274390458888</v>
      </c>
      <c r="AD17" s="8">
        <f t="shared" si="12"/>
        <v>-127.62125366077244</v>
      </c>
      <c r="AE17" s="8">
        <f t="shared" si="12"/>
        <v>-132.72610380720334</v>
      </c>
      <c r="AF17" s="8">
        <f t="shared" si="12"/>
        <v>-138.03514795949147</v>
      </c>
      <c r="AG17" s="8">
        <f t="shared" si="12"/>
        <v>-143.55655387787115</v>
      </c>
      <c r="AH17" s="8">
        <f t="shared" si="12"/>
        <v>-149.298816032986</v>
      </c>
      <c r="AI17" s="8">
        <f t="shared" si="12"/>
        <v>-155.27076867430543</v>
      </c>
      <c r="AJ17" s="8">
        <f t="shared" si="12"/>
        <v>-161.48159942127765</v>
      </c>
      <c r="AK17" s="8">
        <f t="shared" si="12"/>
        <v>-167.94086339812878</v>
      </c>
      <c r="AL17" s="8">
        <f t="shared" si="12"/>
        <v>-174.65849793405397</v>
      </c>
      <c r="AM17" s="8">
        <f t="shared" si="12"/>
        <v>-181.64483785141613</v>
      </c>
      <c r="AN17" s="8">
        <f t="shared" si="12"/>
        <v>-188.91063136547277</v>
      </c>
      <c r="AO17" s="8">
        <f t="shared" si="12"/>
        <v>-196.46705662009168</v>
      </c>
      <c r="AP17" s="8">
        <f t="shared" si="12"/>
        <v>-204.32573888489537</v>
      </c>
      <c r="AQ17" s="8">
        <f t="shared" si="12"/>
        <v>-212.49876844029117</v>
      </c>
    </row>
    <row r="18" spans="2:53">
      <c r="B18" s="10" t="s">
        <v>48</v>
      </c>
      <c r="C18" s="10">
        <v>24</v>
      </c>
      <c r="D18" s="10">
        <v>4</v>
      </c>
      <c r="E18" s="10">
        <v>-19</v>
      </c>
      <c r="F18" s="10">
        <f>48-E18-D18-C18</f>
        <v>39</v>
      </c>
      <c r="G18" s="10">
        <v>31</v>
      </c>
      <c r="H18" s="10">
        <v>187</v>
      </c>
      <c r="I18" s="10">
        <v>4</v>
      </c>
      <c r="J18" s="10">
        <f>173-I18-H18-G18</f>
        <v>-49</v>
      </c>
      <c r="K18" s="10">
        <v>-51</v>
      </c>
      <c r="L18" s="10">
        <v>27</v>
      </c>
      <c r="M18" s="10">
        <v>17</v>
      </c>
      <c r="N18" s="10">
        <f>-126-M18-L18-K18</f>
        <v>-119</v>
      </c>
      <c r="O18" s="10">
        <v>263</v>
      </c>
      <c r="P18" s="10">
        <v>35</v>
      </c>
      <c r="Q18" s="10">
        <v>220</v>
      </c>
      <c r="R18" s="10">
        <f>509-Q18-P18-O18</f>
        <v>-9</v>
      </c>
      <c r="S18" s="10">
        <v>-47</v>
      </c>
      <c r="T18" s="10">
        <v>-6</v>
      </c>
      <c r="V18" s="10">
        <f>-0.03%*V8</f>
        <v>-5.5950959999999998</v>
      </c>
      <c r="W18" s="10">
        <f t="shared" ref="W18:AQ18" si="13">-0.03%*W8</f>
        <v>-5.8188998399999994</v>
      </c>
      <c r="X18" s="10">
        <f t="shared" si="13"/>
        <v>-6.051655833599999</v>
      </c>
      <c r="Y18" s="10">
        <f t="shared" si="13"/>
        <v>-6.2937220669439995</v>
      </c>
      <c r="Z18" s="10">
        <f t="shared" si="13"/>
        <v>-6.5454709496217607</v>
      </c>
      <c r="AA18" s="10">
        <f t="shared" si="13"/>
        <v>-6.8072897876066314</v>
      </c>
      <c r="AB18" s="10">
        <f t="shared" si="13"/>
        <v>-7.0795813791108966</v>
      </c>
      <c r="AC18" s="10">
        <f t="shared" si="13"/>
        <v>-7.3627646342753321</v>
      </c>
      <c r="AD18" s="10">
        <f t="shared" si="13"/>
        <v>-7.6572752196463458</v>
      </c>
      <c r="AE18" s="10">
        <f t="shared" si="13"/>
        <v>-7.9635662284321995</v>
      </c>
      <c r="AF18" s="10">
        <f t="shared" si="13"/>
        <v>-8.2821088775694882</v>
      </c>
      <c r="AG18" s="10">
        <f t="shared" si="13"/>
        <v>-8.6133932326722675</v>
      </c>
      <c r="AH18" s="10">
        <f t="shared" si="13"/>
        <v>-8.9579289619791584</v>
      </c>
      <c r="AI18" s="10">
        <f t="shared" si="13"/>
        <v>-9.3162461204583256</v>
      </c>
      <c r="AJ18" s="10">
        <f t="shared" si="13"/>
        <v>-9.6888959652766591</v>
      </c>
      <c r="AK18" s="10">
        <f t="shared" si="13"/>
        <v>-10.076451803887727</v>
      </c>
      <c r="AL18" s="10">
        <f t="shared" si="13"/>
        <v>-10.479509876043236</v>
      </c>
      <c r="AM18" s="10">
        <f t="shared" si="13"/>
        <v>-10.898690271084966</v>
      </c>
      <c r="AN18" s="10">
        <f t="shared" si="13"/>
        <v>-11.334637881928364</v>
      </c>
      <c r="AO18" s="10">
        <f t="shared" si="13"/>
        <v>-11.7880233972055</v>
      </c>
      <c r="AP18" s="10">
        <f t="shared" si="13"/>
        <v>-12.259544333093721</v>
      </c>
      <c r="AQ18" s="10">
        <f t="shared" si="13"/>
        <v>-12.749926106417469</v>
      </c>
    </row>
    <row r="19" spans="2:53">
      <c r="B19" s="10" t="s">
        <v>161</v>
      </c>
      <c r="C19" s="20" t="s">
        <v>170</v>
      </c>
      <c r="D19" s="10">
        <v>0</v>
      </c>
      <c r="E19" s="10">
        <v>0</v>
      </c>
      <c r="F19" s="10">
        <v>-26</v>
      </c>
      <c r="G19" s="10">
        <v>0</v>
      </c>
      <c r="H19" s="10">
        <v>0</v>
      </c>
      <c r="I19" s="10">
        <v>0</v>
      </c>
      <c r="J19" s="10">
        <v>-36</v>
      </c>
      <c r="K19" s="10">
        <v>0</v>
      </c>
      <c r="L19" s="10">
        <v>-67</v>
      </c>
      <c r="M19" s="10">
        <v>35</v>
      </c>
      <c r="N19" s="10">
        <f>-47-M19-L19-K19</f>
        <v>-15</v>
      </c>
      <c r="O19" s="10">
        <v>44</v>
      </c>
      <c r="P19" s="10">
        <v>29</v>
      </c>
      <c r="Q19" s="10">
        <v>60</v>
      </c>
      <c r="R19" s="10">
        <f>160-Q19-P19-O19</f>
        <v>27</v>
      </c>
      <c r="S19" s="10">
        <v>45</v>
      </c>
      <c r="T19" s="10">
        <v>20</v>
      </c>
      <c r="V19" s="10">
        <f>0.11%*V8</f>
        <v>20.515352</v>
      </c>
      <c r="W19" s="10">
        <f t="shared" ref="W19:AQ19" si="14">0.11%*W8</f>
        <v>21.335966080000002</v>
      </c>
      <c r="X19" s="10">
        <f t="shared" si="14"/>
        <v>22.189404723199999</v>
      </c>
      <c r="Y19" s="10">
        <f t="shared" si="14"/>
        <v>23.076980912128004</v>
      </c>
      <c r="Z19" s="10">
        <f t="shared" si="14"/>
        <v>24.000060148613123</v>
      </c>
      <c r="AA19" s="10">
        <f t="shared" si="14"/>
        <v>24.960062554557652</v>
      </c>
      <c r="AB19" s="10">
        <f t="shared" si="14"/>
        <v>25.958465056739957</v>
      </c>
      <c r="AC19" s="10">
        <f t="shared" si="14"/>
        <v>26.996803659009554</v>
      </c>
      <c r="AD19" s="10">
        <f t="shared" si="14"/>
        <v>28.076675805369938</v>
      </c>
      <c r="AE19" s="10">
        <f t="shared" si="14"/>
        <v>29.199742837584736</v>
      </c>
      <c r="AF19" s="10">
        <f t="shared" si="14"/>
        <v>30.367732551088128</v>
      </c>
      <c r="AG19" s="10">
        <f t="shared" si="14"/>
        <v>31.582441853131652</v>
      </c>
      <c r="AH19" s="10">
        <f t="shared" si="14"/>
        <v>32.845739527256924</v>
      </c>
      <c r="AI19" s="10">
        <f t="shared" si="14"/>
        <v>34.159569108347199</v>
      </c>
      <c r="AJ19" s="10">
        <f t="shared" si="14"/>
        <v>35.525951872681084</v>
      </c>
      <c r="AK19" s="10">
        <f t="shared" si="14"/>
        <v>36.946989947588335</v>
      </c>
      <c r="AL19" s="10">
        <f t="shared" si="14"/>
        <v>38.424869545491873</v>
      </c>
      <c r="AM19" s="10">
        <f t="shared" si="14"/>
        <v>39.961864327311552</v>
      </c>
      <c r="AN19" s="10">
        <f t="shared" si="14"/>
        <v>41.560338900404012</v>
      </c>
      <c r="AO19" s="10">
        <f t="shared" si="14"/>
        <v>43.222752456420174</v>
      </c>
      <c r="AP19" s="10">
        <f t="shared" si="14"/>
        <v>44.951662554676986</v>
      </c>
      <c r="AQ19" s="10">
        <f t="shared" si="14"/>
        <v>46.749729056864062</v>
      </c>
    </row>
    <row r="20" spans="2:53">
      <c r="B20" s="10" t="s">
        <v>49</v>
      </c>
      <c r="C20" s="10">
        <f t="shared" ref="C20:S20" si="15">SUM(C13,C16:C19)</f>
        <v>2</v>
      </c>
      <c r="D20" s="10">
        <f t="shared" si="15"/>
        <v>-15</v>
      </c>
      <c r="E20" s="10">
        <f t="shared" si="15"/>
        <v>452</v>
      </c>
      <c r="F20" s="10">
        <f>SUM(F13,F16:F19)</f>
        <v>17</v>
      </c>
      <c r="G20" s="10">
        <f t="shared" si="15"/>
        <v>88</v>
      </c>
      <c r="H20" s="10">
        <f>SUM(H13,H16:H19)</f>
        <v>272</v>
      </c>
      <c r="I20" s="10">
        <f t="shared" si="15"/>
        <v>-1510</v>
      </c>
      <c r="J20" s="10">
        <f t="shared" si="15"/>
        <v>53</v>
      </c>
      <c r="K20" s="10">
        <f t="shared" si="15"/>
        <v>-248</v>
      </c>
      <c r="L20" s="10">
        <f t="shared" si="15"/>
        <v>690</v>
      </c>
      <c r="M20" s="10">
        <f t="shared" si="15"/>
        <v>305</v>
      </c>
      <c r="N20" s="10">
        <f t="shared" si="15"/>
        <v>414</v>
      </c>
      <c r="O20" s="10">
        <f t="shared" si="15"/>
        <v>1109</v>
      </c>
      <c r="P20" s="10">
        <f t="shared" si="15"/>
        <v>419</v>
      </c>
      <c r="Q20" s="10">
        <f t="shared" si="15"/>
        <v>741</v>
      </c>
      <c r="R20" s="10">
        <f t="shared" si="15"/>
        <v>612</v>
      </c>
      <c r="S20" s="10">
        <f t="shared" si="15"/>
        <v>804</v>
      </c>
      <c r="T20" s="10">
        <f>SUM(T13,T16:T19)</f>
        <v>261</v>
      </c>
      <c r="V20" s="10">
        <f>SUM(V13,V16:V19)</f>
        <v>574.42985600000236</v>
      </c>
      <c r="W20" s="10">
        <f t="shared" ref="W20:AQ20" si="16">SUM(W13,W16:W19)</f>
        <v>597.4070502400026</v>
      </c>
      <c r="X20" s="10">
        <f t="shared" si="16"/>
        <v>621.30333224959975</v>
      </c>
      <c r="Y20" s="10">
        <f t="shared" si="16"/>
        <v>646.15546553958598</v>
      </c>
      <c r="Z20" s="10">
        <f t="shared" si="16"/>
        <v>672.00168416116696</v>
      </c>
      <c r="AA20" s="10">
        <f t="shared" si="16"/>
        <v>698.8817515276163</v>
      </c>
      <c r="AB20" s="10">
        <f t="shared" si="16"/>
        <v>726.83702158871859</v>
      </c>
      <c r="AC20" s="10">
        <f t="shared" si="16"/>
        <v>755.91050245226802</v>
      </c>
      <c r="AD20" s="10">
        <f t="shared" si="16"/>
        <v>786.146922550358</v>
      </c>
      <c r="AE20" s="10">
        <f t="shared" si="16"/>
        <v>817.59279945237438</v>
      </c>
      <c r="AF20" s="10">
        <f t="shared" si="16"/>
        <v>850.29651143046954</v>
      </c>
      <c r="AG20" s="10">
        <f t="shared" si="16"/>
        <v>884.30837188768839</v>
      </c>
      <c r="AH20" s="10">
        <f t="shared" si="16"/>
        <v>919.68070676319371</v>
      </c>
      <c r="AI20" s="10">
        <f t="shared" si="16"/>
        <v>956.4679350337218</v>
      </c>
      <c r="AJ20" s="10">
        <f t="shared" si="16"/>
        <v>994.72665243507049</v>
      </c>
      <c r="AK20" s="10">
        <f t="shared" si="16"/>
        <v>1034.5157185324756</v>
      </c>
      <c r="AL20" s="10">
        <f t="shared" si="16"/>
        <v>1075.896347273771</v>
      </c>
      <c r="AM20" s="10">
        <f t="shared" si="16"/>
        <v>1118.9322011647223</v>
      </c>
      <c r="AN20" s="10">
        <f t="shared" si="16"/>
        <v>1163.6894892113178</v>
      </c>
      <c r="AO20" s="10">
        <f t="shared" si="16"/>
        <v>1210.2370687797661</v>
      </c>
      <c r="AP20" s="10">
        <f t="shared" si="16"/>
        <v>1258.6465515309562</v>
      </c>
      <c r="AQ20" s="10">
        <f t="shared" si="16"/>
        <v>1308.9924135921954</v>
      </c>
    </row>
    <row r="21" spans="2:53">
      <c r="B21" s="10" t="s">
        <v>50</v>
      </c>
      <c r="C21" s="10">
        <v>-19</v>
      </c>
      <c r="D21" s="10">
        <v>-2</v>
      </c>
      <c r="E21" s="10">
        <v>-85</v>
      </c>
      <c r="F21" s="10">
        <f>-179-E21-D21-C21</f>
        <v>-73</v>
      </c>
      <c r="G21" s="10">
        <v>-38</v>
      </c>
      <c r="H21" s="10">
        <v>-60</v>
      </c>
      <c r="I21" s="10">
        <v>28</v>
      </c>
      <c r="J21" s="10">
        <f>-86-H21-I21-G21</f>
        <v>-16</v>
      </c>
      <c r="K21" s="10">
        <v>55</v>
      </c>
      <c r="L21" s="10">
        <v>-168</v>
      </c>
      <c r="M21" s="10">
        <v>-38</v>
      </c>
      <c r="N21" s="10">
        <f>-248-M21-L21-K21</f>
        <v>-97</v>
      </c>
      <c r="O21" s="10">
        <v>-192</v>
      </c>
      <c r="P21" s="10">
        <v>-50</v>
      </c>
      <c r="Q21" s="10">
        <v>-92</v>
      </c>
      <c r="R21" s="10">
        <f>-398-Q21-P21-O21</f>
        <v>-64</v>
      </c>
      <c r="S21" s="10">
        <v>-108</v>
      </c>
      <c r="T21" s="10">
        <v>-36</v>
      </c>
      <c r="V21" s="10">
        <f>-V59*V20</f>
        <v>-86.164478400000348</v>
      </c>
      <c r="W21" s="10">
        <f t="shared" ref="W21:AQ21" si="17">-W59*W20</f>
        <v>-89.611057536000388</v>
      </c>
      <c r="X21" s="10">
        <f t="shared" si="17"/>
        <v>-93.195499837439954</v>
      </c>
      <c r="Y21" s="10">
        <f t="shared" si="17"/>
        <v>-96.923319830937899</v>
      </c>
      <c r="Z21" s="10">
        <f t="shared" si="17"/>
        <v>-100.80025262417504</v>
      </c>
      <c r="AA21" s="10">
        <f t="shared" si="17"/>
        <v>-104.83226272914244</v>
      </c>
      <c r="AB21" s="10">
        <f t="shared" si="17"/>
        <v>-109.02555323830778</v>
      </c>
      <c r="AC21" s="10">
        <f t="shared" si="17"/>
        <v>-113.38657536784019</v>
      </c>
      <c r="AD21" s="10">
        <f t="shared" si="17"/>
        <v>-117.92203838255369</v>
      </c>
      <c r="AE21" s="10">
        <f t="shared" si="17"/>
        <v>-122.63891991785616</v>
      </c>
      <c r="AF21" s="10">
        <f t="shared" si="17"/>
        <v>-127.54447671457042</v>
      </c>
      <c r="AG21" s="10">
        <f t="shared" si="17"/>
        <v>-132.64625578315326</v>
      </c>
      <c r="AH21" s="10">
        <f t="shared" si="17"/>
        <v>-137.95210601447906</v>
      </c>
      <c r="AI21" s="10">
        <f t="shared" si="17"/>
        <v>-143.47019025505827</v>
      </c>
      <c r="AJ21" s="10">
        <f t="shared" si="17"/>
        <v>-149.20899786526056</v>
      </c>
      <c r="AK21" s="10">
        <f t="shared" si="17"/>
        <v>-155.17735777987133</v>
      </c>
      <c r="AL21" s="10">
        <f t="shared" si="17"/>
        <v>-161.38445209106564</v>
      </c>
      <c r="AM21" s="10">
        <f t="shared" si="17"/>
        <v>-167.83983017470834</v>
      </c>
      <c r="AN21" s="10">
        <f t="shared" si="17"/>
        <v>-174.55342338169766</v>
      </c>
      <c r="AO21" s="10">
        <f t="shared" si="17"/>
        <v>-181.5355603169649</v>
      </c>
      <c r="AP21" s="10">
        <f t="shared" si="17"/>
        <v>-188.79698272964342</v>
      </c>
      <c r="AQ21" s="10">
        <f t="shared" si="17"/>
        <v>-196.34886203882931</v>
      </c>
    </row>
    <row r="22" spans="2:53">
      <c r="B22" s="10" t="s">
        <v>51</v>
      </c>
      <c r="C22" s="10">
        <f>SUM(C20:C21)</f>
        <v>-17</v>
      </c>
      <c r="D22" s="10">
        <f t="shared" ref="D22:S22" si="18">SUM(D20:D21)</f>
        <v>-17</v>
      </c>
      <c r="E22" s="10">
        <f t="shared" si="18"/>
        <v>367</v>
      </c>
      <c r="F22" s="10">
        <f t="shared" si="18"/>
        <v>-56</v>
      </c>
      <c r="G22" s="10">
        <f t="shared" si="18"/>
        <v>50</v>
      </c>
      <c r="H22" s="10">
        <f t="shared" si="18"/>
        <v>212</v>
      </c>
      <c r="I22" s="10">
        <f t="shared" si="18"/>
        <v>-1482</v>
      </c>
      <c r="J22" s="10">
        <f t="shared" si="18"/>
        <v>37</v>
      </c>
      <c r="K22" s="10">
        <f t="shared" si="18"/>
        <v>-193</v>
      </c>
      <c r="L22" s="10">
        <f t="shared" si="18"/>
        <v>522</v>
      </c>
      <c r="M22" s="10">
        <f t="shared" si="18"/>
        <v>267</v>
      </c>
      <c r="N22" s="10">
        <f t="shared" si="18"/>
        <v>317</v>
      </c>
      <c r="O22" s="10">
        <f t="shared" si="18"/>
        <v>917</v>
      </c>
      <c r="P22" s="10">
        <f t="shared" si="18"/>
        <v>369</v>
      </c>
      <c r="Q22" s="10">
        <f t="shared" si="18"/>
        <v>649</v>
      </c>
      <c r="R22" s="10">
        <f t="shared" si="18"/>
        <v>548</v>
      </c>
      <c r="S22" s="10">
        <f t="shared" si="18"/>
        <v>696</v>
      </c>
      <c r="T22" s="10">
        <f>SUM(T20:T21)</f>
        <v>225</v>
      </c>
      <c r="V22" s="10">
        <f>SUM(V20:V21)</f>
        <v>488.26537760000201</v>
      </c>
      <c r="W22" s="10">
        <f t="shared" ref="W22:AQ22" si="19">SUM(W20:W21)</f>
        <v>507.79599270400223</v>
      </c>
      <c r="X22" s="10">
        <f t="shared" si="19"/>
        <v>528.10783241215984</v>
      </c>
      <c r="Y22" s="10">
        <f t="shared" si="19"/>
        <v>549.23214570864809</v>
      </c>
      <c r="Z22" s="10">
        <f t="shared" si="19"/>
        <v>571.20143153699189</v>
      </c>
      <c r="AA22" s="10">
        <f t="shared" si="19"/>
        <v>594.04948879847382</v>
      </c>
      <c r="AB22" s="10">
        <f t="shared" si="19"/>
        <v>617.81146835041079</v>
      </c>
      <c r="AC22" s="10">
        <f t="shared" si="19"/>
        <v>642.52392708442778</v>
      </c>
      <c r="AD22" s="10">
        <f t="shared" si="19"/>
        <v>668.22488416780425</v>
      </c>
      <c r="AE22" s="10">
        <f t="shared" si="19"/>
        <v>694.95387953451825</v>
      </c>
      <c r="AF22" s="10">
        <f t="shared" si="19"/>
        <v>722.75203471589907</v>
      </c>
      <c r="AG22" s="10">
        <f t="shared" si="19"/>
        <v>751.66211610453513</v>
      </c>
      <c r="AH22" s="10">
        <f t="shared" si="19"/>
        <v>781.7286007487146</v>
      </c>
      <c r="AI22" s="10">
        <f t="shared" si="19"/>
        <v>812.99774477866356</v>
      </c>
      <c r="AJ22" s="10">
        <f t="shared" si="19"/>
        <v>845.51765456980991</v>
      </c>
      <c r="AK22" s="10">
        <f t="shared" si="19"/>
        <v>879.33836075260433</v>
      </c>
      <c r="AL22" s="10">
        <f t="shared" si="19"/>
        <v>914.5118951827053</v>
      </c>
      <c r="AM22" s="10">
        <f t="shared" si="19"/>
        <v>951.09237099001393</v>
      </c>
      <c r="AN22" s="10">
        <f t="shared" si="19"/>
        <v>989.13606582962007</v>
      </c>
      <c r="AO22" s="10">
        <f t="shared" si="19"/>
        <v>1028.7015084628013</v>
      </c>
      <c r="AP22" s="10">
        <f t="shared" si="19"/>
        <v>1069.8495688013129</v>
      </c>
      <c r="AQ22" s="10">
        <f t="shared" si="19"/>
        <v>1112.643551553366</v>
      </c>
      <c r="AR22" s="10"/>
      <c r="AS22" s="10"/>
    </row>
    <row r="23" spans="2:53" ht="51">
      <c r="B23" s="15" t="s">
        <v>168</v>
      </c>
      <c r="C23" s="10">
        <f>-2-2</f>
        <v>-4</v>
      </c>
      <c r="D23" s="10">
        <f>7-2</f>
        <v>5</v>
      </c>
      <c r="E23" s="10">
        <f>7-9</f>
        <v>-2</v>
      </c>
      <c r="F23" s="10">
        <f>(10-20)-E23-D23-C23</f>
        <v>-9</v>
      </c>
      <c r="G23" s="10">
        <v>-5</v>
      </c>
      <c r="H23" s="10">
        <v>2</v>
      </c>
      <c r="I23" s="10">
        <v>-6</v>
      </c>
      <c r="J23" s="10">
        <f>(11-8)-I23-H23-G23</f>
        <v>12</v>
      </c>
      <c r="K23" s="10">
        <v>9</v>
      </c>
      <c r="L23" s="10">
        <f>-6+5</f>
        <v>-1</v>
      </c>
      <c r="M23" s="10">
        <v>7</v>
      </c>
      <c r="N23" s="10">
        <v>0</v>
      </c>
      <c r="O23" s="10">
        <v>-86</v>
      </c>
      <c r="P23" s="10">
        <v>-7</v>
      </c>
      <c r="Q23" s="10">
        <v>4</v>
      </c>
      <c r="R23" s="10">
        <f>-89-Q23-P23-O23</f>
        <v>0</v>
      </c>
      <c r="S23" s="10">
        <v>-8</v>
      </c>
      <c r="T23" s="10">
        <v>-19</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row>
    <row r="24" spans="2:53">
      <c r="B24" s="10" t="s">
        <v>164</v>
      </c>
      <c r="C24" s="10">
        <v>-8</v>
      </c>
      <c r="D24" s="10">
        <v>-9</v>
      </c>
      <c r="E24" s="10">
        <v>-8</v>
      </c>
      <c r="F24" s="10">
        <f>-34-E24-D24-C24</f>
        <v>-9</v>
      </c>
      <c r="G24" s="10">
        <f>-8</f>
        <v>-8</v>
      </c>
      <c r="H24" s="10">
        <v>-9</v>
      </c>
      <c r="I24" s="10">
        <v>-8</v>
      </c>
      <c r="J24" s="10">
        <f>-34-I24-H24-G24</f>
        <v>-9</v>
      </c>
      <c r="K24" s="10">
        <f>-8-15</f>
        <v>-23</v>
      </c>
      <c r="L24" s="10">
        <v>-9</v>
      </c>
      <c r="M24" s="10">
        <v>-8</v>
      </c>
      <c r="N24" s="10">
        <f>(-20-34+10)-M24-L24-K24</f>
        <v>-4</v>
      </c>
      <c r="O24" s="10">
        <v>-8</v>
      </c>
      <c r="P24" s="10">
        <v>-9</v>
      </c>
      <c r="Q24" s="10">
        <v>-8</v>
      </c>
      <c r="R24" s="10">
        <f>-34-Q24-P24-O24</f>
        <v>-9</v>
      </c>
      <c r="S24" s="10">
        <v>0</v>
      </c>
      <c r="T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row>
    <row r="25" spans="2:53">
      <c r="B25" s="10" t="s">
        <v>52</v>
      </c>
      <c r="C25" s="10">
        <f t="shared" ref="C25:R25" si="20">SUM(C22:C24)</f>
        <v>-29</v>
      </c>
      <c r="D25" s="10">
        <f t="shared" si="20"/>
        <v>-21</v>
      </c>
      <c r="E25" s="10">
        <f t="shared" si="20"/>
        <v>357</v>
      </c>
      <c r="F25" s="10">
        <f t="shared" si="20"/>
        <v>-74</v>
      </c>
      <c r="G25" s="10">
        <f t="shared" si="20"/>
        <v>37</v>
      </c>
      <c r="H25" s="10">
        <f t="shared" si="20"/>
        <v>205</v>
      </c>
      <c r="I25" s="10">
        <f t="shared" si="20"/>
        <v>-1496</v>
      </c>
      <c r="J25" s="10">
        <f t="shared" si="20"/>
        <v>40</v>
      </c>
      <c r="K25" s="10">
        <f t="shared" si="20"/>
        <v>-207</v>
      </c>
      <c r="L25" s="10">
        <f t="shared" si="20"/>
        <v>512</v>
      </c>
      <c r="M25" s="10">
        <f t="shared" si="20"/>
        <v>266</v>
      </c>
      <c r="N25" s="10">
        <f t="shared" si="20"/>
        <v>313</v>
      </c>
      <c r="O25" s="10">
        <f t="shared" si="20"/>
        <v>823</v>
      </c>
      <c r="P25" s="10">
        <f t="shared" si="20"/>
        <v>353</v>
      </c>
      <c r="Q25" s="10">
        <f t="shared" si="20"/>
        <v>645</v>
      </c>
      <c r="R25" s="10">
        <f t="shared" si="20"/>
        <v>539</v>
      </c>
      <c r="S25" s="10">
        <f>SUM(S22:S24)</f>
        <v>688</v>
      </c>
      <c r="T25" s="10">
        <f t="shared" ref="T25:V25" si="21">SUM(T22:T24)</f>
        <v>206</v>
      </c>
      <c r="V25" s="10">
        <f t="shared" si="21"/>
        <v>488.26537760000201</v>
      </c>
      <c r="W25" s="10">
        <f t="shared" ref="W25" si="22">SUM(W22:W24)</f>
        <v>507.79599270400223</v>
      </c>
      <c r="X25" s="10">
        <f t="shared" ref="X25" si="23">SUM(X22:X24)</f>
        <v>528.10783241215984</v>
      </c>
      <c r="Y25" s="10">
        <f t="shared" ref="Y25" si="24">SUM(Y22:Y24)</f>
        <v>549.23214570864809</v>
      </c>
      <c r="Z25" s="10">
        <f t="shared" ref="Z25" si="25">SUM(Z22:Z24)</f>
        <v>571.20143153699189</v>
      </c>
      <c r="AA25" s="10">
        <f t="shared" ref="AA25" si="26">SUM(AA22:AA24)</f>
        <v>594.04948879847382</v>
      </c>
      <c r="AB25" s="10">
        <f t="shared" ref="AB25" si="27">SUM(AB22:AB24)</f>
        <v>617.81146835041079</v>
      </c>
      <c r="AC25" s="10">
        <f t="shared" ref="AC25" si="28">SUM(AC22:AC24)</f>
        <v>642.52392708442778</v>
      </c>
      <c r="AD25" s="10">
        <f t="shared" ref="AD25" si="29">SUM(AD22:AD24)</f>
        <v>668.22488416780425</v>
      </c>
      <c r="AE25" s="10">
        <f t="shared" ref="AE25" si="30">SUM(AE22:AE24)</f>
        <v>694.95387953451825</v>
      </c>
      <c r="AF25" s="10">
        <f t="shared" ref="AF25" si="31">SUM(AF22:AF24)</f>
        <v>722.75203471589907</v>
      </c>
      <c r="AG25" s="10">
        <f t="shared" ref="AG25" si="32">SUM(AG22:AG24)</f>
        <v>751.66211610453513</v>
      </c>
      <c r="AH25" s="10">
        <f t="shared" ref="AH25" si="33">SUM(AH22:AH24)</f>
        <v>781.7286007487146</v>
      </c>
      <c r="AI25" s="10">
        <f t="shared" ref="AI25" si="34">SUM(AI22:AI24)</f>
        <v>812.99774477866356</v>
      </c>
      <c r="AJ25" s="10">
        <f t="shared" ref="AJ25" si="35">SUM(AJ22:AJ24)</f>
        <v>845.51765456980991</v>
      </c>
      <c r="AK25" s="10">
        <f t="shared" ref="AK25" si="36">SUM(AK22:AK24)</f>
        <v>879.33836075260433</v>
      </c>
      <c r="AL25" s="10">
        <f t="shared" ref="AL25" si="37">SUM(AL22:AL24)</f>
        <v>914.5118951827053</v>
      </c>
      <c r="AM25" s="10">
        <f t="shared" ref="AM25" si="38">SUM(AM22:AM24)</f>
        <v>951.09237099001393</v>
      </c>
      <c r="AN25" s="10">
        <f t="shared" ref="AN25" si="39">SUM(AN22:AN24)</f>
        <v>989.13606582962007</v>
      </c>
      <c r="AO25" s="10">
        <f t="shared" ref="AO25" si="40">SUM(AO22:AO24)</f>
        <v>1028.7015084628013</v>
      </c>
      <c r="AP25" s="10">
        <f t="shared" ref="AP25" si="41">SUM(AP22:AP24)</f>
        <v>1069.8495688013129</v>
      </c>
      <c r="AQ25" s="10">
        <f t="shared" ref="AQ25" si="42">SUM(AQ22:AQ24)</f>
        <v>1112.643551553366</v>
      </c>
    </row>
    <row r="26" spans="2:53">
      <c r="B26" s="10" t="s">
        <v>54</v>
      </c>
      <c r="C26" s="8">
        <v>-0.21</v>
      </c>
      <c r="D26" s="8">
        <v>-0.15</v>
      </c>
      <c r="E26" s="8">
        <v>2.48</v>
      </c>
      <c r="F26" s="8">
        <f>F25/F27</f>
        <v>-0.52112676056338025</v>
      </c>
      <c r="G26" s="8">
        <v>0.26</v>
      </c>
      <c r="H26" s="8">
        <v>1.46</v>
      </c>
      <c r="I26" s="9">
        <v>-10.57</v>
      </c>
      <c r="J26" s="8">
        <f>J25/J27</f>
        <v>0.28368794326241137</v>
      </c>
      <c r="K26" s="8">
        <v>-1.46</v>
      </c>
      <c r="L26" s="8">
        <v>3.62</v>
      </c>
      <c r="M26" s="8">
        <v>1.9</v>
      </c>
      <c r="N26" s="8">
        <f>N25/N27</f>
        <v>2.2357142857142858</v>
      </c>
      <c r="O26" s="8">
        <v>5.86</v>
      </c>
      <c r="P26" s="8">
        <v>2.5</v>
      </c>
      <c r="Q26" s="8">
        <v>4.5599999999999996</v>
      </c>
      <c r="R26" s="8">
        <f>R25/R27</f>
        <v>3.8226950354609928</v>
      </c>
      <c r="S26" s="8">
        <v>4.83</v>
      </c>
      <c r="T26" s="8">
        <v>1.36</v>
      </c>
      <c r="V26" s="8">
        <f>V25/V27</f>
        <v>3.4384885746479017</v>
      </c>
      <c r="W26" s="8">
        <f t="shared" ref="W26:AQ26" si="43">W25/W27</f>
        <v>3.5760281176338187</v>
      </c>
      <c r="X26" s="8">
        <f t="shared" si="43"/>
        <v>3.7190692423391538</v>
      </c>
      <c r="Y26" s="8">
        <f t="shared" si="43"/>
        <v>3.867832012032733</v>
      </c>
      <c r="Z26" s="8">
        <f t="shared" si="43"/>
        <v>4.0225452925140273</v>
      </c>
      <c r="AA26" s="8">
        <f t="shared" si="43"/>
        <v>4.1834471042146042</v>
      </c>
      <c r="AB26" s="8">
        <f t="shared" si="43"/>
        <v>4.3507849883831744</v>
      </c>
      <c r="AC26" s="8">
        <f t="shared" si="43"/>
        <v>4.5248163879185057</v>
      </c>
      <c r="AD26" s="8">
        <f t="shared" si="43"/>
        <v>4.7058090434352415</v>
      </c>
      <c r="AE26" s="8">
        <f t="shared" si="43"/>
        <v>4.8940414051726639</v>
      </c>
      <c r="AF26" s="8">
        <f t="shared" si="43"/>
        <v>5.0898030613795706</v>
      </c>
      <c r="AG26" s="8">
        <f t="shared" si="43"/>
        <v>5.2933951838347548</v>
      </c>
      <c r="AH26" s="8">
        <f t="shared" si="43"/>
        <v>5.505130991188131</v>
      </c>
      <c r="AI26" s="8">
        <f t="shared" si="43"/>
        <v>5.7253362308356586</v>
      </c>
      <c r="AJ26" s="8">
        <f t="shared" si="43"/>
        <v>5.9543496800690843</v>
      </c>
      <c r="AK26" s="8">
        <f t="shared" si="43"/>
        <v>6.1925236672718613</v>
      </c>
      <c r="AL26" s="8">
        <f t="shared" si="43"/>
        <v>6.4402246139627133</v>
      </c>
      <c r="AM26" s="8">
        <f t="shared" si="43"/>
        <v>6.6978335985212247</v>
      </c>
      <c r="AN26" s="8">
        <f t="shared" si="43"/>
        <v>6.965746942462113</v>
      </c>
      <c r="AO26" s="8">
        <f t="shared" si="43"/>
        <v>7.2443768201605723</v>
      </c>
      <c r="AP26" s="8">
        <f t="shared" si="43"/>
        <v>7.5341518929669924</v>
      </c>
      <c r="AQ26" s="8">
        <f t="shared" si="43"/>
        <v>7.835517968685676</v>
      </c>
    </row>
    <row r="27" spans="2:53">
      <c r="B27" s="10" t="s">
        <v>53</v>
      </c>
      <c r="C27" s="14">
        <f t="shared" ref="C27:S27" si="44">C25/C26</f>
        <v>138.0952380952381</v>
      </c>
      <c r="D27" s="14">
        <f t="shared" si="44"/>
        <v>140</v>
      </c>
      <c r="E27" s="14">
        <f t="shared" si="44"/>
        <v>143.95161290322579</v>
      </c>
      <c r="F27" s="14">
        <v>142</v>
      </c>
      <c r="G27" s="14">
        <f t="shared" si="44"/>
        <v>142.30769230769229</v>
      </c>
      <c r="H27" s="14">
        <f t="shared" si="44"/>
        <v>140.41095890410961</v>
      </c>
      <c r="I27" s="14">
        <f t="shared" si="44"/>
        <v>141.53263954588456</v>
      </c>
      <c r="J27" s="14">
        <v>141</v>
      </c>
      <c r="K27" s="14">
        <f t="shared" si="44"/>
        <v>141.78082191780823</v>
      </c>
      <c r="L27" s="14">
        <f t="shared" si="44"/>
        <v>141.4364640883978</v>
      </c>
      <c r="M27" s="14">
        <f t="shared" si="44"/>
        <v>140</v>
      </c>
      <c r="N27" s="14">
        <v>140</v>
      </c>
      <c r="O27" s="14">
        <f t="shared" si="44"/>
        <v>140.44368600682594</v>
      </c>
      <c r="P27" s="14">
        <f t="shared" si="44"/>
        <v>141.19999999999999</v>
      </c>
      <c r="Q27" s="14">
        <f t="shared" si="44"/>
        <v>141.44736842105263</v>
      </c>
      <c r="R27" s="14">
        <v>141</v>
      </c>
      <c r="S27" s="14">
        <f t="shared" si="44"/>
        <v>142.4430641821946</v>
      </c>
      <c r="T27" s="14">
        <f>T25/T26</f>
        <v>151.47058823529412</v>
      </c>
      <c r="V27" s="14">
        <f>V60</f>
        <v>142</v>
      </c>
      <c r="W27" s="14">
        <f t="shared" ref="W27:AQ27" si="45">W60</f>
        <v>142</v>
      </c>
      <c r="X27" s="14">
        <f t="shared" si="45"/>
        <v>142</v>
      </c>
      <c r="Y27" s="14">
        <f t="shared" si="45"/>
        <v>142</v>
      </c>
      <c r="Z27" s="14">
        <f t="shared" si="45"/>
        <v>142</v>
      </c>
      <c r="AA27" s="14">
        <f t="shared" si="45"/>
        <v>142</v>
      </c>
      <c r="AB27" s="14">
        <f t="shared" si="45"/>
        <v>142</v>
      </c>
      <c r="AC27" s="14">
        <f t="shared" si="45"/>
        <v>142</v>
      </c>
      <c r="AD27" s="14">
        <f t="shared" si="45"/>
        <v>142</v>
      </c>
      <c r="AE27" s="14">
        <f t="shared" si="45"/>
        <v>142</v>
      </c>
      <c r="AF27" s="14">
        <f t="shared" si="45"/>
        <v>142</v>
      </c>
      <c r="AG27" s="14">
        <f t="shared" si="45"/>
        <v>142</v>
      </c>
      <c r="AH27" s="14">
        <f t="shared" si="45"/>
        <v>142</v>
      </c>
      <c r="AI27" s="14">
        <f t="shared" si="45"/>
        <v>142</v>
      </c>
      <c r="AJ27" s="14">
        <f t="shared" si="45"/>
        <v>142</v>
      </c>
      <c r="AK27" s="14">
        <f t="shared" si="45"/>
        <v>142</v>
      </c>
      <c r="AL27" s="14">
        <f t="shared" si="45"/>
        <v>142</v>
      </c>
      <c r="AM27" s="14">
        <f t="shared" si="45"/>
        <v>142</v>
      </c>
      <c r="AN27" s="14">
        <f t="shared" si="45"/>
        <v>142</v>
      </c>
      <c r="AO27" s="14">
        <f t="shared" si="45"/>
        <v>142</v>
      </c>
      <c r="AP27" s="14">
        <f t="shared" si="45"/>
        <v>142</v>
      </c>
      <c r="AQ27" s="14">
        <f t="shared" si="45"/>
        <v>142</v>
      </c>
    </row>
    <row r="29" spans="2:53">
      <c r="B29" s="3" t="s">
        <v>55</v>
      </c>
      <c r="C29" s="10">
        <f t="shared" ref="C29:R29" si="46">C14</f>
        <v>304</v>
      </c>
      <c r="D29" s="10">
        <f t="shared" si="46"/>
        <v>31</v>
      </c>
      <c r="E29" s="10">
        <f t="shared" si="46"/>
        <v>463</v>
      </c>
      <c r="F29" s="10">
        <f t="shared" si="46"/>
        <v>26</v>
      </c>
      <c r="G29" s="10">
        <f t="shared" si="46"/>
        <v>139</v>
      </c>
      <c r="H29" s="10">
        <f t="shared" si="46"/>
        <v>4</v>
      </c>
      <c r="I29" s="10">
        <f t="shared" si="46"/>
        <v>428</v>
      </c>
      <c r="J29" s="10">
        <f t="shared" si="46"/>
        <v>548</v>
      </c>
      <c r="K29" s="10">
        <f t="shared" si="46"/>
        <v>113</v>
      </c>
      <c r="L29" s="10">
        <f t="shared" si="46"/>
        <v>65</v>
      </c>
      <c r="M29" s="10">
        <f t="shared" si="46"/>
        <v>68</v>
      </c>
      <c r="N29" s="10">
        <f t="shared" si="46"/>
        <v>435</v>
      </c>
      <c r="O29" s="10">
        <f t="shared" si="46"/>
        <v>106</v>
      </c>
      <c r="P29" s="10">
        <f t="shared" si="46"/>
        <v>212</v>
      </c>
      <c r="Q29" s="10">
        <f t="shared" si="46"/>
        <v>317</v>
      </c>
      <c r="R29" s="10">
        <f t="shared" si="46"/>
        <v>424</v>
      </c>
      <c r="S29" s="10">
        <f>S14</f>
        <v>102</v>
      </c>
      <c r="T29" s="10">
        <f>T14</f>
        <v>204</v>
      </c>
      <c r="V29" s="10">
        <f>'D&amp;A_CapEx'!V11</f>
        <v>303.29643033962265</v>
      </c>
      <c r="W29" s="10">
        <f>'D&amp;A_CapEx'!W11</f>
        <v>315.4282875532075</v>
      </c>
      <c r="X29" s="10">
        <f>'D&amp;A_CapEx'!X11</f>
        <v>260.1070186592604</v>
      </c>
      <c r="Y29" s="10">
        <f>'D&amp;A_CapEx'!Y11</f>
        <v>270.51129940563084</v>
      </c>
      <c r="Z29" s="10">
        <f>'D&amp;A_CapEx'!Z11</f>
        <v>281.33175138185607</v>
      </c>
      <c r="AA29" s="10">
        <f>'D&amp;A_CapEx'!AA11</f>
        <v>292.58502143713031</v>
      </c>
      <c r="AB29" s="10">
        <f>'D&amp;A_CapEx'!AB11</f>
        <v>304.28842229461554</v>
      </c>
      <c r="AC29" s="10">
        <f>'D&amp;A_CapEx'!AC11</f>
        <v>316.45995918640017</v>
      </c>
      <c r="AD29" s="10">
        <f>'D&amp;A_CapEx'!AD11</f>
        <v>329.11835755385619</v>
      </c>
      <c r="AE29" s="10">
        <f>'D&amp;A_CapEx'!AE11</f>
        <v>342.28309185601046</v>
      </c>
      <c r="AF29" s="10">
        <f>'D&amp;A_CapEx'!AF11</f>
        <v>355.97441553025089</v>
      </c>
      <c r="AG29" s="10">
        <f>'D&amp;A_CapEx'!AG11</f>
        <v>370.21339215146094</v>
      </c>
      <c r="AH29" s="10">
        <f>'D&amp;A_CapEx'!AH11</f>
        <v>385.02192783751934</v>
      </c>
      <c r="AI29" s="10">
        <f>'D&amp;A_CapEx'!AI11</f>
        <v>400.42280495102017</v>
      </c>
      <c r="AJ29" s="10">
        <f>'D&amp;A_CapEx'!AJ11</f>
        <v>416.43971714906098</v>
      </c>
      <c r="AK29" s="10">
        <f>'D&amp;A_CapEx'!AK11</f>
        <v>433.09730583502346</v>
      </c>
      <c r="AL29" s="10">
        <f>'D&amp;A_CapEx'!AL11</f>
        <v>450.42119806842447</v>
      </c>
      <c r="AM29" s="10">
        <f>'D&amp;A_CapEx'!AM11</f>
        <v>468.43804599116146</v>
      </c>
      <c r="AN29" s="10">
        <f>'D&amp;A_CapEx'!AN11</f>
        <v>487.17556783080789</v>
      </c>
      <c r="AO29" s="10">
        <f>'D&amp;A_CapEx'!AO11</f>
        <v>506.6625905440402</v>
      </c>
      <c r="AP29" s="10">
        <f>'D&amp;A_CapEx'!AP11</f>
        <v>526.92909416580187</v>
      </c>
      <c r="AQ29" s="10">
        <f>'D&amp;A_CapEx'!AQ11</f>
        <v>548.00625793243398</v>
      </c>
      <c r="AR29" s="8"/>
      <c r="AS29" s="8"/>
      <c r="AT29" s="8"/>
      <c r="AU29" s="8"/>
      <c r="AV29" s="8"/>
      <c r="AW29" s="8"/>
      <c r="AX29" s="8"/>
      <c r="AY29" s="8"/>
      <c r="AZ29" s="8"/>
      <c r="BA29" s="8"/>
    </row>
    <row r="30" spans="2:53">
      <c r="B30" s="3" t="s">
        <v>56</v>
      </c>
      <c r="C30" s="10">
        <f>'Cash Flow Statement'!C32</f>
        <v>-105</v>
      </c>
      <c r="D30" s="10">
        <f>'Cash Flow Statement'!D32</f>
        <v>-220</v>
      </c>
      <c r="E30" s="10">
        <f>'Cash Flow Statement'!E32</f>
        <v>-318</v>
      </c>
      <c r="F30" s="10">
        <f>'Cash Flow Statement'!F32</f>
        <v>-493</v>
      </c>
      <c r="G30" s="10">
        <f>'Cash Flow Statement'!G32</f>
        <v>-119</v>
      </c>
      <c r="H30" s="10">
        <f>'Cash Flow Statement'!H32</f>
        <v>-265</v>
      </c>
      <c r="I30" s="10">
        <f>'Cash Flow Statement'!I32</f>
        <v>-378</v>
      </c>
      <c r="J30" s="10">
        <f>'Cash Flow Statement'!J32</f>
        <v>-524</v>
      </c>
      <c r="K30" s="10">
        <f>'Cash Flow Statement'!K32</f>
        <v>-55</v>
      </c>
      <c r="L30" s="10">
        <f>'Cash Flow Statement'!L32</f>
        <v>-127</v>
      </c>
      <c r="M30" s="10">
        <f>'Cash Flow Statement'!M32</f>
        <v>-230</v>
      </c>
      <c r="N30" s="10">
        <f>'Cash Flow Statement'!N32</f>
        <v>-365</v>
      </c>
      <c r="O30" s="10">
        <f>'Cash Flow Statement'!O32</f>
        <v>-53</v>
      </c>
      <c r="P30" s="10">
        <f>'Cash Flow Statement'!P32</f>
        <v>-133</v>
      </c>
      <c r="Q30" s="10">
        <f>'Cash Flow Statement'!Q32</f>
        <v>-239</v>
      </c>
      <c r="R30" s="10">
        <f>'Cash Flow Statement'!R32</f>
        <v>-399</v>
      </c>
      <c r="S30" s="10">
        <f>'Cash Flow Statement'!S32</f>
        <v>-106</v>
      </c>
      <c r="T30" s="10">
        <f>'Cash Flow Statement'!T32</f>
        <v>-212</v>
      </c>
      <c r="V30" s="10">
        <f>'D&amp;A_CapEx'!V8</f>
        <v>-315.19040799999999</v>
      </c>
      <c r="W30" s="10">
        <f>'D&amp;A_CapEx'!W8</f>
        <v>-327.79802431999997</v>
      </c>
      <c r="X30" s="10">
        <f>'D&amp;A_CapEx'!X8</f>
        <v>-270.3072939008</v>
      </c>
      <c r="Y30" s="10">
        <f>'D&amp;A_CapEx'!Y8</f>
        <v>-281.11958565683204</v>
      </c>
      <c r="Z30" s="10">
        <f>'D&amp;A_CapEx'!Z8</f>
        <v>-292.36436908310532</v>
      </c>
      <c r="AA30" s="10">
        <f>'D&amp;A_CapEx'!AA8</f>
        <v>-304.05894384642954</v>
      </c>
      <c r="AB30" s="10">
        <f>'D&amp;A_CapEx'!AB8</f>
        <v>-316.22130160028672</v>
      </c>
      <c r="AC30" s="10">
        <f>'D&amp;A_CapEx'!AC8</f>
        <v>-328.87015366429819</v>
      </c>
      <c r="AD30" s="10">
        <f>'D&amp;A_CapEx'!AD8</f>
        <v>-342.02495981087014</v>
      </c>
      <c r="AE30" s="10">
        <f>'D&amp;A_CapEx'!AE8</f>
        <v>-355.70595820330499</v>
      </c>
      <c r="AF30" s="10">
        <f>'D&amp;A_CapEx'!AF8</f>
        <v>-369.93419653143718</v>
      </c>
      <c r="AG30" s="10">
        <f>'D&amp;A_CapEx'!AG8</f>
        <v>-384.73156439269468</v>
      </c>
      <c r="AH30" s="10">
        <f>'D&amp;A_CapEx'!AH8</f>
        <v>-400.12082696840247</v>
      </c>
      <c r="AI30" s="10">
        <f>'D&amp;A_CapEx'!AI8</f>
        <v>-416.12566004713858</v>
      </c>
      <c r="AJ30" s="10">
        <f>'D&amp;A_CapEx'!AJ8</f>
        <v>-432.77068644902414</v>
      </c>
      <c r="AK30" s="10">
        <f>'D&amp;A_CapEx'!AK8</f>
        <v>-450.08151390698515</v>
      </c>
      <c r="AL30" s="10">
        <f>'D&amp;A_CapEx'!AL8</f>
        <v>-468.08477446326464</v>
      </c>
      <c r="AM30" s="10">
        <f>'D&amp;A_CapEx'!AM8</f>
        <v>-486.80816544179521</v>
      </c>
      <c r="AN30" s="10">
        <f>'D&amp;A_CapEx'!AN8</f>
        <v>-506.28049205946701</v>
      </c>
      <c r="AO30" s="10">
        <f>'D&amp;A_CapEx'!AO8</f>
        <v>-526.5317117418457</v>
      </c>
      <c r="AP30" s="10">
        <f>'D&amp;A_CapEx'!AP8</f>
        <v>-547.5929802115196</v>
      </c>
      <c r="AQ30" s="10">
        <f>'D&amp;A_CapEx'!AQ8</f>
        <v>-569.49669941998036</v>
      </c>
    </row>
    <row r="31" spans="2:53" ht="34">
      <c r="B31" s="4" t="s">
        <v>57</v>
      </c>
      <c r="C31" s="26"/>
      <c r="D31" s="10">
        <f>'WC (Days)'!D32-'WC (Days)'!C32</f>
        <v>785</v>
      </c>
      <c r="E31" s="10">
        <f>'WC (Days)'!E32-'WC (Days)'!D32</f>
        <v>-17</v>
      </c>
      <c r="F31" s="10">
        <f>'WC (Days)'!F32-'WC (Days)'!E32</f>
        <v>-2343</v>
      </c>
      <c r="G31" s="10">
        <f>'WC (Days)'!G32-'WC (Days)'!F32</f>
        <v>423</v>
      </c>
      <c r="H31" s="10">
        <f>'WC (Days)'!H32-'WC (Days)'!G32</f>
        <v>848</v>
      </c>
      <c r="I31" s="10">
        <f>'WC (Days)'!I32-'WC (Days)'!H32</f>
        <v>38</v>
      </c>
      <c r="J31" s="10">
        <f>'WC (Days)'!J32-'WC (Days)'!I32</f>
        <v>-1309</v>
      </c>
      <c r="K31" s="10">
        <f>'WC (Days)'!K32-'WC (Days)'!J32</f>
        <v>-467</v>
      </c>
      <c r="L31" s="10">
        <f>'WC (Days)'!L32-'WC (Days)'!K32</f>
        <v>1514</v>
      </c>
      <c r="M31" s="10">
        <f>'WC (Days)'!M32-'WC (Days)'!L32</f>
        <v>705</v>
      </c>
      <c r="N31" s="10">
        <f>'WC (Days)'!N32-'WC (Days)'!M32</f>
        <v>1664</v>
      </c>
      <c r="O31" s="10">
        <f>'WC (Days)'!O32-'WC (Days)'!N32</f>
        <v>652</v>
      </c>
      <c r="P31" s="10">
        <f>'WC (Days)'!P32-'WC (Days)'!O32</f>
        <v>167</v>
      </c>
      <c r="Q31" s="10">
        <f>'WC (Days)'!Q32-'WC (Days)'!P32</f>
        <v>-1267</v>
      </c>
      <c r="R31" s="10">
        <f>'WC (Days)'!R32-'WC (Days)'!Q32</f>
        <v>-110</v>
      </c>
      <c r="S31" s="10">
        <f>'WC (Days)'!S32-'WC (Days)'!R32</f>
        <v>1671</v>
      </c>
      <c r="T31" s="10">
        <f>'WC (Days)'!T32-'WC (Days)'!S32</f>
        <v>-679</v>
      </c>
      <c r="V31" s="10">
        <f>'WC (Days)'!V32-'WC (Days)'!T32</f>
        <v>6704.5708090040243</v>
      </c>
      <c r="W31" s="10">
        <f>'WC (Days)'!W32-'WC (Days)'!V32</f>
        <v>473.72876608436491</v>
      </c>
      <c r="X31" s="10">
        <f>'WC (Days)'!X32-'WC (Days)'!W32</f>
        <v>1167.3335553998586</v>
      </c>
      <c r="Y31" s="10">
        <f>'WC (Days)'!Y32-'WC (Days)'!X32</f>
        <v>91.314956047477608</v>
      </c>
      <c r="Z31" s="10">
        <f>'WC (Days)'!Z32-'WC (Days)'!Y32</f>
        <v>855.85462376145006</v>
      </c>
      <c r="AA31" s="10">
        <f>'WC (Days)'!AA32-'WC (Days)'!Z32</f>
        <v>696.05184585179813</v>
      </c>
      <c r="AB31" s="10">
        <f>'WC (Days)'!AB32-'WC (Days)'!AA32</f>
        <v>724.27010181647711</v>
      </c>
      <c r="AC31" s="10">
        <f>'WC (Days)'!AC32-'WC (Days)'!AB32</f>
        <v>740.95832487777443</v>
      </c>
      <c r="AD31" s="10">
        <f>'WC (Days)'!AD32-'WC (Days)'!AC32</f>
        <v>780.98978281782183</v>
      </c>
      <c r="AE31" s="10">
        <f>'WC (Days)'!AE32-'WC (Days)'!AD32</f>
        <v>820.72962633175848</v>
      </c>
      <c r="AF31" s="10">
        <f>'WC (Days)'!AF32-'WC (Days)'!AE32</f>
        <v>854.72220348408518</v>
      </c>
      <c r="AG31" s="10">
        <f>'WC (Days)'!AG32-'WC (Days)'!AF32</f>
        <v>853.94477591812756</v>
      </c>
      <c r="AH31" s="10">
        <f>'WC (Days)'!AH32-'WC (Days)'!AG32</f>
        <v>940.50048299692571</v>
      </c>
      <c r="AI31" s="10">
        <f>'WC (Days)'!AI32-'WC (Days)'!AH32</f>
        <v>942.48688205975486</v>
      </c>
      <c r="AJ31" s="10">
        <f>'WC (Days)'!AJ32-'WC (Days)'!AI32</f>
        <v>989.21677203512081</v>
      </c>
      <c r="AK31" s="10">
        <f>'WC (Days)'!AK32-'WC (Days)'!AJ32</f>
        <v>1033.5448815676173</v>
      </c>
      <c r="AL31" s="10">
        <f>'WC (Days)'!AL32-'WC (Days)'!AK32</f>
        <v>1066.3053374409101</v>
      </c>
      <c r="AM31" s="10">
        <f>'WC (Days)'!AM32-'WC (Days)'!AL32</f>
        <v>1118.3883342795634</v>
      </c>
      <c r="AN31" s="10">
        <f>'WC (Days)'!AN32-'WC (Days)'!AM32</f>
        <v>1156.3902182397687</v>
      </c>
      <c r="AO31" s="10">
        <f>'WC (Days)'!AO32-'WC (Days)'!AN32</f>
        <v>1203.7441750781072</v>
      </c>
      <c r="AP31" s="10">
        <f>'WC (Days)'!AP32-'WC (Days)'!AO32</f>
        <v>1255.3389256816663</v>
      </c>
      <c r="AQ31" s="10">
        <f>'WC (Days)'!AQ32-'WC (Days)'!AP32</f>
        <v>1300.832399080653</v>
      </c>
      <c r="AR31" s="10"/>
    </row>
    <row r="32" spans="2:53" ht="34">
      <c r="B32" s="5" t="s">
        <v>58</v>
      </c>
      <c r="C32" s="26"/>
      <c r="D32" s="10">
        <f t="shared" ref="D32:T32" si="47">D13+SUM(D29:D31)</f>
        <v>761</v>
      </c>
      <c r="E32" s="10">
        <f t="shared" si="47"/>
        <v>713</v>
      </c>
      <c r="F32" s="10">
        <f t="shared" si="47"/>
        <v>-2757</v>
      </c>
      <c r="G32" s="10">
        <f t="shared" si="47"/>
        <v>575</v>
      </c>
      <c r="H32" s="10">
        <f t="shared" si="47"/>
        <v>764</v>
      </c>
      <c r="I32" s="10">
        <f t="shared" si="47"/>
        <v>-1219</v>
      </c>
      <c r="J32" s="10">
        <f t="shared" si="47"/>
        <v>-1096</v>
      </c>
      <c r="K32" s="10">
        <f t="shared" si="47"/>
        <v>-530</v>
      </c>
      <c r="L32" s="10">
        <f t="shared" si="47"/>
        <v>2211</v>
      </c>
      <c r="M32" s="10">
        <f t="shared" si="47"/>
        <v>793</v>
      </c>
      <c r="N32" s="10">
        <f t="shared" si="47"/>
        <v>2273</v>
      </c>
      <c r="O32" s="10">
        <f t="shared" si="47"/>
        <v>1581</v>
      </c>
      <c r="P32" s="10">
        <f t="shared" si="47"/>
        <v>614</v>
      </c>
      <c r="Q32" s="10">
        <f t="shared" si="47"/>
        <v>-654</v>
      </c>
      <c r="R32" s="10">
        <f t="shared" si="47"/>
        <v>592</v>
      </c>
      <c r="S32" s="10">
        <f t="shared" si="47"/>
        <v>2563</v>
      </c>
      <c r="T32" s="10">
        <f t="shared" si="47"/>
        <v>-249</v>
      </c>
      <c r="V32" s="10">
        <f t="shared" ref="V32:AA32" si="48">V13+SUM(V29:V31)</f>
        <v>7252.186431343649</v>
      </c>
      <c r="W32" s="10">
        <f t="shared" si="48"/>
        <v>1043.249013317575</v>
      </c>
      <c r="X32" s="10">
        <f t="shared" si="48"/>
        <v>1762.2988635183187</v>
      </c>
      <c r="Y32" s="10">
        <f t="shared" si="48"/>
        <v>710.07887649067845</v>
      </c>
      <c r="Z32" s="10">
        <f t="shared" si="48"/>
        <v>1499.3691010223765</v>
      </c>
      <c r="AA32" s="10">
        <f t="shared" si="48"/>
        <v>1365.3069022031641</v>
      </c>
      <c r="AB32" s="10">
        <f t="shared" ref="AB32:AQ32" si="49">AB13+SUM(AB29:AB31)</f>
        <v>1420.2953604218956</v>
      </c>
      <c r="AC32" s="10">
        <f t="shared" si="49"/>
        <v>1464.8245938274104</v>
      </c>
      <c r="AD32" s="10">
        <f t="shared" si="49"/>
        <v>1533.8107025254421</v>
      </c>
      <c r="AE32" s="10">
        <f t="shared" si="49"/>
        <v>1603.6633828276858</v>
      </c>
      <c r="AF32" s="10">
        <f t="shared" si="49"/>
        <v>1668.97331023985</v>
      </c>
      <c r="AG32" s="10">
        <f t="shared" si="49"/>
        <v>1700.7659269441228</v>
      </c>
      <c r="AH32" s="10">
        <f t="shared" si="49"/>
        <v>1821.1944800639585</v>
      </c>
      <c r="AI32" s="10">
        <f t="shared" si="49"/>
        <v>1858.4086390094694</v>
      </c>
      <c r="AJ32" s="10">
        <f t="shared" si="49"/>
        <v>1941.7753992628238</v>
      </c>
      <c r="AK32" s="10">
        <f t="shared" si="49"/>
        <v>2024.2058538844308</v>
      </c>
      <c r="AL32" s="10">
        <f t="shared" si="49"/>
        <v>2096.5927486503924</v>
      </c>
      <c r="AM32" s="10">
        <f t="shared" si="49"/>
        <v>2189.8872419374247</v>
      </c>
      <c r="AN32" s="10">
        <f t="shared" si="49"/>
        <v>2270.7490822039517</v>
      </c>
      <c r="AO32" s="10">
        <f t="shared" si="49"/>
        <v>2362.6773936008531</v>
      </c>
      <c r="AP32" s="10">
        <f t="shared" si="49"/>
        <v>2460.6294729453216</v>
      </c>
      <c r="AQ32" s="10">
        <f t="shared" si="49"/>
        <v>2554.3345682348554</v>
      </c>
    </row>
    <row r="34" spans="2:31 16384:16384" hidden="1">
      <c r="B34" t="s">
        <v>59</v>
      </c>
      <c r="C34" s="23">
        <v>0</v>
      </c>
      <c r="D34" s="23">
        <v>0</v>
      </c>
      <c r="E34" s="23">
        <f>-(E21/E20)</f>
        <v>0.18805309734513273</v>
      </c>
      <c r="F34" s="23">
        <f>-(F21/F20)</f>
        <v>4.2941176470588234</v>
      </c>
      <c r="G34" s="23">
        <f>-(G21/G20)</f>
        <v>0.43181818181818182</v>
      </c>
      <c r="H34" s="23">
        <f>-(H21/H20)</f>
        <v>0.22058823529411764</v>
      </c>
      <c r="I34" s="23">
        <v>0</v>
      </c>
      <c r="J34" s="23">
        <f>-(J21/J20)</f>
        <v>0.30188679245283018</v>
      </c>
      <c r="K34" s="23">
        <v>0</v>
      </c>
      <c r="L34" s="23">
        <f t="shared" ref="L34:T34" si="50">-(L21/L20)</f>
        <v>0.24347826086956523</v>
      </c>
      <c r="M34" s="23">
        <f t="shared" si="50"/>
        <v>0.12459016393442623</v>
      </c>
      <c r="N34" s="23">
        <f t="shared" si="50"/>
        <v>0.23429951690821257</v>
      </c>
      <c r="O34" s="23">
        <f t="shared" si="50"/>
        <v>0.17312894499549145</v>
      </c>
      <c r="P34" s="23">
        <f t="shared" si="50"/>
        <v>0.11933174224343675</v>
      </c>
      <c r="Q34" s="23">
        <f t="shared" si="50"/>
        <v>0.12415654520917679</v>
      </c>
      <c r="R34" s="23">
        <f t="shared" si="50"/>
        <v>0.10457516339869281</v>
      </c>
      <c r="S34" s="23">
        <f t="shared" si="50"/>
        <v>0.13432835820895522</v>
      </c>
      <c r="T34" s="23">
        <f t="shared" si="50"/>
        <v>0.13793103448275862</v>
      </c>
      <c r="U34" s="23"/>
      <c r="XFD34" s="23"/>
    </row>
    <row r="35" spans="2:31 16384:16384" ht="17" hidden="1">
      <c r="B35" s="5" t="s">
        <v>60</v>
      </c>
    </row>
    <row r="36" spans="2:31 16384:16384" hidden="1">
      <c r="B36" t="s">
        <v>61</v>
      </c>
      <c r="C36" s="22">
        <f>C10/C8</f>
        <v>3.6086833944178179E-2</v>
      </c>
      <c r="D36" s="22">
        <f t="shared" ref="D36:T36" si="51">D10/D8</f>
        <v>4.4620070799374328E-2</v>
      </c>
      <c r="E36" s="22">
        <f t="shared" si="51"/>
        <v>8.0441640378548895E-2</v>
      </c>
      <c r="F36" s="22">
        <f t="shared" si="51"/>
        <v>3.6558953478298538E-2</v>
      </c>
      <c r="G36" s="22">
        <f t="shared" si="51"/>
        <v>4.3972630307909037E-2</v>
      </c>
      <c r="H36" s="22">
        <f t="shared" si="51"/>
        <v>5.0713153724247229E-2</v>
      </c>
      <c r="I36" s="22">
        <f t="shared" si="51"/>
        <v>-9.4739901191514098E-2</v>
      </c>
      <c r="J36" s="22">
        <f t="shared" si="51"/>
        <v>5.2953723453584345E-2</v>
      </c>
      <c r="K36" s="22">
        <f t="shared" si="51"/>
        <v>1.8968712525891201E-2</v>
      </c>
      <c r="L36" s="22">
        <f t="shared" si="51"/>
        <v>0.11678292115831748</v>
      </c>
      <c r="M36" s="22">
        <f t="shared" si="51"/>
        <v>5.9257800964661878E-2</v>
      </c>
      <c r="N36" s="22">
        <f t="shared" si="51"/>
        <v>7.1689135606661375E-2</v>
      </c>
      <c r="O36" s="22">
        <f t="shared" si="51"/>
        <v>8.8496258004783585E-2</v>
      </c>
      <c r="P36" s="22">
        <f t="shared" si="51"/>
        <v>4.3207069066337471E-2</v>
      </c>
      <c r="Q36" s="22">
        <f t="shared" si="51"/>
        <v>6.1061131968548558E-2</v>
      </c>
      <c r="R36" s="22">
        <f t="shared" si="51"/>
        <v>4.1299526464065213E-2</v>
      </c>
      <c r="S36" s="22">
        <f t="shared" si="51"/>
        <v>7.5818639798488671E-2</v>
      </c>
      <c r="T36" s="22">
        <f t="shared" si="51"/>
        <v>4.3049127307199016E-2</v>
      </c>
    </row>
    <row r="37" spans="2:31 16384:16384" hidden="1">
      <c r="B37" t="s">
        <v>62</v>
      </c>
      <c r="C37" s="26"/>
      <c r="D37" s="25">
        <f t="shared" ref="D37:T37" si="52">(D8-C8)/C8</f>
        <v>0.14152805187482378</v>
      </c>
      <c r="E37" s="25">
        <f t="shared" si="52"/>
        <v>-6.0508767596937518E-2</v>
      </c>
      <c r="F37" s="25">
        <f t="shared" si="52"/>
        <v>1.1479144759901857E-2</v>
      </c>
      <c r="G37" s="25">
        <f t="shared" si="52"/>
        <v>-0.13904530884518757</v>
      </c>
      <c r="H37" s="25">
        <f t="shared" si="52"/>
        <v>1.5898571141074663E-2</v>
      </c>
      <c r="I37" s="25">
        <f t="shared" si="52"/>
        <v>2.2484152139461172E-2</v>
      </c>
      <c r="J37" s="25">
        <f t="shared" si="52"/>
        <v>4.4560689721980046E-2</v>
      </c>
      <c r="K37" s="25">
        <f t="shared" si="52"/>
        <v>-0.14930909765371417</v>
      </c>
      <c r="L37" s="25">
        <f t="shared" si="52"/>
        <v>3.1505505287256076E-2</v>
      </c>
      <c r="M37" s="25">
        <f t="shared" si="52"/>
        <v>7.3663073346015642E-2</v>
      </c>
      <c r="N37" s="25">
        <f t="shared" si="52"/>
        <v>0.24126390392755193</v>
      </c>
      <c r="O37" s="25">
        <f t="shared" si="52"/>
        <v>2.7835051546391754E-2</v>
      </c>
      <c r="P37" s="25">
        <f t="shared" si="52"/>
        <v>0.18748553352364786</v>
      </c>
      <c r="Q37" s="25">
        <f t="shared" si="52"/>
        <v>-8.2775648106035993E-2</v>
      </c>
      <c r="R37" s="25">
        <f t="shared" si="52"/>
        <v>0.18176666430544733</v>
      </c>
      <c r="S37" s="25">
        <f t="shared" si="52"/>
        <v>-4.8132829826769766E-2</v>
      </c>
      <c r="T37" s="25">
        <f t="shared" si="52"/>
        <v>0.12928211586901764</v>
      </c>
      <c r="U37" s="25"/>
    </row>
    <row r="38" spans="2:31 16384:16384" hidden="1">
      <c r="B38" t="s">
        <v>63</v>
      </c>
      <c r="C38" s="24">
        <f>C25/C8</f>
        <v>-2.7253077718259562E-3</v>
      </c>
      <c r="D38" s="24">
        <f t="shared" ref="D38:T38" si="53">D25/D8</f>
        <v>-1.7288219313410719E-3</v>
      </c>
      <c r="E38" s="24">
        <f t="shared" si="53"/>
        <v>3.1282860147213459E-2</v>
      </c>
      <c r="F38" s="24">
        <f t="shared" si="53"/>
        <v>-6.4108117473793639E-3</v>
      </c>
      <c r="G38" s="24">
        <f t="shared" si="53"/>
        <v>3.7230831153149528E-3</v>
      </c>
      <c r="H38" s="24">
        <f t="shared" si="53"/>
        <v>2.0305071315372424E-2</v>
      </c>
      <c r="I38" s="24">
        <f t="shared" si="53"/>
        <v>-0.14491911266104815</v>
      </c>
      <c r="J38" s="24">
        <f t="shared" si="53"/>
        <v>3.7095427988500418E-3</v>
      </c>
      <c r="K38" s="24">
        <f t="shared" si="53"/>
        <v>-2.2566226970456776E-2</v>
      </c>
      <c r="L38" s="24">
        <f t="shared" si="53"/>
        <v>5.4111181568378776E-2</v>
      </c>
      <c r="M38" s="24">
        <f t="shared" si="53"/>
        <v>2.6183679496013388E-2</v>
      </c>
      <c r="N38" s="24">
        <f t="shared" si="53"/>
        <v>2.4821570182394923E-2</v>
      </c>
      <c r="O38" s="24">
        <f t="shared" si="53"/>
        <v>6.3498186868297196E-2</v>
      </c>
      <c r="P38" s="24">
        <f t="shared" si="53"/>
        <v>2.2935481775063347E-2</v>
      </c>
      <c r="Q38" s="24">
        <f t="shared" si="53"/>
        <v>4.5689594106396544E-2</v>
      </c>
      <c r="R38" s="24">
        <f t="shared" si="53"/>
        <v>3.2308337828927648E-2</v>
      </c>
      <c r="S38" s="24">
        <f t="shared" si="53"/>
        <v>4.3324937027707809E-2</v>
      </c>
      <c r="T38" s="24">
        <f t="shared" si="53"/>
        <v>1.1487202364356216E-2</v>
      </c>
    </row>
    <row r="39" spans="2:31 16384:16384" hidden="1">
      <c r="V39" s="25"/>
      <c r="W39" s="25"/>
      <c r="X39" s="25"/>
      <c r="Y39" s="25"/>
      <c r="Z39" s="25"/>
    </row>
    <row r="40" spans="2:31 16384:16384" hidden="1"/>
    <row r="41" spans="2:31 16384:16384" hidden="1">
      <c r="B41" t="s">
        <v>64</v>
      </c>
      <c r="C41" s="21">
        <f>-(C9/C8)</f>
        <v>0.96391316605582178</v>
      </c>
      <c r="D41" s="21">
        <f t="shared" ref="D41:T41" si="54">-(D9/D8)</f>
        <v>0.95537992920062564</v>
      </c>
      <c r="E41" s="21">
        <f t="shared" si="54"/>
        <v>0.91955835962145105</v>
      </c>
      <c r="F41" s="21">
        <f t="shared" si="54"/>
        <v>0.96344104652170148</v>
      </c>
      <c r="G41" s="21">
        <f t="shared" si="54"/>
        <v>0.95602736969209101</v>
      </c>
      <c r="H41" s="21">
        <f t="shared" si="54"/>
        <v>0.94928684627575277</v>
      </c>
      <c r="I41" s="21">
        <f t="shared" si="54"/>
        <v>1.094739901191514</v>
      </c>
      <c r="J41" s="21">
        <f t="shared" si="54"/>
        <v>0.9470462765464156</v>
      </c>
      <c r="K41" s="21">
        <f t="shared" si="54"/>
        <v>0.98103128747410884</v>
      </c>
      <c r="L41" s="21">
        <f t="shared" si="54"/>
        <v>0.88321707884168255</v>
      </c>
      <c r="M41" s="21">
        <f t="shared" si="54"/>
        <v>0.94074219903533818</v>
      </c>
      <c r="N41" s="21">
        <f t="shared" si="54"/>
        <v>0.92831086439333865</v>
      </c>
      <c r="O41" s="21">
        <f t="shared" si="54"/>
        <v>0.91150374199521644</v>
      </c>
      <c r="P41" s="21">
        <f t="shared" si="54"/>
        <v>0.95679293093366258</v>
      </c>
      <c r="Q41" s="21">
        <f t="shared" si="54"/>
        <v>0.93893886803145143</v>
      </c>
      <c r="R41" s="21">
        <f t="shared" si="54"/>
        <v>0.95870047353593479</v>
      </c>
      <c r="S41" s="21">
        <f t="shared" si="54"/>
        <v>0.92418136020151131</v>
      </c>
      <c r="T41" s="21">
        <f t="shared" si="54"/>
        <v>0.95695087269280099</v>
      </c>
      <c r="V41" s="30"/>
    </row>
    <row r="42" spans="2:31 16384:16384" hidden="1">
      <c r="B42" t="s">
        <v>65</v>
      </c>
      <c r="C42" s="21">
        <f>-(C11/C8)</f>
        <v>3.2327788741659619E-2</v>
      </c>
      <c r="D42" s="21">
        <f t="shared" ref="D42:T42" si="55">-(D11/D8)</f>
        <v>3.1036469910265908E-2</v>
      </c>
      <c r="E42" s="21">
        <f t="shared" si="55"/>
        <v>2.9179810725552049E-2</v>
      </c>
      <c r="F42" s="21">
        <f t="shared" si="55"/>
        <v>3.1967426145716016E-2</v>
      </c>
      <c r="G42" s="21">
        <f t="shared" si="55"/>
        <v>3.0690279734352989E-2</v>
      </c>
      <c r="H42" s="21">
        <f t="shared" si="55"/>
        <v>3.3181458003169573E-2</v>
      </c>
      <c r="I42" s="21">
        <f t="shared" si="55"/>
        <v>3.1870580257677035E-2</v>
      </c>
      <c r="J42" s="21">
        <f t="shared" si="55"/>
        <v>3.54261337290179E-2</v>
      </c>
      <c r="K42" s="21">
        <f t="shared" si="55"/>
        <v>3.2159598822631634E-2</v>
      </c>
      <c r="L42" s="21">
        <f t="shared" si="55"/>
        <v>3.656732191925597E-2</v>
      </c>
      <c r="M42" s="21">
        <f t="shared" si="55"/>
        <v>3.4649079633822223E-2</v>
      </c>
      <c r="N42" s="21">
        <f t="shared" si="55"/>
        <v>2.8945281522601111E-2</v>
      </c>
      <c r="O42" s="21">
        <f t="shared" si="55"/>
        <v>2.0908880487616695E-2</v>
      </c>
      <c r="P42" s="21">
        <f t="shared" si="55"/>
        <v>1.9296991748424405E-2</v>
      </c>
      <c r="Q42" s="21">
        <f t="shared" si="55"/>
        <v>2.3163561663242897E-2</v>
      </c>
      <c r="R42" s="21">
        <f t="shared" si="55"/>
        <v>7.192950908110052E-4</v>
      </c>
      <c r="S42" s="21">
        <f t="shared" si="55"/>
        <v>1.9395465994962217E-2</v>
      </c>
      <c r="T42" s="21">
        <f t="shared" si="55"/>
        <v>1.8624881503373669E-2</v>
      </c>
    </row>
    <row r="43" spans="2:31 16384:16384" hidden="1">
      <c r="B43" t="s">
        <v>171</v>
      </c>
      <c r="C43" s="22">
        <f>-(C16/C8)</f>
        <v>0</v>
      </c>
      <c r="D43" s="22">
        <f t="shared" ref="D43:T43" si="56">-(D16/D8)</f>
        <v>7.9031859718448998E-3</v>
      </c>
      <c r="E43" s="22">
        <f t="shared" si="56"/>
        <v>1.7525411847178409E-3</v>
      </c>
      <c r="F43" s="22">
        <f t="shared" si="56"/>
        <v>-1.2994888677120332E-3</v>
      </c>
      <c r="G43" s="22">
        <f t="shared" si="56"/>
        <v>7.0436707587039646E-4</v>
      </c>
      <c r="H43" s="22">
        <f t="shared" si="56"/>
        <v>1.0895404120443741E-3</v>
      </c>
      <c r="I43" s="22">
        <f t="shared" si="56"/>
        <v>1.2496367335077013E-2</v>
      </c>
      <c r="J43" s="22">
        <f t="shared" si="56"/>
        <v>-2.7821570991375315E-3</v>
      </c>
      <c r="K43" s="22">
        <f t="shared" si="56"/>
        <v>6.5409353537555868E-4</v>
      </c>
      <c r="L43" s="22">
        <f t="shared" si="56"/>
        <v>-2.8535193405199747E-3</v>
      </c>
      <c r="M43" s="22">
        <f t="shared" si="56"/>
        <v>-5.3154838074613645E-3</v>
      </c>
      <c r="N43" s="22">
        <f t="shared" si="56"/>
        <v>-5.9476605868358443E-3</v>
      </c>
      <c r="O43" s="22">
        <f t="shared" si="56"/>
        <v>7.7154540544711056E-4</v>
      </c>
      <c r="P43" s="22">
        <f t="shared" si="56"/>
        <v>-2.2740562666493406E-3</v>
      </c>
      <c r="Q43" s="22">
        <f t="shared" si="56"/>
        <v>2.5501168803570163E-3</v>
      </c>
      <c r="R43" s="22">
        <f t="shared" si="56"/>
        <v>2.277767787568183E-3</v>
      </c>
      <c r="S43" s="22">
        <f t="shared" si="56"/>
        <v>-7.556675062972292E-4</v>
      </c>
      <c r="T43" s="22">
        <f t="shared" si="56"/>
        <v>6.1339430100931245E-3</v>
      </c>
    </row>
    <row r="44" spans="2:31 16384:16384" hidden="1">
      <c r="B44" t="s">
        <v>66</v>
      </c>
      <c r="C44" s="22">
        <f>-(C17/C8)</f>
        <v>5.8265200639037685E-3</v>
      </c>
      <c r="D44" s="22">
        <f t="shared" ref="D44:T44" si="57">-(D17/D8)</f>
        <v>7.2445871408578248E-3</v>
      </c>
      <c r="E44" s="22">
        <f t="shared" si="57"/>
        <v>8.2369435681738518E-3</v>
      </c>
      <c r="F44" s="22">
        <f t="shared" si="57"/>
        <v>5.5444858355713422E-3</v>
      </c>
      <c r="G44" s="22">
        <f t="shared" si="57"/>
        <v>6.8424230227409942E-3</v>
      </c>
      <c r="H44" s="22">
        <f t="shared" si="57"/>
        <v>8.0229793977812987E-3</v>
      </c>
      <c r="I44" s="22">
        <f t="shared" si="57"/>
        <v>7.5559430398140079E-3</v>
      </c>
      <c r="J44" s="22">
        <f t="shared" si="57"/>
        <v>7.5118241676713346E-3</v>
      </c>
      <c r="K44" s="22">
        <f t="shared" si="57"/>
        <v>7.6310912460481849E-3</v>
      </c>
      <c r="L44" s="22">
        <f t="shared" si="57"/>
        <v>5.9184104840414292E-3</v>
      </c>
      <c r="M44" s="22">
        <f t="shared" si="57"/>
        <v>5.0201791514912887E-3</v>
      </c>
      <c r="N44" s="22">
        <f t="shared" si="57"/>
        <v>5.2339413164155428E-3</v>
      </c>
      <c r="O44" s="22">
        <f t="shared" si="57"/>
        <v>4.9378905948615076E-3</v>
      </c>
      <c r="P44" s="22">
        <f t="shared" si="57"/>
        <v>3.1187057371190956E-3</v>
      </c>
      <c r="Q44" s="22">
        <f t="shared" si="57"/>
        <v>2.6917900403768506E-3</v>
      </c>
      <c r="R44" s="22">
        <f t="shared" si="57"/>
        <v>2.6973565905412697E-3</v>
      </c>
      <c r="S44" s="22">
        <f t="shared" si="57"/>
        <v>6.4231738035264484E-3</v>
      </c>
      <c r="T44" s="22">
        <f t="shared" si="57"/>
        <v>4.5168125801594823E-3</v>
      </c>
    </row>
    <row r="45" spans="2:31 16384:16384" hidden="1">
      <c r="B45" t="s">
        <v>196</v>
      </c>
      <c r="C45" s="24">
        <f>C18/C8</f>
        <v>2.2554271215111362E-3</v>
      </c>
      <c r="D45" s="24">
        <f t="shared" ref="D45:T45" si="58">D18/D8</f>
        <v>3.2929941549353749E-4</v>
      </c>
      <c r="E45" s="24">
        <f t="shared" si="58"/>
        <v>-1.6649141254819488E-3</v>
      </c>
      <c r="F45" s="24">
        <f t="shared" si="58"/>
        <v>3.3786710560512866E-3</v>
      </c>
      <c r="G45" s="24">
        <f t="shared" si="58"/>
        <v>3.1193399074260415E-3</v>
      </c>
      <c r="H45" s="24">
        <f t="shared" si="58"/>
        <v>1.8522187004754359E-2</v>
      </c>
      <c r="I45" s="24">
        <f t="shared" si="58"/>
        <v>3.8748425845200037E-4</v>
      </c>
      <c r="J45" s="24">
        <f t="shared" si="58"/>
        <v>-4.5441899285913008E-3</v>
      </c>
      <c r="K45" s="24">
        <f t="shared" si="58"/>
        <v>-5.5597950506922492E-3</v>
      </c>
      <c r="L45" s="24">
        <f t="shared" si="58"/>
        <v>2.8535193405199747E-3</v>
      </c>
      <c r="M45" s="24">
        <f t="shared" si="58"/>
        <v>1.6733930504970961E-3</v>
      </c>
      <c r="N45" s="24">
        <f t="shared" si="58"/>
        <v>-9.4369547977795395E-3</v>
      </c>
      <c r="O45" s="24">
        <f t="shared" si="58"/>
        <v>2.0291644163259008E-2</v>
      </c>
      <c r="P45" s="24">
        <f t="shared" si="58"/>
        <v>2.2740562666493406E-3</v>
      </c>
      <c r="Q45" s="24">
        <f t="shared" si="58"/>
        <v>1.5584047602181766E-2</v>
      </c>
      <c r="R45" s="24">
        <f t="shared" si="58"/>
        <v>-5.3947131810825396E-4</v>
      </c>
      <c r="S45" s="24">
        <f t="shared" si="58"/>
        <v>-2.9596977329974811E-3</v>
      </c>
      <c r="T45" s="24">
        <f t="shared" si="58"/>
        <v>-3.3457870964144314E-4</v>
      </c>
      <c r="U45" s="24"/>
      <c r="V45" s="24"/>
      <c r="W45" s="24"/>
      <c r="X45" s="24"/>
      <c r="Y45" s="24"/>
      <c r="Z45" s="24"/>
      <c r="AA45" s="24"/>
      <c r="AB45" s="24"/>
      <c r="AC45" s="24"/>
      <c r="AD45" s="24"/>
      <c r="AE45" s="24"/>
    </row>
    <row r="46" spans="2:31 16384:16384" hidden="1">
      <c r="B46" s="10" t="s">
        <v>197</v>
      </c>
      <c r="C46" s="24">
        <v>0</v>
      </c>
      <c r="D46" s="24">
        <f t="shared" ref="D46:S46" si="59">D19/D8</f>
        <v>0</v>
      </c>
      <c r="E46" s="24">
        <f t="shared" si="59"/>
        <v>0</v>
      </c>
      <c r="F46" s="24">
        <f t="shared" si="59"/>
        <v>-2.2524473707008575E-3</v>
      </c>
      <c r="G46" s="24">
        <f t="shared" si="59"/>
        <v>0</v>
      </c>
      <c r="H46" s="24">
        <f t="shared" si="59"/>
        <v>0</v>
      </c>
      <c r="I46" s="24">
        <f t="shared" si="59"/>
        <v>0</v>
      </c>
      <c r="J46" s="24">
        <f t="shared" si="59"/>
        <v>-3.3385885189650376E-3</v>
      </c>
      <c r="K46" s="24">
        <f t="shared" si="59"/>
        <v>0</v>
      </c>
      <c r="L46" s="24">
        <f t="shared" si="59"/>
        <v>-7.0809554005495665E-3</v>
      </c>
      <c r="M46" s="24">
        <f t="shared" si="59"/>
        <v>3.4452209863175508E-3</v>
      </c>
      <c r="N46" s="24">
        <f t="shared" si="59"/>
        <v>-1.1895321173671688E-3</v>
      </c>
      <c r="O46" s="24">
        <f t="shared" si="59"/>
        <v>3.3947997839672865E-3</v>
      </c>
      <c r="P46" s="24">
        <f t="shared" si="59"/>
        <v>1.8842180495094536E-3</v>
      </c>
      <c r="Q46" s="24">
        <f t="shared" si="59"/>
        <v>4.2501948005950274E-3</v>
      </c>
      <c r="R46" s="24">
        <f t="shared" si="59"/>
        <v>1.6184139543247618E-3</v>
      </c>
      <c r="S46" s="24">
        <f t="shared" si="59"/>
        <v>2.8337531486146094E-3</v>
      </c>
      <c r="T46" s="24">
        <f>T19/T8</f>
        <v>1.1152623654714772E-3</v>
      </c>
    </row>
    <row r="47" spans="2:31 16384:16384">
      <c r="S47" s="25"/>
    </row>
    <row r="50" spans="2:45 16384:16384" ht="3" customHeight="1">
      <c r="B50" s="43"/>
      <c r="C50" s="44"/>
    </row>
    <row r="51" spans="2:45 16384:16384">
      <c r="B51" s="32" t="s">
        <v>188</v>
      </c>
      <c r="C51" s="33"/>
      <c r="D51" s="33"/>
      <c r="E51" s="33"/>
      <c r="F51" s="33"/>
      <c r="G51" s="33"/>
      <c r="H51" s="33"/>
      <c r="I51" s="33"/>
      <c r="J51" s="33"/>
      <c r="K51" s="33"/>
      <c r="L51" s="33"/>
      <c r="M51" s="33"/>
      <c r="N51" s="33"/>
      <c r="O51" s="33"/>
      <c r="P51" s="33"/>
      <c r="Q51" s="33"/>
      <c r="R51" s="33"/>
      <c r="S51" s="33"/>
      <c r="T51" s="33"/>
      <c r="V51" s="21">
        <f>CHOOSE($C$5,V63,V75,V87)</f>
        <v>1.04</v>
      </c>
      <c r="W51" s="21">
        <f>CHOOSE($C$5,W63,W75,W87)</f>
        <v>1.04</v>
      </c>
      <c r="X51" s="21">
        <f>CHOOSE($C$5,X63,X75,X87)</f>
        <v>1.04</v>
      </c>
      <c r="Y51" s="21">
        <f>CHOOSE($C$5,Y63,Y75,Y87)</f>
        <v>1.04</v>
      </c>
      <c r="Z51" s="21">
        <f>CHOOSE($C$5,Z63,Z75,Z87)</f>
        <v>1.04</v>
      </c>
      <c r="AA51" s="21">
        <f>CHOOSE($C$5,AA63,AA75,AA87)</f>
        <v>1.04</v>
      </c>
      <c r="AB51" s="21">
        <f>CHOOSE($C$5,AB63,AB75,AB87)</f>
        <v>1.04</v>
      </c>
      <c r="AC51" s="21">
        <f>CHOOSE($C$5,AC63,AC75,AC87)</f>
        <v>1.04</v>
      </c>
      <c r="AD51" s="21">
        <f>CHOOSE($C$5,AD63,AD75,AD87)</f>
        <v>1.04</v>
      </c>
      <c r="AE51" s="21">
        <f>CHOOSE($C$5,AE63,AE75,AE87)</f>
        <v>1.04</v>
      </c>
      <c r="AF51" s="21">
        <f>CHOOSE($C$5,AF63,AF75,AF87)</f>
        <v>1.04</v>
      </c>
      <c r="AG51" s="21">
        <f>CHOOSE($C$5,AG63,AG75,AG87)</f>
        <v>1.04</v>
      </c>
      <c r="AH51" s="21">
        <f>CHOOSE($C$5,AH63,AH75,AH87)</f>
        <v>1.04</v>
      </c>
      <c r="AI51" s="21">
        <f>CHOOSE($C$5,AI63,AI75,AI87)</f>
        <v>1.04</v>
      </c>
      <c r="AJ51" s="21">
        <f>CHOOSE($C$5,AJ63,AJ75,AJ87)</f>
        <v>1.04</v>
      </c>
      <c r="AK51" s="21">
        <f>CHOOSE($C$5,AK63,AK75,AK87)</f>
        <v>1.04</v>
      </c>
      <c r="AL51" s="21">
        <f>CHOOSE($C$5,AL63,AL75,AL87)</f>
        <v>1.04</v>
      </c>
      <c r="AM51" s="21">
        <f>CHOOSE($C$5,AM63,AM75,AM87)</f>
        <v>1.04</v>
      </c>
      <c r="AN51" s="21">
        <f>CHOOSE($C$5,AN63,AN75,AN87)</f>
        <v>1.04</v>
      </c>
      <c r="AO51" s="21">
        <f>CHOOSE($C$5,AO63,AO75,AO87)</f>
        <v>1.04</v>
      </c>
      <c r="AP51" s="21">
        <f>CHOOSE($C$5,AP63,AP75,AP87)</f>
        <v>1.04</v>
      </c>
      <c r="AQ51" s="21">
        <f>CHOOSE($C$5,AQ63,AQ75,AQ87)</f>
        <v>1.04</v>
      </c>
    </row>
    <row r="52" spans="2:45 16384:16384">
      <c r="B52" s="32" t="s">
        <v>41</v>
      </c>
      <c r="C52" s="33"/>
      <c r="D52" s="33"/>
      <c r="E52" s="33"/>
      <c r="F52" s="33"/>
      <c r="G52" s="33"/>
      <c r="H52" s="33"/>
      <c r="I52" s="33"/>
      <c r="J52" s="33"/>
      <c r="K52" s="33"/>
      <c r="L52" s="33"/>
      <c r="M52" s="33"/>
      <c r="N52" s="33"/>
      <c r="O52" s="33"/>
      <c r="P52" s="33"/>
      <c r="Q52" s="33"/>
      <c r="R52" s="33"/>
      <c r="S52" s="33"/>
      <c r="T52" s="33"/>
      <c r="V52" s="21">
        <f>CHOOSE($C$5,V64,V76,V88)</f>
        <v>0.94</v>
      </c>
      <c r="W52" s="21">
        <f>CHOOSE($C$5,W64,W76,W88)</f>
        <v>0.94</v>
      </c>
      <c r="X52" s="21">
        <f>CHOOSE($C$5,X64,X76,X88)</f>
        <v>0.94</v>
      </c>
      <c r="Y52" s="21">
        <f>CHOOSE($C$5,Y64,Y76,Y88)</f>
        <v>0.94</v>
      </c>
      <c r="Z52" s="21">
        <f>CHOOSE($C$5,Z64,Z76,Z88)</f>
        <v>0.94</v>
      </c>
      <c r="AA52" s="21">
        <f>CHOOSE($C$5,AA64,AA76,AA88)</f>
        <v>0.94</v>
      </c>
      <c r="AB52" s="21">
        <f>CHOOSE($C$5,AB64,AB76,AB88)</f>
        <v>0.94</v>
      </c>
      <c r="AC52" s="21">
        <f>CHOOSE($C$5,AC64,AC76,AC88)</f>
        <v>0.94</v>
      </c>
      <c r="AD52" s="21">
        <f>CHOOSE($C$5,AD64,AD76,AD88)</f>
        <v>0.94</v>
      </c>
      <c r="AE52" s="21">
        <f>CHOOSE($C$5,AE64,AE76,AE88)</f>
        <v>0.94</v>
      </c>
      <c r="AF52" s="21">
        <f>CHOOSE($C$5,AF64,AF76,AF88)</f>
        <v>0.94</v>
      </c>
      <c r="AG52" s="21">
        <f>CHOOSE($C$5,AG64,AG76,AG88)</f>
        <v>0.94</v>
      </c>
      <c r="AH52" s="21">
        <f>CHOOSE($C$5,AH64,AH76,AH88)</f>
        <v>0.94</v>
      </c>
      <c r="AI52" s="21">
        <f>CHOOSE($C$5,AI64,AI76,AI88)</f>
        <v>0.94</v>
      </c>
      <c r="AJ52" s="21">
        <f>CHOOSE($C$5,AJ64,AJ76,AJ88)</f>
        <v>0.94</v>
      </c>
      <c r="AK52" s="21">
        <f>CHOOSE($C$5,AK64,AK76,AK88)</f>
        <v>0.94</v>
      </c>
      <c r="AL52" s="21">
        <f>CHOOSE($C$5,AL64,AL76,AL88)</f>
        <v>0.94</v>
      </c>
      <c r="AM52" s="21">
        <f>CHOOSE($C$5,AM64,AM76,AM88)</f>
        <v>0.94</v>
      </c>
      <c r="AN52" s="21">
        <f>CHOOSE($C$5,AN64,AN76,AN88)</f>
        <v>0.94</v>
      </c>
      <c r="AO52" s="21">
        <f>CHOOSE($C$5,AO64,AO76,AO88)</f>
        <v>0.94</v>
      </c>
      <c r="AP52" s="21">
        <f>CHOOSE($C$5,AP64,AP76,AP88)</f>
        <v>0.94</v>
      </c>
      <c r="AQ52" s="21">
        <f>CHOOSE($C$5,AQ64,AQ76,AQ88)</f>
        <v>0.94</v>
      </c>
    </row>
    <row r="53" spans="2:45 16384:16384">
      <c r="B53" s="32" t="s">
        <v>42</v>
      </c>
      <c r="C53" s="33"/>
      <c r="D53" s="33"/>
      <c r="E53" s="33"/>
      <c r="F53" s="33"/>
      <c r="G53" s="33"/>
      <c r="H53" s="33"/>
      <c r="I53" s="33"/>
      <c r="J53" s="33"/>
      <c r="K53" s="33"/>
      <c r="L53" s="33"/>
      <c r="M53" s="33"/>
      <c r="N53" s="33"/>
      <c r="O53" s="33"/>
      <c r="P53" s="33"/>
      <c r="Q53" s="33"/>
      <c r="R53" s="33"/>
      <c r="S53" s="33"/>
      <c r="T53" s="33"/>
      <c r="V53" s="21">
        <f>CHOOSE($C$5,V65,V77,V89)</f>
        <v>0.10000000000000009</v>
      </c>
      <c r="W53" s="21">
        <f>CHOOSE($C$5,W65,W77,W89)</f>
        <v>0.10000000000000009</v>
      </c>
      <c r="X53" s="21">
        <f>CHOOSE($C$5,X65,X77,X89)</f>
        <v>0.10000000000000009</v>
      </c>
      <c r="Y53" s="21">
        <f>CHOOSE($C$5,Y65,Y77,Y89)</f>
        <v>0.10000000000000009</v>
      </c>
      <c r="Z53" s="21">
        <f>CHOOSE($C$5,Z65,Z77,Z89)</f>
        <v>0.10000000000000009</v>
      </c>
      <c r="AA53" s="21">
        <f>CHOOSE($C$5,AA65,AA77,AA89)</f>
        <v>0.10000000000000009</v>
      </c>
      <c r="AB53" s="21">
        <f>CHOOSE($C$5,AB65,AB77,AB89)</f>
        <v>0.10000000000000009</v>
      </c>
      <c r="AC53" s="21">
        <f>CHOOSE($C$5,AC65,AC77,AC89)</f>
        <v>0.10000000000000009</v>
      </c>
      <c r="AD53" s="21">
        <f>CHOOSE($C$5,AD65,AD77,AD89)</f>
        <v>0.10000000000000009</v>
      </c>
      <c r="AE53" s="21">
        <f>CHOOSE($C$5,AE65,AE77,AE89)</f>
        <v>0.10000000000000009</v>
      </c>
      <c r="AF53" s="21">
        <f>CHOOSE($C$5,AF65,AF77,AF89)</f>
        <v>0.10000000000000009</v>
      </c>
      <c r="AG53" s="21">
        <f>CHOOSE($C$5,AG65,AG77,AG89)</f>
        <v>0.10000000000000009</v>
      </c>
      <c r="AH53" s="21">
        <f>CHOOSE($C$5,AH65,AH77,AH89)</f>
        <v>0.10000000000000009</v>
      </c>
      <c r="AI53" s="21">
        <f>CHOOSE($C$5,AI65,AI77,AI89)</f>
        <v>0.10000000000000009</v>
      </c>
      <c r="AJ53" s="21">
        <f>CHOOSE($C$5,AJ65,AJ77,AJ89)</f>
        <v>0.10000000000000009</v>
      </c>
      <c r="AK53" s="21">
        <f>CHOOSE($C$5,AK65,AK77,AK89)</f>
        <v>0.10000000000000009</v>
      </c>
      <c r="AL53" s="21">
        <f>CHOOSE($C$5,AL65,AL77,AL89)</f>
        <v>0.10000000000000009</v>
      </c>
      <c r="AM53" s="21">
        <f>CHOOSE($C$5,AM65,AM77,AM89)</f>
        <v>0.10000000000000009</v>
      </c>
      <c r="AN53" s="21">
        <f>CHOOSE($C$5,AN65,AN77,AN89)</f>
        <v>0.10000000000000009</v>
      </c>
      <c r="AO53" s="21">
        <f>CHOOSE($C$5,AO65,AO77,AO89)</f>
        <v>0.10000000000000009</v>
      </c>
      <c r="AP53" s="21">
        <f>CHOOSE($C$5,AP65,AP77,AP89)</f>
        <v>0.10000000000000009</v>
      </c>
      <c r="AQ53" s="21">
        <f>CHOOSE($C$5,AQ65,AQ77,AQ89)</f>
        <v>0.10000000000000009</v>
      </c>
    </row>
    <row r="54" spans="2:45 16384:16384">
      <c r="B54" s="32" t="s">
        <v>43</v>
      </c>
      <c r="C54" s="33"/>
      <c r="D54" s="33"/>
      <c r="E54" s="33"/>
      <c r="F54" s="33"/>
      <c r="G54" s="33"/>
      <c r="H54" s="33"/>
      <c r="I54" s="33"/>
      <c r="J54" s="33"/>
      <c r="K54" s="33"/>
      <c r="L54" s="33"/>
      <c r="M54" s="33"/>
      <c r="N54" s="33"/>
      <c r="O54" s="33"/>
      <c r="P54" s="33"/>
      <c r="Q54" s="33"/>
      <c r="R54" s="33"/>
      <c r="S54" s="33"/>
      <c r="T54" s="33"/>
      <c r="V54" s="21">
        <f>CHOOSE($C$5,V66,V78,V90)</f>
        <v>0.03</v>
      </c>
      <c r="W54" s="21">
        <f>CHOOSE($C$5,W66,W78,W90)</f>
        <v>0.03</v>
      </c>
      <c r="X54" s="21">
        <f>CHOOSE($C$5,X66,X78,X90)</f>
        <v>0.03</v>
      </c>
      <c r="Y54" s="21">
        <f>CHOOSE($C$5,Y66,Y78,Y90)</f>
        <v>0.03</v>
      </c>
      <c r="Z54" s="21">
        <f>CHOOSE($C$5,Z66,Z78,Z90)</f>
        <v>0.03</v>
      </c>
      <c r="AA54" s="21">
        <f>CHOOSE($C$5,AA66,AA78,AA90)</f>
        <v>0.03</v>
      </c>
      <c r="AB54" s="21">
        <f>CHOOSE($C$5,AB66,AB78,AB90)</f>
        <v>0.03</v>
      </c>
      <c r="AC54" s="21">
        <f>CHOOSE($C$5,AC66,AC78,AC90)</f>
        <v>0.03</v>
      </c>
      <c r="AD54" s="21">
        <f>CHOOSE($C$5,AD66,AD78,AD90)</f>
        <v>0.03</v>
      </c>
      <c r="AE54" s="21">
        <f>CHOOSE($C$5,AE66,AE78,AE90)</f>
        <v>0.03</v>
      </c>
      <c r="AF54" s="21">
        <f>CHOOSE($C$5,AF66,AF78,AF90)</f>
        <v>0.03</v>
      </c>
      <c r="AG54" s="21">
        <f>CHOOSE($C$5,AG66,AG78,AG90)</f>
        <v>0.03</v>
      </c>
      <c r="AH54" s="21">
        <f>CHOOSE($C$5,AH66,AH78,AH90)</f>
        <v>0.03</v>
      </c>
      <c r="AI54" s="21">
        <f>CHOOSE($C$5,AI66,AI78,AI90)</f>
        <v>0.03</v>
      </c>
      <c r="AJ54" s="21">
        <f>CHOOSE($C$5,AJ66,AJ78,AJ90)</f>
        <v>0.03</v>
      </c>
      <c r="AK54" s="21">
        <f>CHOOSE($C$5,AK66,AK78,AK90)</f>
        <v>0.03</v>
      </c>
      <c r="AL54" s="21">
        <f>CHOOSE($C$5,AL66,AL78,AL90)</f>
        <v>0.03</v>
      </c>
      <c r="AM54" s="21">
        <f>CHOOSE($C$5,AM66,AM78,AM90)</f>
        <v>0.03</v>
      </c>
      <c r="AN54" s="21">
        <f>CHOOSE($C$5,AN66,AN78,AN90)</f>
        <v>0.03</v>
      </c>
      <c r="AO54" s="21">
        <f>CHOOSE($C$5,AO66,AO78,AO90)</f>
        <v>0.03</v>
      </c>
      <c r="AP54" s="21">
        <f>CHOOSE($C$5,AP66,AP78,AP90)</f>
        <v>0.03</v>
      </c>
      <c r="AQ54" s="21">
        <f>CHOOSE($C$5,AQ66,AQ78,AQ90)</f>
        <v>0.03</v>
      </c>
    </row>
    <row r="55" spans="2:45 16384:16384">
      <c r="B55" s="32" t="s">
        <v>189</v>
      </c>
      <c r="C55" s="33"/>
      <c r="D55" s="33"/>
      <c r="E55" s="33"/>
      <c r="F55" s="33"/>
      <c r="G55" s="33"/>
      <c r="H55" s="33"/>
      <c r="I55" s="33"/>
      <c r="J55" s="33"/>
      <c r="K55" s="33"/>
      <c r="L55" s="33"/>
      <c r="M55" s="33"/>
      <c r="N55" s="33"/>
      <c r="O55" s="33"/>
      <c r="P55" s="33"/>
      <c r="Q55" s="33"/>
      <c r="R55" s="33"/>
      <c r="S55" s="33"/>
      <c r="T55" s="33"/>
      <c r="V55" s="21">
        <f>CHOOSE($C$5,V67,V79,V91)</f>
        <v>0.03</v>
      </c>
      <c r="W55" s="21">
        <f>CHOOSE($C$5,W67,W79,W91)</f>
        <v>0.03</v>
      </c>
      <c r="X55" s="21">
        <f>CHOOSE($C$5,X67,X79,X91)</f>
        <v>0.03</v>
      </c>
      <c r="Y55" s="21">
        <f>CHOOSE($C$5,Y67,Y79,Y91)</f>
        <v>0.03</v>
      </c>
      <c r="Z55" s="21">
        <f>CHOOSE($C$5,Z67,Z79,Z91)</f>
        <v>0.03</v>
      </c>
      <c r="AA55" s="21">
        <f>CHOOSE($C$5,AA67,AA79,AA91)</f>
        <v>0.03</v>
      </c>
      <c r="AB55" s="21">
        <f>CHOOSE($C$5,AB67,AB79,AB91)</f>
        <v>0.03</v>
      </c>
      <c r="AC55" s="21">
        <f>CHOOSE($C$5,AC67,AC79,AC91)</f>
        <v>0.03</v>
      </c>
      <c r="AD55" s="21">
        <f>CHOOSE($C$5,AD67,AD79,AD91)</f>
        <v>0.03</v>
      </c>
      <c r="AE55" s="21">
        <f>CHOOSE($C$5,AE67,AE79,AE91)</f>
        <v>0.03</v>
      </c>
      <c r="AF55" s="21">
        <f>CHOOSE($C$5,AF67,AF79,AF91)</f>
        <v>0.03</v>
      </c>
      <c r="AG55" s="21">
        <f>CHOOSE($C$5,AG67,AG79,AG91)</f>
        <v>0.03</v>
      </c>
      <c r="AH55" s="21">
        <f>CHOOSE($C$5,AH67,AH79,AH91)</f>
        <v>0.03</v>
      </c>
      <c r="AI55" s="21">
        <f>CHOOSE($C$5,AI67,AI79,AI91)</f>
        <v>0.03</v>
      </c>
      <c r="AJ55" s="21">
        <f>CHOOSE($C$5,AJ67,AJ79,AJ91)</f>
        <v>0.03</v>
      </c>
      <c r="AK55" s="21">
        <f>CHOOSE($C$5,AK67,AK79,AK91)</f>
        <v>0.03</v>
      </c>
      <c r="AL55" s="21">
        <f>CHOOSE($C$5,AL67,AL79,AL91)</f>
        <v>0.03</v>
      </c>
      <c r="AM55" s="21">
        <f>CHOOSE($C$5,AM67,AM79,AM91)</f>
        <v>0.03</v>
      </c>
      <c r="AN55" s="21">
        <f>CHOOSE($C$5,AN67,AN79,AN91)</f>
        <v>0.03</v>
      </c>
      <c r="AO55" s="21">
        <f>CHOOSE($C$5,AO67,AO79,AO91)</f>
        <v>0.03</v>
      </c>
      <c r="AP55" s="21">
        <f>CHOOSE($C$5,AP67,AP79,AP91)</f>
        <v>0.03</v>
      </c>
      <c r="AQ55" s="21">
        <f>CHOOSE($C$5,AQ67,AQ79,AQ91)</f>
        <v>0.03</v>
      </c>
    </row>
    <row r="56" spans="2:45 16384:16384" s="8" customFormat="1">
      <c r="B56" s="34" t="s">
        <v>46</v>
      </c>
      <c r="C56" s="35"/>
      <c r="D56" s="35"/>
      <c r="E56" s="35"/>
      <c r="F56" s="35"/>
      <c r="G56" s="35"/>
      <c r="H56" s="35"/>
      <c r="I56" s="35"/>
      <c r="J56" s="35"/>
      <c r="K56" s="35"/>
      <c r="L56" s="35"/>
      <c r="M56" s="35"/>
      <c r="N56" s="35"/>
      <c r="O56" s="35"/>
      <c r="P56" s="35"/>
      <c r="Q56" s="35"/>
      <c r="R56" s="35"/>
      <c r="S56" s="35"/>
      <c r="T56" s="35"/>
      <c r="V56" s="36">
        <f>CHOOSE($C$5,V68,V80,V92)</f>
        <v>303.29643033962265</v>
      </c>
      <c r="W56" s="36">
        <f>CHOOSE($C$5,W68,W80,W92)</f>
        <v>315.4282875532075</v>
      </c>
      <c r="X56" s="36">
        <f>CHOOSE($C$5,X68,X80,X92)</f>
        <v>260.1070186592604</v>
      </c>
      <c r="Y56" s="36">
        <f>CHOOSE($C$5,Y68,Y80,Y92)</f>
        <v>270.51129940563084</v>
      </c>
      <c r="Z56" s="36">
        <f>CHOOSE($C$5,Z68,Z80,Z92)</f>
        <v>281.33175138185607</v>
      </c>
      <c r="AA56" s="36">
        <f>CHOOSE($C$5,AA68,AA80,AA92)</f>
        <v>292.58502143713031</v>
      </c>
      <c r="AB56" s="36">
        <f>CHOOSE($C$5,AB68,AB80,AB92)</f>
        <v>304.28842229461554</v>
      </c>
      <c r="AC56" s="36">
        <f>CHOOSE($C$5,AC68,AC80,AC92)</f>
        <v>316.45995918640017</v>
      </c>
      <c r="AD56" s="36">
        <f>CHOOSE($C$5,AD68,AD80,AD92)</f>
        <v>329.11835755385619</v>
      </c>
      <c r="AE56" s="36">
        <f>CHOOSE($C$5,AE68,AE80,AE92)</f>
        <v>342.28309185601046</v>
      </c>
      <c r="AF56" s="36">
        <f>CHOOSE($C$5,AF68,AF80,AF92)</f>
        <v>355.97441553025089</v>
      </c>
      <c r="AG56" s="36">
        <f>CHOOSE($C$5,AG68,AG80,AG92)</f>
        <v>370.21339215146094</v>
      </c>
      <c r="AH56" s="36">
        <f>CHOOSE($C$5,AH68,AH80,AH92)</f>
        <v>385.02192783751934</v>
      </c>
      <c r="AI56" s="36">
        <f>CHOOSE($C$5,AI68,AI80,AI92)</f>
        <v>400.42280495102017</v>
      </c>
      <c r="AJ56" s="36">
        <f>CHOOSE($C$5,AJ68,AJ80,AJ92)</f>
        <v>416.43971714906098</v>
      </c>
      <c r="AK56" s="36">
        <f>CHOOSE($C$5,AK68,AK80,AK92)</f>
        <v>433.09730583502346</v>
      </c>
      <c r="AL56" s="36">
        <f>CHOOSE($C$5,AL68,AL80,AL92)</f>
        <v>450.42119806842447</v>
      </c>
      <c r="AM56" s="36">
        <f>CHOOSE($C$5,AM68,AM80,AM92)</f>
        <v>468.43804599116146</v>
      </c>
      <c r="AN56" s="36">
        <f>CHOOSE($C$5,AN68,AN80,AN92)</f>
        <v>487.17556783080789</v>
      </c>
      <c r="AO56" s="36">
        <f>CHOOSE($C$5,AO68,AO80,AO92)</f>
        <v>506.6625905440402</v>
      </c>
      <c r="AP56" s="36">
        <f>CHOOSE($C$5,AP68,AP80,AP92)</f>
        <v>526.92909416580187</v>
      </c>
      <c r="AQ56" s="36">
        <f>CHOOSE($C$5,AQ68,AQ80,AQ92)</f>
        <v>548.00625793243398</v>
      </c>
    </row>
    <row r="57" spans="2:45 16384:16384">
      <c r="B57" s="32" t="s">
        <v>124</v>
      </c>
      <c r="C57" s="33"/>
      <c r="D57" s="33"/>
      <c r="E57" s="33"/>
      <c r="F57" s="33"/>
      <c r="G57" s="33"/>
      <c r="H57" s="33"/>
      <c r="I57" s="33"/>
      <c r="J57" s="33"/>
      <c r="K57" s="33"/>
      <c r="L57" s="33"/>
      <c r="M57" s="33"/>
      <c r="N57" s="33"/>
      <c r="O57" s="33"/>
      <c r="P57" s="33"/>
      <c r="Q57" s="33"/>
      <c r="R57" s="33"/>
      <c r="S57" s="33"/>
      <c r="T57" s="33"/>
      <c r="V57" s="24">
        <f>CHOOSE($C$5,V69,V81,V93)</f>
        <v>5.0000000000000001E-3</v>
      </c>
      <c r="W57" s="24">
        <f>CHOOSE($C$5,W69,W81,W93)</f>
        <v>5.0000000000000001E-3</v>
      </c>
      <c r="X57" s="24">
        <f>CHOOSE($C$5,X69,X81,X93)</f>
        <v>5.0000000000000001E-3</v>
      </c>
      <c r="Y57" s="24">
        <f>CHOOSE($C$5,Y69,Y81,Y93)</f>
        <v>5.0000000000000001E-3</v>
      </c>
      <c r="Z57" s="24">
        <f>CHOOSE($C$5,Z69,Z81,Z93)</f>
        <v>5.0000000000000001E-3</v>
      </c>
      <c r="AA57" s="24">
        <f>CHOOSE($C$5,AA69,AA81,AA93)</f>
        <v>5.0000000000000001E-3</v>
      </c>
      <c r="AB57" s="24">
        <f>CHOOSE($C$5,AB69,AB81,AB93)</f>
        <v>5.0000000000000001E-3</v>
      </c>
      <c r="AC57" s="24">
        <f>CHOOSE($C$5,AC69,AC81,AC93)</f>
        <v>5.0000000000000001E-3</v>
      </c>
      <c r="AD57" s="24">
        <f>CHOOSE($C$5,AD69,AD81,AD93)</f>
        <v>5.0000000000000001E-3</v>
      </c>
      <c r="AE57" s="24">
        <f>CHOOSE($C$5,AE69,AE81,AE93)</f>
        <v>5.0000000000000001E-3</v>
      </c>
      <c r="AF57" s="24">
        <f>CHOOSE($C$5,AF69,AF81,AF93)</f>
        <v>5.0000000000000001E-3</v>
      </c>
      <c r="AG57" s="24">
        <f>CHOOSE($C$5,AG69,AG81,AG93)</f>
        <v>5.0000000000000001E-3</v>
      </c>
      <c r="AH57" s="24">
        <f>CHOOSE($C$5,AH69,AH81,AH93)</f>
        <v>5.0000000000000001E-3</v>
      </c>
      <c r="AI57" s="24">
        <f>CHOOSE($C$5,AI69,AI81,AI93)</f>
        <v>5.0000000000000001E-3</v>
      </c>
      <c r="AJ57" s="24">
        <f>CHOOSE($C$5,AJ69,AJ81,AJ93)</f>
        <v>5.0000000000000001E-3</v>
      </c>
      <c r="AK57" s="24">
        <f>CHOOSE($C$5,AK69,AK81,AK93)</f>
        <v>5.0000000000000001E-3</v>
      </c>
      <c r="AL57" s="24">
        <f>CHOOSE($C$5,AL69,AL81,AL93)</f>
        <v>5.0000000000000001E-3</v>
      </c>
      <c r="AM57" s="24">
        <f>CHOOSE($C$5,AM69,AM81,AM93)</f>
        <v>5.0000000000000001E-3</v>
      </c>
      <c r="AN57" s="24">
        <f>CHOOSE($C$5,AN69,AN81,AN93)</f>
        <v>5.0000000000000001E-3</v>
      </c>
      <c r="AO57" s="24">
        <f>CHOOSE($C$5,AO69,AO81,AO93)</f>
        <v>5.0000000000000001E-3</v>
      </c>
      <c r="AP57" s="24">
        <f>CHOOSE($C$5,AP69,AP81,AP93)</f>
        <v>5.0000000000000001E-3</v>
      </c>
      <c r="AQ57" s="24">
        <f>CHOOSE($C$5,AQ69,AQ81,AQ93)</f>
        <v>5.0000000000000001E-3</v>
      </c>
    </row>
    <row r="58" spans="2:45 16384:16384">
      <c r="B58" s="3" t="s">
        <v>190</v>
      </c>
      <c r="C58" s="33"/>
      <c r="D58" s="33"/>
      <c r="E58" s="33"/>
      <c r="F58" s="33"/>
      <c r="G58" s="33"/>
      <c r="H58" s="33"/>
      <c r="I58" s="33"/>
      <c r="J58" s="33"/>
      <c r="K58" s="33"/>
      <c r="L58" s="33"/>
      <c r="M58" s="33"/>
      <c r="N58" s="33"/>
      <c r="O58" s="33"/>
      <c r="P58" s="33"/>
      <c r="Q58" s="33"/>
      <c r="R58" s="33"/>
      <c r="S58" s="33"/>
      <c r="T58" s="33"/>
      <c r="V58" s="24">
        <f>CHOOSE($C$5,V70,V82,V94)</f>
        <v>5.0000000000000001E-3</v>
      </c>
      <c r="W58" s="24">
        <f>CHOOSE($C$5,W70,W82,W94)</f>
        <v>5.0000000000000001E-3</v>
      </c>
      <c r="X58" s="24">
        <f>CHOOSE($C$5,X70,X82,X94)</f>
        <v>5.0000000000000001E-3</v>
      </c>
      <c r="Y58" s="24">
        <f>CHOOSE($C$5,Y70,Y82,Y94)</f>
        <v>5.0000000000000001E-3</v>
      </c>
      <c r="Z58" s="24">
        <f>CHOOSE($C$5,Z70,Z82,Z94)</f>
        <v>5.0000000000000001E-3</v>
      </c>
      <c r="AA58" s="24">
        <f>CHOOSE($C$5,AA70,AA82,AA94)</f>
        <v>5.0000000000000001E-3</v>
      </c>
      <c r="AB58" s="24">
        <f>CHOOSE($C$5,AB70,AB82,AB94)</f>
        <v>5.0000000000000001E-3</v>
      </c>
      <c r="AC58" s="24">
        <f>CHOOSE($C$5,AC70,AC82,AC94)</f>
        <v>5.0000000000000001E-3</v>
      </c>
      <c r="AD58" s="24">
        <f>CHOOSE($C$5,AD70,AD82,AD94)</f>
        <v>5.0000000000000001E-3</v>
      </c>
      <c r="AE58" s="24">
        <f>CHOOSE($C$5,AE70,AE82,AE94)</f>
        <v>5.0000000000000001E-3</v>
      </c>
      <c r="AF58" s="24">
        <f>CHOOSE($C$5,AF70,AF82,AF94)</f>
        <v>5.0000000000000001E-3</v>
      </c>
      <c r="AG58" s="24">
        <f>CHOOSE($C$5,AG70,AG82,AG94)</f>
        <v>5.0000000000000001E-3</v>
      </c>
      <c r="AH58" s="24">
        <f>CHOOSE($C$5,AH70,AH82,AH94)</f>
        <v>5.0000000000000001E-3</v>
      </c>
      <c r="AI58" s="24">
        <f>CHOOSE($C$5,AI70,AI82,AI94)</f>
        <v>5.0000000000000001E-3</v>
      </c>
      <c r="AJ58" s="24">
        <f>CHOOSE($C$5,AJ70,AJ82,AJ94)</f>
        <v>5.0000000000000001E-3</v>
      </c>
      <c r="AK58" s="24">
        <f>CHOOSE($C$5,AK70,AK82,AK94)</f>
        <v>5.0000000000000001E-3</v>
      </c>
      <c r="AL58" s="24">
        <f>CHOOSE($C$5,AL70,AL82,AL94)</f>
        <v>5.0000000000000001E-3</v>
      </c>
      <c r="AM58" s="24">
        <f>CHOOSE($C$5,AM70,AM82,AM94)</f>
        <v>5.0000000000000001E-3</v>
      </c>
      <c r="AN58" s="24">
        <f>CHOOSE($C$5,AN70,AN82,AN94)</f>
        <v>5.0000000000000001E-3</v>
      </c>
      <c r="AO58" s="24">
        <f>CHOOSE($C$5,AO70,AO82,AO94)</f>
        <v>5.0000000000000001E-3</v>
      </c>
      <c r="AP58" s="24">
        <f>CHOOSE($C$5,AP70,AP82,AP94)</f>
        <v>5.0000000000000001E-3</v>
      </c>
      <c r="AQ58" s="24">
        <f>CHOOSE($C$5,AQ70,AQ82,AQ94)</f>
        <v>5.0000000000000001E-3</v>
      </c>
    </row>
    <row r="59" spans="2:45 16384:16384">
      <c r="B59" s="3" t="s">
        <v>191</v>
      </c>
      <c r="C59" s="33"/>
      <c r="D59" s="33"/>
      <c r="E59" s="33"/>
      <c r="F59" s="33"/>
      <c r="G59" s="33"/>
      <c r="H59" s="33"/>
      <c r="I59" s="33"/>
      <c r="J59" s="33"/>
      <c r="K59" s="33"/>
      <c r="L59" s="33"/>
      <c r="M59" s="33"/>
      <c r="N59" s="33"/>
      <c r="O59" s="33"/>
      <c r="P59" s="33"/>
      <c r="Q59" s="33"/>
      <c r="R59" s="33"/>
      <c r="S59" s="33"/>
      <c r="T59" s="33"/>
      <c r="V59" s="21">
        <f>CHOOSE($C$5,V71,V83,V95)</f>
        <v>0.15</v>
      </c>
      <c r="W59" s="21">
        <f>CHOOSE($C$5,W71,W83,W95)</f>
        <v>0.15</v>
      </c>
      <c r="X59" s="21">
        <f>CHOOSE($C$5,X71,X83,X95)</f>
        <v>0.15</v>
      </c>
      <c r="Y59" s="21">
        <f>CHOOSE($C$5,Y71,Y83,Y95)</f>
        <v>0.15</v>
      </c>
      <c r="Z59" s="21">
        <f>CHOOSE($C$5,Z71,Z83,Z95)</f>
        <v>0.15</v>
      </c>
      <c r="AA59" s="21">
        <f>CHOOSE($C$5,AA71,AA83,AA95)</f>
        <v>0.15</v>
      </c>
      <c r="AB59" s="21">
        <f>CHOOSE($C$5,AB71,AB83,AB95)</f>
        <v>0.15</v>
      </c>
      <c r="AC59" s="21">
        <f>CHOOSE($C$5,AC71,AC83,AC95)</f>
        <v>0.15</v>
      </c>
      <c r="AD59" s="21">
        <f>CHOOSE($C$5,AD71,AD83,AD95)</f>
        <v>0.15</v>
      </c>
      <c r="AE59" s="21">
        <f>CHOOSE($C$5,AE71,AE83,AE95)</f>
        <v>0.15</v>
      </c>
      <c r="AF59" s="21">
        <f>CHOOSE($C$5,AF71,AF83,AF95)</f>
        <v>0.15</v>
      </c>
      <c r="AG59" s="21">
        <f>CHOOSE($C$5,AG71,AG83,AG95)</f>
        <v>0.15</v>
      </c>
      <c r="AH59" s="21">
        <f>CHOOSE($C$5,AH71,AH83,AH95)</f>
        <v>0.15</v>
      </c>
      <c r="AI59" s="21">
        <f>CHOOSE($C$5,AI71,AI83,AI95)</f>
        <v>0.15</v>
      </c>
      <c r="AJ59" s="21">
        <f>CHOOSE($C$5,AJ71,AJ83,AJ95)</f>
        <v>0.15</v>
      </c>
      <c r="AK59" s="21">
        <f>CHOOSE($C$5,AK71,AK83,AK95)</f>
        <v>0.15</v>
      </c>
      <c r="AL59" s="21">
        <f>CHOOSE($C$5,AL71,AL83,AL95)</f>
        <v>0.15</v>
      </c>
      <c r="AM59" s="21">
        <f>CHOOSE($C$5,AM71,AM83,AM95)</f>
        <v>0.15</v>
      </c>
      <c r="AN59" s="21">
        <f>CHOOSE($C$5,AN71,AN83,AN95)</f>
        <v>0.15</v>
      </c>
      <c r="AO59" s="21">
        <f>CHOOSE($C$5,AO71,AO83,AO95)</f>
        <v>0.15</v>
      </c>
      <c r="AP59" s="21">
        <f>CHOOSE($C$5,AP71,AP83,AP95)</f>
        <v>0.15</v>
      </c>
      <c r="AQ59" s="21">
        <f>CHOOSE($C$5,AQ71,AQ83,AQ95)</f>
        <v>0.15</v>
      </c>
    </row>
    <row r="60" spans="2:45 16384:16384">
      <c r="B60" s="32" t="s">
        <v>192</v>
      </c>
      <c r="C60" s="33"/>
      <c r="D60" s="33"/>
      <c r="E60" s="33"/>
      <c r="F60" s="33"/>
      <c r="G60" s="33"/>
      <c r="H60" s="33"/>
      <c r="I60" s="33"/>
      <c r="J60" s="33"/>
      <c r="K60" s="33"/>
      <c r="L60" s="33"/>
      <c r="M60" s="33"/>
      <c r="N60" s="33"/>
      <c r="O60" s="33"/>
      <c r="P60" s="33"/>
      <c r="Q60" s="33"/>
      <c r="R60" s="33"/>
      <c r="S60" s="33"/>
      <c r="T60" s="33"/>
      <c r="V60" s="37">
        <f>CHOOSE($C$5,V72,V84,V96)</f>
        <v>142</v>
      </c>
      <c r="W60" s="37">
        <f>CHOOSE($C$5,W72,W84,W96)</f>
        <v>142</v>
      </c>
      <c r="X60" s="37">
        <f>CHOOSE($C$5,X72,X84,X96)</f>
        <v>142</v>
      </c>
      <c r="Y60" s="37">
        <f>CHOOSE($C$5,Y72,Y84,Y96)</f>
        <v>142</v>
      </c>
      <c r="Z60" s="37">
        <f>CHOOSE($C$5,Z72,Z84,Z96)</f>
        <v>142</v>
      </c>
      <c r="AA60" s="37">
        <f>CHOOSE($C$5,AA72,AA84,AA96)</f>
        <v>142</v>
      </c>
      <c r="AB60" s="37">
        <f>CHOOSE($C$5,AB72,AB84,AB96)</f>
        <v>142</v>
      </c>
      <c r="AC60" s="37">
        <f>CHOOSE($C$5,AC72,AC84,AC96)</f>
        <v>142</v>
      </c>
      <c r="AD60" s="37">
        <f>CHOOSE($C$5,AD72,AD84,AD96)</f>
        <v>142</v>
      </c>
      <c r="AE60" s="37">
        <f>CHOOSE($C$5,AE72,AE84,AE96)</f>
        <v>142</v>
      </c>
      <c r="AF60" s="37">
        <f>CHOOSE($C$5,AF72,AF84,AF96)</f>
        <v>142</v>
      </c>
      <c r="AG60" s="37">
        <f>CHOOSE($C$5,AG72,AG84,AG96)</f>
        <v>142</v>
      </c>
      <c r="AH60" s="37">
        <f>CHOOSE($C$5,AH72,AH84,AH96)</f>
        <v>142</v>
      </c>
      <c r="AI60" s="37">
        <f>CHOOSE($C$5,AI72,AI84,AI96)</f>
        <v>142</v>
      </c>
      <c r="AJ60" s="37">
        <f>CHOOSE($C$5,AJ72,AJ84,AJ96)</f>
        <v>142</v>
      </c>
      <c r="AK60" s="37">
        <f>CHOOSE($C$5,AK72,AK84,AK96)</f>
        <v>142</v>
      </c>
      <c r="AL60" s="37">
        <f>CHOOSE($C$5,AL72,AL84,AL96)</f>
        <v>142</v>
      </c>
      <c r="AM60" s="37">
        <f>CHOOSE($C$5,AM72,AM84,AM96)</f>
        <v>142</v>
      </c>
      <c r="AN60" s="37">
        <f>CHOOSE($C$5,AN72,AN84,AN96)</f>
        <v>142</v>
      </c>
      <c r="AO60" s="37">
        <f>CHOOSE($C$5,AO72,AO84,AO96)</f>
        <v>142</v>
      </c>
      <c r="AP60" s="37">
        <f>CHOOSE($C$5,AP72,AP84,AP96)</f>
        <v>142</v>
      </c>
      <c r="AQ60" s="37">
        <f>CHOOSE($C$5,AQ72,AQ84,AQ96)</f>
        <v>142</v>
      </c>
    </row>
    <row r="61" spans="2:45 16384:16384">
      <c r="B61" s="32"/>
    </row>
    <row r="62" spans="2:45 16384:16384">
      <c r="B62" s="31" t="s">
        <v>194</v>
      </c>
    </row>
    <row r="63" spans="2:45 16384:16384">
      <c r="B63" s="32" t="s">
        <v>188</v>
      </c>
      <c r="C63" s="33"/>
      <c r="D63" s="33"/>
      <c r="E63" s="33"/>
      <c r="F63" s="33"/>
      <c r="G63" s="33"/>
      <c r="H63" s="33"/>
      <c r="I63" s="33"/>
      <c r="J63" s="33"/>
      <c r="K63" s="33"/>
      <c r="L63" s="33"/>
      <c r="M63" s="33"/>
      <c r="N63" s="33"/>
      <c r="O63" s="33"/>
      <c r="P63" s="33"/>
      <c r="Q63" s="33"/>
      <c r="R63" s="33"/>
      <c r="S63" s="33"/>
      <c r="T63" s="33"/>
      <c r="V63" s="30">
        <v>1.04</v>
      </c>
      <c r="W63" s="30">
        <v>1.04</v>
      </c>
      <c r="X63" s="30">
        <v>1.04</v>
      </c>
      <c r="Y63" s="30">
        <v>1.04</v>
      </c>
      <c r="Z63" s="30">
        <v>1.04</v>
      </c>
      <c r="AA63" s="30">
        <v>1.04</v>
      </c>
      <c r="AB63" s="30">
        <v>1.04</v>
      </c>
      <c r="AC63" s="30">
        <v>1.04</v>
      </c>
      <c r="AD63" s="30">
        <v>1.04</v>
      </c>
      <c r="AE63" s="30">
        <v>1.04</v>
      </c>
      <c r="AF63" s="30">
        <v>1.04</v>
      </c>
      <c r="AG63" s="30">
        <v>1.04</v>
      </c>
      <c r="AH63" s="30">
        <v>1.04</v>
      </c>
      <c r="AI63" s="30">
        <v>1.04</v>
      </c>
      <c r="AJ63" s="30">
        <v>1.04</v>
      </c>
      <c r="AK63" s="30">
        <v>1.04</v>
      </c>
      <c r="AL63" s="30">
        <v>1.04</v>
      </c>
      <c r="AM63" s="30">
        <v>1.04</v>
      </c>
      <c r="AN63" s="30">
        <v>1.04</v>
      </c>
      <c r="AO63" s="30">
        <v>1.04</v>
      </c>
      <c r="AP63" s="30">
        <v>1.04</v>
      </c>
      <c r="AQ63" s="30">
        <v>1.04</v>
      </c>
      <c r="AR63" s="22"/>
      <c r="AS63" s="22"/>
      <c r="XFD63" s="22"/>
    </row>
    <row r="64" spans="2:45 16384:16384">
      <c r="B64" s="32" t="s">
        <v>41</v>
      </c>
      <c r="C64" s="33"/>
      <c r="D64" s="33"/>
      <c r="E64" s="33"/>
      <c r="F64" s="33"/>
      <c r="G64" s="33"/>
      <c r="H64" s="33"/>
      <c r="I64" s="33"/>
      <c r="J64" s="33"/>
      <c r="K64" s="33"/>
      <c r="L64" s="33"/>
      <c r="M64" s="33"/>
      <c r="N64" s="33"/>
      <c r="O64" s="33"/>
      <c r="P64" s="33"/>
      <c r="Q64" s="33"/>
      <c r="R64" s="33"/>
      <c r="S64" s="33"/>
      <c r="T64" s="33"/>
      <c r="V64" s="30">
        <v>0.94</v>
      </c>
      <c r="W64" s="30">
        <v>0.94</v>
      </c>
      <c r="X64" s="30">
        <v>0.94</v>
      </c>
      <c r="Y64" s="30">
        <v>0.94</v>
      </c>
      <c r="Z64" s="30">
        <v>0.94</v>
      </c>
      <c r="AA64" s="30">
        <v>0.94</v>
      </c>
      <c r="AB64" s="30">
        <v>0.94</v>
      </c>
      <c r="AC64" s="30">
        <v>0.94</v>
      </c>
      <c r="AD64" s="30">
        <v>0.94</v>
      </c>
      <c r="AE64" s="30">
        <v>0.94</v>
      </c>
      <c r="AF64" s="30">
        <v>0.94</v>
      </c>
      <c r="AG64" s="30">
        <v>0.94</v>
      </c>
      <c r="AH64" s="30">
        <v>0.94</v>
      </c>
      <c r="AI64" s="30">
        <v>0.94</v>
      </c>
      <c r="AJ64" s="30">
        <v>0.94</v>
      </c>
      <c r="AK64" s="30">
        <v>0.94</v>
      </c>
      <c r="AL64" s="30">
        <v>0.94</v>
      </c>
      <c r="AM64" s="30">
        <v>0.94</v>
      </c>
      <c r="AN64" s="30">
        <v>0.94</v>
      </c>
      <c r="AO64" s="30">
        <v>0.94</v>
      </c>
      <c r="AP64" s="30">
        <v>0.94</v>
      </c>
      <c r="AQ64" s="30">
        <v>0.94</v>
      </c>
    </row>
    <row r="65" spans="2:43 16384:16384">
      <c r="B65" s="32" t="s">
        <v>42</v>
      </c>
      <c r="C65" s="33"/>
      <c r="D65" s="33"/>
      <c r="E65" s="33"/>
      <c r="F65" s="33"/>
      <c r="G65" s="33"/>
      <c r="H65" s="33"/>
      <c r="I65" s="33"/>
      <c r="J65" s="33"/>
      <c r="K65" s="33"/>
      <c r="L65" s="33"/>
      <c r="M65" s="33"/>
      <c r="N65" s="33"/>
      <c r="O65" s="33"/>
      <c r="P65" s="33"/>
      <c r="Q65" s="33"/>
      <c r="R65" s="33"/>
      <c r="S65" s="33"/>
      <c r="T65" s="33"/>
      <c r="V65" s="30">
        <f t="shared" ref="V65:AQ65" si="60">V63-V64</f>
        <v>0.10000000000000009</v>
      </c>
      <c r="W65" s="30">
        <f t="shared" si="60"/>
        <v>0.10000000000000009</v>
      </c>
      <c r="X65" s="30">
        <f t="shared" si="60"/>
        <v>0.10000000000000009</v>
      </c>
      <c r="Y65" s="30">
        <f t="shared" si="60"/>
        <v>0.10000000000000009</v>
      </c>
      <c r="Z65" s="30">
        <f t="shared" si="60"/>
        <v>0.10000000000000009</v>
      </c>
      <c r="AA65" s="30">
        <f t="shared" si="60"/>
        <v>0.10000000000000009</v>
      </c>
      <c r="AB65" s="30">
        <f t="shared" si="60"/>
        <v>0.10000000000000009</v>
      </c>
      <c r="AC65" s="30">
        <f t="shared" si="60"/>
        <v>0.10000000000000009</v>
      </c>
      <c r="AD65" s="30">
        <f t="shared" si="60"/>
        <v>0.10000000000000009</v>
      </c>
      <c r="AE65" s="30">
        <f t="shared" si="60"/>
        <v>0.10000000000000009</v>
      </c>
      <c r="AF65" s="30">
        <f t="shared" si="60"/>
        <v>0.10000000000000009</v>
      </c>
      <c r="AG65" s="30">
        <f t="shared" si="60"/>
        <v>0.10000000000000009</v>
      </c>
      <c r="AH65" s="30">
        <f t="shared" si="60"/>
        <v>0.10000000000000009</v>
      </c>
      <c r="AI65" s="30">
        <f t="shared" si="60"/>
        <v>0.10000000000000009</v>
      </c>
      <c r="AJ65" s="30">
        <f t="shared" si="60"/>
        <v>0.10000000000000009</v>
      </c>
      <c r="AK65" s="30">
        <f t="shared" si="60"/>
        <v>0.10000000000000009</v>
      </c>
      <c r="AL65" s="30">
        <f t="shared" si="60"/>
        <v>0.10000000000000009</v>
      </c>
      <c r="AM65" s="30">
        <f t="shared" si="60"/>
        <v>0.10000000000000009</v>
      </c>
      <c r="AN65" s="30">
        <f t="shared" si="60"/>
        <v>0.10000000000000009</v>
      </c>
      <c r="AO65" s="30">
        <f t="shared" si="60"/>
        <v>0.10000000000000009</v>
      </c>
      <c r="AP65" s="30">
        <f t="shared" si="60"/>
        <v>0.10000000000000009</v>
      </c>
      <c r="AQ65" s="30">
        <f t="shared" si="60"/>
        <v>0.10000000000000009</v>
      </c>
    </row>
    <row r="66" spans="2:43 16384:16384">
      <c r="B66" s="32" t="s">
        <v>43</v>
      </c>
      <c r="C66" s="33"/>
      <c r="D66" s="33"/>
      <c r="E66" s="33"/>
      <c r="F66" s="33"/>
      <c r="G66" s="33"/>
      <c r="H66" s="33"/>
      <c r="I66" s="33"/>
      <c r="J66" s="33"/>
      <c r="K66" s="33"/>
      <c r="L66" s="33"/>
      <c r="M66" s="33"/>
      <c r="N66" s="33"/>
      <c r="O66" s="33"/>
      <c r="P66" s="33"/>
      <c r="Q66" s="33"/>
      <c r="R66" s="33"/>
      <c r="S66" s="33"/>
      <c r="T66" s="33"/>
      <c r="V66" s="30">
        <v>0.03</v>
      </c>
      <c r="W66" s="30">
        <v>0.03</v>
      </c>
      <c r="X66" s="30">
        <v>0.03</v>
      </c>
      <c r="Y66" s="30">
        <v>0.03</v>
      </c>
      <c r="Z66" s="30">
        <v>0.03</v>
      </c>
      <c r="AA66" s="30">
        <v>0.03</v>
      </c>
      <c r="AB66" s="30">
        <v>0.03</v>
      </c>
      <c r="AC66" s="30">
        <v>0.03</v>
      </c>
      <c r="AD66" s="30">
        <v>0.03</v>
      </c>
      <c r="AE66" s="30">
        <v>0.03</v>
      </c>
      <c r="AF66" s="30">
        <v>0.03</v>
      </c>
      <c r="AG66" s="30">
        <v>0.03</v>
      </c>
      <c r="AH66" s="30">
        <v>0.03</v>
      </c>
      <c r="AI66" s="30">
        <v>0.03</v>
      </c>
      <c r="AJ66" s="30">
        <v>0.03</v>
      </c>
      <c r="AK66" s="30">
        <v>0.03</v>
      </c>
      <c r="AL66" s="30">
        <v>0.03</v>
      </c>
      <c r="AM66" s="30">
        <v>0.03</v>
      </c>
      <c r="AN66" s="30">
        <v>0.03</v>
      </c>
      <c r="AO66" s="30">
        <v>0.03</v>
      </c>
      <c r="AP66" s="30">
        <v>0.03</v>
      </c>
      <c r="AQ66" s="30">
        <v>0.03</v>
      </c>
    </row>
    <row r="67" spans="2:43 16384:16384">
      <c r="B67" s="32" t="s">
        <v>189</v>
      </c>
      <c r="C67" s="33"/>
      <c r="D67" s="33"/>
      <c r="E67" s="33"/>
      <c r="F67" s="33"/>
      <c r="G67" s="33"/>
      <c r="H67" s="33"/>
      <c r="I67" s="33"/>
      <c r="J67" s="33"/>
      <c r="K67" s="33"/>
      <c r="L67" s="33"/>
      <c r="M67" s="33"/>
      <c r="N67" s="33"/>
      <c r="O67" s="33"/>
      <c r="P67" s="33"/>
      <c r="Q67" s="33"/>
      <c r="R67" s="33"/>
      <c r="S67" s="33"/>
      <c r="T67" s="33"/>
      <c r="V67" s="30">
        <f>V66</f>
        <v>0.03</v>
      </c>
      <c r="W67" s="30">
        <f t="shared" ref="W67:AQ67" si="61">W66</f>
        <v>0.03</v>
      </c>
      <c r="X67" s="30">
        <f t="shared" si="61"/>
        <v>0.03</v>
      </c>
      <c r="Y67" s="30">
        <f t="shared" si="61"/>
        <v>0.03</v>
      </c>
      <c r="Z67" s="30">
        <f t="shared" si="61"/>
        <v>0.03</v>
      </c>
      <c r="AA67" s="30">
        <f t="shared" si="61"/>
        <v>0.03</v>
      </c>
      <c r="AB67" s="30">
        <f t="shared" si="61"/>
        <v>0.03</v>
      </c>
      <c r="AC67" s="30">
        <f t="shared" si="61"/>
        <v>0.03</v>
      </c>
      <c r="AD67" s="30">
        <f t="shared" si="61"/>
        <v>0.03</v>
      </c>
      <c r="AE67" s="30">
        <f t="shared" si="61"/>
        <v>0.03</v>
      </c>
      <c r="AF67" s="30">
        <f t="shared" si="61"/>
        <v>0.03</v>
      </c>
      <c r="AG67" s="30">
        <f t="shared" si="61"/>
        <v>0.03</v>
      </c>
      <c r="AH67" s="30">
        <f t="shared" si="61"/>
        <v>0.03</v>
      </c>
      <c r="AI67" s="30">
        <f t="shared" si="61"/>
        <v>0.03</v>
      </c>
      <c r="AJ67" s="30">
        <f t="shared" si="61"/>
        <v>0.03</v>
      </c>
      <c r="AK67" s="30">
        <f t="shared" si="61"/>
        <v>0.03</v>
      </c>
      <c r="AL67" s="30">
        <f t="shared" si="61"/>
        <v>0.03</v>
      </c>
      <c r="AM67" s="30">
        <f t="shared" si="61"/>
        <v>0.03</v>
      </c>
      <c r="AN67" s="30">
        <f t="shared" si="61"/>
        <v>0.03</v>
      </c>
      <c r="AO67" s="30">
        <f t="shared" si="61"/>
        <v>0.03</v>
      </c>
      <c r="AP67" s="30">
        <f t="shared" si="61"/>
        <v>0.03</v>
      </c>
      <c r="AQ67" s="30">
        <f t="shared" si="61"/>
        <v>0.03</v>
      </c>
    </row>
    <row r="68" spans="2:43 16384:16384">
      <c r="B68" s="32" t="s">
        <v>46</v>
      </c>
      <c r="C68" s="33"/>
      <c r="D68" s="33"/>
      <c r="E68" s="33"/>
      <c r="F68" s="33"/>
      <c r="G68" s="33"/>
      <c r="H68" s="33"/>
      <c r="I68" s="33"/>
      <c r="J68" s="33"/>
      <c r="K68" s="33"/>
      <c r="L68" s="33"/>
      <c r="M68" s="33"/>
      <c r="N68" s="33"/>
      <c r="O68" s="33"/>
      <c r="P68" s="33"/>
      <c r="Q68" s="33"/>
      <c r="R68" s="33"/>
      <c r="S68" s="33"/>
      <c r="T68" s="33"/>
      <c r="V68" s="10">
        <f>'D&amp;A_CapEx'!V11</f>
        <v>303.29643033962265</v>
      </c>
      <c r="W68" s="10">
        <f>'D&amp;A_CapEx'!W11</f>
        <v>315.4282875532075</v>
      </c>
      <c r="X68" s="10">
        <f>'D&amp;A_CapEx'!X11</f>
        <v>260.1070186592604</v>
      </c>
      <c r="Y68" s="10">
        <f>'D&amp;A_CapEx'!Y11</f>
        <v>270.51129940563084</v>
      </c>
      <c r="Z68" s="10">
        <f>'D&amp;A_CapEx'!Z11</f>
        <v>281.33175138185607</v>
      </c>
      <c r="AA68" s="10">
        <f>'D&amp;A_CapEx'!AA11</f>
        <v>292.58502143713031</v>
      </c>
      <c r="AB68" s="10">
        <f>'D&amp;A_CapEx'!AB11</f>
        <v>304.28842229461554</v>
      </c>
      <c r="AC68" s="10">
        <f>'D&amp;A_CapEx'!AC11</f>
        <v>316.45995918640017</v>
      </c>
      <c r="AD68" s="10">
        <f>'D&amp;A_CapEx'!AD11</f>
        <v>329.11835755385619</v>
      </c>
      <c r="AE68" s="10">
        <f>'D&amp;A_CapEx'!AE11</f>
        <v>342.28309185601046</v>
      </c>
      <c r="AF68" s="10">
        <f>'D&amp;A_CapEx'!AF11</f>
        <v>355.97441553025089</v>
      </c>
      <c r="AG68" s="10">
        <f>'D&amp;A_CapEx'!AG11</f>
        <v>370.21339215146094</v>
      </c>
      <c r="AH68" s="10">
        <f>'D&amp;A_CapEx'!AH11</f>
        <v>385.02192783751934</v>
      </c>
      <c r="AI68" s="10">
        <f>'D&amp;A_CapEx'!AI11</f>
        <v>400.42280495102017</v>
      </c>
      <c r="AJ68" s="10">
        <f>'D&amp;A_CapEx'!AJ11</f>
        <v>416.43971714906098</v>
      </c>
      <c r="AK68" s="10">
        <f>'D&amp;A_CapEx'!AK11</f>
        <v>433.09730583502346</v>
      </c>
      <c r="AL68" s="10">
        <f>'D&amp;A_CapEx'!AL11</f>
        <v>450.42119806842447</v>
      </c>
      <c r="AM68" s="10">
        <f>'D&amp;A_CapEx'!AM11</f>
        <v>468.43804599116146</v>
      </c>
      <c r="AN68" s="10">
        <f>'D&amp;A_CapEx'!AN11</f>
        <v>487.17556783080789</v>
      </c>
      <c r="AO68" s="10">
        <f>'D&amp;A_CapEx'!AO11</f>
        <v>506.6625905440402</v>
      </c>
      <c r="AP68" s="10">
        <f>'D&amp;A_CapEx'!AP11</f>
        <v>526.92909416580187</v>
      </c>
      <c r="AQ68" s="10">
        <f>'D&amp;A_CapEx'!AQ11</f>
        <v>548.00625793243398</v>
      </c>
    </row>
    <row r="69" spans="2:43 16384:16384">
      <c r="B69" s="32" t="s">
        <v>124</v>
      </c>
      <c r="C69" s="33"/>
      <c r="D69" s="33"/>
      <c r="E69" s="33"/>
      <c r="F69" s="33"/>
      <c r="G69" s="33"/>
      <c r="H69" s="33"/>
      <c r="I69" s="33"/>
      <c r="J69" s="33"/>
      <c r="K69" s="33"/>
      <c r="L69" s="33"/>
      <c r="M69" s="33"/>
      <c r="N69" s="33"/>
      <c r="O69" s="33"/>
      <c r="P69" s="33"/>
      <c r="Q69" s="33"/>
      <c r="R69" s="33"/>
      <c r="S69" s="33"/>
      <c r="T69" s="33"/>
      <c r="V69" s="22">
        <v>5.0000000000000001E-3</v>
      </c>
      <c r="W69" s="22">
        <v>5.0000000000000001E-3</v>
      </c>
      <c r="X69" s="22">
        <v>5.0000000000000001E-3</v>
      </c>
      <c r="Y69" s="22">
        <v>5.0000000000000001E-3</v>
      </c>
      <c r="Z69" s="22">
        <v>5.0000000000000001E-3</v>
      </c>
      <c r="AA69" s="22">
        <v>5.0000000000000001E-3</v>
      </c>
      <c r="AB69" s="22">
        <v>5.0000000000000001E-3</v>
      </c>
      <c r="AC69" s="22">
        <v>5.0000000000000001E-3</v>
      </c>
      <c r="AD69" s="22">
        <v>5.0000000000000001E-3</v>
      </c>
      <c r="AE69" s="22">
        <v>5.0000000000000001E-3</v>
      </c>
      <c r="AF69" s="22">
        <v>5.0000000000000001E-3</v>
      </c>
      <c r="AG69" s="22">
        <v>5.0000000000000001E-3</v>
      </c>
      <c r="AH69" s="22">
        <v>5.0000000000000001E-3</v>
      </c>
      <c r="AI69" s="22">
        <v>5.0000000000000001E-3</v>
      </c>
      <c r="AJ69" s="22">
        <v>5.0000000000000001E-3</v>
      </c>
      <c r="AK69" s="22">
        <v>5.0000000000000001E-3</v>
      </c>
      <c r="AL69" s="22">
        <v>5.0000000000000001E-3</v>
      </c>
      <c r="AM69" s="22">
        <v>5.0000000000000001E-3</v>
      </c>
      <c r="AN69" s="22">
        <v>5.0000000000000001E-3</v>
      </c>
      <c r="AO69" s="22">
        <v>5.0000000000000001E-3</v>
      </c>
      <c r="AP69" s="22">
        <v>5.0000000000000001E-3</v>
      </c>
      <c r="AQ69" s="22">
        <v>5.0000000000000001E-3</v>
      </c>
    </row>
    <row r="70" spans="2:43 16384:16384">
      <c r="B70" s="3" t="s">
        <v>122</v>
      </c>
      <c r="C70" s="33"/>
      <c r="D70" s="33"/>
      <c r="E70" s="33"/>
      <c r="F70" s="33"/>
      <c r="G70" s="33"/>
      <c r="H70" s="33"/>
      <c r="I70" s="33"/>
      <c r="J70" s="33"/>
      <c r="K70" s="33"/>
      <c r="L70" s="33"/>
      <c r="M70" s="33"/>
      <c r="N70" s="33"/>
      <c r="O70" s="33"/>
      <c r="P70" s="33"/>
      <c r="Q70" s="33"/>
      <c r="R70" s="33"/>
      <c r="S70" s="33"/>
      <c r="T70" s="33"/>
      <c r="V70" s="22">
        <v>5.0000000000000001E-3</v>
      </c>
      <c r="W70" s="22">
        <v>5.0000000000000001E-3</v>
      </c>
      <c r="X70" s="22">
        <v>5.0000000000000001E-3</v>
      </c>
      <c r="Y70" s="22">
        <v>5.0000000000000001E-3</v>
      </c>
      <c r="Z70" s="22">
        <v>5.0000000000000001E-3</v>
      </c>
      <c r="AA70" s="22">
        <v>5.0000000000000001E-3</v>
      </c>
      <c r="AB70" s="22">
        <v>5.0000000000000001E-3</v>
      </c>
      <c r="AC70" s="22">
        <v>5.0000000000000001E-3</v>
      </c>
      <c r="AD70" s="22">
        <v>5.0000000000000001E-3</v>
      </c>
      <c r="AE70" s="22">
        <v>5.0000000000000001E-3</v>
      </c>
      <c r="AF70" s="22">
        <v>5.0000000000000001E-3</v>
      </c>
      <c r="AG70" s="22">
        <v>5.0000000000000001E-3</v>
      </c>
      <c r="AH70" s="22">
        <v>5.0000000000000001E-3</v>
      </c>
      <c r="AI70" s="22">
        <v>5.0000000000000001E-3</v>
      </c>
      <c r="AJ70" s="22">
        <v>5.0000000000000001E-3</v>
      </c>
      <c r="AK70" s="22">
        <v>5.0000000000000001E-3</v>
      </c>
      <c r="AL70" s="22">
        <v>5.0000000000000001E-3</v>
      </c>
      <c r="AM70" s="22">
        <v>5.0000000000000001E-3</v>
      </c>
      <c r="AN70" s="22">
        <v>5.0000000000000001E-3</v>
      </c>
      <c r="AO70" s="22">
        <v>5.0000000000000001E-3</v>
      </c>
      <c r="AP70" s="22">
        <v>5.0000000000000001E-3</v>
      </c>
      <c r="AQ70" s="22">
        <v>5.0000000000000001E-3</v>
      </c>
      <c r="XFD70" s="22"/>
    </row>
    <row r="71" spans="2:43 16384:16384">
      <c r="B71" s="3" t="s">
        <v>191</v>
      </c>
      <c r="C71" s="33"/>
      <c r="D71" s="33"/>
      <c r="E71" s="33"/>
      <c r="F71" s="33"/>
      <c r="G71" s="33"/>
      <c r="H71" s="33"/>
      <c r="I71" s="33"/>
      <c r="J71" s="33"/>
      <c r="K71" s="33"/>
      <c r="L71" s="33"/>
      <c r="M71" s="33"/>
      <c r="N71" s="33"/>
      <c r="O71" s="33"/>
      <c r="P71" s="33"/>
      <c r="Q71" s="33"/>
      <c r="R71" s="33"/>
      <c r="S71" s="33"/>
      <c r="T71" s="33"/>
      <c r="V71" s="30">
        <v>0.15</v>
      </c>
      <c r="W71" s="30">
        <v>0.15</v>
      </c>
      <c r="X71" s="30">
        <v>0.15</v>
      </c>
      <c r="Y71" s="30">
        <v>0.15</v>
      </c>
      <c r="Z71" s="30">
        <v>0.15</v>
      </c>
      <c r="AA71" s="30">
        <v>0.15</v>
      </c>
      <c r="AB71" s="30">
        <v>0.15</v>
      </c>
      <c r="AC71" s="30">
        <v>0.15</v>
      </c>
      <c r="AD71" s="30">
        <v>0.15</v>
      </c>
      <c r="AE71" s="30">
        <v>0.15</v>
      </c>
      <c r="AF71" s="30">
        <v>0.15</v>
      </c>
      <c r="AG71" s="30">
        <v>0.15</v>
      </c>
      <c r="AH71" s="30">
        <v>0.15</v>
      </c>
      <c r="AI71" s="30">
        <v>0.15</v>
      </c>
      <c r="AJ71" s="30">
        <v>0.15</v>
      </c>
      <c r="AK71" s="30">
        <v>0.15</v>
      </c>
      <c r="AL71" s="30">
        <v>0.15</v>
      </c>
      <c r="AM71" s="30">
        <v>0.15</v>
      </c>
      <c r="AN71" s="30">
        <v>0.15</v>
      </c>
      <c r="AO71" s="30">
        <v>0.15</v>
      </c>
      <c r="AP71" s="30">
        <v>0.15</v>
      </c>
      <c r="AQ71" s="30">
        <v>0.15</v>
      </c>
      <c r="XFD71" s="30"/>
    </row>
    <row r="72" spans="2:43 16384:16384">
      <c r="B72" s="32" t="s">
        <v>192</v>
      </c>
      <c r="C72" s="33"/>
      <c r="D72" s="33"/>
      <c r="E72" s="33"/>
      <c r="F72" s="33"/>
      <c r="G72" s="33"/>
      <c r="H72" s="33"/>
      <c r="I72" s="33"/>
      <c r="J72" s="33"/>
      <c r="K72" s="33"/>
      <c r="L72" s="33"/>
      <c r="M72" s="33"/>
      <c r="N72" s="33"/>
      <c r="O72" s="33"/>
      <c r="P72" s="33"/>
      <c r="Q72" s="33"/>
      <c r="R72" s="33"/>
      <c r="S72" s="33"/>
      <c r="T72" s="33"/>
      <c r="V72">
        <v>142</v>
      </c>
      <c r="W72">
        <v>142</v>
      </c>
      <c r="X72">
        <v>142</v>
      </c>
      <c r="Y72">
        <v>142</v>
      </c>
      <c r="Z72">
        <v>142</v>
      </c>
      <c r="AA72">
        <v>142</v>
      </c>
      <c r="AB72">
        <v>142</v>
      </c>
      <c r="AC72">
        <v>142</v>
      </c>
      <c r="AD72">
        <v>142</v>
      </c>
      <c r="AE72">
        <v>142</v>
      </c>
      <c r="AF72">
        <v>142</v>
      </c>
      <c r="AG72">
        <v>142</v>
      </c>
      <c r="AH72">
        <v>142</v>
      </c>
      <c r="AI72">
        <v>142</v>
      </c>
      <c r="AJ72">
        <v>142</v>
      </c>
      <c r="AK72">
        <v>142</v>
      </c>
      <c r="AL72">
        <v>142</v>
      </c>
      <c r="AM72">
        <v>142</v>
      </c>
      <c r="AN72">
        <v>142</v>
      </c>
      <c r="AO72">
        <v>142</v>
      </c>
      <c r="AP72">
        <v>142</v>
      </c>
      <c r="AQ72">
        <v>142</v>
      </c>
    </row>
    <row r="73" spans="2:43 16384:16384">
      <c r="B73" s="32"/>
    </row>
    <row r="74" spans="2:43 16384:16384">
      <c r="B74" s="31" t="s">
        <v>193</v>
      </c>
    </row>
    <row r="75" spans="2:43 16384:16384">
      <c r="B75" s="32" t="s">
        <v>188</v>
      </c>
      <c r="C75" s="33"/>
      <c r="D75" s="33"/>
      <c r="E75" s="33"/>
      <c r="F75" s="33"/>
      <c r="G75" s="33"/>
      <c r="H75" s="33"/>
      <c r="I75" s="33"/>
      <c r="J75" s="33"/>
      <c r="K75" s="33"/>
      <c r="L75" s="33"/>
      <c r="M75" s="33"/>
      <c r="N75" s="33"/>
      <c r="O75" s="33"/>
      <c r="P75" s="33"/>
      <c r="Q75" s="33"/>
      <c r="R75" s="33"/>
      <c r="S75" s="33"/>
      <c r="T75" s="33"/>
      <c r="V75" s="30">
        <v>1.06</v>
      </c>
      <c r="W75" s="30">
        <v>1.06</v>
      </c>
      <c r="X75" s="30">
        <v>1.06</v>
      </c>
      <c r="Y75" s="30">
        <v>1.06</v>
      </c>
      <c r="Z75" s="30">
        <v>1.06</v>
      </c>
      <c r="AA75" s="30">
        <v>1.06</v>
      </c>
      <c r="AB75" s="30">
        <v>1.06</v>
      </c>
      <c r="AC75" s="30">
        <v>1.06</v>
      </c>
      <c r="AD75" s="30">
        <v>1.06</v>
      </c>
      <c r="AE75" s="30">
        <v>1.06</v>
      </c>
      <c r="AF75" s="30">
        <v>1.06</v>
      </c>
      <c r="AG75" s="30">
        <v>1.06</v>
      </c>
      <c r="AH75" s="30">
        <v>1.06</v>
      </c>
      <c r="AI75" s="30">
        <v>1.06</v>
      </c>
      <c r="AJ75" s="30">
        <v>1.06</v>
      </c>
      <c r="AK75" s="30">
        <v>1.06</v>
      </c>
      <c r="AL75" s="30">
        <v>1.06</v>
      </c>
      <c r="AM75" s="30">
        <v>1.06</v>
      </c>
      <c r="AN75" s="30">
        <v>1.06</v>
      </c>
      <c r="AO75" s="30">
        <v>1.06</v>
      </c>
      <c r="AP75" s="30">
        <v>1.06</v>
      </c>
      <c r="AQ75" s="30">
        <v>1.06</v>
      </c>
    </row>
    <row r="76" spans="2:43 16384:16384">
      <c r="B76" s="32" t="s">
        <v>41</v>
      </c>
      <c r="C76" s="33"/>
      <c r="D76" s="33"/>
      <c r="E76" s="33"/>
      <c r="F76" s="33"/>
      <c r="G76" s="33"/>
      <c r="H76" s="33"/>
      <c r="I76" s="33"/>
      <c r="J76" s="33"/>
      <c r="K76" s="33"/>
      <c r="L76" s="33"/>
      <c r="M76" s="33"/>
      <c r="N76" s="33"/>
      <c r="O76" s="33"/>
      <c r="P76" s="33"/>
      <c r="Q76" s="33"/>
      <c r="R76" s="33"/>
      <c r="S76" s="33"/>
      <c r="T76" s="33"/>
      <c r="V76" s="30">
        <v>0.92</v>
      </c>
      <c r="W76" s="30">
        <v>0.92</v>
      </c>
      <c r="X76" s="30">
        <v>0.92</v>
      </c>
      <c r="Y76" s="30">
        <v>0.92</v>
      </c>
      <c r="Z76" s="30">
        <v>0.92</v>
      </c>
      <c r="AA76" s="30">
        <v>0.92</v>
      </c>
      <c r="AB76" s="30">
        <v>0.92</v>
      </c>
      <c r="AC76" s="30">
        <v>0.92</v>
      </c>
      <c r="AD76" s="30">
        <v>0.92</v>
      </c>
      <c r="AE76" s="30">
        <v>0.92</v>
      </c>
      <c r="AF76" s="30">
        <v>0.92</v>
      </c>
      <c r="AG76" s="30">
        <v>0.92</v>
      </c>
      <c r="AH76" s="30">
        <v>0.92</v>
      </c>
      <c r="AI76" s="30">
        <v>0.92</v>
      </c>
      <c r="AJ76" s="30">
        <v>0.92</v>
      </c>
      <c r="AK76" s="30">
        <v>0.92</v>
      </c>
      <c r="AL76" s="30">
        <v>0.92</v>
      </c>
      <c r="AM76" s="30">
        <v>0.92</v>
      </c>
      <c r="AN76" s="30">
        <v>0.92</v>
      </c>
      <c r="AO76" s="30">
        <v>0.92</v>
      </c>
      <c r="AP76" s="30">
        <v>0.92</v>
      </c>
      <c r="AQ76" s="30">
        <v>0.92</v>
      </c>
    </row>
    <row r="77" spans="2:43 16384:16384">
      <c r="B77" s="32" t="s">
        <v>42</v>
      </c>
      <c r="C77" s="33"/>
      <c r="D77" s="33"/>
      <c r="E77" s="33"/>
      <c r="F77" s="33"/>
      <c r="G77" s="33"/>
      <c r="H77" s="33"/>
      <c r="I77" s="33"/>
      <c r="J77" s="33"/>
      <c r="K77" s="33"/>
      <c r="L77" s="33"/>
      <c r="M77" s="33"/>
      <c r="N77" s="33"/>
      <c r="O77" s="33"/>
      <c r="P77" s="33"/>
      <c r="Q77" s="33"/>
      <c r="R77" s="33"/>
      <c r="S77" s="33"/>
      <c r="T77" s="33"/>
      <c r="V77" s="30">
        <f>V75-V76</f>
        <v>0.14000000000000001</v>
      </c>
      <c r="W77" s="30">
        <f>W75-W76</f>
        <v>0.14000000000000001</v>
      </c>
      <c r="X77" s="30">
        <f>X75-X76</f>
        <v>0.14000000000000001</v>
      </c>
      <c r="Y77" s="30">
        <f>Y75-Y76</f>
        <v>0.14000000000000001</v>
      </c>
      <c r="Z77" s="30">
        <f>Z75-Z76</f>
        <v>0.14000000000000001</v>
      </c>
      <c r="AA77" s="30">
        <f>AA75-AA76</f>
        <v>0.14000000000000001</v>
      </c>
      <c r="AB77" s="30">
        <f>AB75-AB76</f>
        <v>0.14000000000000001</v>
      </c>
      <c r="AC77" s="30">
        <f>AC75-AC76</f>
        <v>0.14000000000000001</v>
      </c>
      <c r="AD77" s="30">
        <f>AD75-AD76</f>
        <v>0.14000000000000001</v>
      </c>
      <c r="AE77" s="30">
        <f>AE75-AE76</f>
        <v>0.14000000000000001</v>
      </c>
      <c r="AF77" s="30">
        <f>AF75-AF76</f>
        <v>0.14000000000000001</v>
      </c>
      <c r="AG77" s="30">
        <f>AG75-AG76</f>
        <v>0.14000000000000001</v>
      </c>
      <c r="AH77" s="30">
        <f>AH75-AH76</f>
        <v>0.14000000000000001</v>
      </c>
      <c r="AI77" s="30">
        <f>AI75-AI76</f>
        <v>0.14000000000000001</v>
      </c>
      <c r="AJ77" s="30">
        <f>AJ75-AJ76</f>
        <v>0.14000000000000001</v>
      </c>
      <c r="AK77" s="30">
        <f>AK75-AK76</f>
        <v>0.14000000000000001</v>
      </c>
      <c r="AL77" s="30">
        <f>AL75-AL76</f>
        <v>0.14000000000000001</v>
      </c>
      <c r="AM77" s="30">
        <f>AM75-AM76</f>
        <v>0.14000000000000001</v>
      </c>
      <c r="AN77" s="30">
        <f>AN75-AN76</f>
        <v>0.14000000000000001</v>
      </c>
      <c r="AO77" s="30">
        <f>AO75-AO76</f>
        <v>0.14000000000000001</v>
      </c>
      <c r="AP77" s="30">
        <f>AP75-AP76</f>
        <v>0.14000000000000001</v>
      </c>
      <c r="AQ77" s="30">
        <f>AQ75-AQ76</f>
        <v>0.14000000000000001</v>
      </c>
    </row>
    <row r="78" spans="2:43 16384:16384">
      <c r="B78" s="32" t="s">
        <v>43</v>
      </c>
      <c r="C78" s="33"/>
      <c r="D78" s="33"/>
      <c r="E78" s="33"/>
      <c r="F78" s="33"/>
      <c r="G78" s="33"/>
      <c r="H78" s="33"/>
      <c r="I78" s="33"/>
      <c r="J78" s="33"/>
      <c r="K78" s="33"/>
      <c r="L78" s="33"/>
      <c r="M78" s="33"/>
      <c r="N78" s="33"/>
      <c r="O78" s="33"/>
      <c r="P78" s="33"/>
      <c r="Q78" s="33"/>
      <c r="R78" s="33"/>
      <c r="S78" s="33"/>
      <c r="T78" s="33"/>
      <c r="V78" s="30">
        <v>0.02</v>
      </c>
      <c r="W78" s="30">
        <v>0.02</v>
      </c>
      <c r="X78" s="30">
        <v>0.02</v>
      </c>
      <c r="Y78" s="30">
        <v>0.02</v>
      </c>
      <c r="Z78" s="30">
        <v>0.02</v>
      </c>
      <c r="AA78" s="30">
        <v>0.02</v>
      </c>
      <c r="AB78" s="30">
        <v>0.02</v>
      </c>
      <c r="AC78" s="30">
        <v>0.02</v>
      </c>
      <c r="AD78" s="30">
        <v>0.02</v>
      </c>
      <c r="AE78" s="30">
        <v>0.02</v>
      </c>
      <c r="AF78" s="30">
        <v>0.02</v>
      </c>
      <c r="AG78" s="30">
        <v>0.02</v>
      </c>
      <c r="AH78" s="30">
        <v>0.02</v>
      </c>
      <c r="AI78" s="30">
        <v>0.02</v>
      </c>
      <c r="AJ78" s="30">
        <v>0.02</v>
      </c>
      <c r="AK78" s="30">
        <v>0.02</v>
      </c>
      <c r="AL78" s="30">
        <v>0.02</v>
      </c>
      <c r="AM78" s="30">
        <v>0.02</v>
      </c>
      <c r="AN78" s="30">
        <v>0.02</v>
      </c>
      <c r="AO78" s="30">
        <v>0.02</v>
      </c>
      <c r="AP78" s="30">
        <v>0.02</v>
      </c>
      <c r="AQ78" s="30">
        <v>0.02</v>
      </c>
    </row>
    <row r="79" spans="2:43 16384:16384">
      <c r="B79" s="32" t="s">
        <v>189</v>
      </c>
      <c r="C79" s="33"/>
      <c r="D79" s="33"/>
      <c r="E79" s="33"/>
      <c r="F79" s="33"/>
      <c r="G79" s="33"/>
      <c r="H79" s="33"/>
      <c r="I79" s="33"/>
      <c r="J79" s="33"/>
      <c r="K79" s="33"/>
      <c r="L79" s="33"/>
      <c r="M79" s="33"/>
      <c r="N79" s="33"/>
      <c r="O79" s="33"/>
      <c r="P79" s="33"/>
      <c r="Q79" s="33"/>
      <c r="R79" s="33"/>
      <c r="S79" s="33"/>
      <c r="T79" s="33"/>
      <c r="V79" s="30">
        <f>V78</f>
        <v>0.02</v>
      </c>
      <c r="W79" s="30">
        <f t="shared" ref="W79:AQ79" si="62">W78</f>
        <v>0.02</v>
      </c>
      <c r="X79" s="30">
        <f t="shared" si="62"/>
        <v>0.02</v>
      </c>
      <c r="Y79" s="30">
        <f t="shared" si="62"/>
        <v>0.02</v>
      </c>
      <c r="Z79" s="30">
        <f t="shared" si="62"/>
        <v>0.02</v>
      </c>
      <c r="AA79" s="30">
        <f t="shared" si="62"/>
        <v>0.02</v>
      </c>
      <c r="AB79" s="30">
        <f t="shared" si="62"/>
        <v>0.02</v>
      </c>
      <c r="AC79" s="30">
        <f t="shared" si="62"/>
        <v>0.02</v>
      </c>
      <c r="AD79" s="30">
        <f t="shared" si="62"/>
        <v>0.02</v>
      </c>
      <c r="AE79" s="30">
        <f t="shared" si="62"/>
        <v>0.02</v>
      </c>
      <c r="AF79" s="30">
        <f t="shared" si="62"/>
        <v>0.02</v>
      </c>
      <c r="AG79" s="30">
        <f t="shared" si="62"/>
        <v>0.02</v>
      </c>
      <c r="AH79" s="30">
        <f t="shared" si="62"/>
        <v>0.02</v>
      </c>
      <c r="AI79" s="30">
        <f t="shared" si="62"/>
        <v>0.02</v>
      </c>
      <c r="AJ79" s="30">
        <f t="shared" si="62"/>
        <v>0.02</v>
      </c>
      <c r="AK79" s="30">
        <f t="shared" si="62"/>
        <v>0.02</v>
      </c>
      <c r="AL79" s="30">
        <f t="shared" si="62"/>
        <v>0.02</v>
      </c>
      <c r="AM79" s="30">
        <f t="shared" si="62"/>
        <v>0.02</v>
      </c>
      <c r="AN79" s="30">
        <f t="shared" si="62"/>
        <v>0.02</v>
      </c>
      <c r="AO79" s="30">
        <f t="shared" si="62"/>
        <v>0.02</v>
      </c>
      <c r="AP79" s="30">
        <f t="shared" si="62"/>
        <v>0.02</v>
      </c>
      <c r="AQ79" s="30">
        <f t="shared" si="62"/>
        <v>0.02</v>
      </c>
    </row>
    <row r="80" spans="2:43 16384:16384" s="10" customFormat="1">
      <c r="B80" s="47" t="s">
        <v>46</v>
      </c>
      <c r="C80" s="51"/>
      <c r="D80" s="51"/>
      <c r="E80" s="51"/>
      <c r="F80" s="51"/>
      <c r="G80" s="51"/>
      <c r="H80" s="51"/>
      <c r="I80" s="51"/>
      <c r="J80" s="51"/>
      <c r="K80" s="51"/>
      <c r="L80" s="51"/>
      <c r="M80" s="51"/>
      <c r="N80" s="51"/>
      <c r="O80" s="51"/>
      <c r="P80" s="51"/>
      <c r="Q80" s="51"/>
      <c r="R80" s="51"/>
      <c r="S80" s="51"/>
      <c r="T80" s="51"/>
      <c r="V80" s="10">
        <f>'D&amp;A_CapEx'!V11</f>
        <v>303.29643033962265</v>
      </c>
      <c r="W80" s="10">
        <f>'D&amp;A_CapEx'!W11</f>
        <v>315.4282875532075</v>
      </c>
      <c r="X80" s="10">
        <f>'D&amp;A_CapEx'!X11</f>
        <v>260.1070186592604</v>
      </c>
      <c r="Y80" s="10">
        <f>'D&amp;A_CapEx'!Y11</f>
        <v>270.51129940563084</v>
      </c>
      <c r="Z80" s="10">
        <f>'D&amp;A_CapEx'!Z11</f>
        <v>281.33175138185607</v>
      </c>
      <c r="AA80" s="10">
        <f>'D&amp;A_CapEx'!AA11</f>
        <v>292.58502143713031</v>
      </c>
      <c r="AB80" s="10">
        <f>'D&amp;A_CapEx'!AB11</f>
        <v>304.28842229461554</v>
      </c>
      <c r="AC80" s="10">
        <f>'D&amp;A_CapEx'!AC11</f>
        <v>316.45995918640017</v>
      </c>
      <c r="AD80" s="10">
        <f>'D&amp;A_CapEx'!AD11</f>
        <v>329.11835755385619</v>
      </c>
      <c r="AE80" s="10">
        <f>'D&amp;A_CapEx'!AE11</f>
        <v>342.28309185601046</v>
      </c>
      <c r="AF80" s="10">
        <f>'D&amp;A_CapEx'!AF11</f>
        <v>355.97441553025089</v>
      </c>
      <c r="AG80" s="10">
        <f>'D&amp;A_CapEx'!AG11</f>
        <v>370.21339215146094</v>
      </c>
      <c r="AH80" s="10">
        <f>'D&amp;A_CapEx'!AH11</f>
        <v>385.02192783751934</v>
      </c>
      <c r="AI80" s="10">
        <f>'D&amp;A_CapEx'!AI11</f>
        <v>400.42280495102017</v>
      </c>
      <c r="AJ80" s="10">
        <f>'D&amp;A_CapEx'!AJ11</f>
        <v>416.43971714906098</v>
      </c>
      <c r="AK80" s="10">
        <f>'D&amp;A_CapEx'!AK11</f>
        <v>433.09730583502346</v>
      </c>
      <c r="AL80" s="10">
        <f>'D&amp;A_CapEx'!AL11</f>
        <v>450.42119806842447</v>
      </c>
      <c r="AM80" s="10">
        <f>'D&amp;A_CapEx'!AM11</f>
        <v>468.43804599116146</v>
      </c>
      <c r="AN80" s="10">
        <f>'D&amp;A_CapEx'!AN11</f>
        <v>487.17556783080789</v>
      </c>
      <c r="AO80" s="10">
        <f>'D&amp;A_CapEx'!AO11</f>
        <v>506.6625905440402</v>
      </c>
      <c r="AP80" s="10">
        <f>'D&amp;A_CapEx'!AP11</f>
        <v>526.92909416580187</v>
      </c>
      <c r="AQ80" s="10">
        <f>'D&amp;A_CapEx'!AQ11</f>
        <v>548.00625793243398</v>
      </c>
    </row>
    <row r="81" spans="2:44 16384:16384">
      <c r="B81" s="32" t="s">
        <v>124</v>
      </c>
      <c r="C81" s="33"/>
      <c r="D81" s="33"/>
      <c r="E81" s="33"/>
      <c r="F81" s="33"/>
      <c r="G81" s="33"/>
      <c r="H81" s="33"/>
      <c r="I81" s="33"/>
      <c r="J81" s="33"/>
      <c r="K81" s="33"/>
      <c r="L81" s="33"/>
      <c r="M81" s="33"/>
      <c r="N81" s="33"/>
      <c r="O81" s="33"/>
      <c r="P81" s="33"/>
      <c r="Q81" s="33"/>
      <c r="R81" s="33"/>
      <c r="S81" s="33"/>
      <c r="T81" s="33"/>
      <c r="V81" s="25">
        <v>7.0000000000000001E-3</v>
      </c>
      <c r="W81" s="25">
        <v>7.0000000000000001E-3</v>
      </c>
      <c r="X81" s="25">
        <v>7.0000000000000001E-3</v>
      </c>
      <c r="Y81" s="25">
        <v>7.0000000000000001E-3</v>
      </c>
      <c r="Z81" s="25">
        <v>7.0000000000000001E-3</v>
      </c>
      <c r="AA81" s="25">
        <v>7.0000000000000001E-3</v>
      </c>
      <c r="AB81" s="25">
        <v>7.0000000000000001E-3</v>
      </c>
      <c r="AC81" s="25">
        <v>7.0000000000000001E-3</v>
      </c>
      <c r="AD81" s="25">
        <v>7.0000000000000001E-3</v>
      </c>
      <c r="AE81" s="25">
        <v>7.0000000000000001E-3</v>
      </c>
      <c r="AF81" s="25">
        <v>7.0000000000000001E-3</v>
      </c>
      <c r="AG81" s="25">
        <v>7.0000000000000001E-3</v>
      </c>
      <c r="AH81" s="25">
        <v>7.0000000000000001E-3</v>
      </c>
      <c r="AI81" s="25">
        <v>7.0000000000000001E-3</v>
      </c>
      <c r="AJ81" s="25">
        <v>7.0000000000000001E-3</v>
      </c>
      <c r="AK81" s="25">
        <v>7.0000000000000001E-3</v>
      </c>
      <c r="AL81" s="25">
        <v>7.0000000000000001E-3</v>
      </c>
      <c r="AM81" s="25">
        <v>7.0000000000000001E-3</v>
      </c>
      <c r="AN81" s="25">
        <v>7.0000000000000001E-3</v>
      </c>
      <c r="AO81" s="25">
        <v>7.0000000000000001E-3</v>
      </c>
      <c r="AP81" s="25">
        <v>7.0000000000000001E-3</v>
      </c>
      <c r="AQ81" s="25">
        <v>7.0000000000000001E-3</v>
      </c>
    </row>
    <row r="82" spans="2:44 16384:16384">
      <c r="B82" s="3" t="s">
        <v>122</v>
      </c>
      <c r="C82" s="33"/>
      <c r="D82" s="33"/>
      <c r="E82" s="33"/>
      <c r="F82" s="33"/>
      <c r="G82" s="33"/>
      <c r="H82" s="33"/>
      <c r="I82" s="33"/>
      <c r="J82" s="33"/>
      <c r="K82" s="33"/>
      <c r="L82" s="33"/>
      <c r="M82" s="33"/>
      <c r="N82" s="33"/>
      <c r="O82" s="33"/>
      <c r="P82" s="33"/>
      <c r="Q82" s="33"/>
      <c r="R82" s="33"/>
      <c r="S82" s="33"/>
      <c r="T82" s="33"/>
      <c r="V82" s="22">
        <v>3.0000000000000001E-3</v>
      </c>
      <c r="W82" s="22">
        <v>3.0000000000000001E-3</v>
      </c>
      <c r="X82" s="22">
        <v>3.0000000000000001E-3</v>
      </c>
      <c r="Y82" s="22">
        <v>3.0000000000000001E-3</v>
      </c>
      <c r="Z82" s="22">
        <v>3.0000000000000001E-3</v>
      </c>
      <c r="AA82" s="22">
        <v>3.0000000000000001E-3</v>
      </c>
      <c r="AB82" s="22">
        <v>3.0000000000000001E-3</v>
      </c>
      <c r="AC82" s="22">
        <v>3.0000000000000001E-3</v>
      </c>
      <c r="AD82" s="22">
        <v>3.0000000000000001E-3</v>
      </c>
      <c r="AE82" s="27">
        <v>3.0000000000000001E-3</v>
      </c>
      <c r="AF82" s="27">
        <v>3.0000000000000001E-3</v>
      </c>
      <c r="AG82" s="27">
        <v>3.0000000000000001E-3</v>
      </c>
      <c r="AH82" s="27">
        <v>3.0000000000000001E-3</v>
      </c>
      <c r="AI82" s="27">
        <v>3.0000000000000001E-3</v>
      </c>
      <c r="AJ82" s="27">
        <v>3.0000000000000001E-3</v>
      </c>
      <c r="AK82" s="27">
        <v>3.0000000000000001E-3</v>
      </c>
      <c r="AL82" s="27">
        <v>3.0000000000000001E-3</v>
      </c>
      <c r="AM82" s="27">
        <v>3.0000000000000001E-3</v>
      </c>
      <c r="AN82" s="27">
        <v>3.0000000000000001E-3</v>
      </c>
      <c r="AO82" s="27">
        <v>3.0000000000000001E-3</v>
      </c>
      <c r="AP82" s="27">
        <v>3.0000000000000001E-3</v>
      </c>
      <c r="AQ82" s="27">
        <v>3.0000000000000001E-3</v>
      </c>
      <c r="AR82" s="27"/>
    </row>
    <row r="83" spans="2:44 16384:16384">
      <c r="B83" s="3" t="s">
        <v>191</v>
      </c>
      <c r="C83" s="33"/>
      <c r="D83" s="33"/>
      <c r="E83" s="33"/>
      <c r="F83" s="33"/>
      <c r="G83" s="33"/>
      <c r="H83" s="33"/>
      <c r="I83" s="33"/>
      <c r="J83" s="33"/>
      <c r="K83" s="33"/>
      <c r="L83" s="33"/>
      <c r="M83" s="33"/>
      <c r="N83" s="33"/>
      <c r="O83" s="33"/>
      <c r="P83" s="33"/>
      <c r="Q83" s="33"/>
      <c r="R83" s="33"/>
      <c r="S83" s="33"/>
      <c r="T83" s="33"/>
      <c r="V83" s="30">
        <v>0.1</v>
      </c>
      <c r="W83" s="30">
        <v>0.1</v>
      </c>
      <c r="X83" s="30">
        <v>0.1</v>
      </c>
      <c r="Y83" s="30">
        <v>0.1</v>
      </c>
      <c r="Z83" s="30">
        <v>0.1</v>
      </c>
      <c r="AA83" s="30">
        <v>0.1</v>
      </c>
      <c r="AB83" s="30">
        <v>0.1</v>
      </c>
      <c r="AC83" s="30">
        <v>0.1</v>
      </c>
      <c r="AD83" s="30">
        <v>0.1</v>
      </c>
      <c r="AE83" s="30">
        <v>0.1</v>
      </c>
      <c r="AF83" s="30">
        <v>0.1</v>
      </c>
      <c r="AG83" s="30">
        <v>0.1</v>
      </c>
      <c r="AH83" s="30">
        <v>0.1</v>
      </c>
      <c r="AI83" s="30">
        <v>0.1</v>
      </c>
      <c r="AJ83" s="30">
        <v>0.1</v>
      </c>
      <c r="AK83" s="30">
        <v>0.1</v>
      </c>
      <c r="AL83" s="30">
        <v>0.1</v>
      </c>
      <c r="AM83" s="30">
        <v>0.1</v>
      </c>
      <c r="AN83" s="30">
        <v>0.1</v>
      </c>
      <c r="AO83" s="30">
        <v>0.1</v>
      </c>
      <c r="AP83" s="30">
        <v>0.1</v>
      </c>
      <c r="AQ83" s="30">
        <v>0.1</v>
      </c>
    </row>
    <row r="84" spans="2:44 16384:16384">
      <c r="B84" s="32" t="s">
        <v>192</v>
      </c>
      <c r="C84" s="33"/>
      <c r="D84" s="33"/>
      <c r="E84" s="33"/>
      <c r="F84" s="33"/>
      <c r="G84" s="33"/>
      <c r="H84" s="33"/>
      <c r="I84" s="33"/>
      <c r="J84" s="33"/>
      <c r="K84" s="33"/>
      <c r="L84" s="33"/>
      <c r="M84" s="33"/>
      <c r="N84" s="33"/>
      <c r="O84" s="33"/>
      <c r="P84" s="33"/>
      <c r="Q84" s="33"/>
      <c r="R84" s="33"/>
      <c r="S84" s="33"/>
      <c r="T84" s="33"/>
      <c r="V84">
        <v>142</v>
      </c>
      <c r="W84">
        <v>142</v>
      </c>
      <c r="X84">
        <v>142</v>
      </c>
      <c r="Y84">
        <v>142</v>
      </c>
      <c r="Z84">
        <v>142</v>
      </c>
      <c r="AA84">
        <v>142</v>
      </c>
      <c r="AB84">
        <v>142</v>
      </c>
      <c r="AC84">
        <v>142</v>
      </c>
      <c r="AD84">
        <v>142</v>
      </c>
      <c r="AE84">
        <v>142</v>
      </c>
      <c r="AF84">
        <v>142</v>
      </c>
      <c r="AG84">
        <v>142</v>
      </c>
      <c r="AH84">
        <v>142</v>
      </c>
      <c r="AI84">
        <v>142</v>
      </c>
      <c r="AJ84">
        <v>142</v>
      </c>
      <c r="AK84">
        <v>142</v>
      </c>
      <c r="AL84">
        <v>142</v>
      </c>
      <c r="AM84">
        <v>142</v>
      </c>
      <c r="AN84">
        <v>142</v>
      </c>
      <c r="AO84">
        <v>142</v>
      </c>
      <c r="AP84">
        <v>142</v>
      </c>
      <c r="AQ84">
        <v>142</v>
      </c>
    </row>
    <row r="86" spans="2:44 16384:16384">
      <c r="B86" s="31" t="s">
        <v>195</v>
      </c>
    </row>
    <row r="87" spans="2:44 16384:16384">
      <c r="B87" s="32" t="s">
        <v>188</v>
      </c>
      <c r="C87" s="33"/>
      <c r="D87" s="33"/>
      <c r="E87" s="33"/>
      <c r="F87" s="33"/>
      <c r="G87" s="33"/>
      <c r="H87" s="33"/>
      <c r="I87" s="33"/>
      <c r="J87" s="33"/>
      <c r="K87" s="33"/>
      <c r="L87" s="33"/>
      <c r="M87" s="33"/>
      <c r="N87" s="33"/>
      <c r="O87" s="33"/>
      <c r="P87" s="33"/>
      <c r="Q87" s="33"/>
      <c r="R87" s="33"/>
      <c r="S87" s="33"/>
      <c r="T87" s="33"/>
      <c r="V87" s="30">
        <v>1.02</v>
      </c>
      <c r="W87" s="30">
        <v>1.02</v>
      </c>
      <c r="X87" s="30">
        <v>1.02</v>
      </c>
      <c r="Y87" s="30">
        <v>1.02</v>
      </c>
      <c r="Z87" s="30">
        <v>1.02</v>
      </c>
      <c r="AA87" s="30">
        <v>1.02</v>
      </c>
      <c r="AB87" s="30">
        <v>1.02</v>
      </c>
      <c r="AC87" s="30">
        <v>1.02</v>
      </c>
      <c r="AD87" s="30">
        <v>1.02</v>
      </c>
      <c r="AE87" s="30">
        <v>1.02</v>
      </c>
      <c r="AF87" s="30">
        <v>1.02</v>
      </c>
      <c r="AG87" s="30">
        <v>1.02</v>
      </c>
      <c r="AH87" s="30">
        <v>1.02</v>
      </c>
      <c r="AI87" s="30">
        <v>1.02</v>
      </c>
      <c r="AJ87" s="30">
        <v>1.02</v>
      </c>
      <c r="AK87" s="30">
        <v>1.02</v>
      </c>
      <c r="AL87" s="30">
        <v>1.02</v>
      </c>
      <c r="AM87" s="30">
        <v>1.02</v>
      </c>
      <c r="AN87" s="30">
        <v>1.02</v>
      </c>
      <c r="AO87" s="30">
        <v>1.02</v>
      </c>
      <c r="AP87" s="30">
        <v>1.02</v>
      </c>
      <c r="AQ87" s="30">
        <v>1.02</v>
      </c>
    </row>
    <row r="88" spans="2:44 16384:16384">
      <c r="B88" s="32" t="s">
        <v>41</v>
      </c>
      <c r="C88" s="33"/>
      <c r="D88" s="33"/>
      <c r="E88" s="33"/>
      <c r="F88" s="33"/>
      <c r="G88" s="33"/>
      <c r="H88" s="33"/>
      <c r="I88" s="33"/>
      <c r="J88" s="33"/>
      <c r="K88" s="33"/>
      <c r="L88" s="33"/>
      <c r="M88" s="33"/>
      <c r="N88" s="33"/>
      <c r="O88" s="33"/>
      <c r="P88" s="33"/>
      <c r="Q88" s="33"/>
      <c r="R88" s="33"/>
      <c r="S88" s="33"/>
      <c r="T88" s="33"/>
      <c r="V88" s="30">
        <v>0.96</v>
      </c>
      <c r="W88" s="30">
        <v>0.96</v>
      </c>
      <c r="X88" s="30">
        <v>0.96</v>
      </c>
      <c r="Y88" s="30">
        <v>0.96</v>
      </c>
      <c r="Z88" s="30">
        <v>0.96</v>
      </c>
      <c r="AA88" s="30">
        <v>0.96</v>
      </c>
      <c r="AB88" s="30">
        <v>0.96</v>
      </c>
      <c r="AC88" s="30">
        <v>0.96</v>
      </c>
      <c r="AD88" s="30">
        <v>0.96</v>
      </c>
      <c r="AE88" s="30">
        <v>0.96</v>
      </c>
      <c r="AF88" s="30">
        <v>0.96</v>
      </c>
      <c r="AG88" s="30">
        <v>0.96</v>
      </c>
      <c r="AH88" s="30">
        <v>0.96</v>
      </c>
      <c r="AI88" s="30">
        <v>0.96</v>
      </c>
      <c r="AJ88" s="30">
        <v>0.96</v>
      </c>
      <c r="AK88" s="30">
        <v>0.96</v>
      </c>
      <c r="AL88" s="30">
        <v>0.96</v>
      </c>
      <c r="AM88" s="30">
        <v>0.96</v>
      </c>
      <c r="AN88" s="30">
        <v>0.96</v>
      </c>
      <c r="AO88" s="30">
        <v>0.96</v>
      </c>
      <c r="AP88" s="30">
        <v>0.96</v>
      </c>
      <c r="AQ88" s="30">
        <v>0.96</v>
      </c>
    </row>
    <row r="89" spans="2:44 16384:16384">
      <c r="B89" s="32" t="s">
        <v>42</v>
      </c>
      <c r="C89" s="33"/>
      <c r="D89" s="33"/>
      <c r="E89" s="33"/>
      <c r="F89" s="33"/>
      <c r="G89" s="33"/>
      <c r="H89" s="33"/>
      <c r="I89" s="33"/>
      <c r="J89" s="33"/>
      <c r="K89" s="33"/>
      <c r="L89" s="33"/>
      <c r="M89" s="33"/>
      <c r="N89" s="33"/>
      <c r="O89" s="33"/>
      <c r="P89" s="33"/>
      <c r="Q89" s="33"/>
      <c r="R89" s="33"/>
      <c r="S89" s="33"/>
      <c r="T89" s="33"/>
      <c r="V89" s="30">
        <f t="shared" ref="V89:AQ89" si="63">V87-V88</f>
        <v>6.0000000000000053E-2</v>
      </c>
      <c r="W89" s="30">
        <f t="shared" si="63"/>
        <v>6.0000000000000053E-2</v>
      </c>
      <c r="X89" s="30">
        <f t="shared" si="63"/>
        <v>6.0000000000000053E-2</v>
      </c>
      <c r="Y89" s="30">
        <f t="shared" si="63"/>
        <v>6.0000000000000053E-2</v>
      </c>
      <c r="Z89" s="30">
        <f t="shared" si="63"/>
        <v>6.0000000000000053E-2</v>
      </c>
      <c r="AA89" s="30">
        <f t="shared" si="63"/>
        <v>6.0000000000000053E-2</v>
      </c>
      <c r="AB89" s="30">
        <f t="shared" si="63"/>
        <v>6.0000000000000053E-2</v>
      </c>
      <c r="AC89" s="30">
        <f t="shared" si="63"/>
        <v>6.0000000000000053E-2</v>
      </c>
      <c r="AD89" s="30">
        <f t="shared" si="63"/>
        <v>6.0000000000000053E-2</v>
      </c>
      <c r="AE89" s="30">
        <f t="shared" si="63"/>
        <v>6.0000000000000053E-2</v>
      </c>
      <c r="AF89" s="30">
        <f t="shared" si="63"/>
        <v>6.0000000000000053E-2</v>
      </c>
      <c r="AG89" s="30">
        <f t="shared" si="63"/>
        <v>6.0000000000000053E-2</v>
      </c>
      <c r="AH89" s="30">
        <f t="shared" si="63"/>
        <v>6.0000000000000053E-2</v>
      </c>
      <c r="AI89" s="30">
        <f t="shared" si="63"/>
        <v>6.0000000000000053E-2</v>
      </c>
      <c r="AJ89" s="30">
        <f t="shared" si="63"/>
        <v>6.0000000000000053E-2</v>
      </c>
      <c r="AK89" s="30">
        <f t="shared" si="63"/>
        <v>6.0000000000000053E-2</v>
      </c>
      <c r="AL89" s="30">
        <f t="shared" si="63"/>
        <v>6.0000000000000053E-2</v>
      </c>
      <c r="AM89" s="30">
        <f t="shared" si="63"/>
        <v>6.0000000000000053E-2</v>
      </c>
      <c r="AN89" s="30">
        <f t="shared" si="63"/>
        <v>6.0000000000000053E-2</v>
      </c>
      <c r="AO89" s="30">
        <f t="shared" si="63"/>
        <v>6.0000000000000053E-2</v>
      </c>
      <c r="AP89" s="30">
        <f t="shared" si="63"/>
        <v>6.0000000000000053E-2</v>
      </c>
      <c r="AQ89" s="30">
        <f t="shared" si="63"/>
        <v>6.0000000000000053E-2</v>
      </c>
    </row>
    <row r="90" spans="2:44 16384:16384">
      <c r="B90" s="32" t="s">
        <v>43</v>
      </c>
      <c r="C90" s="33"/>
      <c r="D90" s="33"/>
      <c r="E90" s="33"/>
      <c r="F90" s="33"/>
      <c r="G90" s="33"/>
      <c r="H90" s="33"/>
      <c r="I90" s="33"/>
      <c r="J90" s="33"/>
      <c r="K90" s="33"/>
      <c r="L90" s="33"/>
      <c r="M90" s="33"/>
      <c r="N90" s="33"/>
      <c r="O90" s="33"/>
      <c r="P90" s="33"/>
      <c r="Q90" s="33"/>
      <c r="R90" s="33"/>
      <c r="S90" s="33"/>
      <c r="T90" s="33"/>
      <c r="V90" s="30">
        <v>0.04</v>
      </c>
      <c r="W90" s="30">
        <v>0.04</v>
      </c>
      <c r="X90" s="30">
        <v>0.04</v>
      </c>
      <c r="Y90" s="30">
        <v>0.04</v>
      </c>
      <c r="Z90" s="30">
        <v>0.04</v>
      </c>
      <c r="AA90" s="30">
        <v>0.04</v>
      </c>
      <c r="AB90" s="30">
        <v>0.04</v>
      </c>
      <c r="AC90" s="30">
        <v>0.04</v>
      </c>
      <c r="AD90" s="30">
        <v>0.04</v>
      </c>
      <c r="AE90" s="30">
        <v>0.04</v>
      </c>
      <c r="AF90" s="30">
        <v>0.04</v>
      </c>
      <c r="AG90" s="30">
        <v>0.04</v>
      </c>
      <c r="AH90" s="30">
        <v>0.04</v>
      </c>
      <c r="AI90" s="30">
        <v>0.04</v>
      </c>
      <c r="AJ90" s="30">
        <v>0.04</v>
      </c>
      <c r="AK90" s="30">
        <v>0.04</v>
      </c>
      <c r="AL90" s="30">
        <v>0.04</v>
      </c>
      <c r="AM90" s="30">
        <v>0.04</v>
      </c>
      <c r="AN90" s="30">
        <v>0.04</v>
      </c>
      <c r="AO90" s="30">
        <v>0.04</v>
      </c>
      <c r="AP90" s="30">
        <v>0.04</v>
      </c>
      <c r="AQ90" s="30">
        <v>0.04</v>
      </c>
    </row>
    <row r="91" spans="2:44 16384:16384">
      <c r="B91" s="32" t="s">
        <v>189</v>
      </c>
      <c r="C91" s="33"/>
      <c r="D91" s="33"/>
      <c r="E91" s="33"/>
      <c r="F91" s="33"/>
      <c r="G91" s="33"/>
      <c r="H91" s="33"/>
      <c r="I91" s="33"/>
      <c r="J91" s="33"/>
      <c r="K91" s="33"/>
      <c r="L91" s="33"/>
      <c r="M91" s="33"/>
      <c r="N91" s="33"/>
      <c r="O91" s="33"/>
      <c r="P91" s="33"/>
      <c r="Q91" s="33"/>
      <c r="R91" s="33"/>
      <c r="S91" s="33"/>
      <c r="T91" s="33"/>
      <c r="V91" s="30">
        <f t="shared" ref="V91:AQ91" si="64">V90</f>
        <v>0.04</v>
      </c>
      <c r="W91" s="30">
        <f t="shared" si="64"/>
        <v>0.04</v>
      </c>
      <c r="X91" s="30">
        <f t="shared" si="64"/>
        <v>0.04</v>
      </c>
      <c r="Y91" s="30">
        <f t="shared" si="64"/>
        <v>0.04</v>
      </c>
      <c r="Z91" s="30">
        <f t="shared" si="64"/>
        <v>0.04</v>
      </c>
      <c r="AA91" s="30">
        <f t="shared" si="64"/>
        <v>0.04</v>
      </c>
      <c r="AB91" s="30">
        <f t="shared" si="64"/>
        <v>0.04</v>
      </c>
      <c r="AC91" s="30">
        <f t="shared" si="64"/>
        <v>0.04</v>
      </c>
      <c r="AD91" s="30">
        <f t="shared" si="64"/>
        <v>0.04</v>
      </c>
      <c r="AE91" s="30">
        <f t="shared" si="64"/>
        <v>0.04</v>
      </c>
      <c r="AF91" s="30">
        <f t="shared" si="64"/>
        <v>0.04</v>
      </c>
      <c r="AG91" s="30">
        <f t="shared" si="64"/>
        <v>0.04</v>
      </c>
      <c r="AH91" s="30">
        <f t="shared" si="64"/>
        <v>0.04</v>
      </c>
      <c r="AI91" s="30">
        <f t="shared" si="64"/>
        <v>0.04</v>
      </c>
      <c r="AJ91" s="30">
        <f t="shared" si="64"/>
        <v>0.04</v>
      </c>
      <c r="AK91" s="30">
        <f t="shared" si="64"/>
        <v>0.04</v>
      </c>
      <c r="AL91" s="30">
        <f t="shared" si="64"/>
        <v>0.04</v>
      </c>
      <c r="AM91" s="30">
        <f t="shared" si="64"/>
        <v>0.04</v>
      </c>
      <c r="AN91" s="30">
        <f t="shared" si="64"/>
        <v>0.04</v>
      </c>
      <c r="AO91" s="30">
        <f t="shared" si="64"/>
        <v>0.04</v>
      </c>
      <c r="AP91" s="30">
        <f t="shared" si="64"/>
        <v>0.04</v>
      </c>
      <c r="AQ91" s="30">
        <f t="shared" si="64"/>
        <v>0.04</v>
      </c>
      <c r="AR91" s="30"/>
    </row>
    <row r="92" spans="2:44 16384:16384" s="10" customFormat="1">
      <c r="B92" s="47" t="s">
        <v>46</v>
      </c>
      <c r="C92" s="51"/>
      <c r="D92" s="51"/>
      <c r="E92" s="51"/>
      <c r="F92" s="51"/>
      <c r="G92" s="51"/>
      <c r="H92" s="51"/>
      <c r="I92" s="51"/>
      <c r="J92" s="51"/>
      <c r="K92" s="51"/>
      <c r="L92" s="51"/>
      <c r="M92" s="51"/>
      <c r="N92" s="51"/>
      <c r="O92" s="51"/>
      <c r="P92" s="51"/>
      <c r="Q92" s="51"/>
      <c r="R92" s="51"/>
      <c r="S92" s="51"/>
      <c r="T92" s="51"/>
      <c r="V92" s="10">
        <f>'D&amp;A_CapEx'!V11</f>
        <v>303.29643033962265</v>
      </c>
      <c r="W92" s="10">
        <f>'D&amp;A_CapEx'!W11</f>
        <v>315.4282875532075</v>
      </c>
      <c r="X92" s="10">
        <f>'D&amp;A_CapEx'!X11</f>
        <v>260.1070186592604</v>
      </c>
      <c r="Y92" s="10">
        <f>'D&amp;A_CapEx'!Y11</f>
        <v>270.51129940563084</v>
      </c>
      <c r="Z92" s="10">
        <f>'D&amp;A_CapEx'!Z11</f>
        <v>281.33175138185607</v>
      </c>
      <c r="AA92" s="10">
        <f>'D&amp;A_CapEx'!AA11</f>
        <v>292.58502143713031</v>
      </c>
      <c r="AB92" s="10">
        <f>'D&amp;A_CapEx'!AB11</f>
        <v>304.28842229461554</v>
      </c>
      <c r="AC92" s="10">
        <f>'D&amp;A_CapEx'!AC11</f>
        <v>316.45995918640017</v>
      </c>
      <c r="AD92" s="10">
        <f>'D&amp;A_CapEx'!AD11</f>
        <v>329.11835755385619</v>
      </c>
      <c r="AE92" s="10">
        <f>'D&amp;A_CapEx'!AE11</f>
        <v>342.28309185601046</v>
      </c>
      <c r="AF92" s="10">
        <f>'D&amp;A_CapEx'!AF11</f>
        <v>355.97441553025089</v>
      </c>
      <c r="AG92" s="10">
        <f>'D&amp;A_CapEx'!AG11</f>
        <v>370.21339215146094</v>
      </c>
      <c r="AH92" s="10">
        <f>'D&amp;A_CapEx'!AH11</f>
        <v>385.02192783751934</v>
      </c>
      <c r="AI92" s="10">
        <f>'D&amp;A_CapEx'!AI11</f>
        <v>400.42280495102017</v>
      </c>
      <c r="AJ92" s="10">
        <f>'D&amp;A_CapEx'!AJ11</f>
        <v>416.43971714906098</v>
      </c>
      <c r="AK92" s="10">
        <f>'D&amp;A_CapEx'!AK11</f>
        <v>433.09730583502346</v>
      </c>
      <c r="AL92" s="10">
        <f>'D&amp;A_CapEx'!AL11</f>
        <v>450.42119806842447</v>
      </c>
      <c r="AM92" s="10">
        <f>'D&amp;A_CapEx'!AM11</f>
        <v>468.43804599116146</v>
      </c>
      <c r="AN92" s="10">
        <f>'D&amp;A_CapEx'!AN11</f>
        <v>487.17556783080789</v>
      </c>
      <c r="AO92" s="10">
        <f>'D&amp;A_CapEx'!AO11</f>
        <v>506.6625905440402</v>
      </c>
      <c r="AP92" s="10">
        <f>'D&amp;A_CapEx'!AP11</f>
        <v>526.92909416580187</v>
      </c>
      <c r="AQ92" s="10">
        <f>'D&amp;A_CapEx'!AQ11</f>
        <v>548.00625793243398</v>
      </c>
    </row>
    <row r="93" spans="2:44 16384:16384">
      <c r="B93" s="32" t="s">
        <v>124</v>
      </c>
      <c r="C93" s="33"/>
      <c r="D93" s="33"/>
      <c r="E93" s="33"/>
      <c r="F93" s="33"/>
      <c r="G93" s="33"/>
      <c r="H93" s="33"/>
      <c r="I93" s="33"/>
      <c r="J93" s="33"/>
      <c r="K93" s="33"/>
      <c r="L93" s="33"/>
      <c r="M93" s="33"/>
      <c r="N93" s="33"/>
      <c r="O93" s="33"/>
      <c r="P93" s="33"/>
      <c r="Q93" s="33"/>
      <c r="R93" s="33"/>
      <c r="S93" s="33"/>
      <c r="T93" s="33"/>
      <c r="V93" s="22">
        <v>3.0000000000000001E-3</v>
      </c>
      <c r="W93" s="22">
        <v>3.0000000000000001E-3</v>
      </c>
      <c r="X93" s="22">
        <v>3.0000000000000001E-3</v>
      </c>
      <c r="Y93" s="22">
        <v>3.0000000000000001E-3</v>
      </c>
      <c r="Z93" s="22">
        <v>3.0000000000000001E-3</v>
      </c>
      <c r="AA93" s="22">
        <v>3.0000000000000001E-3</v>
      </c>
      <c r="AB93" s="22">
        <v>3.0000000000000001E-3</v>
      </c>
      <c r="AC93" s="22">
        <v>3.0000000000000001E-3</v>
      </c>
      <c r="AD93" s="22">
        <v>3.0000000000000001E-3</v>
      </c>
      <c r="AE93" s="22">
        <v>3.0000000000000001E-3</v>
      </c>
      <c r="AF93" s="22">
        <v>3.0000000000000001E-3</v>
      </c>
      <c r="AG93" s="22">
        <v>3.0000000000000001E-3</v>
      </c>
      <c r="AH93" s="22">
        <v>3.0000000000000001E-3</v>
      </c>
      <c r="AI93" s="22">
        <v>3.0000000000000001E-3</v>
      </c>
      <c r="AJ93" s="22">
        <v>3.0000000000000001E-3</v>
      </c>
      <c r="AK93" s="22">
        <v>3.0000000000000001E-3</v>
      </c>
      <c r="AL93" s="22">
        <v>3.0000000000000001E-3</v>
      </c>
      <c r="AM93" s="22">
        <v>3.0000000000000001E-3</v>
      </c>
      <c r="AN93" s="22">
        <v>3.0000000000000001E-3</v>
      </c>
      <c r="AO93" s="22">
        <v>3.0000000000000001E-3</v>
      </c>
      <c r="AP93" s="22">
        <v>3.0000000000000001E-3</v>
      </c>
      <c r="AQ93" s="22">
        <v>3.0000000000000001E-3</v>
      </c>
    </row>
    <row r="94" spans="2:44 16384:16384">
      <c r="B94" s="3" t="s">
        <v>122</v>
      </c>
      <c r="C94" s="33"/>
      <c r="D94" s="33"/>
      <c r="E94" s="33"/>
      <c r="F94" s="33"/>
      <c r="G94" s="33"/>
      <c r="H94" s="33"/>
      <c r="I94" s="33"/>
      <c r="J94" s="33"/>
      <c r="K94" s="33"/>
      <c r="L94" s="33"/>
      <c r="M94" s="33"/>
      <c r="N94" s="33"/>
      <c r="O94" s="33"/>
      <c r="P94" s="33"/>
      <c r="Q94" s="33"/>
      <c r="R94" s="33"/>
      <c r="S94" s="33"/>
      <c r="T94" s="33"/>
      <c r="V94" s="22">
        <v>8.0000000000000002E-3</v>
      </c>
      <c r="W94" s="22">
        <v>8.0000000000000002E-3</v>
      </c>
      <c r="X94" s="22">
        <v>8.0000000000000002E-3</v>
      </c>
      <c r="Y94" s="22">
        <v>8.0000000000000002E-3</v>
      </c>
      <c r="Z94" s="22">
        <v>8.0000000000000002E-3</v>
      </c>
      <c r="AA94" s="22">
        <v>8.0000000000000002E-3</v>
      </c>
      <c r="AB94" s="22">
        <v>8.0000000000000002E-3</v>
      </c>
      <c r="AC94" s="22">
        <v>8.0000000000000002E-3</v>
      </c>
      <c r="AD94" s="22">
        <v>8.0000000000000002E-3</v>
      </c>
      <c r="AE94" s="22">
        <v>8.0000000000000002E-3</v>
      </c>
      <c r="AF94" s="22">
        <v>8.0000000000000002E-3</v>
      </c>
      <c r="AG94" s="22">
        <v>8.0000000000000002E-3</v>
      </c>
      <c r="AH94" s="22">
        <v>8.0000000000000002E-3</v>
      </c>
      <c r="AI94" s="22">
        <v>8.0000000000000002E-3</v>
      </c>
      <c r="AJ94" s="22">
        <v>8.0000000000000002E-3</v>
      </c>
      <c r="AK94" s="22">
        <v>8.0000000000000002E-3</v>
      </c>
      <c r="AL94" s="22">
        <v>8.0000000000000002E-3</v>
      </c>
      <c r="AM94" s="22">
        <v>8.0000000000000002E-3</v>
      </c>
      <c r="AN94" s="22">
        <v>8.0000000000000002E-3</v>
      </c>
      <c r="AO94" s="22">
        <v>8.0000000000000002E-3</v>
      </c>
      <c r="AP94" s="22">
        <v>8.0000000000000002E-3</v>
      </c>
      <c r="AQ94" s="22">
        <v>8.0000000000000002E-3</v>
      </c>
      <c r="XFD94" s="22"/>
    </row>
    <row r="95" spans="2:44 16384:16384">
      <c r="B95" s="3" t="s">
        <v>191</v>
      </c>
      <c r="C95" s="33"/>
      <c r="D95" s="33"/>
      <c r="E95" s="33"/>
      <c r="F95" s="33"/>
      <c r="G95" s="33"/>
      <c r="H95" s="33"/>
      <c r="I95" s="33"/>
      <c r="J95" s="33"/>
      <c r="K95" s="33"/>
      <c r="L95" s="33"/>
      <c r="M95" s="33"/>
      <c r="N95" s="33"/>
      <c r="O95" s="33"/>
      <c r="P95" s="33"/>
      <c r="Q95" s="33"/>
      <c r="R95" s="33"/>
      <c r="S95" s="33"/>
      <c r="T95" s="33"/>
      <c r="V95" s="30">
        <v>0.2</v>
      </c>
      <c r="W95" s="30">
        <v>0.2</v>
      </c>
      <c r="X95" s="30">
        <v>0.2</v>
      </c>
      <c r="Y95" s="30">
        <v>0.2</v>
      </c>
      <c r="Z95" s="30">
        <v>0.2</v>
      </c>
      <c r="AA95" s="30">
        <v>0.2</v>
      </c>
      <c r="AB95" s="30">
        <v>0.2</v>
      </c>
      <c r="AC95" s="30">
        <v>0.2</v>
      </c>
      <c r="AD95" s="30">
        <v>0.2</v>
      </c>
      <c r="AE95" s="30">
        <v>0.2</v>
      </c>
      <c r="AF95" s="30">
        <v>0.2</v>
      </c>
      <c r="AG95" s="30">
        <v>0.2</v>
      </c>
      <c r="AH95" s="30">
        <v>0.2</v>
      </c>
      <c r="AI95" s="30">
        <v>0.2</v>
      </c>
      <c r="AJ95" s="30">
        <v>0.2</v>
      </c>
      <c r="AK95" s="30">
        <v>0.2</v>
      </c>
      <c r="AL95" s="30">
        <v>0.2</v>
      </c>
      <c r="AM95" s="30">
        <v>0.2</v>
      </c>
      <c r="AN95" s="30">
        <v>0.2</v>
      </c>
      <c r="AO95" s="30">
        <v>0.2</v>
      </c>
      <c r="AP95" s="30">
        <v>0.2</v>
      </c>
      <c r="AQ95" s="30">
        <v>0.2</v>
      </c>
    </row>
    <row r="96" spans="2:44 16384:16384">
      <c r="B96" s="32" t="s">
        <v>192</v>
      </c>
      <c r="C96" s="33"/>
      <c r="D96" s="33"/>
      <c r="E96" s="33"/>
      <c r="F96" s="33"/>
      <c r="G96" s="33"/>
      <c r="H96" s="33"/>
      <c r="I96" s="33"/>
      <c r="J96" s="33"/>
      <c r="K96" s="33"/>
      <c r="L96" s="33"/>
      <c r="M96" s="33"/>
      <c r="N96" s="33"/>
      <c r="O96" s="33"/>
      <c r="P96" s="33"/>
      <c r="Q96" s="33"/>
      <c r="R96" s="33"/>
      <c r="S96" s="33"/>
      <c r="T96" s="33"/>
      <c r="V96">
        <v>142</v>
      </c>
      <c r="W96">
        <v>142</v>
      </c>
      <c r="X96">
        <v>142</v>
      </c>
      <c r="Y96">
        <v>142</v>
      </c>
      <c r="Z96">
        <v>142</v>
      </c>
      <c r="AA96">
        <v>142</v>
      </c>
      <c r="AB96">
        <v>142</v>
      </c>
      <c r="AC96">
        <v>142</v>
      </c>
      <c r="AD96">
        <v>142</v>
      </c>
      <c r="AE96">
        <v>142</v>
      </c>
      <c r="AF96">
        <v>142</v>
      </c>
      <c r="AG96">
        <v>142</v>
      </c>
      <c r="AH96">
        <v>142</v>
      </c>
      <c r="AI96">
        <v>142</v>
      </c>
      <c r="AJ96">
        <v>142</v>
      </c>
      <c r="AK96">
        <v>142</v>
      </c>
      <c r="AL96">
        <v>142</v>
      </c>
      <c r="AM96">
        <v>142</v>
      </c>
      <c r="AN96">
        <v>142</v>
      </c>
      <c r="AO96">
        <v>142</v>
      </c>
      <c r="AP96">
        <v>142</v>
      </c>
      <c r="AQ96">
        <v>142</v>
      </c>
    </row>
  </sheetData>
  <dataValidations count="1">
    <dataValidation type="list" allowBlank="1" showInputMessage="1" showErrorMessage="1" sqref="C50 C5" xr:uid="{7A6CDA17-C84A-DB4A-B7D5-B3CC8E0ED4D7}">
      <formula1>"1, 2, 3"</formula1>
    </dataValidation>
  </dataValidation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ED70-813A-904D-B0A1-49B2A515D3FC}">
  <dimension ref="B1:T67"/>
  <sheetViews>
    <sheetView zoomScale="115" workbookViewId="0">
      <pane xSplit="2" ySplit="7" topLeftCell="C8" activePane="bottomRight" state="frozen"/>
      <selection pane="topRight" activeCell="C1" sqref="C1"/>
      <selection pane="bottomLeft" activeCell="A8" sqref="A8"/>
      <selection pane="bottomRight" activeCell="T33" sqref="T33"/>
    </sheetView>
  </sheetViews>
  <sheetFormatPr baseColWidth="10" defaultRowHeight="16"/>
  <cols>
    <col min="1" max="1" width="2.1640625" style="10" customWidth="1"/>
    <col min="2" max="2" width="35.33203125" style="10" bestFit="1" customWidth="1"/>
    <col min="3" max="3" width="11.5" style="10" customWidth="1"/>
    <col min="4" max="14" width="11" style="10" bestFit="1" customWidth="1"/>
    <col min="15" max="15" width="11.83203125" style="10" bestFit="1" customWidth="1"/>
    <col min="16" max="18" width="11" style="10" bestFit="1" customWidth="1"/>
    <col min="19" max="20" width="11.83203125" style="10" bestFit="1" customWidth="1"/>
    <col min="21" max="16384" width="10.83203125" style="10"/>
  </cols>
  <sheetData>
    <row r="1" spans="2:20">
      <c r="B1" s="10" t="s">
        <v>118</v>
      </c>
    </row>
    <row r="2" spans="2:20">
      <c r="B2" s="10" t="e" vm="1">
        <v>#VALUE!</v>
      </c>
    </row>
    <row r="7" spans="2:20">
      <c r="C7" s="10" t="s">
        <v>0</v>
      </c>
      <c r="D7" s="10" t="s">
        <v>1</v>
      </c>
      <c r="E7" s="10" t="s">
        <v>2</v>
      </c>
      <c r="F7" s="10" t="s">
        <v>3</v>
      </c>
      <c r="G7" s="10" t="s">
        <v>4</v>
      </c>
      <c r="H7" s="10" t="s">
        <v>5</v>
      </c>
      <c r="I7" s="10" t="s">
        <v>6</v>
      </c>
      <c r="J7" s="10" t="s">
        <v>7</v>
      </c>
      <c r="K7" s="10" t="s">
        <v>8</v>
      </c>
      <c r="L7" s="10" t="s">
        <v>9</v>
      </c>
      <c r="M7" s="11" t="s">
        <v>10</v>
      </c>
      <c r="N7" s="11" t="s">
        <v>11</v>
      </c>
      <c r="O7" s="10" t="s">
        <v>12</v>
      </c>
      <c r="P7" s="10" t="s">
        <v>13</v>
      </c>
      <c r="Q7" s="10" t="s">
        <v>14</v>
      </c>
      <c r="R7" s="10" t="s">
        <v>15</v>
      </c>
      <c r="S7" s="10" t="s">
        <v>16</v>
      </c>
      <c r="T7" s="10" t="s">
        <v>17</v>
      </c>
    </row>
    <row r="8" spans="2:20">
      <c r="B8" s="10" t="s">
        <v>72</v>
      </c>
    </row>
    <row r="9" spans="2:20">
      <c r="B9" s="10" t="s">
        <v>73</v>
      </c>
      <c r="C9" s="10">
        <v>287</v>
      </c>
      <c r="D9" s="10">
        <v>221</v>
      </c>
      <c r="E9" s="10">
        <v>267</v>
      </c>
      <c r="F9" s="10">
        <v>389</v>
      </c>
      <c r="G9" s="10">
        <v>464</v>
      </c>
      <c r="H9" s="10">
        <v>238</v>
      </c>
      <c r="I9" s="10">
        <v>291</v>
      </c>
      <c r="J9" s="10">
        <v>389</v>
      </c>
      <c r="K9" s="10">
        <v>193</v>
      </c>
      <c r="L9" s="10">
        <v>277</v>
      </c>
      <c r="M9" s="10">
        <v>291</v>
      </c>
      <c r="N9" s="10">
        <v>352</v>
      </c>
      <c r="O9" s="10">
        <v>226</v>
      </c>
      <c r="P9" s="10">
        <v>464</v>
      </c>
      <c r="Q9" s="10">
        <v>1033</v>
      </c>
      <c r="R9" s="10">
        <v>902</v>
      </c>
      <c r="S9" s="10">
        <v>386</v>
      </c>
      <c r="T9" s="10">
        <v>818</v>
      </c>
    </row>
    <row r="10" spans="2:20">
      <c r="B10" s="10" t="s">
        <v>75</v>
      </c>
      <c r="C10" s="10">
        <v>1686</v>
      </c>
      <c r="D10" s="10">
        <v>1814</v>
      </c>
      <c r="E10" s="10">
        <v>1713</v>
      </c>
      <c r="F10" s="10">
        <v>1637</v>
      </c>
      <c r="G10" s="10">
        <v>1717</v>
      </c>
      <c r="H10" s="10">
        <v>1711</v>
      </c>
      <c r="I10" s="10">
        <v>1834</v>
      </c>
      <c r="J10" s="10">
        <v>1637</v>
      </c>
      <c r="K10" s="10">
        <v>1616</v>
      </c>
      <c r="L10" s="10">
        <v>1526</v>
      </c>
      <c r="M10" s="10">
        <v>1623</v>
      </c>
      <c r="N10" s="10">
        <v>1717</v>
      </c>
      <c r="O10" s="10">
        <v>2253</v>
      </c>
      <c r="P10" s="10">
        <v>2526</v>
      </c>
      <c r="Q10" s="10">
        <v>2431</v>
      </c>
      <c r="R10" s="10">
        <v>2112</v>
      </c>
      <c r="S10" s="10">
        <v>2564</v>
      </c>
      <c r="T10" s="10">
        <v>2427</v>
      </c>
    </row>
    <row r="11" spans="2:20">
      <c r="B11" s="10" t="s">
        <v>76</v>
      </c>
      <c r="C11" s="10">
        <v>6952</v>
      </c>
      <c r="D11" s="10">
        <v>7062</v>
      </c>
      <c r="E11" s="10">
        <v>7183</v>
      </c>
      <c r="F11" s="10">
        <v>5871</v>
      </c>
      <c r="G11" s="10">
        <v>5938</v>
      </c>
      <c r="H11" s="10">
        <v>5875</v>
      </c>
      <c r="I11" s="10">
        <v>5466</v>
      </c>
      <c r="J11" s="10">
        <v>5871</v>
      </c>
      <c r="K11" s="10">
        <v>5451</v>
      </c>
      <c r="L11" s="10">
        <v>6007</v>
      </c>
      <c r="M11" s="10">
        <v>6463</v>
      </c>
      <c r="N11" s="10">
        <v>7172</v>
      </c>
      <c r="O11" s="10">
        <v>8616</v>
      </c>
      <c r="P11" s="10">
        <v>8460</v>
      </c>
      <c r="Q11" s="10">
        <v>8014</v>
      </c>
      <c r="R11" s="10">
        <v>8431</v>
      </c>
      <c r="S11" s="10">
        <v>10988</v>
      </c>
      <c r="T11" s="10">
        <v>10481</v>
      </c>
    </row>
    <row r="12" spans="2:20">
      <c r="B12" s="10" t="s">
        <v>74</v>
      </c>
      <c r="C12" s="10">
        <v>0</v>
      </c>
      <c r="D12" s="10">
        <v>0</v>
      </c>
      <c r="E12" s="10">
        <v>0</v>
      </c>
      <c r="F12" s="10">
        <v>0</v>
      </c>
      <c r="G12" s="10">
        <v>0</v>
      </c>
      <c r="H12" s="10">
        <v>0</v>
      </c>
      <c r="I12" s="10">
        <v>76</v>
      </c>
      <c r="J12" s="10">
        <v>0</v>
      </c>
      <c r="K12" s="10">
        <v>51</v>
      </c>
      <c r="L12" s="10">
        <v>296</v>
      </c>
      <c r="M12" s="10">
        <v>395</v>
      </c>
      <c r="N12" s="10">
        <v>672</v>
      </c>
      <c r="O12" s="10">
        <v>425</v>
      </c>
      <c r="P12" s="10">
        <v>424</v>
      </c>
      <c r="Q12" s="10">
        <v>0</v>
      </c>
      <c r="R12" s="10">
        <v>264</v>
      </c>
      <c r="S12" s="10">
        <v>285</v>
      </c>
      <c r="T12" s="10">
        <v>317</v>
      </c>
    </row>
    <row r="13" spans="2:20">
      <c r="B13" s="10" t="s">
        <v>77</v>
      </c>
      <c r="C13" s="10">
        <v>4451</v>
      </c>
      <c r="D13" s="10">
        <v>4421</v>
      </c>
      <c r="E13" s="10">
        <v>3948</v>
      </c>
      <c r="F13" s="10">
        <v>3171</v>
      </c>
      <c r="G13" s="10">
        <v>3120</v>
      </c>
      <c r="H13" s="10">
        <v>3283</v>
      </c>
      <c r="I13" s="10">
        <v>3159</v>
      </c>
      <c r="J13" s="10">
        <v>3171</v>
      </c>
      <c r="K13" s="10">
        <v>3789</v>
      </c>
      <c r="L13" s="10">
        <v>3362</v>
      </c>
      <c r="M13" s="10">
        <v>4729</v>
      </c>
      <c r="N13" s="10">
        <v>6268</v>
      </c>
      <c r="O13" s="10">
        <v>5765</v>
      </c>
      <c r="P13" s="10">
        <v>5681</v>
      </c>
      <c r="Q13" s="10">
        <v>5056</v>
      </c>
      <c r="R13" s="10">
        <v>4751</v>
      </c>
      <c r="S13" s="10">
        <v>6667</v>
      </c>
      <c r="T13" s="10">
        <v>5689</v>
      </c>
    </row>
    <row r="14" spans="2:20" ht="17" thickBot="1">
      <c r="B14" s="2" t="s">
        <v>78</v>
      </c>
      <c r="C14" s="10">
        <f t="shared" ref="C14:T14" si="0">SUM(C9:C13)</f>
        <v>13376</v>
      </c>
      <c r="D14" s="10">
        <f t="shared" si="0"/>
        <v>13518</v>
      </c>
      <c r="E14" s="10">
        <f t="shared" si="0"/>
        <v>13111</v>
      </c>
      <c r="F14" s="10">
        <f t="shared" si="0"/>
        <v>11068</v>
      </c>
      <c r="G14" s="10">
        <f t="shared" si="0"/>
        <v>11239</v>
      </c>
      <c r="H14" s="10">
        <f t="shared" si="0"/>
        <v>11107</v>
      </c>
      <c r="I14" s="10">
        <f t="shared" si="0"/>
        <v>10826</v>
      </c>
      <c r="J14" s="10">
        <f t="shared" si="0"/>
        <v>11068</v>
      </c>
      <c r="K14" s="10">
        <f t="shared" si="0"/>
        <v>11100</v>
      </c>
      <c r="L14" s="10">
        <f t="shared" si="0"/>
        <v>11468</v>
      </c>
      <c r="M14" s="10">
        <f t="shared" si="0"/>
        <v>13501</v>
      </c>
      <c r="N14" s="10">
        <f t="shared" si="0"/>
        <v>16181</v>
      </c>
      <c r="O14" s="10">
        <f t="shared" si="0"/>
        <v>17285</v>
      </c>
      <c r="P14" s="10">
        <f t="shared" si="0"/>
        <v>17555</v>
      </c>
      <c r="Q14" s="10">
        <f t="shared" si="0"/>
        <v>16534</v>
      </c>
      <c r="R14" s="10">
        <f t="shared" si="0"/>
        <v>16460</v>
      </c>
      <c r="S14" s="10">
        <f t="shared" si="0"/>
        <v>20890</v>
      </c>
      <c r="T14" s="10">
        <f t="shared" si="0"/>
        <v>19732</v>
      </c>
    </row>
    <row r="15" spans="2:20">
      <c r="B15" s="10" t="s">
        <v>79</v>
      </c>
      <c r="C15" s="10">
        <v>5735</v>
      </c>
      <c r="D15" s="10">
        <v>5274</v>
      </c>
      <c r="E15" s="10">
        <v>5164</v>
      </c>
      <c r="F15" s="10">
        <v>5201</v>
      </c>
      <c r="G15" s="10">
        <v>5197</v>
      </c>
      <c r="H15" s="10">
        <v>5238</v>
      </c>
      <c r="I15" s="10">
        <v>4126</v>
      </c>
      <c r="J15" s="10">
        <v>5201</v>
      </c>
      <c r="K15" s="10">
        <v>3830</v>
      </c>
      <c r="L15" s="10">
        <v>3714</v>
      </c>
      <c r="M15" s="10">
        <v>3720</v>
      </c>
      <c r="N15" s="10">
        <v>3775</v>
      </c>
      <c r="O15" s="10">
        <v>3645</v>
      </c>
      <c r="P15" s="10">
        <v>3719</v>
      </c>
      <c r="Q15" s="10">
        <v>3658</v>
      </c>
      <c r="R15" s="10">
        <v>3499</v>
      </c>
      <c r="S15" s="10">
        <v>3561</v>
      </c>
      <c r="T15" s="10">
        <v>3463</v>
      </c>
    </row>
    <row r="16" spans="2:20">
      <c r="B16" s="10" t="s">
        <v>126</v>
      </c>
      <c r="C16" s="10">
        <v>800</v>
      </c>
      <c r="D16" s="10">
        <v>0</v>
      </c>
      <c r="E16" s="10">
        <v>723</v>
      </c>
      <c r="F16" s="10">
        <v>0</v>
      </c>
      <c r="G16" s="10">
        <v>1010</v>
      </c>
      <c r="H16" s="10">
        <v>1027</v>
      </c>
      <c r="I16" s="10">
        <v>746</v>
      </c>
      <c r="J16" s="10">
        <v>0</v>
      </c>
      <c r="K16" s="10">
        <v>756</v>
      </c>
      <c r="L16" s="10">
        <v>776</v>
      </c>
      <c r="M16" s="10">
        <v>871</v>
      </c>
      <c r="N16" s="10">
        <v>868</v>
      </c>
      <c r="O16" s="10">
        <v>852</v>
      </c>
      <c r="P16" s="10">
        <v>858</v>
      </c>
      <c r="Q16" s="10">
        <v>910</v>
      </c>
      <c r="R16" s="10">
        <v>912</v>
      </c>
      <c r="S16" s="10">
        <v>994</v>
      </c>
      <c r="T16" s="10">
        <v>1038</v>
      </c>
    </row>
    <row r="17" spans="2:20">
      <c r="B17" s="10" t="s">
        <v>80</v>
      </c>
      <c r="C17" s="10">
        <v>801</v>
      </c>
      <c r="D17" s="10">
        <v>728</v>
      </c>
      <c r="E17" s="10">
        <v>711</v>
      </c>
      <c r="F17" s="10">
        <v>727</v>
      </c>
      <c r="G17" s="10">
        <v>723</v>
      </c>
      <c r="H17" s="10">
        <v>729</v>
      </c>
      <c r="I17" s="10">
        <v>701</v>
      </c>
      <c r="J17" s="10">
        <v>727</v>
      </c>
      <c r="K17" s="10">
        <v>553</v>
      </c>
      <c r="L17" s="10">
        <v>550</v>
      </c>
      <c r="M17" s="10">
        <v>559</v>
      </c>
      <c r="N17" s="10">
        <v>586</v>
      </c>
      <c r="O17" s="10">
        <v>556</v>
      </c>
      <c r="P17" s="10">
        <v>579</v>
      </c>
      <c r="Q17" s="10">
        <v>562</v>
      </c>
      <c r="R17" s="10">
        <v>484</v>
      </c>
      <c r="S17" s="10">
        <v>497</v>
      </c>
      <c r="T17" s="10">
        <v>468</v>
      </c>
    </row>
    <row r="18" spans="2:20">
      <c r="B18" s="10" t="s">
        <v>81</v>
      </c>
      <c r="C18" s="10">
        <v>462</v>
      </c>
      <c r="D18" s="10">
        <v>738</v>
      </c>
      <c r="E18" s="10">
        <v>454</v>
      </c>
      <c r="F18" s="10">
        <v>697</v>
      </c>
      <c r="G18" s="10">
        <v>657</v>
      </c>
      <c r="H18" s="10">
        <v>643</v>
      </c>
      <c r="I18" s="10">
        <v>606</v>
      </c>
      <c r="J18" s="10">
        <v>697</v>
      </c>
      <c r="K18" s="10">
        <v>533</v>
      </c>
      <c r="L18" s="10">
        <v>524</v>
      </c>
      <c r="M18" s="10">
        <v>524</v>
      </c>
      <c r="N18" s="10">
        <v>529</v>
      </c>
      <c r="O18" s="10">
        <v>496</v>
      </c>
      <c r="P18" s="10">
        <v>502</v>
      </c>
      <c r="Q18" s="10">
        <v>482</v>
      </c>
      <c r="R18" s="10">
        <v>431</v>
      </c>
      <c r="S18" s="10">
        <v>416</v>
      </c>
      <c r="T18" s="10">
        <v>383</v>
      </c>
    </row>
    <row r="19" spans="2:20">
      <c r="B19" s="10" t="s">
        <v>127</v>
      </c>
      <c r="C19" s="10">
        <v>513</v>
      </c>
      <c r="D19" s="10">
        <v>448</v>
      </c>
      <c r="E19" s="10">
        <v>434</v>
      </c>
      <c r="F19" s="10">
        <v>451</v>
      </c>
      <c r="G19" s="10">
        <v>463</v>
      </c>
      <c r="H19" s="10">
        <v>474</v>
      </c>
      <c r="I19" s="10">
        <v>472</v>
      </c>
      <c r="J19" s="10">
        <v>451</v>
      </c>
      <c r="K19" s="10">
        <v>686</v>
      </c>
      <c r="L19" s="10">
        <v>565</v>
      </c>
      <c r="M19" s="10">
        <v>583</v>
      </c>
      <c r="N19" s="10">
        <v>631</v>
      </c>
      <c r="O19" s="10">
        <v>645</v>
      </c>
      <c r="P19" s="10">
        <v>714</v>
      </c>
      <c r="Q19" s="10">
        <v>755</v>
      </c>
      <c r="R19" s="10">
        <v>764</v>
      </c>
      <c r="S19" s="10">
        <v>898</v>
      </c>
      <c r="T19" s="10">
        <v>986</v>
      </c>
    </row>
    <row r="20" spans="2:20">
      <c r="B20" s="10" t="s">
        <v>105</v>
      </c>
      <c r="C20" s="10">
        <v>318</v>
      </c>
      <c r="D20" s="10">
        <v>510</v>
      </c>
      <c r="E20" s="10">
        <v>0</v>
      </c>
      <c r="F20" s="10">
        <v>458</v>
      </c>
      <c r="G20" s="10">
        <v>425</v>
      </c>
      <c r="H20" s="10">
        <v>456</v>
      </c>
      <c r="I20" s="10">
        <v>445</v>
      </c>
      <c r="J20" s="10">
        <v>458</v>
      </c>
      <c r="K20" s="10">
        <v>416</v>
      </c>
      <c r="L20" s="10">
        <v>295</v>
      </c>
      <c r="M20" s="10">
        <v>311</v>
      </c>
      <c r="N20" s="10">
        <v>339</v>
      </c>
      <c r="O20" s="10">
        <v>319</v>
      </c>
      <c r="P20" s="10">
        <v>473</v>
      </c>
      <c r="Q20" s="10">
        <v>552</v>
      </c>
      <c r="R20" s="10">
        <v>550</v>
      </c>
      <c r="S20" s="10">
        <v>689</v>
      </c>
      <c r="T20" s="10">
        <v>622</v>
      </c>
    </row>
    <row r="21" spans="2:20" ht="17" thickBot="1">
      <c r="B21" s="2" t="s">
        <v>82</v>
      </c>
      <c r="C21" s="10">
        <v>1079</v>
      </c>
      <c r="D21" s="10">
        <v>908</v>
      </c>
      <c r="E21" s="10">
        <v>849</v>
      </c>
      <c r="F21" s="10">
        <v>823</v>
      </c>
      <c r="G21" s="10">
        <v>821</v>
      </c>
      <c r="H21" s="10">
        <v>750</v>
      </c>
      <c r="I21" s="10">
        <v>712</v>
      </c>
      <c r="J21" s="10">
        <v>823</v>
      </c>
      <c r="K21" s="10">
        <v>722</v>
      </c>
      <c r="L21" s="10">
        <v>667</v>
      </c>
      <c r="M21" s="10">
        <v>692</v>
      </c>
      <c r="N21" s="10">
        <v>746</v>
      </c>
      <c r="O21" s="10">
        <v>735</v>
      </c>
      <c r="P21" s="10">
        <v>685</v>
      </c>
      <c r="Q21" s="10">
        <v>656</v>
      </c>
      <c r="R21" s="10">
        <v>719</v>
      </c>
      <c r="S21" s="10">
        <v>779</v>
      </c>
      <c r="T21" s="10">
        <v>727</v>
      </c>
    </row>
    <row r="22" spans="2:20" ht="17" thickBot="1">
      <c r="B22" s="18" t="s">
        <v>83</v>
      </c>
      <c r="C22" s="10">
        <f>SUM(C14:C21)</f>
        <v>23084</v>
      </c>
      <c r="D22" s="10">
        <f>SUM(D14:D21)</f>
        <v>22124</v>
      </c>
      <c r="E22" s="10">
        <f>SUM(E14:E21)</f>
        <v>21446</v>
      </c>
      <c r="F22" s="10">
        <f t="shared" ref="F22:S22" si="1">SUM(F14:F21)</f>
        <v>19425</v>
      </c>
      <c r="G22" s="10">
        <f t="shared" si="1"/>
        <v>20535</v>
      </c>
      <c r="H22" s="10">
        <f t="shared" si="1"/>
        <v>20424</v>
      </c>
      <c r="I22" s="10">
        <f t="shared" si="1"/>
        <v>18634</v>
      </c>
      <c r="J22" s="10">
        <f t="shared" si="1"/>
        <v>19425</v>
      </c>
      <c r="K22" s="10">
        <f t="shared" si="1"/>
        <v>18596</v>
      </c>
      <c r="L22" s="10">
        <f t="shared" si="1"/>
        <v>18559</v>
      </c>
      <c r="M22" s="10">
        <f t="shared" si="1"/>
        <v>20761</v>
      </c>
      <c r="N22" s="10">
        <f t="shared" si="1"/>
        <v>23655</v>
      </c>
      <c r="O22" s="10">
        <f t="shared" si="1"/>
        <v>24533</v>
      </c>
      <c r="P22" s="10">
        <f t="shared" si="1"/>
        <v>25085</v>
      </c>
      <c r="Q22" s="10">
        <f t="shared" si="1"/>
        <v>24109</v>
      </c>
      <c r="R22" s="10">
        <f t="shared" si="1"/>
        <v>23819</v>
      </c>
      <c r="S22" s="10">
        <f t="shared" si="1"/>
        <v>28724</v>
      </c>
      <c r="T22" s="10">
        <f>SUM(T14:T21)</f>
        <v>27419</v>
      </c>
    </row>
    <row r="23" spans="2:20" ht="9" customHeight="1"/>
    <row r="24" spans="2:20">
      <c r="B24" s="10" t="s">
        <v>84</v>
      </c>
    </row>
    <row r="25" spans="2:20">
      <c r="B25" s="10" t="s">
        <v>85</v>
      </c>
    </row>
    <row r="26" spans="2:20">
      <c r="B26" s="10" t="s">
        <v>128</v>
      </c>
      <c r="C26" s="10">
        <v>1293</v>
      </c>
      <c r="D26" s="10">
        <v>2363</v>
      </c>
      <c r="E26" s="10">
        <v>2057</v>
      </c>
      <c r="F26" s="10">
        <v>750</v>
      </c>
      <c r="G26" s="10">
        <v>1733</v>
      </c>
      <c r="H26" s="10">
        <v>1885</v>
      </c>
      <c r="I26" s="10">
        <v>1825</v>
      </c>
      <c r="J26" s="10">
        <v>750</v>
      </c>
      <c r="K26" s="10">
        <v>736</v>
      </c>
      <c r="L26" s="10">
        <v>1535</v>
      </c>
      <c r="M26" s="10">
        <v>1610</v>
      </c>
      <c r="N26" s="10">
        <v>2828</v>
      </c>
      <c r="O26" s="10">
        <v>2706</v>
      </c>
      <c r="P26" s="10">
        <v>1826</v>
      </c>
      <c r="Q26" s="10">
        <v>1151</v>
      </c>
      <c r="R26" s="10">
        <v>673</v>
      </c>
      <c r="S26" s="10">
        <v>1937</v>
      </c>
      <c r="T26" s="10">
        <v>2154</v>
      </c>
    </row>
    <row r="27" spans="2:20">
      <c r="B27" s="10" t="s">
        <v>86</v>
      </c>
      <c r="C27" s="10">
        <f>14+318</f>
        <v>332</v>
      </c>
      <c r="D27" s="10">
        <v>625</v>
      </c>
      <c r="E27" s="10">
        <v>331</v>
      </c>
      <c r="F27" s="10">
        <v>419</v>
      </c>
      <c r="G27" s="10">
        <v>414</v>
      </c>
      <c r="H27" s="10">
        <v>424</v>
      </c>
      <c r="I27" s="10">
        <v>65</v>
      </c>
      <c r="J27" s="10">
        <v>419</v>
      </c>
      <c r="K27" s="10">
        <v>509</v>
      </c>
      <c r="L27" s="10">
        <v>522</v>
      </c>
      <c r="M27" s="10">
        <v>509</v>
      </c>
      <c r="N27" s="10">
        <v>8</v>
      </c>
      <c r="O27" s="10">
        <v>9</v>
      </c>
      <c r="P27" s="10">
        <v>33</v>
      </c>
      <c r="Q27" s="10">
        <v>510</v>
      </c>
      <c r="R27" s="10">
        <v>504</v>
      </c>
      <c r="S27" s="10">
        <v>503</v>
      </c>
      <c r="T27" s="10">
        <v>1303</v>
      </c>
    </row>
    <row r="28" spans="2:20">
      <c r="B28" s="10" t="s">
        <v>87</v>
      </c>
      <c r="C28" s="10">
        <v>3909</v>
      </c>
      <c r="D28" s="10">
        <v>3138</v>
      </c>
      <c r="E28" s="10">
        <v>3274</v>
      </c>
      <c r="F28" s="10">
        <v>3501</v>
      </c>
      <c r="G28" s="10">
        <v>3841</v>
      </c>
      <c r="H28" s="10">
        <v>3053</v>
      </c>
      <c r="I28" s="10">
        <v>3046</v>
      </c>
      <c r="J28" s="10">
        <v>3501</v>
      </c>
      <c r="K28" s="10">
        <v>3368</v>
      </c>
      <c r="L28" s="10">
        <v>2602</v>
      </c>
      <c r="M28" s="10">
        <v>2708</v>
      </c>
      <c r="N28" s="10">
        <v>2636</v>
      </c>
      <c r="O28" s="10">
        <v>3842</v>
      </c>
      <c r="P28" s="10">
        <v>3634</v>
      </c>
      <c r="Q28" s="10">
        <v>3944</v>
      </c>
      <c r="R28" s="10">
        <v>4250</v>
      </c>
      <c r="S28" s="10">
        <v>5836</v>
      </c>
      <c r="T28" s="10">
        <v>5347</v>
      </c>
    </row>
    <row r="29" spans="2:20">
      <c r="B29" s="10" t="s">
        <v>129</v>
      </c>
      <c r="C29" s="10" t="s">
        <v>170</v>
      </c>
      <c r="D29" s="10">
        <v>0</v>
      </c>
      <c r="E29" s="10">
        <v>0</v>
      </c>
      <c r="F29" s="10">
        <v>0</v>
      </c>
      <c r="G29" s="10">
        <v>225</v>
      </c>
      <c r="H29" s="10">
        <v>231</v>
      </c>
      <c r="I29" s="10">
        <v>191</v>
      </c>
      <c r="J29" s="10">
        <v>0</v>
      </c>
      <c r="K29" s="10">
        <v>217</v>
      </c>
      <c r="L29" s="10">
        <v>220</v>
      </c>
      <c r="M29" s="10">
        <v>233</v>
      </c>
      <c r="N29" s="10">
        <v>235</v>
      </c>
      <c r="O29" s="10">
        <v>241</v>
      </c>
      <c r="P29" s="10">
        <v>265</v>
      </c>
      <c r="Q29" s="10">
        <v>332</v>
      </c>
      <c r="R29" s="10">
        <v>350</v>
      </c>
      <c r="S29" s="10">
        <v>377</v>
      </c>
      <c r="T29" s="10">
        <v>396</v>
      </c>
    </row>
    <row r="30" spans="2:20">
      <c r="B30" s="10" t="s">
        <v>130</v>
      </c>
      <c r="C30" s="10">
        <v>0</v>
      </c>
      <c r="D30" s="10">
        <v>0</v>
      </c>
      <c r="E30" s="10">
        <v>0</v>
      </c>
      <c r="F30" s="10">
        <v>0</v>
      </c>
      <c r="G30" s="10">
        <v>0</v>
      </c>
      <c r="H30" s="10">
        <v>0</v>
      </c>
      <c r="I30" s="10">
        <v>460</v>
      </c>
      <c r="J30" s="10">
        <v>0</v>
      </c>
      <c r="K30" s="10">
        <v>3</v>
      </c>
      <c r="L30" s="10">
        <v>150</v>
      </c>
      <c r="M30" s="10">
        <v>283</v>
      </c>
      <c r="N30" s="10">
        <v>438</v>
      </c>
      <c r="O30" s="10">
        <v>84</v>
      </c>
      <c r="P30" s="10">
        <v>55</v>
      </c>
      <c r="Q30" s="10">
        <v>0</v>
      </c>
      <c r="R30" s="10">
        <v>122</v>
      </c>
      <c r="S30" s="10">
        <v>113</v>
      </c>
      <c r="T30" s="10">
        <v>61</v>
      </c>
    </row>
    <row r="31" spans="2:20">
      <c r="B31" s="10" t="s">
        <v>88</v>
      </c>
      <c r="C31" s="10">
        <v>3016</v>
      </c>
      <c r="D31" s="10">
        <v>2917</v>
      </c>
      <c r="E31" s="10">
        <v>2639</v>
      </c>
      <c r="F31" s="10">
        <v>2502</v>
      </c>
      <c r="G31" s="10">
        <v>1840</v>
      </c>
      <c r="H31" s="10">
        <v>1864</v>
      </c>
      <c r="I31" s="10">
        <v>1782</v>
      </c>
      <c r="J31" s="10">
        <v>2502</v>
      </c>
      <c r="K31" s="10">
        <v>3189</v>
      </c>
      <c r="L31" s="10">
        <v>2467</v>
      </c>
      <c r="M31" s="10">
        <v>3589</v>
      </c>
      <c r="N31" s="10">
        <v>4840</v>
      </c>
      <c r="O31" s="10">
        <v>4458</v>
      </c>
      <c r="P31" s="10">
        <v>4508</v>
      </c>
      <c r="Q31" s="10">
        <v>3822</v>
      </c>
      <c r="R31" s="10">
        <v>3425</v>
      </c>
      <c r="S31" s="10">
        <v>5094</v>
      </c>
      <c r="T31" s="10">
        <v>3840</v>
      </c>
    </row>
    <row r="32" spans="2:20" ht="17" thickBot="1">
      <c r="B32" s="2" t="s">
        <v>89</v>
      </c>
      <c r="C32" s="10">
        <f>SUM(C26:C31)</f>
        <v>8550</v>
      </c>
      <c r="D32" s="10">
        <f t="shared" ref="D32:S32" si="2">SUM(D26:D31)</f>
        <v>9043</v>
      </c>
      <c r="E32" s="10">
        <f>SUM(E26:E31)</f>
        <v>8301</v>
      </c>
      <c r="F32" s="10">
        <f t="shared" si="2"/>
        <v>7172</v>
      </c>
      <c r="G32" s="10">
        <f t="shared" si="2"/>
        <v>8053</v>
      </c>
      <c r="H32" s="10">
        <f>SUM(H26:H31)</f>
        <v>7457</v>
      </c>
      <c r="I32" s="10">
        <f t="shared" si="2"/>
        <v>7369</v>
      </c>
      <c r="J32" s="10">
        <f>SUM(J26:J31)</f>
        <v>7172</v>
      </c>
      <c r="K32" s="10">
        <f t="shared" si="2"/>
        <v>8022</v>
      </c>
      <c r="L32" s="10">
        <f t="shared" si="2"/>
        <v>7496</v>
      </c>
      <c r="M32" s="10">
        <f t="shared" si="2"/>
        <v>8932</v>
      </c>
      <c r="N32" s="10">
        <f t="shared" si="2"/>
        <v>10985</v>
      </c>
      <c r="O32" s="10">
        <f t="shared" si="2"/>
        <v>11340</v>
      </c>
      <c r="P32" s="10">
        <f t="shared" si="2"/>
        <v>10321</v>
      </c>
      <c r="Q32" s="10">
        <f t="shared" si="2"/>
        <v>9759</v>
      </c>
      <c r="R32" s="10">
        <f t="shared" si="2"/>
        <v>9324</v>
      </c>
      <c r="S32" s="10">
        <f t="shared" si="2"/>
        <v>13860</v>
      </c>
      <c r="T32" s="10">
        <f>SUM(T26:T31)</f>
        <v>13101</v>
      </c>
    </row>
    <row r="33" spans="2:20">
      <c r="B33" s="10" t="s">
        <v>90</v>
      </c>
      <c r="C33" s="10">
        <v>5446</v>
      </c>
      <c r="D33" s="10">
        <v>4992</v>
      </c>
      <c r="E33" s="10">
        <v>4912</v>
      </c>
      <c r="F33" s="10">
        <v>4203</v>
      </c>
      <c r="G33" s="10">
        <v>3821</v>
      </c>
      <c r="H33" s="10">
        <v>4039</v>
      </c>
      <c r="I33" s="10">
        <v>4581</v>
      </c>
      <c r="J33" s="10">
        <v>4203</v>
      </c>
      <c r="K33" s="10">
        <v>3753</v>
      </c>
      <c r="L33" s="10">
        <v>3980</v>
      </c>
      <c r="M33" s="10">
        <v>4419</v>
      </c>
      <c r="N33" s="10">
        <v>4452</v>
      </c>
      <c r="O33" s="10">
        <v>4341</v>
      </c>
      <c r="P33" s="10">
        <v>5334</v>
      </c>
      <c r="Q33" s="10">
        <v>4814</v>
      </c>
      <c r="R33" s="10">
        <v>4787</v>
      </c>
      <c r="S33" s="10">
        <v>4040</v>
      </c>
      <c r="T33" s="10">
        <v>3062</v>
      </c>
    </row>
    <row r="34" spans="2:20">
      <c r="B34" s="10" t="s">
        <v>91</v>
      </c>
      <c r="C34" s="10">
        <v>361</v>
      </c>
      <c r="D34" s="10">
        <v>355</v>
      </c>
      <c r="E34" s="10">
        <v>361</v>
      </c>
      <c r="F34" s="10">
        <v>356</v>
      </c>
      <c r="G34" s="10">
        <v>323</v>
      </c>
      <c r="H34" s="10">
        <v>349</v>
      </c>
      <c r="I34" s="10">
        <v>333</v>
      </c>
      <c r="J34" s="10">
        <v>356</v>
      </c>
      <c r="K34" s="10">
        <v>294</v>
      </c>
      <c r="L34" s="10">
        <v>309</v>
      </c>
      <c r="M34" s="10">
        <v>335</v>
      </c>
      <c r="N34" s="10">
        <v>360</v>
      </c>
      <c r="O34" s="10">
        <v>384</v>
      </c>
      <c r="P34" s="10">
        <v>413</v>
      </c>
      <c r="Q34" s="10">
        <v>323</v>
      </c>
      <c r="R34" s="10">
        <v>338</v>
      </c>
      <c r="S34" s="10">
        <v>354</v>
      </c>
      <c r="T34" s="10">
        <v>315</v>
      </c>
    </row>
    <row r="35" spans="2:20">
      <c r="B35" s="10" t="s">
        <v>131</v>
      </c>
      <c r="C35" s="10">
        <v>0</v>
      </c>
      <c r="D35" s="10">
        <v>0</v>
      </c>
      <c r="E35" s="10">
        <v>0</v>
      </c>
      <c r="F35" s="10">
        <v>0</v>
      </c>
      <c r="G35" s="10">
        <v>739</v>
      </c>
      <c r="H35" s="10">
        <v>750</v>
      </c>
      <c r="I35" s="10">
        <v>520</v>
      </c>
      <c r="J35" s="10">
        <v>0</v>
      </c>
      <c r="K35" s="10">
        <v>494</v>
      </c>
      <c r="L35" s="10">
        <v>503</v>
      </c>
      <c r="M35" s="10">
        <v>584</v>
      </c>
      <c r="N35" s="10">
        <v>581</v>
      </c>
      <c r="O35" s="10">
        <v>556</v>
      </c>
      <c r="P35" s="10">
        <v>539</v>
      </c>
      <c r="Q35" s="10">
        <v>522</v>
      </c>
      <c r="R35" s="10">
        <v>506</v>
      </c>
      <c r="S35" s="10">
        <v>559</v>
      </c>
      <c r="T35" s="10">
        <v>585</v>
      </c>
    </row>
    <row r="36" spans="2:20" ht="17" thickBot="1">
      <c r="B36" s="2" t="s">
        <v>92</v>
      </c>
      <c r="C36" s="10">
        <v>980</v>
      </c>
      <c r="D36" s="10">
        <v>950</v>
      </c>
      <c r="E36" s="10">
        <v>947</v>
      </c>
      <c r="F36" s="10">
        <v>892</v>
      </c>
      <c r="G36" s="10">
        <v>874</v>
      </c>
      <c r="H36" s="10">
        <v>879</v>
      </c>
      <c r="I36" s="10">
        <v>769</v>
      </c>
      <c r="J36" s="10">
        <v>892</v>
      </c>
      <c r="K36" s="10">
        <v>667</v>
      </c>
      <c r="L36" s="10">
        <v>665</v>
      </c>
      <c r="M36" s="10">
        <v>637</v>
      </c>
      <c r="N36" s="10">
        <v>657</v>
      </c>
      <c r="O36" s="10">
        <v>658</v>
      </c>
      <c r="P36" s="10">
        <v>664</v>
      </c>
      <c r="Q36" s="10">
        <v>657</v>
      </c>
      <c r="R36" s="10">
        <v>658</v>
      </c>
      <c r="S36" s="10">
        <v>800</v>
      </c>
      <c r="T36" s="10">
        <v>816</v>
      </c>
    </row>
    <row r="37" spans="2:20" ht="17" thickBot="1">
      <c r="B37" s="19" t="s">
        <v>93</v>
      </c>
      <c r="C37" s="10">
        <f t="shared" ref="C37:S37" si="3">SUM(C32:C36)</f>
        <v>15337</v>
      </c>
      <c r="D37" s="10">
        <f>SUM(D32:D36)</f>
        <v>15340</v>
      </c>
      <c r="E37" s="10">
        <f>SUM(E32:E36)</f>
        <v>14521</v>
      </c>
      <c r="F37" s="10">
        <f>SUM(F32:F36)</f>
        <v>12623</v>
      </c>
      <c r="G37" s="10">
        <f t="shared" si="3"/>
        <v>13810</v>
      </c>
      <c r="H37" s="10">
        <f t="shared" si="3"/>
        <v>13474</v>
      </c>
      <c r="I37" s="10">
        <f t="shared" si="3"/>
        <v>13572</v>
      </c>
      <c r="J37" s="10">
        <f t="shared" si="3"/>
        <v>12623</v>
      </c>
      <c r="K37" s="10">
        <f t="shared" si="3"/>
        <v>13230</v>
      </c>
      <c r="L37" s="10">
        <f t="shared" si="3"/>
        <v>12953</v>
      </c>
      <c r="M37" s="10">
        <f t="shared" si="3"/>
        <v>14907</v>
      </c>
      <c r="N37" s="10">
        <f t="shared" si="3"/>
        <v>17035</v>
      </c>
      <c r="O37" s="10">
        <f t="shared" si="3"/>
        <v>17279</v>
      </c>
      <c r="P37" s="10">
        <f t="shared" si="3"/>
        <v>17271</v>
      </c>
      <c r="Q37" s="10">
        <f t="shared" si="3"/>
        <v>16075</v>
      </c>
      <c r="R37" s="10">
        <f t="shared" si="3"/>
        <v>15613</v>
      </c>
      <c r="S37" s="10">
        <f t="shared" si="3"/>
        <v>19613</v>
      </c>
      <c r="T37" s="10">
        <f>SUM(T32:T36)</f>
        <v>17879</v>
      </c>
    </row>
    <row r="38" spans="2:20" ht="10" customHeight="1"/>
    <row r="39" spans="2:20">
      <c r="B39" s="10" t="s">
        <v>132</v>
      </c>
      <c r="C39" s="10">
        <v>470</v>
      </c>
      <c r="D39" s="10">
        <v>441</v>
      </c>
      <c r="E39" s="10">
        <v>438</v>
      </c>
      <c r="F39" s="10">
        <v>424</v>
      </c>
      <c r="G39" s="10">
        <v>421</v>
      </c>
      <c r="H39" s="10">
        <v>425</v>
      </c>
      <c r="I39" s="10">
        <v>413</v>
      </c>
      <c r="J39" s="10">
        <v>424</v>
      </c>
      <c r="K39" s="10">
        <v>394</v>
      </c>
      <c r="L39" s="10">
        <v>397</v>
      </c>
      <c r="M39" s="10">
        <v>403</v>
      </c>
      <c r="N39" s="10">
        <v>415</v>
      </c>
      <c r="O39" s="10">
        <v>473</v>
      </c>
      <c r="P39" s="10">
        <v>483</v>
      </c>
      <c r="Q39" s="10">
        <v>403</v>
      </c>
      <c r="R39" s="10">
        <v>381</v>
      </c>
      <c r="S39" s="10">
        <v>370</v>
      </c>
      <c r="T39" s="10">
        <v>351</v>
      </c>
    </row>
    <row r="40" spans="2:20">
      <c r="B40" s="10" t="s">
        <v>94</v>
      </c>
      <c r="C40" s="10">
        <v>690</v>
      </c>
      <c r="D40" s="10">
        <v>690</v>
      </c>
      <c r="E40" s="10">
        <v>690</v>
      </c>
      <c r="F40" s="10">
        <v>690</v>
      </c>
      <c r="G40" s="10">
        <v>690</v>
      </c>
      <c r="H40" s="10">
        <v>690</v>
      </c>
      <c r="I40" s="10">
        <v>690</v>
      </c>
      <c r="J40" s="10">
        <v>690</v>
      </c>
      <c r="K40" s="10">
        <v>690</v>
      </c>
      <c r="L40" s="10">
        <v>690</v>
      </c>
      <c r="M40" s="10">
        <v>690</v>
      </c>
      <c r="N40" s="10">
        <v>690</v>
      </c>
      <c r="O40" s="10">
        <v>690</v>
      </c>
      <c r="P40" s="10">
        <v>690</v>
      </c>
      <c r="Q40" s="10">
        <v>690</v>
      </c>
      <c r="R40" s="10">
        <v>690</v>
      </c>
      <c r="S40" s="10">
        <v>0</v>
      </c>
      <c r="T40" s="10">
        <v>0</v>
      </c>
    </row>
    <row r="41" spans="2:20">
      <c r="B41" s="10" t="s">
        <v>165</v>
      </c>
      <c r="C41" s="10">
        <v>1</v>
      </c>
      <c r="D41" s="10">
        <v>1</v>
      </c>
      <c r="E41" s="10">
        <v>1</v>
      </c>
      <c r="F41" s="10">
        <v>1</v>
      </c>
      <c r="G41" s="10">
        <v>1</v>
      </c>
      <c r="H41" s="10">
        <v>1</v>
      </c>
      <c r="I41" s="10">
        <v>1</v>
      </c>
      <c r="J41" s="10">
        <v>1</v>
      </c>
      <c r="K41" s="10">
        <v>1</v>
      </c>
      <c r="L41" s="10">
        <v>1</v>
      </c>
      <c r="M41" s="10">
        <v>1</v>
      </c>
      <c r="N41" s="10">
        <v>1</v>
      </c>
      <c r="O41" s="10">
        <v>1</v>
      </c>
      <c r="P41" s="10">
        <v>1</v>
      </c>
      <c r="Q41" s="10">
        <v>1</v>
      </c>
      <c r="R41" s="10">
        <v>1</v>
      </c>
      <c r="S41" s="10">
        <v>1</v>
      </c>
      <c r="T41" s="10">
        <v>1</v>
      </c>
    </row>
    <row r="42" spans="2:20">
      <c r="B42" s="10" t="s">
        <v>95</v>
      </c>
      <c r="C42" s="10">
        <v>5233</v>
      </c>
      <c r="D42" s="10">
        <v>5253</v>
      </c>
      <c r="E42" s="10">
        <v>5264</v>
      </c>
      <c r="F42" s="10">
        <v>5278</v>
      </c>
      <c r="G42" s="10">
        <v>5284</v>
      </c>
      <c r="H42" s="10">
        <v>5300</v>
      </c>
      <c r="I42" s="10">
        <v>5312</v>
      </c>
      <c r="J42" s="10">
        <v>5278</v>
      </c>
      <c r="K42" s="10">
        <v>5344</v>
      </c>
      <c r="L42" s="10">
        <v>5356</v>
      </c>
      <c r="M42" s="10">
        <v>5376</v>
      </c>
      <c r="N42" s="10">
        <v>5408</v>
      </c>
      <c r="O42" s="10">
        <v>5468</v>
      </c>
      <c r="P42" s="10">
        <v>5512</v>
      </c>
      <c r="Q42" s="10">
        <v>5530</v>
      </c>
      <c r="R42" s="10">
        <v>5590</v>
      </c>
      <c r="S42" s="10">
        <v>6332</v>
      </c>
      <c r="T42" s="10">
        <v>6595</v>
      </c>
    </row>
    <row r="43" spans="2:20">
      <c r="B43" s="10" t="s">
        <v>96</v>
      </c>
      <c r="C43" s="10">
        <v>8008</v>
      </c>
      <c r="D43" s="10">
        <v>7917</v>
      </c>
      <c r="E43" s="10">
        <v>8203</v>
      </c>
      <c r="F43" s="10">
        <v>8059</v>
      </c>
      <c r="G43" s="10">
        <v>8045</v>
      </c>
      <c r="H43" s="10">
        <v>8179</v>
      </c>
      <c r="I43" s="10">
        <v>6611</v>
      </c>
      <c r="J43" s="10">
        <v>8059</v>
      </c>
      <c r="K43" s="10">
        <v>6158</v>
      </c>
      <c r="L43" s="10">
        <v>6581</v>
      </c>
      <c r="M43" s="10">
        <v>6784</v>
      </c>
      <c r="N43" s="10">
        <v>7236</v>
      </c>
      <c r="O43" s="10">
        <v>7982</v>
      </c>
      <c r="P43" s="10">
        <v>8259</v>
      </c>
      <c r="Q43" s="10">
        <v>8830</v>
      </c>
      <c r="R43" s="10">
        <v>8979</v>
      </c>
      <c r="S43" s="10">
        <v>9581</v>
      </c>
      <c r="T43" s="10">
        <v>9692</v>
      </c>
    </row>
    <row r="44" spans="2:20">
      <c r="B44" s="10" t="s">
        <v>97</v>
      </c>
      <c r="C44" s="10">
        <v>-5947</v>
      </c>
      <c r="D44" s="10">
        <v>-6795</v>
      </c>
      <c r="E44" s="10">
        <v>-6958</v>
      </c>
      <c r="F44" s="10">
        <v>-6935</v>
      </c>
      <c r="G44" s="10">
        <v>-7000</v>
      </c>
      <c r="H44" s="10">
        <v>-6919</v>
      </c>
      <c r="I44" s="10">
        <v>-7234</v>
      </c>
      <c r="J44" s="10">
        <v>-6935</v>
      </c>
      <c r="K44" s="10">
        <v>-6411</v>
      </c>
      <c r="L44" s="10">
        <v>-6515</v>
      </c>
      <c r="M44" s="10">
        <v>-6504</v>
      </c>
      <c r="N44" s="10">
        <v>-6246</v>
      </c>
      <c r="O44" s="10">
        <v>-6484</v>
      </c>
      <c r="P44" s="10">
        <v>-6258</v>
      </c>
      <c r="Q44" s="10">
        <v>-6436</v>
      </c>
      <c r="R44" s="10">
        <v>-6471</v>
      </c>
      <c r="S44" s="10">
        <v>-6213</v>
      </c>
      <c r="T44" s="10">
        <v>-6436</v>
      </c>
    </row>
    <row r="45" spans="2:20">
      <c r="B45" s="10" t="s">
        <v>98</v>
      </c>
      <c r="C45" s="10">
        <v>-920</v>
      </c>
      <c r="D45" s="10">
        <v>-920</v>
      </c>
      <c r="E45" s="10">
        <v>-920</v>
      </c>
      <c r="F45" s="10">
        <v>-920</v>
      </c>
      <c r="G45" s="10">
        <v>-920</v>
      </c>
      <c r="H45" s="10">
        <v>-920</v>
      </c>
      <c r="I45" s="10">
        <v>-920</v>
      </c>
      <c r="J45" s="10">
        <v>-920</v>
      </c>
      <c r="K45" s="10">
        <v>-920</v>
      </c>
      <c r="L45" s="10">
        <v>-1020</v>
      </c>
      <c r="M45" s="10">
        <v>-1020</v>
      </c>
      <c r="N45" s="10">
        <v>-1020</v>
      </c>
      <c r="O45" s="10">
        <v>-1020</v>
      </c>
      <c r="P45" s="10">
        <v>-1020</v>
      </c>
      <c r="Q45" s="10">
        <v>-1120</v>
      </c>
      <c r="R45" s="10">
        <v>-1120</v>
      </c>
      <c r="S45" s="10">
        <v>-1120</v>
      </c>
      <c r="T45" s="10">
        <v>-1120</v>
      </c>
    </row>
    <row r="46" spans="2:20" ht="17" thickBot="1">
      <c r="B46" s="2" t="s">
        <v>99</v>
      </c>
      <c r="C46" s="10">
        <f t="shared" ref="C46:T46" si="4">SUM(C40:C45)</f>
        <v>7065</v>
      </c>
      <c r="D46" s="10">
        <f t="shared" si="4"/>
        <v>6146</v>
      </c>
      <c r="E46" s="10">
        <f t="shared" si="4"/>
        <v>6280</v>
      </c>
      <c r="F46" s="10">
        <f t="shared" si="4"/>
        <v>6173</v>
      </c>
      <c r="G46" s="10">
        <f t="shared" si="4"/>
        <v>6100</v>
      </c>
      <c r="H46" s="10">
        <f t="shared" si="4"/>
        <v>6331</v>
      </c>
      <c r="I46" s="10">
        <f t="shared" si="4"/>
        <v>4460</v>
      </c>
      <c r="J46" s="10">
        <f t="shared" si="4"/>
        <v>6173</v>
      </c>
      <c r="K46" s="10">
        <f t="shared" si="4"/>
        <v>4862</v>
      </c>
      <c r="L46" s="10">
        <f t="shared" si="4"/>
        <v>5093</v>
      </c>
      <c r="M46" s="10">
        <f t="shared" si="4"/>
        <v>5327</v>
      </c>
      <c r="N46" s="10">
        <f t="shared" si="4"/>
        <v>6069</v>
      </c>
      <c r="O46" s="10">
        <f t="shared" si="4"/>
        <v>6637</v>
      </c>
      <c r="P46" s="10">
        <f t="shared" si="4"/>
        <v>7184</v>
      </c>
      <c r="Q46" s="10">
        <f t="shared" si="4"/>
        <v>7495</v>
      </c>
      <c r="R46" s="10">
        <f t="shared" si="4"/>
        <v>7669</v>
      </c>
      <c r="S46" s="10">
        <f t="shared" si="4"/>
        <v>8581</v>
      </c>
      <c r="T46" s="10">
        <f t="shared" si="4"/>
        <v>8732</v>
      </c>
    </row>
    <row r="47" spans="2:20">
      <c r="B47" s="10" t="s">
        <v>100</v>
      </c>
      <c r="C47" s="10">
        <v>212</v>
      </c>
      <c r="D47" s="10">
        <v>197</v>
      </c>
      <c r="E47" s="10">
        <v>207</v>
      </c>
      <c r="F47" s="10">
        <v>205</v>
      </c>
      <c r="G47" s="10">
        <v>204</v>
      </c>
      <c r="H47" s="10">
        <v>194</v>
      </c>
      <c r="I47" s="10">
        <v>189</v>
      </c>
      <c r="J47" s="10">
        <v>205</v>
      </c>
      <c r="K47" s="10">
        <v>110</v>
      </c>
      <c r="L47" s="10">
        <v>116</v>
      </c>
      <c r="M47" s="10">
        <v>124</v>
      </c>
      <c r="N47" s="10">
        <v>136</v>
      </c>
      <c r="O47" s="10">
        <v>144</v>
      </c>
      <c r="P47" s="10">
        <v>147</v>
      </c>
      <c r="Q47" s="10">
        <v>136</v>
      </c>
      <c r="R47" s="10">
        <v>156</v>
      </c>
      <c r="S47" s="10">
        <v>160</v>
      </c>
      <c r="T47" s="10">
        <v>457</v>
      </c>
    </row>
    <row r="48" spans="2:20" ht="17" thickBot="1">
      <c r="B48" s="2" t="s">
        <v>101</v>
      </c>
      <c r="C48" s="10">
        <f>SUM(C46:C47)</f>
        <v>7277</v>
      </c>
      <c r="D48" s="10">
        <f>SUM(D46:D47)</f>
        <v>6343</v>
      </c>
      <c r="E48" s="10">
        <f t="shared" ref="E48:S48" si="5">SUM(E46:E47)</f>
        <v>6487</v>
      </c>
      <c r="F48" s="10">
        <f t="shared" si="5"/>
        <v>6378</v>
      </c>
      <c r="G48" s="10">
        <f t="shared" si="5"/>
        <v>6304</v>
      </c>
      <c r="H48" s="10">
        <f t="shared" si="5"/>
        <v>6525</v>
      </c>
      <c r="I48" s="10">
        <f t="shared" si="5"/>
        <v>4649</v>
      </c>
      <c r="J48" s="10">
        <f t="shared" si="5"/>
        <v>6378</v>
      </c>
      <c r="K48" s="10">
        <f t="shared" si="5"/>
        <v>4972</v>
      </c>
      <c r="L48" s="10">
        <f t="shared" si="5"/>
        <v>5209</v>
      </c>
      <c r="M48" s="10">
        <f t="shared" si="5"/>
        <v>5451</v>
      </c>
      <c r="N48" s="10">
        <f t="shared" si="5"/>
        <v>6205</v>
      </c>
      <c r="O48" s="10">
        <f t="shared" si="5"/>
        <v>6781</v>
      </c>
      <c r="P48" s="10">
        <f t="shared" si="5"/>
        <v>7331</v>
      </c>
      <c r="Q48" s="10">
        <f t="shared" si="5"/>
        <v>7631</v>
      </c>
      <c r="R48" s="10">
        <f t="shared" si="5"/>
        <v>7825</v>
      </c>
      <c r="S48" s="10">
        <f t="shared" si="5"/>
        <v>8741</v>
      </c>
      <c r="T48" s="10">
        <f>SUM(T46:T47)</f>
        <v>9189</v>
      </c>
    </row>
    <row r="49" spans="2:20" ht="17" thickBot="1">
      <c r="B49" s="18" t="s">
        <v>102</v>
      </c>
      <c r="C49" s="10">
        <f>C48+C37+C39</f>
        <v>23084</v>
      </c>
      <c r="D49" s="10">
        <f>D48+D37+D39</f>
        <v>22124</v>
      </c>
      <c r="E49" s="10">
        <f t="shared" ref="E49:T49" si="6">SUM(E37,E39,E48)</f>
        <v>21446</v>
      </c>
      <c r="F49" s="10">
        <f t="shared" si="6"/>
        <v>19425</v>
      </c>
      <c r="G49" s="10">
        <f t="shared" si="6"/>
        <v>20535</v>
      </c>
      <c r="H49" s="10">
        <f t="shared" si="6"/>
        <v>20424</v>
      </c>
      <c r="I49" s="10">
        <f t="shared" si="6"/>
        <v>18634</v>
      </c>
      <c r="J49" s="10">
        <f t="shared" si="6"/>
        <v>19425</v>
      </c>
      <c r="K49" s="10">
        <f t="shared" si="6"/>
        <v>18596</v>
      </c>
      <c r="L49" s="10">
        <f t="shared" si="6"/>
        <v>18559</v>
      </c>
      <c r="M49" s="10">
        <f t="shared" si="6"/>
        <v>20761</v>
      </c>
      <c r="N49" s="10">
        <f t="shared" si="6"/>
        <v>23655</v>
      </c>
      <c r="O49" s="10">
        <f t="shared" si="6"/>
        <v>24533</v>
      </c>
      <c r="P49" s="10">
        <f t="shared" si="6"/>
        <v>25085</v>
      </c>
      <c r="Q49" s="10">
        <f t="shared" si="6"/>
        <v>24109</v>
      </c>
      <c r="R49" s="10">
        <f t="shared" si="6"/>
        <v>23819</v>
      </c>
      <c r="S49" s="10">
        <f t="shared" si="6"/>
        <v>28724</v>
      </c>
      <c r="T49" s="10">
        <f t="shared" si="6"/>
        <v>27419</v>
      </c>
    </row>
    <row r="53" spans="2:20">
      <c r="B53" s="10" t="s">
        <v>160</v>
      </c>
    </row>
    <row r="60" spans="2:20" ht="17" thickBot="1">
      <c r="B60" s="2"/>
    </row>
    <row r="67" spans="2:2" ht="17" thickBot="1">
      <c r="B67" s="2"/>
    </row>
  </sheetData>
  <pageMargins left="0.7" right="0.7" top="0.75" bottom="0.75" header="0.3" footer="0.3"/>
  <ignoredErrors>
    <ignoredError sqref="T4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A890-1B0B-9645-B3A4-E9E4B1AC70DE}">
  <dimension ref="A1:T64"/>
  <sheetViews>
    <sheetView tabSelected="1" topLeftCell="B1" workbookViewId="0">
      <pane xSplit="1" ySplit="7" topLeftCell="Q17" activePane="bottomRight" state="frozen"/>
      <selection activeCell="B1" sqref="B1"/>
      <selection pane="topRight" activeCell="C1" sqref="C1"/>
      <selection pane="bottomLeft" activeCell="B8" sqref="B8"/>
      <selection pane="bottomRight" activeCell="S19" sqref="S19"/>
    </sheetView>
  </sheetViews>
  <sheetFormatPr baseColWidth="10" defaultRowHeight="16"/>
  <cols>
    <col min="1" max="1" width="1.5" style="10" customWidth="1"/>
    <col min="2" max="2" width="54.33203125" style="10" customWidth="1"/>
    <col min="3" max="18" width="11" style="10" bestFit="1" customWidth="1"/>
    <col min="19" max="20" width="11.1640625" style="10" bestFit="1" customWidth="1"/>
    <col min="21" max="16384" width="10.83203125" style="10"/>
  </cols>
  <sheetData>
    <row r="1" spans="1:20">
      <c r="B1" s="10" t="s">
        <v>120</v>
      </c>
    </row>
    <row r="2" spans="1:20">
      <c r="B2" s="10" t="e" vm="1">
        <v>#VALUE!</v>
      </c>
    </row>
    <row r="7" spans="1:20">
      <c r="C7" s="10" t="s">
        <v>0</v>
      </c>
      <c r="D7" s="10" t="s">
        <v>1</v>
      </c>
      <c r="E7" s="10" t="s">
        <v>2</v>
      </c>
      <c r="F7" s="10" t="s">
        <v>3</v>
      </c>
      <c r="G7" s="10" t="s">
        <v>4</v>
      </c>
      <c r="H7" s="10" t="s">
        <v>5</v>
      </c>
      <c r="I7" s="10" t="s">
        <v>6</v>
      </c>
      <c r="J7" s="10" t="s">
        <v>7</v>
      </c>
      <c r="K7" s="10" t="s">
        <v>8</v>
      </c>
      <c r="L7" s="10" t="s">
        <v>9</v>
      </c>
      <c r="M7" s="11" t="s">
        <v>10</v>
      </c>
      <c r="N7" s="11" t="s">
        <v>11</v>
      </c>
      <c r="O7" s="10" t="s">
        <v>12</v>
      </c>
      <c r="P7" s="10" t="s">
        <v>13</v>
      </c>
      <c r="Q7" s="10" t="s">
        <v>14</v>
      </c>
      <c r="R7" s="10" t="s">
        <v>15</v>
      </c>
      <c r="S7" s="10" t="s">
        <v>16</v>
      </c>
      <c r="T7" s="10" t="s">
        <v>17</v>
      </c>
    </row>
    <row r="8" spans="1:20" ht="34">
      <c r="B8" s="17" t="s">
        <v>169</v>
      </c>
    </row>
    <row r="9" spans="1:20">
      <c r="B9" s="10" t="s">
        <v>103</v>
      </c>
      <c r="C9" s="10">
        <v>-19</v>
      </c>
      <c r="D9" s="10">
        <v>-29</v>
      </c>
      <c r="E9" s="10">
        <v>345</v>
      </c>
      <c r="F9" s="10">
        <v>287</v>
      </c>
      <c r="G9" s="10">
        <v>50</v>
      </c>
      <c r="H9" s="10">
        <v>262</v>
      </c>
      <c r="I9" s="10">
        <v>-1220</v>
      </c>
      <c r="J9" s="10">
        <v>-1291</v>
      </c>
      <c r="K9" s="10">
        <v>-193</v>
      </c>
      <c r="L9" s="10">
        <v>329</v>
      </c>
      <c r="M9" s="10">
        <v>596</v>
      </c>
      <c r="N9" s="10">
        <v>1165</v>
      </c>
      <c r="O9" s="10">
        <v>917</v>
      </c>
      <c r="P9" s="10">
        <v>1286</v>
      </c>
      <c r="Q9" s="10">
        <v>1935</v>
      </c>
      <c r="R9" s="10">
        <v>2167</v>
      </c>
      <c r="S9" s="10">
        <v>696</v>
      </c>
      <c r="T9" s="10">
        <v>921</v>
      </c>
    </row>
    <row r="10" spans="1:20" ht="33" customHeight="1">
      <c r="B10" s="15" t="s">
        <v>104</v>
      </c>
    </row>
    <row r="11" spans="1:20" ht="33" customHeight="1">
      <c r="B11" s="15" t="s">
        <v>134</v>
      </c>
      <c r="C11" s="10">
        <v>33</v>
      </c>
      <c r="D11" s="10">
        <v>4</v>
      </c>
      <c r="E11" s="10">
        <v>134</v>
      </c>
      <c r="F11" s="10">
        <v>18</v>
      </c>
      <c r="G11" s="10">
        <v>37</v>
      </c>
      <c r="H11" s="10">
        <v>22</v>
      </c>
      <c r="I11" s="10">
        <v>152</v>
      </c>
      <c r="J11" s="10">
        <v>139</v>
      </c>
      <c r="K11" s="10">
        <v>-86</v>
      </c>
      <c r="L11" s="10">
        <v>1</v>
      </c>
      <c r="M11" s="10">
        <v>8</v>
      </c>
      <c r="N11" s="10">
        <v>-206</v>
      </c>
      <c r="O11" s="10">
        <v>-25</v>
      </c>
      <c r="P11" s="10">
        <v>-133</v>
      </c>
      <c r="Q11" s="10">
        <v>7</v>
      </c>
      <c r="R11" s="10">
        <v>78</v>
      </c>
      <c r="S11" s="10">
        <v>-116</v>
      </c>
      <c r="T11" s="10">
        <v>-6</v>
      </c>
    </row>
    <row r="12" spans="1:20" ht="33" customHeight="1">
      <c r="B12" s="15" t="s">
        <v>135</v>
      </c>
      <c r="C12" s="10">
        <v>10</v>
      </c>
      <c r="D12" s="10">
        <v>171</v>
      </c>
      <c r="E12" s="10">
        <v>28</v>
      </c>
      <c r="F12" s="10">
        <v>139</v>
      </c>
      <c r="G12" s="10">
        <v>7</v>
      </c>
      <c r="H12" s="10">
        <v>38</v>
      </c>
      <c r="I12" s="10">
        <v>5</v>
      </c>
      <c r="J12" s="10">
        <v>9</v>
      </c>
      <c r="K12" s="10">
        <v>13</v>
      </c>
      <c r="L12" s="10">
        <v>-107</v>
      </c>
      <c r="M12" s="10">
        <v>-126</v>
      </c>
      <c r="N12" s="10">
        <v>70</v>
      </c>
      <c r="O12" s="10">
        <v>1</v>
      </c>
      <c r="P12" s="10">
        <v>3</v>
      </c>
      <c r="Q12" s="10">
        <v>4</v>
      </c>
      <c r="R12" s="10">
        <v>5</v>
      </c>
      <c r="S12" s="10">
        <v>5</v>
      </c>
      <c r="T12" s="10">
        <v>9</v>
      </c>
    </row>
    <row r="13" spans="1:20">
      <c r="A13" s="10" t="s">
        <v>133</v>
      </c>
      <c r="B13" s="10" t="s">
        <v>46</v>
      </c>
      <c r="C13" s="10">
        <v>142</v>
      </c>
      <c r="D13" s="10">
        <v>23</v>
      </c>
      <c r="E13" s="10">
        <v>463</v>
      </c>
      <c r="F13" s="10">
        <v>26</v>
      </c>
      <c r="G13" s="10">
        <v>139</v>
      </c>
      <c r="H13" s="10">
        <v>4</v>
      </c>
      <c r="I13" s="10">
        <v>428</v>
      </c>
      <c r="J13" s="10">
        <v>548</v>
      </c>
      <c r="K13" s="10">
        <v>113</v>
      </c>
      <c r="L13" s="10">
        <v>65</v>
      </c>
      <c r="M13" s="10">
        <v>68</v>
      </c>
      <c r="N13" s="10">
        <v>435</v>
      </c>
      <c r="O13" s="10">
        <v>106</v>
      </c>
      <c r="P13" s="10">
        <v>212</v>
      </c>
      <c r="Q13" s="10">
        <v>317</v>
      </c>
      <c r="R13" s="10">
        <v>424</v>
      </c>
      <c r="S13" s="10">
        <v>102</v>
      </c>
      <c r="T13" s="10">
        <v>204</v>
      </c>
    </row>
    <row r="14" spans="1:20" ht="17">
      <c r="B14" s="15" t="s">
        <v>106</v>
      </c>
      <c r="C14" s="10">
        <v>7</v>
      </c>
      <c r="D14" s="10">
        <v>304</v>
      </c>
      <c r="E14" s="10">
        <v>31</v>
      </c>
      <c r="F14" s="10">
        <v>64</v>
      </c>
      <c r="G14" s="10">
        <v>4</v>
      </c>
      <c r="H14" s="10">
        <v>294</v>
      </c>
      <c r="I14" s="10">
        <v>30</v>
      </c>
      <c r="J14" s="10">
        <v>39</v>
      </c>
      <c r="K14" s="10">
        <v>15</v>
      </c>
      <c r="L14" s="10">
        <v>217</v>
      </c>
      <c r="M14" s="10">
        <v>323</v>
      </c>
      <c r="N14" s="10">
        <v>71</v>
      </c>
      <c r="O14" s="10">
        <v>13</v>
      </c>
      <c r="P14" s="10">
        <v>29</v>
      </c>
      <c r="Q14" s="10">
        <v>46</v>
      </c>
      <c r="R14" s="10">
        <v>61</v>
      </c>
      <c r="S14" s="10">
        <v>16</v>
      </c>
      <c r="T14" s="10">
        <v>32</v>
      </c>
    </row>
    <row r="15" spans="1:20">
      <c r="B15" s="10" t="s">
        <v>105</v>
      </c>
      <c r="C15" s="10">
        <f>-15</f>
        <v>-15</v>
      </c>
      <c r="D15" s="10">
        <v>21</v>
      </c>
      <c r="E15" s="10">
        <v>11</v>
      </c>
      <c r="F15" s="10">
        <v>622</v>
      </c>
      <c r="G15" s="10">
        <v>-3</v>
      </c>
      <c r="H15" s="10">
        <v>17</v>
      </c>
      <c r="I15" s="10">
        <v>-19</v>
      </c>
      <c r="J15" s="10">
        <v>-24</v>
      </c>
      <c r="K15" s="10">
        <v>-68</v>
      </c>
      <c r="L15" s="10">
        <v>27</v>
      </c>
      <c r="M15" s="10">
        <v>47</v>
      </c>
      <c r="N15" s="10">
        <v>71</v>
      </c>
      <c r="O15" s="10">
        <v>36</v>
      </c>
      <c r="P15" s="10">
        <v>-83</v>
      </c>
      <c r="Q15" s="10">
        <v>-263</v>
      </c>
      <c r="R15" s="10">
        <v>-272</v>
      </c>
      <c r="S15" s="10">
        <v>-54</v>
      </c>
      <c r="T15" s="10">
        <v>-59</v>
      </c>
    </row>
    <row r="16" spans="1:20">
      <c r="B16" s="10" t="s">
        <v>136</v>
      </c>
      <c r="C16" s="10">
        <v>0</v>
      </c>
      <c r="D16" s="10">
        <v>-50</v>
      </c>
      <c r="E16" s="10">
        <v>0</v>
      </c>
      <c r="F16" s="10">
        <v>46</v>
      </c>
      <c r="G16" s="10">
        <v>0</v>
      </c>
      <c r="H16" s="10">
        <v>3</v>
      </c>
      <c r="I16" s="10">
        <v>0</v>
      </c>
      <c r="J16" s="10">
        <v>-93</v>
      </c>
      <c r="K16" s="10">
        <v>0</v>
      </c>
      <c r="L16" s="10">
        <v>50</v>
      </c>
      <c r="M16" s="10">
        <v>51</v>
      </c>
      <c r="N16" s="10">
        <v>-110</v>
      </c>
      <c r="O16" s="10">
        <v>-239</v>
      </c>
      <c r="P16" s="10">
        <v>-240</v>
      </c>
      <c r="Q16" s="10">
        <v>-416</v>
      </c>
      <c r="R16" s="10">
        <v>-417</v>
      </c>
      <c r="S16" s="10">
        <v>-1</v>
      </c>
      <c r="T16" s="10">
        <v>0</v>
      </c>
    </row>
    <row r="17" spans="2:20">
      <c r="B17" s="10" t="s">
        <v>137</v>
      </c>
      <c r="C17" s="10">
        <f>2+2</f>
        <v>4</v>
      </c>
      <c r="D17" s="10">
        <v>5</v>
      </c>
      <c r="E17" s="10">
        <v>51</v>
      </c>
      <c r="F17" s="10">
        <v>6</v>
      </c>
      <c r="G17" s="10">
        <f>9+12</f>
        <v>21</v>
      </c>
      <c r="H17" s="10">
        <v>-13</v>
      </c>
      <c r="I17" s="10">
        <f>1664-34</f>
        <v>1630</v>
      </c>
      <c r="J17" s="10">
        <f>1825+55-12</f>
        <v>1868</v>
      </c>
      <c r="K17" s="10">
        <f>44+1</f>
        <v>45</v>
      </c>
      <c r="L17" s="10">
        <v>105</v>
      </c>
      <c r="M17" s="10">
        <v>62</v>
      </c>
      <c r="N17" s="10">
        <f>55+10</f>
        <v>65</v>
      </c>
      <c r="O17" s="10">
        <v>-20</v>
      </c>
      <c r="P17" s="10">
        <v>-56</v>
      </c>
      <c r="Q17" s="10">
        <v>-105</v>
      </c>
      <c r="R17" s="10">
        <f>-159+226</f>
        <v>67</v>
      </c>
      <c r="S17" s="10">
        <v>2</v>
      </c>
      <c r="T17" s="10">
        <v>27</v>
      </c>
    </row>
    <row r="18" spans="2:20" ht="44" customHeight="1">
      <c r="B18" s="15" t="s">
        <v>138</v>
      </c>
      <c r="C18" s="10">
        <f t="shared" ref="C18:J18" si="0">SUM(C19:C28)</f>
        <v>-1704</v>
      </c>
      <c r="D18" s="10">
        <f t="shared" si="0"/>
        <v>-3787</v>
      </c>
      <c r="E18" s="10">
        <f t="shared" si="0"/>
        <v>-4353</v>
      </c>
      <c r="F18" s="10">
        <f t="shared" si="0"/>
        <v>-2503</v>
      </c>
      <c r="G18" s="10">
        <f t="shared" si="0"/>
        <v>-657</v>
      </c>
      <c r="H18" s="10">
        <f t="shared" si="0"/>
        <v>-1710</v>
      </c>
      <c r="I18" s="10">
        <f t="shared" si="0"/>
        <v>-2319</v>
      </c>
      <c r="J18" s="10">
        <f t="shared" si="0"/>
        <v>-2003</v>
      </c>
      <c r="K18" s="10">
        <f t="shared" ref="K18:S18" si="1">SUM(K19:K28)</f>
        <v>-278</v>
      </c>
      <c r="L18" s="10">
        <f t="shared" si="1"/>
        <v>-2189</v>
      </c>
      <c r="M18" s="10">
        <f t="shared" si="1"/>
        <v>-3157</v>
      </c>
      <c r="N18" s="10">
        <f t="shared" si="1"/>
        <v>-5097</v>
      </c>
      <c r="O18" s="10">
        <f t="shared" si="1"/>
        <v>-1776</v>
      </c>
      <c r="P18" s="10">
        <f t="shared" si="1"/>
        <v>-2454</v>
      </c>
      <c r="Q18" s="10">
        <f t="shared" si="1"/>
        <v>-3167</v>
      </c>
      <c r="R18" s="10">
        <f t="shared" si="1"/>
        <v>-5007</v>
      </c>
      <c r="S18" s="10">
        <f t="shared" si="1"/>
        <v>-3306</v>
      </c>
      <c r="T18" s="10">
        <f>SUM(T19:T28)</f>
        <v>-5585</v>
      </c>
    </row>
    <row r="19" spans="2:20">
      <c r="B19" s="10" t="s">
        <v>139</v>
      </c>
      <c r="C19" s="10">
        <v>47</v>
      </c>
      <c r="D19" s="10">
        <v>-245</v>
      </c>
      <c r="E19" s="10">
        <v>-159</v>
      </c>
      <c r="F19" s="10">
        <v>-110</v>
      </c>
      <c r="G19" s="10">
        <v>-128</v>
      </c>
      <c r="H19" s="10">
        <v>-106</v>
      </c>
      <c r="I19" s="10">
        <v>-314</v>
      </c>
      <c r="J19" s="10">
        <v>-257</v>
      </c>
      <c r="K19" s="10">
        <v>-94</v>
      </c>
      <c r="L19" s="10">
        <v>-99</v>
      </c>
      <c r="M19" s="10">
        <v>-237</v>
      </c>
      <c r="N19" s="10">
        <v>-255</v>
      </c>
      <c r="O19" s="10">
        <v>-617</v>
      </c>
      <c r="P19" s="10">
        <v>-784</v>
      </c>
      <c r="Q19" s="10">
        <v>-785</v>
      </c>
      <c r="R19" s="10">
        <v>-530</v>
      </c>
      <c r="S19" s="10">
        <v>-392</v>
      </c>
      <c r="T19" s="10">
        <v>-341</v>
      </c>
    </row>
    <row r="20" spans="2:20" ht="17">
      <c r="B20" s="15" t="s">
        <v>140</v>
      </c>
      <c r="C20" s="10">
        <v>-1466</v>
      </c>
      <c r="D20" s="10">
        <v>-2202</v>
      </c>
      <c r="E20" s="10">
        <v>-2465</v>
      </c>
      <c r="F20" s="10">
        <v>-1107</v>
      </c>
      <c r="G20" s="10">
        <v>-94</v>
      </c>
      <c r="H20" s="10">
        <v>5</v>
      </c>
      <c r="I20" s="10">
        <v>-55</v>
      </c>
      <c r="J20" s="10">
        <v>504</v>
      </c>
      <c r="K20" s="10">
        <v>-751</v>
      </c>
      <c r="L20" s="10">
        <v>-1308</v>
      </c>
      <c r="M20" s="10">
        <v>-1679</v>
      </c>
      <c r="N20" s="10">
        <f>-2298</f>
        <v>-2298</v>
      </c>
      <c r="O20" s="10">
        <v>-1448</v>
      </c>
      <c r="P20" s="10">
        <v>-1003</v>
      </c>
      <c r="Q20" s="10">
        <v>-771</v>
      </c>
      <c r="R20" s="10">
        <v>-1301</v>
      </c>
      <c r="S20" s="10">
        <v>-2350</v>
      </c>
      <c r="T20" s="10">
        <v>-2341</v>
      </c>
    </row>
    <row r="21" spans="2:20" ht="17">
      <c r="B21" s="15" t="s">
        <v>141</v>
      </c>
      <c r="C21" s="10">
        <v>-110</v>
      </c>
      <c r="D21" s="10">
        <v>-308</v>
      </c>
      <c r="E21" s="10">
        <v>-195</v>
      </c>
      <c r="F21" s="10">
        <v>41</v>
      </c>
      <c r="G21" s="10">
        <v>-31</v>
      </c>
      <c r="H21" s="10">
        <v>-120</v>
      </c>
      <c r="I21" s="10">
        <v>-302</v>
      </c>
      <c r="J21" s="10">
        <v>-100</v>
      </c>
      <c r="K21" s="10">
        <v>-105</v>
      </c>
      <c r="L21" s="10">
        <v>-218</v>
      </c>
      <c r="M21" s="10">
        <v>-296</v>
      </c>
      <c r="N21" s="10">
        <v>-162</v>
      </c>
      <c r="O21" s="10">
        <v>5</v>
      </c>
      <c r="P21" s="10">
        <v>25</v>
      </c>
      <c r="Q21" s="10">
        <v>-42</v>
      </c>
      <c r="R21" s="10">
        <v>-48</v>
      </c>
      <c r="S21" s="10">
        <v>-52</v>
      </c>
      <c r="T21" s="10">
        <v>46</v>
      </c>
    </row>
    <row r="22" spans="2:20" ht="17">
      <c r="B22" s="15" t="s">
        <v>142</v>
      </c>
      <c r="C22" s="10">
        <v>268</v>
      </c>
      <c r="D22" s="10">
        <v>-48</v>
      </c>
      <c r="E22" s="10">
        <v>182</v>
      </c>
      <c r="F22" s="10">
        <v>335</v>
      </c>
      <c r="G22" s="10">
        <v>248</v>
      </c>
      <c r="H22" s="10">
        <v>-503</v>
      </c>
      <c r="I22" s="10">
        <v>-298</v>
      </c>
      <c r="J22" s="10">
        <v>-498</v>
      </c>
      <c r="K22" s="10">
        <v>722</v>
      </c>
      <c r="L22" s="10">
        <v>75</v>
      </c>
      <c r="M22" s="10">
        <v>260</v>
      </c>
      <c r="N22" s="10">
        <v>97</v>
      </c>
      <c r="O22" s="10">
        <v>1134</v>
      </c>
      <c r="P22" s="10">
        <v>737</v>
      </c>
      <c r="Q22" s="10">
        <v>1268</v>
      </c>
      <c r="R22" s="10">
        <v>1594</v>
      </c>
      <c r="S22" s="10">
        <v>1167</v>
      </c>
      <c r="T22" s="10">
        <v>943</v>
      </c>
    </row>
    <row r="23" spans="2:20" ht="17">
      <c r="B23" s="15" t="s">
        <v>143</v>
      </c>
      <c r="C23" s="10">
        <v>-93</v>
      </c>
      <c r="D23" s="10">
        <v>-80</v>
      </c>
      <c r="E23" s="10">
        <v>-157</v>
      </c>
      <c r="F23" s="10">
        <v>11</v>
      </c>
      <c r="G23" s="10">
        <v>-97</v>
      </c>
      <c r="H23" s="10">
        <v>-169</v>
      </c>
      <c r="I23" s="10">
        <v>-172</v>
      </c>
      <c r="J23" s="10">
        <v>15</v>
      </c>
      <c r="K23" s="10">
        <v>-81</v>
      </c>
      <c r="L23" s="10">
        <v>-84</v>
      </c>
      <c r="M23" s="10">
        <v>-119</v>
      </c>
      <c r="N23" s="10">
        <v>-11</v>
      </c>
      <c r="O23" s="10">
        <v>-69</v>
      </c>
      <c r="P23" s="10">
        <v>-150</v>
      </c>
      <c r="Q23" s="10">
        <v>-129</v>
      </c>
      <c r="R23" s="10">
        <v>32</v>
      </c>
      <c r="S23" s="10">
        <v>-30</v>
      </c>
      <c r="T23" s="10">
        <v>-54</v>
      </c>
    </row>
    <row r="24" spans="2:20" ht="17">
      <c r="B24" s="15" t="s">
        <v>144</v>
      </c>
      <c r="C24" s="10">
        <v>435</v>
      </c>
      <c r="D24" s="10">
        <v>262</v>
      </c>
      <c r="E24" s="10">
        <v>23</v>
      </c>
      <c r="F24" s="10">
        <v>145</v>
      </c>
      <c r="G24" s="10">
        <v>-370</v>
      </c>
      <c r="H24" s="10">
        <v>-214</v>
      </c>
      <c r="I24" s="10">
        <v>-320</v>
      </c>
      <c r="J24" s="10">
        <v>-258</v>
      </c>
      <c r="K24" s="10">
        <v>589</v>
      </c>
      <c r="L24" s="10">
        <v>3</v>
      </c>
      <c r="M24" s="10">
        <v>173</v>
      </c>
      <c r="N24" s="10">
        <v>-127</v>
      </c>
      <c r="O24" s="10">
        <v>100</v>
      </c>
      <c r="P24" s="10">
        <v>639</v>
      </c>
      <c r="Q24" s="10">
        <v>559</v>
      </c>
      <c r="R24" s="10">
        <v>394</v>
      </c>
      <c r="S24" s="10">
        <v>213</v>
      </c>
      <c r="T24" s="10">
        <v>-159</v>
      </c>
    </row>
    <row r="25" spans="2:20" ht="17">
      <c r="B25" s="15" t="s">
        <v>145</v>
      </c>
      <c r="C25" s="10">
        <v>-187</v>
      </c>
      <c r="D25" s="10">
        <v>-217</v>
      </c>
      <c r="E25" s="10">
        <v>-266</v>
      </c>
      <c r="F25" s="10">
        <v>-106</v>
      </c>
      <c r="G25" s="10">
        <v>102</v>
      </c>
      <c r="H25" s="10">
        <v>121</v>
      </c>
      <c r="I25" s="10">
        <v>145</v>
      </c>
      <c r="J25" s="10">
        <v>63</v>
      </c>
      <c r="K25" s="10">
        <v>-204</v>
      </c>
      <c r="L25" s="10">
        <v>-90</v>
      </c>
      <c r="M25" s="10">
        <v>-360</v>
      </c>
      <c r="N25" s="10">
        <v>-502</v>
      </c>
      <c r="O25" s="10">
        <v>282</v>
      </c>
      <c r="P25" s="10">
        <v>391</v>
      </c>
      <c r="Q25" s="10">
        <v>280</v>
      </c>
      <c r="R25" s="10">
        <v>252</v>
      </c>
      <c r="S25" s="10">
        <v>-388</v>
      </c>
      <c r="T25" s="10">
        <v>-86</v>
      </c>
    </row>
    <row r="26" spans="2:20" ht="17">
      <c r="B26" s="15" t="s">
        <v>146</v>
      </c>
      <c r="C26" s="10">
        <v>-153</v>
      </c>
      <c r="D26" s="10">
        <v>-56</v>
      </c>
      <c r="E26" s="10">
        <v>92</v>
      </c>
      <c r="F26" s="10">
        <v>52</v>
      </c>
      <c r="G26" s="10">
        <v>-36</v>
      </c>
      <c r="H26" s="10">
        <v>-272</v>
      </c>
      <c r="I26" s="10">
        <v>-309</v>
      </c>
      <c r="J26" s="10">
        <v>-226</v>
      </c>
      <c r="K26" s="10">
        <v>121</v>
      </c>
      <c r="L26" s="10">
        <v>62</v>
      </c>
      <c r="M26" s="10">
        <v>98</v>
      </c>
      <c r="N26" s="10">
        <v>46</v>
      </c>
      <c r="O26" s="10">
        <v>64</v>
      </c>
      <c r="P26" s="10">
        <v>-5</v>
      </c>
      <c r="Q26" s="10">
        <v>-95</v>
      </c>
      <c r="R26" s="10">
        <v>-82</v>
      </c>
      <c r="S26" s="10">
        <v>243</v>
      </c>
      <c r="T26" s="10">
        <v>285</v>
      </c>
    </row>
    <row r="27" spans="2:20" ht="17">
      <c r="B27" s="15" t="s">
        <v>147</v>
      </c>
      <c r="C27" s="10">
        <v>-432</v>
      </c>
      <c r="D27" s="10">
        <v>-863</v>
      </c>
      <c r="E27" s="10">
        <v>-1439</v>
      </c>
      <c r="F27" s="10">
        <v>-1909</v>
      </c>
      <c r="G27" s="10">
        <v>-244</v>
      </c>
      <c r="H27" s="10">
        <v>-521</v>
      </c>
      <c r="I27" s="10">
        <v>-767</v>
      </c>
      <c r="J27" s="10">
        <v>-1289</v>
      </c>
      <c r="K27" s="10">
        <v>-430</v>
      </c>
      <c r="L27" s="10">
        <v>-761</v>
      </c>
      <c r="M27" s="10">
        <v>-1178</v>
      </c>
      <c r="N27" s="10">
        <v>-2015</v>
      </c>
      <c r="O27" s="10">
        <v>-1027</v>
      </c>
      <c r="P27" s="10">
        <v>-2121</v>
      </c>
      <c r="Q27" s="10">
        <v>-3621</v>
      </c>
      <c r="R27" s="10">
        <v>-5376</v>
      </c>
      <c r="S27" s="10">
        <v>-1637</v>
      </c>
      <c r="T27" s="10">
        <v>-3443</v>
      </c>
    </row>
    <row r="28" spans="2:20" ht="17">
      <c r="B28" s="15" t="s">
        <v>148</v>
      </c>
      <c r="C28" s="10">
        <v>-13</v>
      </c>
      <c r="D28" s="10">
        <v>-30</v>
      </c>
      <c r="E28" s="10">
        <v>31</v>
      </c>
      <c r="F28" s="10">
        <f>60+84+1</f>
        <v>145</v>
      </c>
      <c r="G28" s="10">
        <v>-7</v>
      </c>
      <c r="H28" s="10">
        <v>69</v>
      </c>
      <c r="I28" s="10">
        <v>73</v>
      </c>
      <c r="J28" s="10">
        <f>-109+109+43</f>
        <v>43</v>
      </c>
      <c r="K28" s="10">
        <v>-45</v>
      </c>
      <c r="L28" s="10">
        <v>231</v>
      </c>
      <c r="M28" s="10">
        <v>181</v>
      </c>
      <c r="N28" s="10">
        <f>21+51+58</f>
        <v>130</v>
      </c>
      <c r="O28" s="10">
        <v>-200</v>
      </c>
      <c r="P28" s="10">
        <v>-183</v>
      </c>
      <c r="Q28" s="10">
        <v>169</v>
      </c>
      <c r="R28" s="10">
        <f>247+39-228</f>
        <v>58</v>
      </c>
      <c r="S28" s="10">
        <v>-80</v>
      </c>
      <c r="T28" s="10">
        <v>-435</v>
      </c>
    </row>
    <row r="29" spans="2:20">
      <c r="B29" s="12" t="s">
        <v>108</v>
      </c>
      <c r="C29" s="10">
        <f t="shared" ref="C29:T29" si="2">SUM(C9:C18)</f>
        <v>-1542</v>
      </c>
      <c r="D29" s="10">
        <f t="shared" si="2"/>
        <v>-3338</v>
      </c>
      <c r="E29" s="10">
        <f t="shared" si="2"/>
        <v>-3290</v>
      </c>
      <c r="F29" s="10">
        <f t="shared" si="2"/>
        <v>-1295</v>
      </c>
      <c r="G29" s="10">
        <f t="shared" si="2"/>
        <v>-402</v>
      </c>
      <c r="H29" s="10">
        <f t="shared" si="2"/>
        <v>-1083</v>
      </c>
      <c r="I29" s="10">
        <f t="shared" si="2"/>
        <v>-1313</v>
      </c>
      <c r="J29" s="10">
        <f t="shared" si="2"/>
        <v>-808</v>
      </c>
      <c r="K29" s="10">
        <f t="shared" si="2"/>
        <v>-439</v>
      </c>
      <c r="L29" s="10">
        <f t="shared" si="2"/>
        <v>-1502</v>
      </c>
      <c r="M29" s="10">
        <f t="shared" si="2"/>
        <v>-2128</v>
      </c>
      <c r="N29" s="10">
        <f t="shared" si="2"/>
        <v>-3536</v>
      </c>
      <c r="O29" s="10">
        <f t="shared" si="2"/>
        <v>-987</v>
      </c>
      <c r="P29" s="10">
        <f t="shared" si="2"/>
        <v>-1436</v>
      </c>
      <c r="Q29" s="10">
        <f t="shared" si="2"/>
        <v>-1642</v>
      </c>
      <c r="R29" s="10">
        <f t="shared" si="2"/>
        <v>-2894</v>
      </c>
      <c r="S29" s="10">
        <f t="shared" si="2"/>
        <v>-2656</v>
      </c>
      <c r="T29" s="10">
        <f t="shared" si="2"/>
        <v>-4457</v>
      </c>
    </row>
    <row r="31" spans="2:20">
      <c r="B31" s="12" t="s">
        <v>109</v>
      </c>
    </row>
    <row r="32" spans="2:20">
      <c r="B32" s="10" t="s">
        <v>110</v>
      </c>
      <c r="C32" s="10">
        <v>-105</v>
      </c>
      <c r="D32" s="10">
        <v>-220</v>
      </c>
      <c r="E32" s="10">
        <v>-318</v>
      </c>
      <c r="F32" s="10">
        <v>-493</v>
      </c>
      <c r="G32" s="10">
        <v>-119</v>
      </c>
      <c r="H32" s="10">
        <v>-265</v>
      </c>
      <c r="I32" s="10">
        <v>-378</v>
      </c>
      <c r="J32" s="10">
        <v>-524</v>
      </c>
      <c r="K32" s="10">
        <v>-55</v>
      </c>
      <c r="L32" s="10">
        <v>-127</v>
      </c>
      <c r="M32" s="10">
        <v>-230</v>
      </c>
      <c r="N32" s="10">
        <v>-365</v>
      </c>
      <c r="O32" s="10">
        <v>-53</v>
      </c>
      <c r="P32" s="10">
        <v>-133</v>
      </c>
      <c r="Q32" s="10">
        <v>-239</v>
      </c>
      <c r="R32" s="10">
        <v>-399</v>
      </c>
      <c r="S32" s="10">
        <v>-106</v>
      </c>
      <c r="T32" s="10">
        <v>-212</v>
      </c>
    </row>
    <row r="33" spans="2:20">
      <c r="B33" s="10" t="s">
        <v>111</v>
      </c>
      <c r="C33" s="10">
        <v>336</v>
      </c>
      <c r="D33" s="10">
        <v>945</v>
      </c>
      <c r="E33" s="10">
        <f>1080+968</f>
        <v>2048</v>
      </c>
      <c r="F33" s="10">
        <v>-981</v>
      </c>
      <c r="G33" s="10">
        <v>37</v>
      </c>
      <c r="H33" s="10">
        <v>213</v>
      </c>
      <c r="I33" s="10">
        <v>373</v>
      </c>
      <c r="J33" s="10">
        <v>449</v>
      </c>
      <c r="K33" s="10">
        <v>80</v>
      </c>
      <c r="L33" s="10">
        <v>238</v>
      </c>
      <c r="M33" s="10">
        <v>270</v>
      </c>
      <c r="N33" s="10">
        <v>305</v>
      </c>
      <c r="O33" s="10">
        <v>0</v>
      </c>
      <c r="P33" s="10">
        <v>26</v>
      </c>
      <c r="Q33" s="10">
        <v>171</v>
      </c>
      <c r="R33" s="10">
        <v>171</v>
      </c>
      <c r="S33" s="10">
        <v>18</v>
      </c>
      <c r="T33" s="10">
        <v>87</v>
      </c>
    </row>
    <row r="34" spans="2:20">
      <c r="B34" s="10" t="s">
        <v>149</v>
      </c>
      <c r="C34" s="10">
        <f>-968-620</f>
        <v>-1588</v>
      </c>
      <c r="D34" s="10">
        <f>-968-1082</f>
        <v>-2050</v>
      </c>
      <c r="E34" s="10">
        <v>-1163</v>
      </c>
      <c r="F34" s="10">
        <v>1098</v>
      </c>
      <c r="G34" s="10">
        <v>-193</v>
      </c>
      <c r="H34" s="10">
        <v>-277</v>
      </c>
      <c r="I34" s="10">
        <v>-342</v>
      </c>
      <c r="J34" s="10">
        <v>-393</v>
      </c>
      <c r="K34" s="10">
        <v>-104</v>
      </c>
      <c r="L34" s="10">
        <v>-226</v>
      </c>
      <c r="M34" s="10">
        <v>-293</v>
      </c>
      <c r="N34" s="10">
        <v>-337</v>
      </c>
      <c r="O34" s="10">
        <v>-88</v>
      </c>
      <c r="P34" s="10">
        <v>-153</v>
      </c>
      <c r="Q34" s="10">
        <v>-217</v>
      </c>
      <c r="R34" s="10">
        <v>-308</v>
      </c>
      <c r="S34" s="10">
        <v>-54</v>
      </c>
      <c r="T34" s="10">
        <v>-117</v>
      </c>
    </row>
    <row r="35" spans="2:20">
      <c r="B35" s="10" t="s">
        <v>150</v>
      </c>
      <c r="C35" s="10">
        <v>10</v>
      </c>
      <c r="D35" s="10">
        <v>0</v>
      </c>
      <c r="E35" s="10">
        <v>124</v>
      </c>
      <c r="F35" s="10">
        <v>-1184</v>
      </c>
      <c r="G35" s="10">
        <v>-51</v>
      </c>
      <c r="H35" s="10">
        <v>-39</v>
      </c>
      <c r="I35" s="10">
        <v>-45</v>
      </c>
      <c r="J35" s="10">
        <v>-56</v>
      </c>
      <c r="K35" s="10">
        <v>0</v>
      </c>
      <c r="L35" s="10">
        <v>66</v>
      </c>
      <c r="M35" s="10">
        <v>67</v>
      </c>
      <c r="N35" s="10">
        <v>65</v>
      </c>
      <c r="O35" s="10">
        <v>-9</v>
      </c>
      <c r="P35" s="10">
        <v>-25</v>
      </c>
      <c r="Q35" s="10">
        <v>-29</v>
      </c>
      <c r="R35" s="10">
        <v>-34</v>
      </c>
      <c r="S35" s="10">
        <v>-1</v>
      </c>
      <c r="T35" s="10">
        <v>-143</v>
      </c>
    </row>
    <row r="36" spans="2:20">
      <c r="B36" s="10" t="s">
        <v>151</v>
      </c>
      <c r="C36" s="10">
        <v>431</v>
      </c>
      <c r="D36" s="10">
        <v>853</v>
      </c>
      <c r="E36" s="10">
        <v>1432</v>
      </c>
      <c r="F36" s="10">
        <v>66</v>
      </c>
      <c r="G36" s="10">
        <v>275</v>
      </c>
      <c r="H36" s="10">
        <v>547</v>
      </c>
      <c r="I36" s="10">
        <v>800</v>
      </c>
      <c r="J36" s="10">
        <v>1312</v>
      </c>
      <c r="K36" s="10">
        <v>423</v>
      </c>
      <c r="L36" s="10">
        <v>748</v>
      </c>
      <c r="M36" s="10">
        <v>1164</v>
      </c>
      <c r="N36" s="10">
        <v>1943</v>
      </c>
      <c r="O36" s="10">
        <v>969</v>
      </c>
      <c r="P36" s="10">
        <v>2049</v>
      </c>
      <c r="Q36" s="10">
        <v>3432</v>
      </c>
      <c r="R36" s="10">
        <v>5234</v>
      </c>
      <c r="S36" s="10">
        <v>1613</v>
      </c>
      <c r="T36" s="10">
        <v>3311</v>
      </c>
    </row>
    <row r="37" spans="2:20">
      <c r="B37" s="10" t="s">
        <v>152</v>
      </c>
      <c r="C37" s="10">
        <v>0</v>
      </c>
      <c r="D37" s="10">
        <v>0</v>
      </c>
      <c r="F37" s="10">
        <v>1888</v>
      </c>
      <c r="G37" s="10">
        <v>0</v>
      </c>
      <c r="H37" s="10">
        <v>0</v>
      </c>
      <c r="I37" s="10">
        <v>0</v>
      </c>
      <c r="J37" s="10">
        <v>0</v>
      </c>
      <c r="K37" s="10">
        <v>0</v>
      </c>
      <c r="L37" s="10">
        <v>0</v>
      </c>
      <c r="M37" s="10">
        <v>0</v>
      </c>
      <c r="N37" s="10">
        <v>0</v>
      </c>
      <c r="O37" s="10">
        <v>0</v>
      </c>
      <c r="P37" s="10">
        <v>-177</v>
      </c>
      <c r="Q37" s="10">
        <v>-177</v>
      </c>
      <c r="R37" s="10">
        <v>-177</v>
      </c>
      <c r="S37" s="10">
        <v>0</v>
      </c>
      <c r="T37" s="10">
        <v>0</v>
      </c>
    </row>
    <row r="38" spans="2:20">
      <c r="B38" s="10" t="s">
        <v>153</v>
      </c>
      <c r="C38" s="10">
        <v>0</v>
      </c>
      <c r="D38" s="10">
        <v>0</v>
      </c>
      <c r="E38" s="10">
        <v>0</v>
      </c>
      <c r="F38" s="10">
        <v>1</v>
      </c>
      <c r="G38" s="10">
        <v>0</v>
      </c>
      <c r="H38" s="10">
        <v>0</v>
      </c>
      <c r="I38" s="10">
        <v>0</v>
      </c>
      <c r="J38" s="10">
        <v>729</v>
      </c>
      <c r="K38" s="10">
        <v>0</v>
      </c>
      <c r="L38" s="10">
        <v>0</v>
      </c>
      <c r="M38" s="10">
        <v>0</v>
      </c>
      <c r="N38" s="10">
        <v>194</v>
      </c>
      <c r="O38" s="10">
        <v>331</v>
      </c>
      <c r="P38" s="10">
        <v>345</v>
      </c>
      <c r="Q38" s="10">
        <v>646</v>
      </c>
      <c r="R38" s="10">
        <v>647</v>
      </c>
      <c r="S38" s="10">
        <v>0</v>
      </c>
      <c r="T38" s="10">
        <v>1</v>
      </c>
    </row>
    <row r="39" spans="2:20">
      <c r="B39" s="10" t="s">
        <v>154</v>
      </c>
      <c r="C39" s="10">
        <v>-16</v>
      </c>
      <c r="D39" s="10">
        <v>0</v>
      </c>
      <c r="E39" s="10">
        <v>-3</v>
      </c>
      <c r="F39" s="10">
        <v>-4</v>
      </c>
      <c r="G39" s="10">
        <v>-4</v>
      </c>
      <c r="H39" s="10">
        <v>-6</v>
      </c>
      <c r="I39" s="10">
        <v>-9</v>
      </c>
      <c r="J39" s="10">
        <f>-39+19</f>
        <v>-20</v>
      </c>
      <c r="K39" s="10">
        <v>-1</v>
      </c>
      <c r="L39" s="10">
        <v>-2</v>
      </c>
      <c r="M39" s="10">
        <v>-14</v>
      </c>
      <c r="N39" s="10">
        <v>-14</v>
      </c>
      <c r="O39" s="10">
        <v>-35</v>
      </c>
      <c r="P39" s="10">
        <v>-42</v>
      </c>
      <c r="Q39" s="10">
        <f>11-46</f>
        <v>-35</v>
      </c>
      <c r="R39" s="10">
        <f>-46+11</f>
        <v>-35</v>
      </c>
      <c r="S39" s="10">
        <v>0</v>
      </c>
      <c r="T39" s="10">
        <v>-54</v>
      </c>
    </row>
    <row r="40" spans="2:20">
      <c r="B40" s="10" t="s">
        <v>107</v>
      </c>
      <c r="C40" s="10">
        <v>-6</v>
      </c>
      <c r="D40" s="10">
        <v>44</v>
      </c>
      <c r="E40" s="10">
        <v>40</v>
      </c>
      <c r="F40" s="10">
        <v>19</v>
      </c>
      <c r="G40" s="10">
        <v>14</v>
      </c>
      <c r="H40" s="10">
        <v>12</v>
      </c>
      <c r="I40" s="10">
        <v>25</v>
      </c>
      <c r="J40" s="10">
        <v>6</v>
      </c>
      <c r="K40" s="10">
        <v>51</v>
      </c>
      <c r="L40" s="10">
        <v>31</v>
      </c>
      <c r="M40" s="10">
        <v>16</v>
      </c>
      <c r="N40" s="10">
        <v>22</v>
      </c>
      <c r="O40" s="10">
        <v>0</v>
      </c>
      <c r="P40" s="10">
        <v>-1</v>
      </c>
      <c r="Q40" s="10">
        <v>10</v>
      </c>
      <c r="R40" s="10">
        <v>14</v>
      </c>
      <c r="S40" s="10">
        <v>-22</v>
      </c>
      <c r="T40" s="10">
        <v>-6</v>
      </c>
    </row>
    <row r="41" spans="2:20">
      <c r="B41" s="12" t="s">
        <v>112</v>
      </c>
      <c r="C41" s="10">
        <f t="shared" ref="C41:T41" si="3">SUM(C32:C40)</f>
        <v>-938</v>
      </c>
      <c r="D41" s="10">
        <f t="shared" si="3"/>
        <v>-428</v>
      </c>
      <c r="E41" s="10">
        <f t="shared" si="3"/>
        <v>2160</v>
      </c>
      <c r="F41" s="10">
        <f t="shared" si="3"/>
        <v>410</v>
      </c>
      <c r="G41" s="10">
        <f t="shared" si="3"/>
        <v>-41</v>
      </c>
      <c r="H41" s="10">
        <f t="shared" si="3"/>
        <v>185</v>
      </c>
      <c r="I41" s="10">
        <f t="shared" si="3"/>
        <v>424</v>
      </c>
      <c r="J41" s="10">
        <f t="shared" si="3"/>
        <v>1503</v>
      </c>
      <c r="K41" s="10">
        <f t="shared" si="3"/>
        <v>394</v>
      </c>
      <c r="L41" s="10">
        <f t="shared" si="3"/>
        <v>728</v>
      </c>
      <c r="M41" s="10">
        <f t="shared" si="3"/>
        <v>980</v>
      </c>
      <c r="N41" s="10">
        <f t="shared" si="3"/>
        <v>1813</v>
      </c>
      <c r="O41" s="10">
        <f t="shared" si="3"/>
        <v>1115</v>
      </c>
      <c r="P41" s="10">
        <f t="shared" si="3"/>
        <v>1889</v>
      </c>
      <c r="Q41" s="10">
        <f t="shared" si="3"/>
        <v>3562</v>
      </c>
      <c r="R41" s="10">
        <f t="shared" si="3"/>
        <v>5113</v>
      </c>
      <c r="S41" s="10">
        <f t="shared" si="3"/>
        <v>1448</v>
      </c>
      <c r="T41" s="10">
        <f t="shared" si="3"/>
        <v>2867</v>
      </c>
    </row>
    <row r="43" spans="2:20">
      <c r="B43" s="12" t="s">
        <v>113</v>
      </c>
    </row>
    <row r="44" spans="2:20">
      <c r="B44" s="10" t="s">
        <v>114</v>
      </c>
      <c r="C44" s="10">
        <f>931+53+0</f>
        <v>984</v>
      </c>
      <c r="D44" s="10">
        <f>1903+231-63</f>
        <v>2071</v>
      </c>
      <c r="E44" s="10">
        <f>1490+475-166</f>
        <v>1799</v>
      </c>
      <c r="F44" s="10">
        <f>286+453-253</f>
        <v>486</v>
      </c>
      <c r="G44" s="10">
        <f>1193+9-214</f>
        <v>988</v>
      </c>
      <c r="H44" s="10">
        <f>1198+44-104</f>
        <v>1138</v>
      </c>
      <c r="I44" s="10">
        <f>1158+109-198</f>
        <v>1069</v>
      </c>
      <c r="J44" s="10">
        <f>182+144-310</f>
        <v>16</v>
      </c>
      <c r="K44" s="10">
        <f>-54+66-7</f>
        <v>5</v>
      </c>
      <c r="L44" s="10">
        <f>719+90-4</f>
        <v>805</v>
      </c>
      <c r="M44" s="10">
        <f>24635-23952</f>
        <v>683</v>
      </c>
      <c r="N44" s="10">
        <f>33776-31861</f>
        <v>1915</v>
      </c>
      <c r="O44" s="10">
        <f>11668-11757</f>
        <v>-89</v>
      </c>
      <c r="P44" s="10">
        <f>19986-20954</f>
        <v>-968</v>
      </c>
      <c r="Q44" s="10">
        <f>24157-25798</f>
        <v>-1641</v>
      </c>
      <c r="R44" s="10">
        <f>29600-31694</f>
        <v>-2094</v>
      </c>
      <c r="S44" s="10">
        <f>6712-5411</f>
        <v>1301</v>
      </c>
      <c r="T44" s="10">
        <f>19842-18266</f>
        <v>1576</v>
      </c>
    </row>
    <row r="45" spans="2:20">
      <c r="B45" s="10" t="s">
        <v>162</v>
      </c>
      <c r="C45" s="10">
        <v>2560</v>
      </c>
      <c r="D45" s="10">
        <v>5926</v>
      </c>
      <c r="E45" s="10">
        <v>9191</v>
      </c>
      <c r="F45" s="10">
        <v>10732</v>
      </c>
      <c r="G45" s="10">
        <v>978</v>
      </c>
      <c r="H45" s="10">
        <v>3262</v>
      </c>
      <c r="I45" s="10">
        <v>4766</v>
      </c>
      <c r="J45" s="10">
        <v>5244</v>
      </c>
      <c r="K45" s="10">
        <v>78</v>
      </c>
      <c r="L45" s="10">
        <v>1762</v>
      </c>
      <c r="M45" s="10">
        <v>2381</v>
      </c>
      <c r="N45" s="10">
        <v>2401</v>
      </c>
      <c r="O45" s="10">
        <v>15</v>
      </c>
      <c r="P45" s="10">
        <v>998</v>
      </c>
      <c r="Q45" s="10">
        <v>998</v>
      </c>
      <c r="R45" s="10">
        <v>1001</v>
      </c>
      <c r="S45" s="10">
        <v>30</v>
      </c>
      <c r="T45" s="10">
        <v>50</v>
      </c>
    </row>
    <row r="46" spans="2:20">
      <c r="B46" s="10" t="s">
        <v>163</v>
      </c>
      <c r="C46" s="10">
        <v>-1296</v>
      </c>
      <c r="D46" s="10">
        <v>-4430</v>
      </c>
      <c r="E46" s="10">
        <v>-8049</v>
      </c>
      <c r="F46" s="10">
        <v>-10262</v>
      </c>
      <c r="G46" s="10">
        <v>-1376</v>
      </c>
      <c r="H46" s="10">
        <v>-3496</v>
      </c>
      <c r="I46" s="10">
        <v>-4793</v>
      </c>
      <c r="J46" s="10">
        <v>-5698</v>
      </c>
      <c r="K46" s="10">
        <v>-81</v>
      </c>
      <c r="L46" s="10">
        <v>-1567</v>
      </c>
      <c r="M46" s="10">
        <v>-1585</v>
      </c>
      <c r="N46" s="10">
        <v>-2114</v>
      </c>
      <c r="O46" s="10">
        <v>-15</v>
      </c>
      <c r="P46" s="10">
        <v>0</v>
      </c>
      <c r="Q46" s="10">
        <v>0</v>
      </c>
      <c r="R46" s="10">
        <v>-4</v>
      </c>
      <c r="S46" s="10">
        <v>-601</v>
      </c>
      <c r="T46" s="10">
        <v>-628</v>
      </c>
    </row>
    <row r="47" spans="2:20">
      <c r="B47" s="10" t="s">
        <v>155</v>
      </c>
      <c r="C47" s="10">
        <v>4</v>
      </c>
      <c r="D47" s="10">
        <v>11</v>
      </c>
      <c r="E47" s="10">
        <v>11</v>
      </c>
      <c r="F47" s="10">
        <v>11</v>
      </c>
      <c r="G47" s="10">
        <v>5</v>
      </c>
      <c r="H47" s="10">
        <v>7</v>
      </c>
      <c r="I47" s="10">
        <v>8</v>
      </c>
      <c r="J47" s="10">
        <v>17</v>
      </c>
      <c r="K47" s="10">
        <v>2</v>
      </c>
      <c r="L47" s="10">
        <v>2</v>
      </c>
      <c r="M47" s="10">
        <v>2</v>
      </c>
      <c r="N47" s="10">
        <v>9</v>
      </c>
      <c r="O47" s="10">
        <v>44</v>
      </c>
      <c r="P47" s="10">
        <v>72</v>
      </c>
      <c r="Q47" s="10">
        <v>72</v>
      </c>
      <c r="R47" s="10">
        <v>116</v>
      </c>
      <c r="S47" s="10">
        <v>32</v>
      </c>
      <c r="T47" s="10">
        <v>44</v>
      </c>
    </row>
    <row r="48" spans="2:20">
      <c r="B48" s="10" t="s">
        <v>167</v>
      </c>
      <c r="C48" s="10">
        <v>0</v>
      </c>
      <c r="D48" s="10">
        <v>0</v>
      </c>
      <c r="E48" s="10">
        <v>0</v>
      </c>
      <c r="F48" s="10">
        <v>0</v>
      </c>
      <c r="G48" s="10">
        <v>0</v>
      </c>
      <c r="H48" s="10">
        <v>0</v>
      </c>
      <c r="I48" s="10">
        <v>0</v>
      </c>
      <c r="J48" s="10">
        <v>-34</v>
      </c>
      <c r="K48" s="10">
        <v>0</v>
      </c>
      <c r="L48" s="10">
        <v>-100</v>
      </c>
      <c r="M48" s="10">
        <v>-100</v>
      </c>
      <c r="N48" s="10">
        <v>-100</v>
      </c>
      <c r="O48" s="10">
        <v>0</v>
      </c>
      <c r="P48" s="10">
        <v>0</v>
      </c>
      <c r="Q48" s="10">
        <v>-100</v>
      </c>
      <c r="R48" s="10">
        <v>-100</v>
      </c>
      <c r="S48" s="10">
        <v>0</v>
      </c>
      <c r="T48" s="10">
        <v>0</v>
      </c>
    </row>
    <row r="49" spans="2:20">
      <c r="B49" s="10" t="s">
        <v>115</v>
      </c>
      <c r="C49" s="10">
        <v>-73</v>
      </c>
      <c r="D49" s="10">
        <v>-147</v>
      </c>
      <c r="E49" s="10">
        <v>-225</v>
      </c>
      <c r="F49" s="10">
        <f>-34-271-8</f>
        <v>-313</v>
      </c>
      <c r="G49" s="10">
        <v>-79</v>
      </c>
      <c r="H49" s="10">
        <v>-158</v>
      </c>
      <c r="I49" s="10">
        <v>-237</v>
      </c>
      <c r="J49" s="10">
        <v>-283</v>
      </c>
      <c r="K49" s="10">
        <v>-79</v>
      </c>
      <c r="L49" s="10">
        <v>-159</v>
      </c>
      <c r="M49" s="10">
        <v>-237</v>
      </c>
      <c r="N49" s="10">
        <f>-34-22</f>
        <v>-56</v>
      </c>
      <c r="O49" s="10">
        <v>-79</v>
      </c>
      <c r="P49" s="10">
        <v>0</v>
      </c>
      <c r="Q49" s="10">
        <v>-240</v>
      </c>
      <c r="R49" s="10">
        <f>-34-289</f>
        <v>-323</v>
      </c>
      <c r="S49" s="10">
        <v>-82</v>
      </c>
      <c r="T49" s="10">
        <v>-162</v>
      </c>
    </row>
    <row r="50" spans="2:20">
      <c r="B50" s="10" t="s">
        <v>156</v>
      </c>
      <c r="C50" s="10">
        <v>0</v>
      </c>
      <c r="D50" s="10">
        <v>0</v>
      </c>
      <c r="E50" s="10">
        <v>0</v>
      </c>
      <c r="F50" s="10">
        <v>0</v>
      </c>
      <c r="G50" s="10">
        <v>0</v>
      </c>
      <c r="H50" s="10" t="s">
        <v>170</v>
      </c>
      <c r="I50" s="10">
        <v>0</v>
      </c>
      <c r="J50" s="10">
        <v>-23</v>
      </c>
      <c r="K50" s="10">
        <v>0</v>
      </c>
      <c r="L50" s="10">
        <v>-17</v>
      </c>
      <c r="M50" s="10">
        <v>0</v>
      </c>
      <c r="N50" s="10">
        <v>-282</v>
      </c>
      <c r="O50" s="10">
        <v>0</v>
      </c>
      <c r="P50" s="10">
        <v>-158</v>
      </c>
      <c r="Q50" s="10">
        <v>-75</v>
      </c>
      <c r="R50" s="10">
        <v>-76</v>
      </c>
      <c r="S50" s="10">
        <v>0</v>
      </c>
      <c r="T50" s="10">
        <v>521</v>
      </c>
    </row>
    <row r="51" spans="2:20">
      <c r="B51" s="10" t="s">
        <v>157</v>
      </c>
      <c r="C51" s="10">
        <v>0</v>
      </c>
      <c r="D51" s="10">
        <v>0</v>
      </c>
      <c r="E51" s="10">
        <v>0</v>
      </c>
      <c r="F51" s="10">
        <v>0</v>
      </c>
      <c r="G51" s="10">
        <v>0</v>
      </c>
      <c r="H51" s="10">
        <v>0</v>
      </c>
      <c r="I51" s="10">
        <v>0</v>
      </c>
      <c r="J51" s="10">
        <v>-3</v>
      </c>
      <c r="K51" s="10">
        <v>0</v>
      </c>
      <c r="L51" s="10">
        <v>0</v>
      </c>
      <c r="M51" s="10">
        <v>0</v>
      </c>
      <c r="N51" s="10">
        <v>0</v>
      </c>
      <c r="O51" s="10">
        <v>-147</v>
      </c>
      <c r="P51" s="10">
        <v>-147</v>
      </c>
      <c r="Q51" s="10">
        <v>-147</v>
      </c>
      <c r="R51" s="10">
        <v>-147</v>
      </c>
      <c r="S51" s="10">
        <v>0</v>
      </c>
      <c r="T51" s="10">
        <v>0</v>
      </c>
    </row>
    <row r="52" spans="2:20">
      <c r="B52" s="10" t="s">
        <v>107</v>
      </c>
      <c r="C52" s="10">
        <v>-5</v>
      </c>
      <c r="D52" s="10">
        <v>-13</v>
      </c>
      <c r="E52" s="10">
        <v>-18</v>
      </c>
      <c r="F52" s="10">
        <f>-19-4</f>
        <v>-23</v>
      </c>
      <c r="G52" s="10">
        <v>-3</v>
      </c>
      <c r="H52" s="10">
        <v>-8</v>
      </c>
      <c r="I52" s="10">
        <v>-17</v>
      </c>
      <c r="J52" s="10">
        <v>-7</v>
      </c>
      <c r="K52" s="10">
        <v>-9</v>
      </c>
      <c r="L52" s="10">
        <v>-726</v>
      </c>
      <c r="M52" s="10">
        <v>-15</v>
      </c>
      <c r="N52" s="10">
        <v>-10</v>
      </c>
      <c r="O52" s="10">
        <v>-19</v>
      </c>
      <c r="P52" s="10">
        <v>-27</v>
      </c>
      <c r="Q52" s="10">
        <v>-33</v>
      </c>
      <c r="R52" s="10">
        <v>-5</v>
      </c>
      <c r="S52" s="10">
        <v>28</v>
      </c>
      <c r="T52" s="10">
        <v>44</v>
      </c>
    </row>
    <row r="53" spans="2:20">
      <c r="B53" s="12" t="s">
        <v>116</v>
      </c>
      <c r="C53" s="10">
        <f t="shared" ref="C53:T53" si="4">SUM(C44:C52)</f>
        <v>2174</v>
      </c>
      <c r="D53" s="10">
        <f t="shared" si="4"/>
        <v>3418</v>
      </c>
      <c r="E53" s="10">
        <f t="shared" si="4"/>
        <v>2709</v>
      </c>
      <c r="F53" s="10">
        <f t="shared" si="4"/>
        <v>631</v>
      </c>
      <c r="G53" s="10">
        <f t="shared" si="4"/>
        <v>513</v>
      </c>
      <c r="H53" s="10">
        <f t="shared" si="4"/>
        <v>745</v>
      </c>
      <c r="I53" s="10">
        <f t="shared" si="4"/>
        <v>796</v>
      </c>
      <c r="J53" s="10">
        <f t="shared" si="4"/>
        <v>-771</v>
      </c>
      <c r="K53" s="10">
        <f t="shared" si="4"/>
        <v>-84</v>
      </c>
      <c r="L53" s="10">
        <f t="shared" si="4"/>
        <v>0</v>
      </c>
      <c r="M53" s="10">
        <f t="shared" si="4"/>
        <v>1129</v>
      </c>
      <c r="N53" s="10">
        <f t="shared" si="4"/>
        <v>1763</v>
      </c>
      <c r="O53" s="10">
        <f t="shared" si="4"/>
        <v>-290</v>
      </c>
      <c r="P53" s="10">
        <f t="shared" si="4"/>
        <v>-230</v>
      </c>
      <c r="Q53" s="10">
        <f t="shared" si="4"/>
        <v>-1166</v>
      </c>
      <c r="R53" s="10">
        <f t="shared" si="4"/>
        <v>-1632</v>
      </c>
      <c r="S53" s="10">
        <f t="shared" si="4"/>
        <v>708</v>
      </c>
      <c r="T53" s="10">
        <f t="shared" si="4"/>
        <v>1445</v>
      </c>
    </row>
    <row r="55" spans="2:20" ht="34">
      <c r="B55" s="15" t="s">
        <v>117</v>
      </c>
      <c r="C55" s="10">
        <v>-7</v>
      </c>
      <c r="D55" s="10">
        <v>-32</v>
      </c>
      <c r="E55" s="10">
        <v>18</v>
      </c>
      <c r="F55" s="10">
        <v>11</v>
      </c>
      <c r="G55" s="10">
        <v>6</v>
      </c>
      <c r="H55" s="10">
        <v>8</v>
      </c>
      <c r="I55" s="10">
        <v>-7</v>
      </c>
      <c r="J55" s="10">
        <v>5</v>
      </c>
      <c r="K55" s="10">
        <v>2</v>
      </c>
      <c r="L55" s="10">
        <v>5</v>
      </c>
      <c r="M55" s="10">
        <v>5</v>
      </c>
      <c r="N55" s="10">
        <v>19</v>
      </c>
      <c r="O55" s="10">
        <v>33</v>
      </c>
      <c r="P55" s="10">
        <v>-100</v>
      </c>
      <c r="Q55" s="10">
        <v>-79</v>
      </c>
      <c r="R55" s="10">
        <v>-63</v>
      </c>
      <c r="S55" s="10">
        <v>1</v>
      </c>
      <c r="T55" s="10">
        <v>63</v>
      </c>
    </row>
    <row r="56" spans="2:20">
      <c r="B56" s="10" t="s">
        <v>166</v>
      </c>
      <c r="C56" s="10">
        <v>-313</v>
      </c>
      <c r="D56" s="10">
        <v>-380</v>
      </c>
      <c r="E56" s="10">
        <v>-334</v>
      </c>
      <c r="F56" s="10">
        <v>-212</v>
      </c>
      <c r="G56" s="10">
        <v>76</v>
      </c>
      <c r="H56" s="10">
        <v>-145</v>
      </c>
      <c r="I56" s="10">
        <v>-100</v>
      </c>
      <c r="J56" s="10">
        <v>-71</v>
      </c>
      <c r="K56" s="10">
        <v>-127</v>
      </c>
      <c r="L56" s="10">
        <v>-43</v>
      </c>
      <c r="M56" s="10">
        <v>-14</v>
      </c>
      <c r="N56" s="10">
        <v>59</v>
      </c>
      <c r="O56" s="10">
        <v>-129</v>
      </c>
      <c r="P56" s="10">
        <v>123</v>
      </c>
      <c r="Q56" s="10">
        <v>675</v>
      </c>
      <c r="R56" s="10">
        <v>524</v>
      </c>
      <c r="S56" s="10">
        <v>-499</v>
      </c>
      <c r="T56" s="10">
        <v>-82</v>
      </c>
    </row>
    <row r="57" spans="2:20">
      <c r="B57" s="10" t="s">
        <v>158</v>
      </c>
      <c r="C57" s="10">
        <v>605</v>
      </c>
      <c r="D57" s="10">
        <v>605</v>
      </c>
      <c r="E57" s="10">
        <v>605</v>
      </c>
      <c r="F57" s="10">
        <v>605</v>
      </c>
      <c r="G57" s="10">
        <v>393</v>
      </c>
      <c r="H57" s="10">
        <v>393</v>
      </c>
      <c r="I57" s="10">
        <v>393</v>
      </c>
      <c r="J57" s="10">
        <v>393</v>
      </c>
      <c r="K57" s="10">
        <v>322</v>
      </c>
      <c r="L57" s="10">
        <v>322</v>
      </c>
      <c r="M57" s="10">
        <v>322</v>
      </c>
      <c r="N57" s="10">
        <v>322</v>
      </c>
      <c r="O57" s="10">
        <v>381</v>
      </c>
      <c r="P57" s="10">
        <v>381</v>
      </c>
      <c r="Q57" s="10">
        <v>381</v>
      </c>
      <c r="R57" s="10">
        <v>381</v>
      </c>
      <c r="S57" s="10">
        <v>905</v>
      </c>
      <c r="T57" s="10">
        <v>905</v>
      </c>
    </row>
    <row r="58" spans="2:20">
      <c r="B58" s="10" t="s">
        <v>159</v>
      </c>
      <c r="C58" s="10">
        <f>SUM(C56:C57)</f>
        <v>292</v>
      </c>
      <c r="D58" s="10">
        <f>SUM(D56:D57)</f>
        <v>225</v>
      </c>
      <c r="E58" s="10">
        <f t="shared" ref="E58:S58" si="5">SUM(E56:E57)</f>
        <v>271</v>
      </c>
      <c r="F58" s="10">
        <f t="shared" si="5"/>
        <v>393</v>
      </c>
      <c r="G58" s="10">
        <f t="shared" si="5"/>
        <v>469</v>
      </c>
      <c r="H58" s="10">
        <f t="shared" si="5"/>
        <v>248</v>
      </c>
      <c r="I58" s="10">
        <f t="shared" si="5"/>
        <v>293</v>
      </c>
      <c r="J58" s="10">
        <f t="shared" si="5"/>
        <v>322</v>
      </c>
      <c r="K58" s="10">
        <f t="shared" si="5"/>
        <v>195</v>
      </c>
      <c r="L58" s="10">
        <f t="shared" si="5"/>
        <v>279</v>
      </c>
      <c r="M58" s="10">
        <f t="shared" si="5"/>
        <v>308</v>
      </c>
      <c r="N58" s="10">
        <f t="shared" si="5"/>
        <v>381</v>
      </c>
      <c r="O58" s="10">
        <f t="shared" si="5"/>
        <v>252</v>
      </c>
      <c r="P58" s="10">
        <f t="shared" si="5"/>
        <v>504</v>
      </c>
      <c r="Q58" s="10">
        <f t="shared" si="5"/>
        <v>1056</v>
      </c>
      <c r="R58" s="10">
        <f t="shared" si="5"/>
        <v>905</v>
      </c>
      <c r="S58" s="10">
        <f t="shared" si="5"/>
        <v>406</v>
      </c>
      <c r="T58" s="10">
        <f>SUM(T56:T57)</f>
        <v>823</v>
      </c>
    </row>
    <row r="59" spans="2:20">
      <c r="B59" s="16"/>
    </row>
    <row r="60" spans="2:20" ht="31" customHeight="1">
      <c r="B60" s="15"/>
    </row>
    <row r="61" spans="2:20" ht="32" customHeight="1">
      <c r="B61" s="17"/>
    </row>
    <row r="63" spans="2:20">
      <c r="B63" s="16"/>
    </row>
    <row r="64" spans="2:20">
      <c r="B64" s="12"/>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B543D-7121-8642-93EF-D9B226285C9B}">
  <dimension ref="B1:XFD18"/>
  <sheetViews>
    <sheetView workbookViewId="0">
      <selection activeCell="W16" sqref="W16"/>
    </sheetView>
  </sheetViews>
  <sheetFormatPr baseColWidth="10" defaultRowHeight="16"/>
  <cols>
    <col min="1" max="1" width="1.1640625" customWidth="1"/>
    <col min="2" max="2" width="30.33203125" bestFit="1" customWidth="1"/>
    <col min="7" max="7" width="9" bestFit="1" customWidth="1"/>
  </cols>
  <sheetData>
    <row r="1" spans="2:44 16384:16384">
      <c r="B1" t="s">
        <v>120</v>
      </c>
    </row>
    <row r="2" spans="2:44 16384:16384">
      <c r="B2" t="e" vm="1">
        <v>#VALUE!</v>
      </c>
    </row>
    <row r="7" spans="2:44 16384:16384" s="10" customFormat="1">
      <c r="C7" s="10" t="s">
        <v>0</v>
      </c>
      <c r="D7" s="10" t="s">
        <v>1</v>
      </c>
      <c r="E7" s="10" t="s">
        <v>2</v>
      </c>
      <c r="F7" s="10" t="s">
        <v>3</v>
      </c>
      <c r="G7" s="10" t="s">
        <v>4</v>
      </c>
      <c r="H7" s="10" t="s">
        <v>5</v>
      </c>
      <c r="I7" s="10" t="s">
        <v>6</v>
      </c>
      <c r="J7" s="10" t="s">
        <v>7</v>
      </c>
      <c r="K7" s="10" t="s">
        <v>8</v>
      </c>
      <c r="L7" s="10" t="s">
        <v>9</v>
      </c>
      <c r="M7" s="11" t="s">
        <v>10</v>
      </c>
      <c r="N7" s="11" t="s">
        <v>11</v>
      </c>
      <c r="O7" s="10" t="s">
        <v>12</v>
      </c>
      <c r="P7" s="10" t="s">
        <v>13</v>
      </c>
      <c r="Q7" s="10" t="s">
        <v>14</v>
      </c>
      <c r="R7" s="10" t="s">
        <v>15</v>
      </c>
      <c r="S7" s="10" t="s">
        <v>16</v>
      </c>
      <c r="T7" s="10" t="s">
        <v>17</v>
      </c>
      <c r="V7" s="10" t="s">
        <v>18</v>
      </c>
      <c r="W7" s="10" t="s">
        <v>19</v>
      </c>
      <c r="X7" s="10" t="s">
        <v>20</v>
      </c>
      <c r="Y7" s="10" t="s">
        <v>21</v>
      </c>
      <c r="Z7" s="10" t="s">
        <v>22</v>
      </c>
      <c r="AA7" s="10" t="s">
        <v>23</v>
      </c>
      <c r="AB7" s="10" t="s">
        <v>24</v>
      </c>
      <c r="AC7" s="10" t="s">
        <v>25</v>
      </c>
      <c r="AD7" s="10" t="s">
        <v>26</v>
      </c>
      <c r="AE7" s="10" t="s">
        <v>27</v>
      </c>
      <c r="AF7" s="10" t="s">
        <v>28</v>
      </c>
      <c r="AG7" s="10" t="s">
        <v>29</v>
      </c>
      <c r="AH7" s="10" t="s">
        <v>30</v>
      </c>
      <c r="AI7" s="10" t="s">
        <v>31</v>
      </c>
      <c r="AJ7" s="10" t="s">
        <v>32</v>
      </c>
      <c r="AK7" s="10" t="s">
        <v>33</v>
      </c>
      <c r="AL7" s="10" t="s">
        <v>34</v>
      </c>
      <c r="AM7" s="10" t="s">
        <v>35</v>
      </c>
      <c r="AN7" s="10" t="s">
        <v>36</v>
      </c>
      <c r="AO7" s="10" t="s">
        <v>37</v>
      </c>
      <c r="AP7" s="10" t="s">
        <v>38</v>
      </c>
      <c r="AQ7" s="10" t="s">
        <v>39</v>
      </c>
    </row>
    <row r="8" spans="2:44 16384:16384">
      <c r="B8" s="3" t="s">
        <v>67</v>
      </c>
      <c r="C8" s="10">
        <f>'Cash Flow Statement'!C32</f>
        <v>-105</v>
      </c>
      <c r="D8" s="10">
        <f>'Cash Flow Statement'!D32</f>
        <v>-220</v>
      </c>
      <c r="E8" s="10">
        <f>'Cash Flow Statement'!E32</f>
        <v>-318</v>
      </c>
      <c r="F8" s="10">
        <f>'Cash Flow Statement'!F32</f>
        <v>-493</v>
      </c>
      <c r="G8" s="10">
        <f>'Cash Flow Statement'!G32</f>
        <v>-119</v>
      </c>
      <c r="H8" s="10">
        <f>'Cash Flow Statement'!H32</f>
        <v>-265</v>
      </c>
      <c r="I8" s="10">
        <f>'Cash Flow Statement'!I32</f>
        <v>-378</v>
      </c>
      <c r="J8" s="10">
        <f>'Cash Flow Statement'!J32</f>
        <v>-524</v>
      </c>
      <c r="K8" s="10">
        <f>'Cash Flow Statement'!K32</f>
        <v>-55</v>
      </c>
      <c r="L8" s="10">
        <f>'Cash Flow Statement'!L32</f>
        <v>-127</v>
      </c>
      <c r="M8" s="10">
        <f>'Cash Flow Statement'!M32</f>
        <v>-230</v>
      </c>
      <c r="N8" s="10">
        <f>'Cash Flow Statement'!N32</f>
        <v>-365</v>
      </c>
      <c r="O8" s="10">
        <f>'Cash Flow Statement'!O32</f>
        <v>-53</v>
      </c>
      <c r="P8" s="10">
        <f>'Cash Flow Statement'!P32</f>
        <v>-133</v>
      </c>
      <c r="Q8" s="10">
        <f>'Cash Flow Statement'!Q32</f>
        <v>-239</v>
      </c>
      <c r="R8" s="10">
        <f>'Cash Flow Statement'!R32</f>
        <v>-399</v>
      </c>
      <c r="S8" s="10">
        <f>'Cash Flow Statement'!S32</f>
        <v>-106</v>
      </c>
      <c r="T8" s="10">
        <f>'Cash Flow Statement'!T32</f>
        <v>-212</v>
      </c>
      <c r="V8" s="8">
        <f>-V9*'Income Statement'!V8</f>
        <v>-315.19040799999999</v>
      </c>
      <c r="W8" s="8">
        <f>-W9*'Income Statement'!W8</f>
        <v>-327.79802431999997</v>
      </c>
      <c r="X8" s="8">
        <f>-X9*'Income Statement'!X8</f>
        <v>-270.3072939008</v>
      </c>
      <c r="Y8" s="8">
        <f>-Y9*'Income Statement'!Y8</f>
        <v>-281.11958565683204</v>
      </c>
      <c r="Z8" s="8">
        <f>-Z9*'Income Statement'!Z8</f>
        <v>-292.36436908310532</v>
      </c>
      <c r="AA8" s="8">
        <f>-AA9*'Income Statement'!AA8</f>
        <v>-304.05894384642954</v>
      </c>
      <c r="AB8" s="8">
        <f>-AB9*'Income Statement'!AB8</f>
        <v>-316.22130160028672</v>
      </c>
      <c r="AC8" s="8">
        <f>-AC9*'Income Statement'!AC8</f>
        <v>-328.87015366429819</v>
      </c>
      <c r="AD8" s="8">
        <f>-AD9*'Income Statement'!AD8</f>
        <v>-342.02495981087014</v>
      </c>
      <c r="AE8" s="8">
        <f>-AE9*'Income Statement'!AE8</f>
        <v>-355.70595820330499</v>
      </c>
      <c r="AF8" s="8">
        <f>-AF9*'Income Statement'!AF8</f>
        <v>-369.93419653143718</v>
      </c>
      <c r="AG8" s="8">
        <f>-AG9*'Income Statement'!AG8</f>
        <v>-384.73156439269468</v>
      </c>
      <c r="AH8" s="8">
        <f>-AH9*'Income Statement'!AH8</f>
        <v>-400.12082696840247</v>
      </c>
      <c r="AI8" s="8">
        <f>-AI9*'Income Statement'!AI8</f>
        <v>-416.12566004713858</v>
      </c>
      <c r="AJ8" s="8">
        <f>-AJ9*'Income Statement'!AJ8</f>
        <v>-432.77068644902414</v>
      </c>
      <c r="AK8" s="8">
        <f>-AK9*'Income Statement'!AK8</f>
        <v>-450.08151390698515</v>
      </c>
      <c r="AL8" s="8">
        <f>-AL9*'Income Statement'!AL8</f>
        <v>-468.08477446326464</v>
      </c>
      <c r="AM8" s="8">
        <f>-AM9*'Income Statement'!AM8</f>
        <v>-486.80816544179521</v>
      </c>
      <c r="AN8" s="8">
        <f>-AN9*'Income Statement'!AN8</f>
        <v>-506.28049205946701</v>
      </c>
      <c r="AO8" s="8">
        <f>-AO9*'Income Statement'!AO8</f>
        <v>-526.5317117418457</v>
      </c>
      <c r="AP8" s="8">
        <f>-AP9*'Income Statement'!AP8</f>
        <v>-547.5929802115196</v>
      </c>
      <c r="AQ8" s="8">
        <f>-AQ9*'Income Statement'!AQ8</f>
        <v>-569.49669941998036</v>
      </c>
    </row>
    <row r="9" spans="2:44 16384:16384" ht="34">
      <c r="B9" s="4" t="s">
        <v>68</v>
      </c>
      <c r="C9" s="24">
        <f>-(C8/'Income Statement'!C8)</f>
        <v>9.86749365661122E-3</v>
      </c>
      <c r="D9" s="24">
        <f>-(D8/'Income Statement'!D8)</f>
        <v>1.8111467852144562E-2</v>
      </c>
      <c r="E9" s="24">
        <f>-(E8/'Income Statement'!E8)</f>
        <v>2.786540483701367E-2</v>
      </c>
      <c r="F9" s="24">
        <f>-(F8/'Income Statement'!F8)</f>
        <v>4.2709867452135494E-2</v>
      </c>
      <c r="G9" s="24">
        <f>-(G8/'Income Statement'!G8)</f>
        <v>1.1974240289796739E-2</v>
      </c>
      <c r="H9" s="24">
        <f>-(H8/'Income Statement'!H8)</f>
        <v>2.6248019017432647E-2</v>
      </c>
      <c r="I9" s="24">
        <f>-(I8/'Income Statement'!I8)</f>
        <v>3.6617262423714034E-2</v>
      </c>
      <c r="J9" s="24">
        <f>-(J8/'Income Statement'!J8)</f>
        <v>4.8595010664935545E-2</v>
      </c>
      <c r="K9" s="24">
        <f>-(K8/'Income Statement'!K8)</f>
        <v>5.9958574076092877E-3</v>
      </c>
      <c r="L9" s="24">
        <f>-(L8/'Income Statement'!L8)</f>
        <v>1.3422109490593954E-2</v>
      </c>
      <c r="M9" s="24">
        <f>-(M8/'Income Statement'!M8)</f>
        <v>2.2640023624372476E-2</v>
      </c>
      <c r="N9" s="24">
        <f>-(N8/'Income Statement'!N8)</f>
        <v>2.8945281522601111E-2</v>
      </c>
      <c r="O9" s="24">
        <f>-(O8/'Income Statement'!O8)</f>
        <v>4.0891906488696858E-3</v>
      </c>
      <c r="P9" s="24">
        <f>-(P8/'Income Statement'!P8)</f>
        <v>8.6414138132674938E-3</v>
      </c>
      <c r="Q9" s="24">
        <f>-(Q8/'Income Statement'!Q8)</f>
        <v>1.6929942622370193E-2</v>
      </c>
      <c r="R9" s="24">
        <f>-(R8/'Income Statement'!R8)</f>
        <v>2.3916561769465924E-2</v>
      </c>
      <c r="S9" s="27">
        <v>9.9000000000000008E-3</v>
      </c>
      <c r="T9" s="27">
        <v>9.9000000000000008E-3</v>
      </c>
      <c r="V9" s="22">
        <v>1.6899999999999998E-2</v>
      </c>
      <c r="W9" s="22">
        <v>1.6899999999999998E-2</v>
      </c>
      <c r="X9" s="22">
        <v>1.34E-2</v>
      </c>
      <c r="Y9" s="22">
        <v>1.34E-2</v>
      </c>
      <c r="Z9" s="22">
        <v>1.34E-2</v>
      </c>
      <c r="AA9" s="22">
        <v>1.34E-2</v>
      </c>
      <c r="AB9" s="22">
        <v>1.34E-2</v>
      </c>
      <c r="AC9" s="22">
        <v>1.34E-2</v>
      </c>
      <c r="AD9" s="22">
        <v>1.34E-2</v>
      </c>
      <c r="AE9" s="22">
        <v>1.34E-2</v>
      </c>
      <c r="AF9" s="22">
        <v>1.34E-2</v>
      </c>
      <c r="AG9" s="22">
        <v>1.34E-2</v>
      </c>
      <c r="AH9" s="22">
        <v>1.34E-2</v>
      </c>
      <c r="AI9" s="22">
        <v>1.34E-2</v>
      </c>
      <c r="AJ9" s="22">
        <v>1.34E-2</v>
      </c>
      <c r="AK9" s="22">
        <v>1.34E-2</v>
      </c>
      <c r="AL9" s="22">
        <v>1.34E-2</v>
      </c>
      <c r="AM9" s="22">
        <v>1.34E-2</v>
      </c>
      <c r="AN9" s="22">
        <v>1.34E-2</v>
      </c>
      <c r="AO9" s="22">
        <v>1.34E-2</v>
      </c>
      <c r="AP9" s="22">
        <v>1.34E-2</v>
      </c>
      <c r="AQ9" s="22">
        <v>1.34E-2</v>
      </c>
      <c r="XFD9" s="22"/>
    </row>
    <row r="10" spans="2:44 16384:16384">
      <c r="B10" s="4"/>
    </row>
    <row r="11" spans="2:44 16384:16384" ht="17">
      <c r="B11" s="4" t="s">
        <v>46</v>
      </c>
      <c r="C11" s="10">
        <f>'Cash Flow Statement'!C13</f>
        <v>142</v>
      </c>
      <c r="D11" s="10">
        <f>'Cash Flow Statement'!D13</f>
        <v>23</v>
      </c>
      <c r="E11" s="10">
        <f>'Cash Flow Statement'!E13</f>
        <v>463</v>
      </c>
      <c r="F11" s="10">
        <f>'Cash Flow Statement'!F13</f>
        <v>26</v>
      </c>
      <c r="G11" s="10">
        <f>'Cash Flow Statement'!G13</f>
        <v>139</v>
      </c>
      <c r="H11" s="10">
        <f>'Cash Flow Statement'!H13</f>
        <v>4</v>
      </c>
      <c r="I11" s="10">
        <f>'Cash Flow Statement'!I13</f>
        <v>428</v>
      </c>
      <c r="J11" s="10">
        <f>'Cash Flow Statement'!J13</f>
        <v>548</v>
      </c>
      <c r="K11" s="10">
        <f>'Cash Flow Statement'!K13</f>
        <v>113</v>
      </c>
      <c r="L11" s="10">
        <f>'Cash Flow Statement'!L13</f>
        <v>65</v>
      </c>
      <c r="M11" s="10">
        <f>'Cash Flow Statement'!M13</f>
        <v>68</v>
      </c>
      <c r="N11" s="10">
        <f>'Cash Flow Statement'!N13</f>
        <v>435</v>
      </c>
      <c r="O11" s="10">
        <f>'Cash Flow Statement'!O13</f>
        <v>106</v>
      </c>
      <c r="P11" s="10">
        <f>'Cash Flow Statement'!P13</f>
        <v>212</v>
      </c>
      <c r="Q11" s="10">
        <f>'Cash Flow Statement'!Q13</f>
        <v>317</v>
      </c>
      <c r="R11" s="10">
        <f>'Cash Flow Statement'!R13</f>
        <v>424</v>
      </c>
      <c r="S11" s="10">
        <f>'Cash Flow Statement'!S13</f>
        <v>102</v>
      </c>
      <c r="T11" s="10">
        <f>'Cash Flow Statement'!T13</f>
        <v>204</v>
      </c>
      <c r="V11" s="10">
        <f>V12*V8</f>
        <v>303.29643033962265</v>
      </c>
      <c r="W11" s="10">
        <f t="shared" ref="W11:AQ11" si="0">W12*W8</f>
        <v>315.4282875532075</v>
      </c>
      <c r="X11" s="10">
        <f t="shared" si="0"/>
        <v>260.1070186592604</v>
      </c>
      <c r="Y11" s="10">
        <f t="shared" si="0"/>
        <v>270.51129940563084</v>
      </c>
      <c r="Z11" s="10">
        <f t="shared" si="0"/>
        <v>281.33175138185607</v>
      </c>
      <c r="AA11" s="10">
        <f t="shared" si="0"/>
        <v>292.58502143713031</v>
      </c>
      <c r="AB11" s="10">
        <f t="shared" si="0"/>
        <v>304.28842229461554</v>
      </c>
      <c r="AC11" s="10">
        <f t="shared" si="0"/>
        <v>316.45995918640017</v>
      </c>
      <c r="AD11" s="10">
        <f t="shared" si="0"/>
        <v>329.11835755385619</v>
      </c>
      <c r="AE11" s="10">
        <f t="shared" si="0"/>
        <v>342.28309185601046</v>
      </c>
      <c r="AF11" s="10">
        <f t="shared" si="0"/>
        <v>355.97441553025089</v>
      </c>
      <c r="AG11" s="10">
        <f t="shared" si="0"/>
        <v>370.21339215146094</v>
      </c>
      <c r="AH11" s="10">
        <f t="shared" si="0"/>
        <v>385.02192783751934</v>
      </c>
      <c r="AI11" s="10">
        <f t="shared" si="0"/>
        <v>400.42280495102017</v>
      </c>
      <c r="AJ11" s="10">
        <f t="shared" si="0"/>
        <v>416.43971714906098</v>
      </c>
      <c r="AK11" s="10">
        <f t="shared" si="0"/>
        <v>433.09730583502346</v>
      </c>
      <c r="AL11" s="10">
        <f t="shared" si="0"/>
        <v>450.42119806842447</v>
      </c>
      <c r="AM11" s="10">
        <f t="shared" si="0"/>
        <v>468.43804599116146</v>
      </c>
      <c r="AN11" s="10">
        <f t="shared" si="0"/>
        <v>487.17556783080789</v>
      </c>
      <c r="AO11" s="10">
        <f t="shared" si="0"/>
        <v>506.6625905440402</v>
      </c>
      <c r="AP11" s="10">
        <f t="shared" si="0"/>
        <v>526.92909416580187</v>
      </c>
      <c r="AQ11" s="10">
        <f t="shared" si="0"/>
        <v>548.00625793243398</v>
      </c>
      <c r="AR11" s="22"/>
    </row>
    <row r="12" spans="2:44 16384:16384">
      <c r="B12" s="3" t="s">
        <v>172</v>
      </c>
      <c r="C12" s="24">
        <f>(C11/'Cash Flow Statement'!C32)</f>
        <v>-1.3523809523809525</v>
      </c>
      <c r="D12" s="24">
        <f>(D11/'Cash Flow Statement'!D32)</f>
        <v>-0.10454545454545454</v>
      </c>
      <c r="E12" s="24">
        <f>(E11/'Cash Flow Statement'!E32)</f>
        <v>-1.4559748427672956</v>
      </c>
      <c r="F12" s="24">
        <f>(F11/'Cash Flow Statement'!F32)</f>
        <v>-5.2738336713995942E-2</v>
      </c>
      <c r="G12" s="24">
        <f>(G11/'Cash Flow Statement'!G32)</f>
        <v>-1.1680672268907564</v>
      </c>
      <c r="H12" s="24">
        <f>(H11/'Cash Flow Statement'!H32)</f>
        <v>-1.509433962264151E-2</v>
      </c>
      <c r="I12" s="24">
        <f>(I11/'Cash Flow Statement'!I32)</f>
        <v>-1.1322751322751323</v>
      </c>
      <c r="J12" s="24">
        <f>(J11/'Cash Flow Statement'!J32)</f>
        <v>-1.0458015267175573</v>
      </c>
      <c r="K12" s="24">
        <f>(K11/'Cash Flow Statement'!K32)</f>
        <v>-2.0545454545454547</v>
      </c>
      <c r="L12" s="24">
        <f>(L11/'Cash Flow Statement'!L32)</f>
        <v>-0.51181102362204722</v>
      </c>
      <c r="M12" s="24">
        <f>(M11/'Cash Flow Statement'!M32)</f>
        <v>-0.29565217391304349</v>
      </c>
      <c r="N12" s="24">
        <f>(N11/'Cash Flow Statement'!N32)</f>
        <v>-1.1917808219178083</v>
      </c>
      <c r="O12" s="24">
        <f>(O11/'Cash Flow Statement'!O32)</f>
        <v>-2</v>
      </c>
      <c r="P12" s="24">
        <f>(P11/'Cash Flow Statement'!P32)</f>
        <v>-1.5939849624060149</v>
      </c>
      <c r="Q12" s="24">
        <f>Q11/'Income Statement'!Q8</f>
        <v>2.2455195863143727E-2</v>
      </c>
      <c r="R12" s="24">
        <f>(R11/'Cash Flow Statement'!R32)</f>
        <v>-1.06265664160401</v>
      </c>
      <c r="S12" s="24">
        <f>(S11/'Cash Flow Statement'!S32)</f>
        <v>-0.96226415094339623</v>
      </c>
      <c r="T12" s="24">
        <f>(T11/'Cash Flow Statement'!T32)</f>
        <v>-0.96226415094339623</v>
      </c>
      <c r="V12" s="22">
        <f>T12</f>
        <v>-0.96226415094339623</v>
      </c>
      <c r="W12" s="22">
        <f>T12</f>
        <v>-0.96226415094339623</v>
      </c>
      <c r="X12" s="22">
        <f>V12</f>
        <v>-0.96226415094339623</v>
      </c>
      <c r="Y12" s="22">
        <f t="shared" ref="Y12:AQ12" si="1">V12</f>
        <v>-0.96226415094339623</v>
      </c>
      <c r="Z12" s="22">
        <f t="shared" si="1"/>
        <v>-0.96226415094339623</v>
      </c>
      <c r="AA12" s="22">
        <f t="shared" si="1"/>
        <v>-0.96226415094339623</v>
      </c>
      <c r="AB12" s="22">
        <f t="shared" si="1"/>
        <v>-0.96226415094339623</v>
      </c>
      <c r="AC12" s="22">
        <f t="shared" si="1"/>
        <v>-0.96226415094339623</v>
      </c>
      <c r="AD12" s="22">
        <f t="shared" si="1"/>
        <v>-0.96226415094339623</v>
      </c>
      <c r="AE12" s="22">
        <f t="shared" si="1"/>
        <v>-0.96226415094339623</v>
      </c>
      <c r="AF12" s="22">
        <f t="shared" si="1"/>
        <v>-0.96226415094339623</v>
      </c>
      <c r="AG12" s="22">
        <f t="shared" si="1"/>
        <v>-0.96226415094339623</v>
      </c>
      <c r="AH12" s="22">
        <f t="shared" si="1"/>
        <v>-0.96226415094339623</v>
      </c>
      <c r="AI12" s="22">
        <f t="shared" si="1"/>
        <v>-0.96226415094339623</v>
      </c>
      <c r="AJ12" s="22">
        <f t="shared" si="1"/>
        <v>-0.96226415094339623</v>
      </c>
      <c r="AK12" s="22">
        <f t="shared" si="1"/>
        <v>-0.96226415094339623</v>
      </c>
      <c r="AL12" s="22">
        <f t="shared" si="1"/>
        <v>-0.96226415094339623</v>
      </c>
      <c r="AM12" s="22">
        <f t="shared" si="1"/>
        <v>-0.96226415094339623</v>
      </c>
      <c r="AN12" s="22">
        <f t="shared" si="1"/>
        <v>-0.96226415094339623</v>
      </c>
      <c r="AO12" s="22">
        <f t="shared" si="1"/>
        <v>-0.96226415094339623</v>
      </c>
      <c r="AP12" s="22">
        <f t="shared" si="1"/>
        <v>-0.96226415094339623</v>
      </c>
      <c r="AQ12" s="22">
        <f t="shared" si="1"/>
        <v>-0.96226415094339623</v>
      </c>
      <c r="AR12" s="22"/>
    </row>
    <row r="15" spans="2:44 16384:16384">
      <c r="O15" s="22"/>
    </row>
    <row r="17" spans="2:11">
      <c r="C17" s="22"/>
      <c r="D17" s="22"/>
      <c r="E17" s="22"/>
      <c r="F17" s="22"/>
      <c r="G17" s="22"/>
    </row>
    <row r="18" spans="2:11" ht="68">
      <c r="B18" s="7" t="s">
        <v>187</v>
      </c>
      <c r="C18" s="22"/>
      <c r="D18" s="22"/>
      <c r="E18" s="22"/>
      <c r="F18" s="22"/>
      <c r="G18" s="13"/>
      <c r="H18" s="13"/>
      <c r="K18" s="13"/>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0229B-DA94-7F48-86D9-DB67BC85942E}">
  <dimension ref="B1:XFD54"/>
  <sheetViews>
    <sheetView topLeftCell="A7" workbookViewId="0">
      <selection activeCell="Q36" sqref="Q36"/>
    </sheetView>
  </sheetViews>
  <sheetFormatPr baseColWidth="10" defaultRowHeight="16"/>
  <cols>
    <col min="1" max="1" width="2.1640625" customWidth="1"/>
    <col min="2" max="2" width="30.33203125" bestFit="1" customWidth="1"/>
    <col min="3" max="3" width="11.5" bestFit="1" customWidth="1"/>
    <col min="4" max="4" width="11.6640625" bestFit="1" customWidth="1"/>
    <col min="5" max="12" width="11.5" bestFit="1" customWidth="1"/>
    <col min="13" max="20" width="11.6640625" bestFit="1" customWidth="1"/>
    <col min="22" max="43" width="11.5" bestFit="1" customWidth="1"/>
  </cols>
  <sheetData>
    <row r="1" spans="2:44 16384:16384">
      <c r="B1" t="s">
        <v>120</v>
      </c>
    </row>
    <row r="2" spans="2:44 16384:16384">
      <c r="B2" t="e" vm="1">
        <v>#VALUE!</v>
      </c>
    </row>
    <row r="4" spans="2:44 16384:16384">
      <c r="B4" t="s">
        <v>182</v>
      </c>
    </row>
    <row r="5" spans="2:44 16384:16384">
      <c r="B5" t="s">
        <v>183</v>
      </c>
    </row>
    <row r="6" spans="2:44 16384:16384" ht="34">
      <c r="B6" s="7" t="s">
        <v>184</v>
      </c>
    </row>
    <row r="8" spans="2:44 16384:16384" s="10" customFormat="1">
      <c r="C8" s="10" t="s">
        <v>0</v>
      </c>
      <c r="D8" s="10" t="s">
        <v>1</v>
      </c>
      <c r="E8" s="10" t="s">
        <v>2</v>
      </c>
      <c r="F8" s="10" t="s">
        <v>3</v>
      </c>
      <c r="G8" s="10" t="s">
        <v>4</v>
      </c>
      <c r="H8" s="10" t="s">
        <v>5</v>
      </c>
      <c r="I8" s="10" t="s">
        <v>6</v>
      </c>
      <c r="J8" s="10" t="s">
        <v>7</v>
      </c>
      <c r="K8" s="10" t="s">
        <v>8</v>
      </c>
      <c r="L8" s="10" t="s">
        <v>9</v>
      </c>
      <c r="M8" s="11" t="s">
        <v>10</v>
      </c>
      <c r="N8" s="11" t="s">
        <v>11</v>
      </c>
      <c r="O8" s="10" t="s">
        <v>12</v>
      </c>
      <c r="P8" s="10" t="s">
        <v>13</v>
      </c>
      <c r="Q8" s="10" t="s">
        <v>14</v>
      </c>
      <c r="R8" s="10" t="s">
        <v>15</v>
      </c>
      <c r="S8" s="10" t="s">
        <v>16</v>
      </c>
      <c r="T8" s="10" t="s">
        <v>17</v>
      </c>
      <c r="V8" s="10" t="s">
        <v>18</v>
      </c>
      <c r="W8" s="10" t="s">
        <v>19</v>
      </c>
      <c r="X8" s="10" t="s">
        <v>20</v>
      </c>
      <c r="Y8" s="10" t="s">
        <v>21</v>
      </c>
      <c r="Z8" s="10" t="s">
        <v>22</v>
      </c>
      <c r="AA8" s="10" t="s">
        <v>23</v>
      </c>
      <c r="AB8" s="10" t="s">
        <v>24</v>
      </c>
      <c r="AC8" s="10" t="s">
        <v>25</v>
      </c>
      <c r="AD8" s="10" t="s">
        <v>26</v>
      </c>
      <c r="AE8" s="10" t="s">
        <v>27</v>
      </c>
      <c r="AF8" s="10" t="s">
        <v>28</v>
      </c>
      <c r="AG8" s="10" t="s">
        <v>29</v>
      </c>
      <c r="AH8" s="10" t="s">
        <v>30</v>
      </c>
      <c r="AI8" s="10" t="s">
        <v>31</v>
      </c>
      <c r="AJ8" s="10" t="s">
        <v>32</v>
      </c>
      <c r="AK8" s="10" t="s">
        <v>33</v>
      </c>
      <c r="AL8" s="10" t="s">
        <v>34</v>
      </c>
      <c r="AM8" s="10" t="s">
        <v>35</v>
      </c>
      <c r="AN8" s="10" t="s">
        <v>36</v>
      </c>
      <c r="AO8" s="10" t="s">
        <v>37</v>
      </c>
      <c r="AP8" s="10" t="s">
        <v>38</v>
      </c>
      <c r="AQ8" s="10" t="s">
        <v>39</v>
      </c>
    </row>
    <row r="9" spans="2:44 16384:16384">
      <c r="B9" s="10" t="s">
        <v>173</v>
      </c>
      <c r="C9" s="10">
        <f>SUM('Balance Sheet'!C10,'Balance Sheet'!C12,'Balance Sheet'!C13)</f>
        <v>6137</v>
      </c>
      <c r="D9" s="10">
        <f>SUM('Balance Sheet'!D10,'Balance Sheet'!D12,'Balance Sheet'!D13)</f>
        <v>6235</v>
      </c>
      <c r="E9" s="10">
        <f>SUM('Balance Sheet'!E10,'Balance Sheet'!E12,'Balance Sheet'!E13)</f>
        <v>5661</v>
      </c>
      <c r="F9" s="10">
        <f>SUM('Balance Sheet'!F10,'Balance Sheet'!F12,'Balance Sheet'!F13)</f>
        <v>4808</v>
      </c>
      <c r="G9" s="10">
        <f>SUM('Balance Sheet'!G10,'Balance Sheet'!G12,'Balance Sheet'!G13)</f>
        <v>4837</v>
      </c>
      <c r="H9" s="10">
        <f>SUM('Balance Sheet'!H10,'Balance Sheet'!H12,'Balance Sheet'!H13)</f>
        <v>4994</v>
      </c>
      <c r="I9" s="10">
        <f>SUM('Balance Sheet'!I10,'Balance Sheet'!I12,'Balance Sheet'!I13)</f>
        <v>5069</v>
      </c>
      <c r="J9" s="10">
        <f>SUM('Balance Sheet'!J10,'Balance Sheet'!J12,'Balance Sheet'!J13)</f>
        <v>4808</v>
      </c>
      <c r="K9" s="10">
        <f>SUM('Balance Sheet'!K10,'Balance Sheet'!K12,'Balance Sheet'!K13)</f>
        <v>5456</v>
      </c>
      <c r="L9" s="10">
        <f>SUM('Balance Sheet'!L10,'Balance Sheet'!L12,'Balance Sheet'!L13)</f>
        <v>5184</v>
      </c>
      <c r="M9" s="10">
        <f>SUM('Balance Sheet'!M10,'Balance Sheet'!M12,'Balance Sheet'!M13)</f>
        <v>6747</v>
      </c>
      <c r="N9" s="10">
        <f>SUM('Balance Sheet'!N10,'Balance Sheet'!N12,'Balance Sheet'!N13)</f>
        <v>8657</v>
      </c>
      <c r="O9" s="10">
        <f>SUM('Balance Sheet'!O10,'Balance Sheet'!O12,'Balance Sheet'!O13)</f>
        <v>8443</v>
      </c>
      <c r="P9" s="10">
        <f>SUM('Balance Sheet'!P10,'Balance Sheet'!P12,'Balance Sheet'!P13)</f>
        <v>8631</v>
      </c>
      <c r="Q9" s="10">
        <f>SUM('Balance Sheet'!Q10,'Balance Sheet'!Q12,'Balance Sheet'!Q13)</f>
        <v>7487</v>
      </c>
      <c r="R9" s="10">
        <f>SUM('Balance Sheet'!R10,'Balance Sheet'!R12,'Balance Sheet'!R13)</f>
        <v>7127</v>
      </c>
      <c r="S9" s="10">
        <f>SUM('Balance Sheet'!S10,'Balance Sheet'!S12,'Balance Sheet'!S13)</f>
        <v>9516</v>
      </c>
      <c r="T9" s="10">
        <f>SUM('Balance Sheet'!T10,'Balance Sheet'!T12,'Balance Sheet'!T13)</f>
        <v>8433</v>
      </c>
      <c r="V9" s="10">
        <f>(V15/90)*'Income Statement'!V$8</f>
        <v>9451.2805794647447</v>
      </c>
      <c r="W9" s="10">
        <f>(W15/90)*'Income Statement'!W8</f>
        <v>9714.9366298785098</v>
      </c>
      <c r="X9" s="10">
        <f>(X15/90)*'Income Statement'!X8</f>
        <v>10475.021370861727</v>
      </c>
      <c r="Y9" s="10">
        <f>(Y15/90)*'Income Statement'!Y8</f>
        <v>10474.630049697958</v>
      </c>
      <c r="Z9" s="10">
        <f>(Z15/90)*'Income Statement'!Z8</f>
        <v>11052.010583122545</v>
      </c>
      <c r="AA9" s="10">
        <f>(AA15/90)*'Income Statement'!AA8</f>
        <v>11492.881770958673</v>
      </c>
      <c r="AB9" s="10">
        <f>(AB15/90)*'Income Statement'!AB8</f>
        <v>11985.819840402834</v>
      </c>
      <c r="AC9" s="10">
        <f>(AC15/90)*'Income Statement'!AC8</f>
        <v>12395.44950413345</v>
      </c>
      <c r="AD9" s="10">
        <f>(AD15/90)*'Income Statement'!AD8</f>
        <v>12928.087092490665</v>
      </c>
      <c r="AE9" s="10">
        <f>(AE15/90)*'Income Statement'!AE8</f>
        <v>13444.898031909972</v>
      </c>
      <c r="AF9" s="10">
        <f>(AF15/90)*'Income Statement'!AF8</f>
        <v>13982.655450588734</v>
      </c>
      <c r="AG9" s="10">
        <f>(AG15/90)*'Income Statement'!AG8</f>
        <v>14531.806461647948</v>
      </c>
      <c r="AH9" s="10">
        <f>(AH15/90)*'Income Statement'!AH8</f>
        <v>15121.108496203184</v>
      </c>
      <c r="AI9" s="10">
        <f>(AI15/90)*'Income Statement'!AI8</f>
        <v>15725.192374174458</v>
      </c>
      <c r="AJ9" s="10">
        <f>(AJ15/90)*'Income Statement'!AJ8</f>
        <v>16353.306533177962</v>
      </c>
      <c r="AK9" s="10">
        <f>(AK15/90)*'Income Statement'!AK8</f>
        <v>17006.28890882686</v>
      </c>
      <c r="AL9" s="10">
        <f>(AL15/90)*'Income Statement'!AL8</f>
        <v>17688.134454305153</v>
      </c>
      <c r="AM9" s="10">
        <f>(AM15/90)*'Income Statement'!AM8</f>
        <v>18395.289655743974</v>
      </c>
      <c r="AN9" s="10">
        <f>(AN15/90)*'Income Statement'!AN8</f>
        <v>19130.851316757744</v>
      </c>
      <c r="AO9" s="10">
        <f>(AO15/90)*'Income Statement'!AO8</f>
        <v>19896.032247428102</v>
      </c>
      <c r="AP9" s="10">
        <f>(AP15/90)*'Income Statement'!AP8</f>
        <v>20692.154231662254</v>
      </c>
      <c r="AQ9" s="10">
        <f>(AQ15/90)*'Income Statement'!AQ8</f>
        <v>21519.720470692973</v>
      </c>
    </row>
    <row r="10" spans="2:44 16384:16384">
      <c r="B10" s="10" t="s">
        <v>76</v>
      </c>
      <c r="C10" s="10">
        <f>'Balance Sheet'!C11</f>
        <v>6952</v>
      </c>
      <c r="D10" s="10">
        <f>'Balance Sheet'!D11</f>
        <v>7062</v>
      </c>
      <c r="E10" s="10">
        <f>'Balance Sheet'!E11</f>
        <v>7183</v>
      </c>
      <c r="F10" s="10">
        <f>'Balance Sheet'!F11</f>
        <v>5871</v>
      </c>
      <c r="G10" s="10">
        <f>'Balance Sheet'!G11</f>
        <v>5938</v>
      </c>
      <c r="H10" s="10">
        <f>'Balance Sheet'!H11</f>
        <v>5875</v>
      </c>
      <c r="I10" s="10">
        <f>'Balance Sheet'!I11</f>
        <v>5466</v>
      </c>
      <c r="J10" s="10">
        <f>'Balance Sheet'!J11</f>
        <v>5871</v>
      </c>
      <c r="K10" s="10">
        <f>'Balance Sheet'!K11</f>
        <v>5451</v>
      </c>
      <c r="L10" s="10">
        <f>'Balance Sheet'!L11</f>
        <v>6007</v>
      </c>
      <c r="M10" s="10">
        <f>'Balance Sheet'!M11</f>
        <v>6463</v>
      </c>
      <c r="N10" s="10">
        <f>'Balance Sheet'!N11</f>
        <v>7172</v>
      </c>
      <c r="O10" s="10">
        <f>'Balance Sheet'!O11</f>
        <v>8616</v>
      </c>
      <c r="P10" s="10">
        <f>'Balance Sheet'!P11</f>
        <v>8460</v>
      </c>
      <c r="Q10" s="10">
        <f>'Balance Sheet'!Q11</f>
        <v>8014</v>
      </c>
      <c r="R10" s="10">
        <f>'Balance Sheet'!R11</f>
        <v>8431</v>
      </c>
      <c r="S10" s="10">
        <f>'Balance Sheet'!S11</f>
        <v>10988</v>
      </c>
      <c r="T10" s="10">
        <f>'Balance Sheet'!T11</f>
        <v>10481</v>
      </c>
      <c r="V10" s="10">
        <f>(V16/90)*'Income Statement'!V$8</f>
        <v>10954.460739391607</v>
      </c>
      <c r="W10" s="10">
        <f>(W16/90)*'Income Statement'!W$8</f>
        <v>11488.050306055731</v>
      </c>
      <c r="X10" s="10">
        <f>(X16/90)*'Income Statement'!X$8</f>
        <v>12385.887487570462</v>
      </c>
      <c r="Y10" s="10">
        <f>(Y16/90)*'Income Statement'!Y$8</f>
        <v>12472.591072654541</v>
      </c>
      <c r="Z10" s="10">
        <f>(Z16/90)*'Income Statement'!Z$8</f>
        <v>13096.854947196005</v>
      </c>
      <c r="AA10" s="10">
        <f>(AA16/90)*'Income Statement'!AA$8</f>
        <v>13592.824761223279</v>
      </c>
      <c r="AB10" s="10">
        <f>(AB16/90)*'Income Statement'!AB$8</f>
        <v>14077.258623672449</v>
      </c>
      <c r="AC10" s="10">
        <f>(AC16/90)*'Income Statement'!AC$8</f>
        <v>14785.963708558398</v>
      </c>
      <c r="AD10" s="10">
        <f>(AD16/90)*'Income Statement'!AD$8</f>
        <v>15267.064636366749</v>
      </c>
      <c r="AE10" s="10">
        <f>(AE16/90)*'Income Statement'!AE$8</f>
        <v>15909.893399318675</v>
      </c>
      <c r="AF10" s="10">
        <f>(AF16/90)*'Income Statement'!AF$8</f>
        <v>16557.273556151606</v>
      </c>
      <c r="AG10" s="10">
        <f>(AG16/90)*'Income Statement'!AG$8</f>
        <v>17182.053539137331</v>
      </c>
      <c r="AH10" s="10">
        <f>(AH16/90)*'Income Statement'!AH$8</f>
        <v>17915.883687141562</v>
      </c>
      <c r="AI10" s="10">
        <f>(AI16/90)*'Income Statement'!AI$8</f>
        <v>18604.00690124727</v>
      </c>
      <c r="AJ10" s="10">
        <f>(AJ16/90)*'Income Statement'!AJ$8</f>
        <v>19352.569606678331</v>
      </c>
      <c r="AK10" s="10">
        <f>(AK16/90)*'Income Statement'!AK$8</f>
        <v>20136.538442777488</v>
      </c>
      <c r="AL10" s="10">
        <f>(AL16/90)*'Income Statement'!AL$8</f>
        <v>20926.32804840503</v>
      </c>
      <c r="AM10" s="10">
        <f>(AM16/90)*'Income Statement'!AM$8</f>
        <v>21777.370473779396</v>
      </c>
      <c r="AN10" s="10">
        <f>(AN16/90)*'Income Statement'!AN$8</f>
        <v>22641.966970363508</v>
      </c>
      <c r="AO10" s="10">
        <f>(AO16/90)*'Income Statement'!AO$8</f>
        <v>23546.670652080538</v>
      </c>
      <c r="AP10" s="10">
        <f>(AP16/90)*'Income Statement'!AP$8</f>
        <v>24493.461738655184</v>
      </c>
      <c r="AQ10" s="10">
        <f>(AQ16/90)*'Income Statement'!AQ$8</f>
        <v>25467.622619077298</v>
      </c>
    </row>
    <row r="11" spans="2:44 16384:16384">
      <c r="B11" s="10" t="s">
        <v>174</v>
      </c>
      <c r="C11" s="10">
        <f>'Balance Sheet'!C28</f>
        <v>3909</v>
      </c>
      <c r="D11" s="10">
        <f>'Balance Sheet'!D28</f>
        <v>3138</v>
      </c>
      <c r="E11" s="10">
        <f>'Balance Sheet'!E28</f>
        <v>3274</v>
      </c>
      <c r="F11" s="10">
        <f>'Balance Sheet'!F28</f>
        <v>3501</v>
      </c>
      <c r="G11" s="10">
        <f>'Balance Sheet'!G28</f>
        <v>3841</v>
      </c>
      <c r="H11" s="10">
        <f>'Balance Sheet'!H28</f>
        <v>3053</v>
      </c>
      <c r="I11" s="10">
        <f>'Balance Sheet'!I28</f>
        <v>3046</v>
      </c>
      <c r="J11" s="10">
        <f>'Balance Sheet'!J28</f>
        <v>3501</v>
      </c>
      <c r="K11" s="10">
        <f>'Balance Sheet'!K28</f>
        <v>3368</v>
      </c>
      <c r="L11" s="10">
        <f>'Balance Sheet'!L28</f>
        <v>2602</v>
      </c>
      <c r="M11" s="10">
        <f>'Balance Sheet'!M28</f>
        <v>2708</v>
      </c>
      <c r="N11" s="10">
        <f>'Balance Sheet'!N28</f>
        <v>2636</v>
      </c>
      <c r="O11" s="10">
        <f>'Balance Sheet'!O28</f>
        <v>3842</v>
      </c>
      <c r="P11" s="10">
        <f>'Balance Sheet'!P28</f>
        <v>3634</v>
      </c>
      <c r="Q11" s="10">
        <f>'Balance Sheet'!Q28</f>
        <v>3944</v>
      </c>
      <c r="R11" s="10">
        <f>'Balance Sheet'!R28</f>
        <v>4250</v>
      </c>
      <c r="S11" s="10">
        <f>'Balance Sheet'!S28</f>
        <v>5836</v>
      </c>
      <c r="T11" s="10">
        <f>'Balance Sheet'!T28</f>
        <v>5347</v>
      </c>
      <c r="V11" s="10">
        <f>(V17/90)*'Income Statement'!V$8</f>
        <v>5594.170509852328</v>
      </c>
      <c r="W11" s="10">
        <f>(W17/90)*'Income Statement'!W$8</f>
        <v>5917.6873608458527</v>
      </c>
      <c r="X11" s="10">
        <f>(X17/90)*'Income Statement'!X$8</f>
        <v>6408.2757279439411</v>
      </c>
      <c r="Y11" s="10">
        <f>(Y17/90)*'Income Statement'!Y$8</f>
        <v>6403.2730358167764</v>
      </c>
      <c r="Z11" s="10">
        <f>(Z17/90)*'Income Statement'!Z$8</f>
        <v>6749.062820021376</v>
      </c>
      <c r="AA11" s="10">
        <f>(AA17/90)*'Income Statement'!AA$8</f>
        <v>6989.8519760329791</v>
      </c>
      <c r="AB11" s="10">
        <f>(AB17/90)*'Income Statement'!AB$8</f>
        <v>7242.9538061098319</v>
      </c>
      <c r="AC11" s="10">
        <f>(AC17/90)*'Income Statement'!AC$8</f>
        <v>7620.3302298486224</v>
      </c>
      <c r="AD11" s="10">
        <f>(AD17/90)*'Income Statement'!AD$8</f>
        <v>7853.0789631963653</v>
      </c>
      <c r="AE11" s="10">
        <f>(AE17/90)*'Income Statement'!AE$8</f>
        <v>8191.9890392358393</v>
      </c>
      <c r="AF11" s="10">
        <f>(AF17/90)*'Income Statement'!AF$8</f>
        <v>8522.404411263451</v>
      </c>
      <c r="AG11" s="10">
        <f>(AG17/90)*'Income Statement'!AG$8</f>
        <v>8842.3906293902601</v>
      </c>
      <c r="AH11" s="10">
        <f>(AH17/90)*'Income Statement'!AH$8</f>
        <v>9225.0223289527985</v>
      </c>
      <c r="AI11" s="10">
        <f>(AI17/90)*'Income Statement'!AI$8</f>
        <v>9574.7425389700293</v>
      </c>
      <c r="AJ11" s="10">
        <f>(AJ17/90)*'Income Statement'!AJ$8</f>
        <v>9962.2026313694751</v>
      </c>
      <c r="AK11" s="10">
        <f>(AK17/90)*'Income Statement'!AK$8</f>
        <v>10365.608961549911</v>
      </c>
      <c r="AL11" s="10">
        <f>(AL17/90)*'Income Statement'!AL$8</f>
        <v>10770.938775214838</v>
      </c>
      <c r="AM11" s="10">
        <f>(AM17/90)*'Income Statement'!AM$8</f>
        <v>11210.74806774846</v>
      </c>
      <c r="AN11" s="10">
        <f>(AN17/90)*'Income Statement'!AN$8</f>
        <v>11654.516007106571</v>
      </c>
      <c r="AO11" s="10">
        <f>(AO17/90)*'Income Statement'!AO$8</f>
        <v>12120.656444415856</v>
      </c>
      <c r="AP11" s="10">
        <f>(AP17/90)*'Income Statement'!AP$8</f>
        <v>12608.230589542982</v>
      </c>
      <c r="AQ11" s="10">
        <f>(AQ17/90)*'Income Statement'!AQ$8</f>
        <v>13109.125309915164</v>
      </c>
    </row>
    <row r="12" spans="2:44 16384:16384" ht="17" thickBot="1">
      <c r="B12" s="45" t="s">
        <v>175</v>
      </c>
      <c r="C12" s="10">
        <f t="shared" ref="C12:T12" si="0">C9+C10-C11</f>
        <v>9180</v>
      </c>
      <c r="D12" s="10">
        <f t="shared" si="0"/>
        <v>10159</v>
      </c>
      <c r="E12" s="10">
        <f t="shared" si="0"/>
        <v>9570</v>
      </c>
      <c r="F12" s="10">
        <f t="shared" si="0"/>
        <v>7178</v>
      </c>
      <c r="G12" s="10">
        <f t="shared" si="0"/>
        <v>6934</v>
      </c>
      <c r="H12" s="10">
        <f t="shared" si="0"/>
        <v>7816</v>
      </c>
      <c r="I12" s="10">
        <f t="shared" si="0"/>
        <v>7489</v>
      </c>
      <c r="J12" s="10">
        <f t="shared" si="0"/>
        <v>7178</v>
      </c>
      <c r="K12" s="10">
        <f t="shared" si="0"/>
        <v>7539</v>
      </c>
      <c r="L12" s="10">
        <f t="shared" si="0"/>
        <v>8589</v>
      </c>
      <c r="M12" s="10">
        <f t="shared" si="0"/>
        <v>10502</v>
      </c>
      <c r="N12" s="10">
        <f t="shared" si="0"/>
        <v>13193</v>
      </c>
      <c r="O12" s="10">
        <f t="shared" si="0"/>
        <v>13217</v>
      </c>
      <c r="P12" s="10">
        <f t="shared" si="0"/>
        <v>13457</v>
      </c>
      <c r="Q12" s="10">
        <f t="shared" si="0"/>
        <v>11557</v>
      </c>
      <c r="R12" s="10">
        <f t="shared" si="0"/>
        <v>11308</v>
      </c>
      <c r="S12" s="10">
        <f t="shared" si="0"/>
        <v>14668</v>
      </c>
      <c r="T12" s="10">
        <f t="shared" si="0"/>
        <v>13567</v>
      </c>
      <c r="V12" s="10">
        <f t="shared" ref="V12:AQ12" si="1">V9+V10-V11</f>
        <v>14811.570809004024</v>
      </c>
      <c r="W12" s="10">
        <f t="shared" si="1"/>
        <v>15285.299575088389</v>
      </c>
      <c r="X12" s="10">
        <f t="shared" si="1"/>
        <v>16452.633130488248</v>
      </c>
      <c r="Y12" s="10">
        <f t="shared" si="1"/>
        <v>16543.948086535725</v>
      </c>
      <c r="Z12" s="10">
        <f t="shared" si="1"/>
        <v>17399.802710297176</v>
      </c>
      <c r="AA12" s="10">
        <f t="shared" si="1"/>
        <v>18095.854556148974</v>
      </c>
      <c r="AB12" s="10">
        <f t="shared" si="1"/>
        <v>18820.124657965451</v>
      </c>
      <c r="AC12" s="10">
        <f t="shared" si="1"/>
        <v>19561.082982843225</v>
      </c>
      <c r="AD12" s="10">
        <f t="shared" si="1"/>
        <v>20342.072765661047</v>
      </c>
      <c r="AE12" s="10">
        <f t="shared" si="1"/>
        <v>21162.802391992805</v>
      </c>
      <c r="AF12" s="10">
        <f t="shared" si="1"/>
        <v>22017.524595476891</v>
      </c>
      <c r="AG12" s="10">
        <f t="shared" si="1"/>
        <v>22871.469371395018</v>
      </c>
      <c r="AH12" s="10">
        <f t="shared" si="1"/>
        <v>23811.969854391944</v>
      </c>
      <c r="AI12" s="10">
        <f t="shared" si="1"/>
        <v>24754.456736451699</v>
      </c>
      <c r="AJ12" s="10">
        <f t="shared" si="1"/>
        <v>25743.67350848682</v>
      </c>
      <c r="AK12" s="10">
        <f t="shared" si="1"/>
        <v>26777.218390054437</v>
      </c>
      <c r="AL12" s="10">
        <f t="shared" si="1"/>
        <v>27843.523727495347</v>
      </c>
      <c r="AM12" s="10">
        <f t="shared" si="1"/>
        <v>28961.91206177491</v>
      </c>
      <c r="AN12" s="10">
        <f t="shared" si="1"/>
        <v>30118.302280014679</v>
      </c>
      <c r="AO12" s="10">
        <f t="shared" si="1"/>
        <v>31322.046455092786</v>
      </c>
      <c r="AP12" s="10">
        <f t="shared" si="1"/>
        <v>32577.385380774453</v>
      </c>
      <c r="AQ12" s="10">
        <f t="shared" si="1"/>
        <v>33878.217779855106</v>
      </c>
    </row>
    <row r="13" spans="2:44 16384:16384">
      <c r="B13" s="28"/>
    </row>
    <row r="14" spans="2:44 16384:16384">
      <c r="B14" s="40" t="s">
        <v>176</v>
      </c>
      <c r="C14" s="39">
        <v>1</v>
      </c>
      <c r="D14" s="14"/>
      <c r="E14" s="14"/>
      <c r="F14" s="14"/>
      <c r="G14" s="14"/>
      <c r="H14" s="14"/>
      <c r="I14" s="14"/>
      <c r="J14" s="14"/>
      <c r="K14" s="14"/>
      <c r="L14" s="14"/>
      <c r="M14" s="14"/>
      <c r="N14" s="14"/>
      <c r="O14" s="14"/>
      <c r="P14" s="14"/>
      <c r="Q14" s="14"/>
      <c r="R14" s="14"/>
      <c r="S14" s="14"/>
      <c r="T14" s="14"/>
    </row>
    <row r="15" spans="2:44 16384:16384">
      <c r="B15" s="29" t="s">
        <v>177</v>
      </c>
      <c r="C15" s="14">
        <f>CHOOSE($C$14,C20,C25)</f>
        <v>51.90583591767691</v>
      </c>
      <c r="D15" s="14">
        <f t="shared" ref="D15:T15" si="2">CHOOSE($C$14,D20,D25)</f>
        <v>46.196591751049645</v>
      </c>
      <c r="E15" s="14">
        <f t="shared" si="2"/>
        <v>44.645110410094638</v>
      </c>
      <c r="F15" s="14">
        <f t="shared" si="2"/>
        <v>37.487654855756738</v>
      </c>
      <c r="G15" s="14">
        <f t="shared" si="2"/>
        <v>43.80458844837996</v>
      </c>
      <c r="H15" s="14">
        <f t="shared" si="2"/>
        <v>44.518621236133121</v>
      </c>
      <c r="I15" s="14">
        <f t="shared" si="2"/>
        <v>44.193548387096776</v>
      </c>
      <c r="J15" s="14">
        <f t="shared" si="2"/>
        <v>40.12983399795975</v>
      </c>
      <c r="K15" s="14">
        <f t="shared" si="2"/>
        <v>53.531014935135723</v>
      </c>
      <c r="L15" s="14">
        <f t="shared" si="2"/>
        <v>49.308814204185161</v>
      </c>
      <c r="M15" s="14">
        <f t="shared" si="2"/>
        <v>59.772615414903036</v>
      </c>
      <c r="N15" s="14">
        <f t="shared" si="2"/>
        <v>61.786677240285485</v>
      </c>
      <c r="O15" s="14">
        <f t="shared" si="2"/>
        <v>58.627420723709584</v>
      </c>
      <c r="P15" s="14">
        <f t="shared" si="2"/>
        <v>50.470404782015457</v>
      </c>
      <c r="Q15" s="14">
        <f t="shared" si="2"/>
        <v>47.731812708082458</v>
      </c>
      <c r="R15" s="14">
        <f t="shared" si="2"/>
        <v>38.44812084157526</v>
      </c>
      <c r="S15" s="14">
        <f t="shared" si="2"/>
        <v>53.931989924433253</v>
      </c>
      <c r="T15" s="14">
        <f t="shared" si="2"/>
        <v>42.322533876094347</v>
      </c>
      <c r="V15" s="14">
        <f t="shared" ref="V15:AB15" si="3">CHOOSE($C$14,V20,V25)</f>
        <v>45.608614337546335</v>
      </c>
      <c r="W15" s="14">
        <f t="shared" si="3"/>
        <v>45.077814744912295</v>
      </c>
      <c r="X15" s="14">
        <f t="shared" si="3"/>
        <v>46.73523822074656</v>
      </c>
      <c r="Y15" s="14">
        <f t="shared" si="3"/>
        <v>44.936050294824888</v>
      </c>
      <c r="Z15" s="14">
        <f t="shared" si="3"/>
        <v>45.589429399507523</v>
      </c>
      <c r="AA15" s="14">
        <f t="shared" si="3"/>
        <v>45.584633164997811</v>
      </c>
      <c r="AB15" s="14">
        <f t="shared" si="3"/>
        <v>45.711337770019199</v>
      </c>
      <c r="AC15" s="14">
        <f t="shared" ref="AC15:AQ15" si="4">CHOOSE($C$14,AC20,AC25)</f>
        <v>45.455362657337361</v>
      </c>
      <c r="AD15" s="14">
        <f t="shared" si="4"/>
        <v>45.585190747965477</v>
      </c>
      <c r="AE15" s="14">
        <f t="shared" si="4"/>
        <v>45.58413108507996</v>
      </c>
      <c r="AF15" s="14">
        <f t="shared" si="4"/>
        <v>45.584005565100497</v>
      </c>
      <c r="AG15" s="14">
        <f t="shared" si="4"/>
        <v>45.552172513870815</v>
      </c>
      <c r="AH15" s="14">
        <f t="shared" si="4"/>
        <v>45.576374978004182</v>
      </c>
      <c r="AI15" s="14">
        <f t="shared" si="4"/>
        <v>45.574171035513871</v>
      </c>
      <c r="AJ15" s="14">
        <f t="shared" si="4"/>
        <v>45.571681023122338</v>
      </c>
      <c r="AK15" s="14">
        <f t="shared" si="4"/>
        <v>45.568599887627798</v>
      </c>
      <c r="AL15" s="14">
        <f t="shared" si="4"/>
        <v>45.572706731067044</v>
      </c>
      <c r="AM15" s="14">
        <f t="shared" si="4"/>
        <v>45.571789669332759</v>
      </c>
      <c r="AN15" s="14">
        <f t="shared" si="4"/>
        <v>45.571194327787481</v>
      </c>
      <c r="AO15" s="14">
        <f t="shared" si="4"/>
        <v>45.57107265395377</v>
      </c>
      <c r="AP15" s="14">
        <f t="shared" si="4"/>
        <v>45.571690845535258</v>
      </c>
      <c r="AQ15" s="14">
        <f t="shared" si="4"/>
        <v>45.571436874152312</v>
      </c>
      <c r="AR15" s="14"/>
      <c r="XFD15" s="14"/>
    </row>
    <row r="16" spans="2:44 16384:16384">
      <c r="B16" s="29" t="s">
        <v>178</v>
      </c>
      <c r="C16" s="14">
        <f t="shared" ref="C16:T16" si="5">CHOOSE($C$14,C21,C26)</f>
        <v>58.798985057795321</v>
      </c>
      <c r="D16" s="14">
        <f t="shared" si="5"/>
        <v>52.324030624845641</v>
      </c>
      <c r="E16" s="14">
        <f t="shared" si="5"/>
        <v>56.648264984227133</v>
      </c>
      <c r="F16" s="14">
        <f t="shared" si="5"/>
        <v>45.775794854024085</v>
      </c>
      <c r="G16" s="14">
        <f t="shared" si="5"/>
        <v>53.775407526665326</v>
      </c>
      <c r="H16" s="14">
        <f t="shared" si="5"/>
        <v>52.372226624405705</v>
      </c>
      <c r="I16" s="14">
        <f t="shared" si="5"/>
        <v>47.65475152571927</v>
      </c>
      <c r="J16" s="14">
        <f t="shared" si="5"/>
        <v>49.002132987109341</v>
      </c>
      <c r="K16" s="14">
        <f t="shared" si="5"/>
        <v>53.481957919982563</v>
      </c>
      <c r="L16" s="14">
        <f t="shared" si="5"/>
        <v>57.136968928344956</v>
      </c>
      <c r="M16" s="14">
        <f t="shared" si="5"/>
        <v>57.256619746037991</v>
      </c>
      <c r="N16" s="14">
        <f t="shared" si="5"/>
        <v>51.187946074544008</v>
      </c>
      <c r="O16" s="14">
        <f t="shared" si="5"/>
        <v>59.82871691999074</v>
      </c>
      <c r="P16" s="14">
        <f t="shared" si="5"/>
        <v>49.470469755051653</v>
      </c>
      <c r="Q16" s="14">
        <f t="shared" si="5"/>
        <v>51.091591697952822</v>
      </c>
      <c r="R16" s="14">
        <f t="shared" si="5"/>
        <v>45.482826829706895</v>
      </c>
      <c r="S16" s="14">
        <f t="shared" si="5"/>
        <v>62.274559193954659</v>
      </c>
      <c r="T16" s="14">
        <f t="shared" si="5"/>
        <v>52.600791836279484</v>
      </c>
      <c r="V16" s="14">
        <f t="shared" ref="V16:AB16" si="6">CHOOSE($C$14,V21,V26)</f>
        <v>52.862442389473465</v>
      </c>
      <c r="W16" s="14">
        <f t="shared" si="6"/>
        <v>53.305155062353627</v>
      </c>
      <c r="X16" s="14">
        <f t="shared" si="6"/>
        <v>55.260737120515309</v>
      </c>
      <c r="Y16" s="14">
        <f t="shared" si="6"/>
        <v>53.507281602155473</v>
      </c>
      <c r="Z16" s="14">
        <f t="shared" si="6"/>
        <v>54.024391261674801</v>
      </c>
      <c r="AA16" s="14">
        <f t="shared" si="6"/>
        <v>53.91371309345476</v>
      </c>
      <c r="AB16" s="14">
        <f t="shared" si="6"/>
        <v>53.687635254909665</v>
      </c>
      <c r="AC16" s="14">
        <f t="shared" ref="AC16:AQ16" si="7">CHOOSE($C$14,AC21,AC26)</f>
        <v>54.221619182638634</v>
      </c>
      <c r="AD16" s="14">
        <f t="shared" si="7"/>
        <v>53.832562283289633</v>
      </c>
      <c r="AE16" s="14">
        <f t="shared" si="7"/>
        <v>53.941551995628188</v>
      </c>
      <c r="AF16" s="14">
        <f t="shared" si="7"/>
        <v>53.977361638752797</v>
      </c>
      <c r="AG16" s="14">
        <f t="shared" si="7"/>
        <v>53.859777793145071</v>
      </c>
      <c r="AH16" s="14">
        <f t="shared" si="7"/>
        <v>54.000077652541172</v>
      </c>
      <c r="AI16" s="14">
        <f t="shared" si="7"/>
        <v>53.917444841932166</v>
      </c>
      <c r="AJ16" s="14">
        <f t="shared" si="7"/>
        <v>53.929713070811651</v>
      </c>
      <c r="AK16" s="14">
        <f t="shared" si="7"/>
        <v>53.956149301009447</v>
      </c>
      <c r="AL16" s="14">
        <f t="shared" si="7"/>
        <v>53.915771251724586</v>
      </c>
      <c r="AM16" s="14">
        <f t="shared" si="7"/>
        <v>53.950427819021712</v>
      </c>
      <c r="AN16" s="14">
        <f t="shared" si="7"/>
        <v>53.934948303421976</v>
      </c>
      <c r="AO16" s="14">
        <f t="shared" si="7"/>
        <v>53.932715111244981</v>
      </c>
      <c r="AP16" s="14">
        <f t="shared" si="7"/>
        <v>53.943560133674531</v>
      </c>
      <c r="AQ16" s="14">
        <f t="shared" si="7"/>
        <v>53.93174870001652</v>
      </c>
      <c r="AR16" s="14"/>
      <c r="XFD16" s="14"/>
    </row>
    <row r="17" spans="2:44 16384:16384">
      <c r="B17" s="29" t="s">
        <v>179</v>
      </c>
      <c r="C17" s="14">
        <f t="shared" ref="C17:T17" si="8">CHOOSE($C$14,C22,C27)</f>
        <v>33.061742317451362</v>
      </c>
      <c r="D17" s="14">
        <f t="shared" si="8"/>
        <v>23.250185230921215</v>
      </c>
      <c r="E17" s="14">
        <f t="shared" si="8"/>
        <v>25.820189274447948</v>
      </c>
      <c r="F17" s="14">
        <f t="shared" si="8"/>
        <v>27.29706315515897</v>
      </c>
      <c r="G17" s="14">
        <f t="shared" si="8"/>
        <v>34.784664922519624</v>
      </c>
      <c r="H17" s="14">
        <f t="shared" si="8"/>
        <v>27.215729001584787</v>
      </c>
      <c r="I17" s="14">
        <f t="shared" si="8"/>
        <v>26.556233653007844</v>
      </c>
      <c r="J17" s="14">
        <f t="shared" si="8"/>
        <v>29.220996012241493</v>
      </c>
      <c r="K17" s="14">
        <f t="shared" si="8"/>
        <v>33.044805407173229</v>
      </c>
      <c r="L17" s="14">
        <f t="shared" si="8"/>
        <v>24.749524413443247</v>
      </c>
      <c r="M17" s="14">
        <f t="shared" si="8"/>
        <v>23.990550251008955</v>
      </c>
      <c r="N17" s="14">
        <f t="shared" si="8"/>
        <v>18.813639968279144</v>
      </c>
      <c r="O17" s="14">
        <f t="shared" si="8"/>
        <v>26.67849702955019</v>
      </c>
      <c r="P17" s="14">
        <f t="shared" si="8"/>
        <v>21.250081216295239</v>
      </c>
      <c r="Q17" s="14">
        <f t="shared" si="8"/>
        <v>25.144152440320184</v>
      </c>
      <c r="R17" s="14">
        <f t="shared" si="8"/>
        <v>22.927531019600792</v>
      </c>
      <c r="S17" s="14">
        <f t="shared" si="8"/>
        <v>33.075566750629719</v>
      </c>
      <c r="T17" s="14">
        <f t="shared" si="8"/>
        <v>26.834885406791951</v>
      </c>
      <c r="V17" s="14">
        <f t="shared" ref="V17:AB17" si="9">CHOOSE($C$14,V22,V27)</f>
        <v>26.995533904335662</v>
      </c>
      <c r="W17" s="14">
        <f t="shared" si="9"/>
        <v>27.458379270339531</v>
      </c>
      <c r="X17" s="14">
        <f t="shared" si="9"/>
        <v>28.591091333024217</v>
      </c>
      <c r="Y17" s="14">
        <f t="shared" si="9"/>
        <v>27.469972478622843</v>
      </c>
      <c r="Z17" s="14">
        <f t="shared" si="9"/>
        <v>27.839814360662199</v>
      </c>
      <c r="AA17" s="14">
        <f t="shared" si="9"/>
        <v>27.72410301916123</v>
      </c>
      <c r="AB17" s="14">
        <f t="shared" si="9"/>
        <v>27.623067282196452</v>
      </c>
      <c r="AC17" s="14">
        <f t="shared" ref="AC17:AQ17" si="10">CHOOSE($C$14,AC22,AC27)</f>
        <v>27.944518998761026</v>
      </c>
      <c r="AD17" s="14">
        <f t="shared" si="10"/>
        <v>27.690415444685385</v>
      </c>
      <c r="AE17" s="14">
        <f t="shared" si="10"/>
        <v>27.774454021576265</v>
      </c>
      <c r="AF17" s="14">
        <f t="shared" si="10"/>
        <v>27.783372871045977</v>
      </c>
      <c r="AG17" s="14">
        <f t="shared" si="10"/>
        <v>27.717827404876019</v>
      </c>
      <c r="AH17" s="14">
        <f t="shared" si="10"/>
        <v>27.805043324064822</v>
      </c>
      <c r="AI17" s="14">
        <f t="shared" si="10"/>
        <v>27.749164761168053</v>
      </c>
      <c r="AJ17" s="14">
        <f t="shared" si="10"/>
        <v>27.761622377921292</v>
      </c>
      <c r="AK17" s="14">
        <f t="shared" si="10"/>
        <v>27.774800833550039</v>
      </c>
      <c r="AL17" s="14">
        <f t="shared" si="10"/>
        <v>27.750853844378852</v>
      </c>
      <c r="AM17" s="14">
        <f t="shared" si="10"/>
        <v>27.773080094978749</v>
      </c>
      <c r="AN17" s="14">
        <f t="shared" si="10"/>
        <v>27.761974883518924</v>
      </c>
      <c r="AO17" s="14">
        <f t="shared" si="10"/>
        <v>27.761882800199452</v>
      </c>
      <c r="AP17" s="14">
        <f t="shared" si="10"/>
        <v>27.767934653061793</v>
      </c>
      <c r="AQ17" s="14">
        <f t="shared" si="10"/>
        <v>27.760661545289757</v>
      </c>
      <c r="AR17" s="14"/>
      <c r="XFD17" s="14"/>
    </row>
    <row r="19" spans="2:44 16384:16384">
      <c r="B19" t="s">
        <v>180</v>
      </c>
      <c r="C19" s="14"/>
      <c r="T19" s="14"/>
    </row>
    <row r="20" spans="2:44 16384:16384">
      <c r="B20" t="s">
        <v>177</v>
      </c>
      <c r="C20" s="14">
        <f>(C9/'Income Statement'!C$8)*90</f>
        <v>51.90583591767691</v>
      </c>
      <c r="D20" s="14">
        <f>(D9/'Income Statement'!D$8)*90</f>
        <v>46.196591751049645</v>
      </c>
      <c r="E20" s="14">
        <f>(E9/'Income Statement'!E$8)*90</f>
        <v>44.645110410094638</v>
      </c>
      <c r="F20" s="14">
        <f>(F9/'Income Statement'!F$8)*90</f>
        <v>37.487654855756738</v>
      </c>
      <c r="G20" s="14">
        <f>(G9/'Income Statement'!G$8)*90</f>
        <v>43.80458844837996</v>
      </c>
      <c r="H20" s="14">
        <f>(H9/'Income Statement'!H$8)*90</f>
        <v>44.518621236133121</v>
      </c>
      <c r="I20" s="14">
        <f>(I9/'Income Statement'!I$8)*90</f>
        <v>44.193548387096776</v>
      </c>
      <c r="J20" s="14">
        <f>(J9/'Income Statement'!J$8)*90</f>
        <v>40.12983399795975</v>
      </c>
      <c r="K20" s="14">
        <f>(K9/'Income Statement'!K$8)*90</f>
        <v>53.531014935135723</v>
      </c>
      <c r="L20" s="14">
        <f>(L9/'Income Statement'!L$8)*90</f>
        <v>49.308814204185161</v>
      </c>
      <c r="M20" s="14">
        <f>(M9/'Income Statement'!M$8)*90</f>
        <v>59.772615414903036</v>
      </c>
      <c r="N20" s="14">
        <f>(N9/'Income Statement'!N$8)*90</f>
        <v>61.786677240285485</v>
      </c>
      <c r="O20" s="14">
        <f>(O9/'Income Statement'!O$8)*90</f>
        <v>58.627420723709584</v>
      </c>
      <c r="P20" s="14">
        <f>(P9/'Income Statement'!P$8)*90</f>
        <v>50.470404782015457</v>
      </c>
      <c r="Q20" s="14">
        <f>(Q9/'Income Statement'!Q$8)*90</f>
        <v>47.731812708082458</v>
      </c>
      <c r="R20" s="14">
        <f>(R9/'Income Statement'!R$8)*90</f>
        <v>38.44812084157526</v>
      </c>
      <c r="S20" s="14">
        <f>(S9/'Income Statement'!S$8)*90</f>
        <v>53.931989924433253</v>
      </c>
      <c r="T20" s="14">
        <f>(T9/'Income Statement'!T$8)*90</f>
        <v>42.322533876094347</v>
      </c>
      <c r="V20" s="14">
        <f>AVERAGE(Q20:T20)</f>
        <v>45.608614337546335</v>
      </c>
      <c r="W20" s="14">
        <f>AVERAGE(R20:T20,V20)</f>
        <v>45.077814744912295</v>
      </c>
      <c r="X20" s="14">
        <f>AVERAGE(S20:T20,V20:W20)</f>
        <v>46.73523822074656</v>
      </c>
      <c r="Y20" s="14">
        <f>AVERAGE(T20,V20:X20)</f>
        <v>44.936050294824888</v>
      </c>
      <c r="Z20" s="14">
        <f t="shared" ref="Z20:AQ20" si="11">AVERAGE(V20:Y20)</f>
        <v>45.589429399507523</v>
      </c>
      <c r="AA20" s="14">
        <f t="shared" si="11"/>
        <v>45.584633164997811</v>
      </c>
      <c r="AB20" s="14">
        <f t="shared" si="11"/>
        <v>45.711337770019199</v>
      </c>
      <c r="AC20" s="14">
        <f t="shared" si="11"/>
        <v>45.455362657337361</v>
      </c>
      <c r="AD20" s="14">
        <f t="shared" si="11"/>
        <v>45.585190747965477</v>
      </c>
      <c r="AE20" s="14">
        <f t="shared" si="11"/>
        <v>45.58413108507996</v>
      </c>
      <c r="AF20" s="14">
        <f t="shared" si="11"/>
        <v>45.584005565100497</v>
      </c>
      <c r="AG20" s="14">
        <f t="shared" si="11"/>
        <v>45.552172513870815</v>
      </c>
      <c r="AH20" s="14">
        <f t="shared" si="11"/>
        <v>45.576374978004182</v>
      </c>
      <c r="AI20" s="14">
        <f t="shared" si="11"/>
        <v>45.574171035513871</v>
      </c>
      <c r="AJ20" s="14">
        <f t="shared" si="11"/>
        <v>45.571681023122338</v>
      </c>
      <c r="AK20" s="14">
        <f t="shared" si="11"/>
        <v>45.568599887627798</v>
      </c>
      <c r="AL20" s="14">
        <f t="shared" si="11"/>
        <v>45.572706731067044</v>
      </c>
      <c r="AM20" s="14">
        <f t="shared" si="11"/>
        <v>45.571789669332759</v>
      </c>
      <c r="AN20" s="14">
        <f t="shared" si="11"/>
        <v>45.571194327787481</v>
      </c>
      <c r="AO20" s="14">
        <f t="shared" si="11"/>
        <v>45.57107265395377</v>
      </c>
      <c r="AP20" s="14">
        <f t="shared" si="11"/>
        <v>45.571690845535258</v>
      </c>
      <c r="AQ20" s="14">
        <f t="shared" si="11"/>
        <v>45.571436874152312</v>
      </c>
      <c r="AR20" s="14"/>
    </row>
    <row r="21" spans="2:44 16384:16384">
      <c r="B21" t="s">
        <v>178</v>
      </c>
      <c r="C21" s="14">
        <f>(C10/'Income Statement'!C$8)*90</f>
        <v>58.798985057795321</v>
      </c>
      <c r="D21" s="14">
        <f>(D10/'Income Statement'!D$8)*90</f>
        <v>52.324030624845641</v>
      </c>
      <c r="E21" s="14">
        <f>(E10/'Income Statement'!E$8)*90</f>
        <v>56.648264984227133</v>
      </c>
      <c r="F21" s="14">
        <f>(F10/'Income Statement'!F$8)*90</f>
        <v>45.775794854024085</v>
      </c>
      <c r="G21" s="14">
        <f>(G10/'Income Statement'!G$8)*90</f>
        <v>53.775407526665326</v>
      </c>
      <c r="H21" s="14">
        <f>(H10/'Income Statement'!H$8)*90</f>
        <v>52.372226624405705</v>
      </c>
      <c r="I21" s="14">
        <f>(I10/'Income Statement'!I$8)*90</f>
        <v>47.65475152571927</v>
      </c>
      <c r="J21" s="14">
        <f>(J10/'Income Statement'!J$8)*90</f>
        <v>49.002132987109341</v>
      </c>
      <c r="K21" s="14">
        <f>(K10/'Income Statement'!K$8)*90</f>
        <v>53.481957919982563</v>
      </c>
      <c r="L21" s="14">
        <f>(L10/'Income Statement'!L$8)*90</f>
        <v>57.136968928344956</v>
      </c>
      <c r="M21" s="14">
        <f>(M10/'Income Statement'!M$8)*90</f>
        <v>57.256619746037991</v>
      </c>
      <c r="N21" s="14">
        <f>(N10/'Income Statement'!N$8)*90</f>
        <v>51.187946074544008</v>
      </c>
      <c r="O21" s="14">
        <f>(O10/'Income Statement'!O$8)*90</f>
        <v>59.82871691999074</v>
      </c>
      <c r="P21" s="14">
        <f>(P10/'Income Statement'!P$8)*90</f>
        <v>49.470469755051653</v>
      </c>
      <c r="Q21" s="14">
        <f>(Q10/'Income Statement'!Q$8)*90</f>
        <v>51.091591697952822</v>
      </c>
      <c r="R21" s="14">
        <f>(R10/'Income Statement'!R$8)*90</f>
        <v>45.482826829706895</v>
      </c>
      <c r="S21" s="14">
        <f>(S10/'Income Statement'!S$8)*90</f>
        <v>62.274559193954659</v>
      </c>
      <c r="T21" s="14">
        <f>(T10/'Income Statement'!T$8)*90</f>
        <v>52.600791836279484</v>
      </c>
      <c r="V21" s="14">
        <f>AVERAGE(Q21:T21)</f>
        <v>52.862442389473465</v>
      </c>
      <c r="W21" s="14">
        <f>AVERAGE(R21:T21,V21)</f>
        <v>53.305155062353627</v>
      </c>
      <c r="X21" s="14">
        <f>AVERAGE(S21:T21,V21:W21)</f>
        <v>55.260737120515309</v>
      </c>
      <c r="Y21" s="14">
        <f>AVERAGE(T21,V21:X21)</f>
        <v>53.507281602155473</v>
      </c>
      <c r="Z21" s="14">
        <f t="shared" ref="Z21:AE21" si="12">AVERAGE(U21,W21:Y21)</f>
        <v>54.024391261674801</v>
      </c>
      <c r="AA21" s="14">
        <f t="shared" si="12"/>
        <v>53.91371309345476</v>
      </c>
      <c r="AB21" s="14">
        <f t="shared" si="12"/>
        <v>53.687635254909665</v>
      </c>
      <c r="AC21" s="14">
        <f t="shared" si="12"/>
        <v>54.221619182638634</v>
      </c>
      <c r="AD21" s="14">
        <f t="shared" si="12"/>
        <v>53.832562283289633</v>
      </c>
      <c r="AE21" s="14">
        <f t="shared" si="12"/>
        <v>53.941551995628188</v>
      </c>
      <c r="AF21" s="14">
        <f t="shared" ref="AF21:AP21" si="13">AVERAGE(AA21,AC21:AE21)</f>
        <v>53.977361638752797</v>
      </c>
      <c r="AG21" s="14">
        <f t="shared" si="13"/>
        <v>53.859777793145071</v>
      </c>
      <c r="AH21" s="14">
        <f t="shared" si="13"/>
        <v>54.000077652541172</v>
      </c>
      <c r="AI21" s="14">
        <f t="shared" si="13"/>
        <v>53.917444841932166</v>
      </c>
      <c r="AJ21" s="14">
        <f t="shared" si="13"/>
        <v>53.929713070811651</v>
      </c>
      <c r="AK21" s="14">
        <f t="shared" si="13"/>
        <v>53.956149301009447</v>
      </c>
      <c r="AL21" s="14">
        <f t="shared" si="13"/>
        <v>53.915771251724586</v>
      </c>
      <c r="AM21" s="14">
        <f t="shared" si="13"/>
        <v>53.950427819021712</v>
      </c>
      <c r="AN21" s="14">
        <f t="shared" si="13"/>
        <v>53.934948303421976</v>
      </c>
      <c r="AO21" s="14">
        <f t="shared" si="13"/>
        <v>53.932715111244981</v>
      </c>
      <c r="AP21" s="14">
        <f t="shared" si="13"/>
        <v>53.943560133674531</v>
      </c>
      <c r="AQ21" s="14">
        <f>AVERAGE(AL21,AN21:AP21)</f>
        <v>53.93174870001652</v>
      </c>
    </row>
    <row r="22" spans="2:44 16384:16384">
      <c r="B22" t="s">
        <v>179</v>
      </c>
      <c r="C22" s="14">
        <f>(C11/'Income Statement'!C$8)*90</f>
        <v>33.061742317451362</v>
      </c>
      <c r="D22" s="14">
        <f>(D11/'Income Statement'!D$8)*90</f>
        <v>23.250185230921215</v>
      </c>
      <c r="E22" s="14">
        <f>(E11/'Income Statement'!E$8)*90</f>
        <v>25.820189274447948</v>
      </c>
      <c r="F22" s="14">
        <f>(F11/'Income Statement'!F$8)*90</f>
        <v>27.29706315515897</v>
      </c>
      <c r="G22" s="14">
        <f>(G11/'Income Statement'!G$8)*90</f>
        <v>34.784664922519624</v>
      </c>
      <c r="H22" s="14">
        <f>(H11/'Income Statement'!H$8)*90</f>
        <v>27.215729001584787</v>
      </c>
      <c r="I22" s="14">
        <f>(I11/'Income Statement'!I$8)*90</f>
        <v>26.556233653007844</v>
      </c>
      <c r="J22" s="14">
        <f>(J11/'Income Statement'!J$8)*90</f>
        <v>29.220996012241493</v>
      </c>
      <c r="K22" s="14">
        <f>(K11/'Income Statement'!K$8)*90</f>
        <v>33.044805407173229</v>
      </c>
      <c r="L22" s="14">
        <f>(L11/'Income Statement'!L$8)*90</f>
        <v>24.749524413443247</v>
      </c>
      <c r="M22" s="14">
        <f>(M11/'Income Statement'!M$8)*90</f>
        <v>23.990550251008955</v>
      </c>
      <c r="N22" s="14">
        <f>(N11/'Income Statement'!N$8)*90</f>
        <v>18.813639968279144</v>
      </c>
      <c r="O22" s="14">
        <f>(O11/'Income Statement'!O$8)*90</f>
        <v>26.67849702955019</v>
      </c>
      <c r="P22" s="14">
        <f>(P11/'Income Statement'!P$8)*90</f>
        <v>21.250081216295239</v>
      </c>
      <c r="Q22" s="14">
        <f>(Q11/'Income Statement'!Q$8)*90</f>
        <v>25.144152440320184</v>
      </c>
      <c r="R22" s="14">
        <f>(R11/'Income Statement'!R$8)*90</f>
        <v>22.927531019600792</v>
      </c>
      <c r="S22" s="14">
        <f>(S11/'Income Statement'!S$8)*90</f>
        <v>33.075566750629719</v>
      </c>
      <c r="T22" s="14">
        <f>(T11/'Income Statement'!T$8)*90</f>
        <v>26.834885406791951</v>
      </c>
      <c r="V22" s="14">
        <f>AVERAGE(Q22:T22)</f>
        <v>26.995533904335662</v>
      </c>
      <c r="W22" s="14">
        <f>AVERAGE(R22:T22,V22)</f>
        <v>27.458379270339531</v>
      </c>
      <c r="X22" s="14">
        <f>AVERAGE(S22:T22,V22:W22)</f>
        <v>28.591091333024217</v>
      </c>
      <c r="Y22" s="14">
        <f t="shared" ref="Y22:AQ22" si="14">AVERAGE(T22,V22:X22)</f>
        <v>27.469972478622843</v>
      </c>
      <c r="Z22" s="14">
        <f t="shared" si="14"/>
        <v>27.839814360662199</v>
      </c>
      <c r="AA22" s="14">
        <f t="shared" si="14"/>
        <v>27.72410301916123</v>
      </c>
      <c r="AB22" s="14">
        <f t="shared" si="14"/>
        <v>27.623067282196452</v>
      </c>
      <c r="AC22" s="14">
        <f t="shared" si="14"/>
        <v>27.944518998761026</v>
      </c>
      <c r="AD22" s="14">
        <f t="shared" si="14"/>
        <v>27.690415444685385</v>
      </c>
      <c r="AE22" s="14">
        <f t="shared" si="14"/>
        <v>27.774454021576265</v>
      </c>
      <c r="AF22" s="14">
        <f t="shared" si="14"/>
        <v>27.783372871045977</v>
      </c>
      <c r="AG22" s="14">
        <f t="shared" si="14"/>
        <v>27.717827404876019</v>
      </c>
      <c r="AH22" s="14">
        <f t="shared" si="14"/>
        <v>27.805043324064822</v>
      </c>
      <c r="AI22" s="14">
        <f t="shared" si="14"/>
        <v>27.749164761168053</v>
      </c>
      <c r="AJ22" s="14">
        <f t="shared" si="14"/>
        <v>27.761622377921292</v>
      </c>
      <c r="AK22" s="14">
        <f t="shared" si="14"/>
        <v>27.774800833550039</v>
      </c>
      <c r="AL22" s="14">
        <f t="shared" si="14"/>
        <v>27.750853844378852</v>
      </c>
      <c r="AM22" s="14">
        <f t="shared" si="14"/>
        <v>27.773080094978749</v>
      </c>
      <c r="AN22" s="14">
        <f t="shared" si="14"/>
        <v>27.761974883518924</v>
      </c>
      <c r="AO22" s="14">
        <f t="shared" si="14"/>
        <v>27.761882800199452</v>
      </c>
      <c r="AP22" s="14">
        <f t="shared" si="14"/>
        <v>27.767934653061793</v>
      </c>
      <c r="AQ22" s="14">
        <f t="shared" si="14"/>
        <v>27.760661545289757</v>
      </c>
    </row>
    <row r="23" spans="2:44 16384:16384">
      <c r="E23" s="38"/>
    </row>
    <row r="24" spans="2:44 16384:16384">
      <c r="B24" t="s">
        <v>181</v>
      </c>
      <c r="C24" s="14"/>
      <c r="D24" s="14"/>
      <c r="E24" s="14"/>
      <c r="F24" s="14"/>
      <c r="G24" s="14"/>
      <c r="H24" s="14"/>
      <c r="I24" s="14"/>
      <c r="J24" s="14"/>
      <c r="K24" s="14"/>
      <c r="L24" s="14"/>
      <c r="M24" s="14"/>
      <c r="N24" s="14"/>
      <c r="O24" s="14"/>
      <c r="P24" s="14"/>
      <c r="Q24" s="14"/>
      <c r="R24" s="14"/>
      <c r="S24" s="14"/>
      <c r="T24" s="14"/>
    </row>
    <row r="25" spans="2:44 16384:16384">
      <c r="B25" t="s">
        <v>177</v>
      </c>
      <c r="C25" s="14">
        <f>C20</f>
        <v>51.90583591767691</v>
      </c>
      <c r="D25" s="14">
        <f t="shared" ref="D25:T25" si="15">D20</f>
        <v>46.196591751049645</v>
      </c>
      <c r="E25" s="14">
        <f t="shared" si="15"/>
        <v>44.645110410094638</v>
      </c>
      <c r="F25" s="14">
        <f t="shared" si="15"/>
        <v>37.487654855756738</v>
      </c>
      <c r="G25" s="14">
        <f t="shared" si="15"/>
        <v>43.80458844837996</v>
      </c>
      <c r="H25" s="14">
        <f t="shared" si="15"/>
        <v>44.518621236133121</v>
      </c>
      <c r="I25" s="14">
        <f t="shared" si="15"/>
        <v>44.193548387096776</v>
      </c>
      <c r="J25" s="14">
        <f t="shared" si="15"/>
        <v>40.12983399795975</v>
      </c>
      <c r="K25" s="14">
        <f t="shared" si="15"/>
        <v>53.531014935135723</v>
      </c>
      <c r="L25" s="14">
        <f t="shared" si="15"/>
        <v>49.308814204185161</v>
      </c>
      <c r="M25" s="14">
        <f t="shared" si="15"/>
        <v>59.772615414903036</v>
      </c>
      <c r="N25" s="14">
        <f t="shared" si="15"/>
        <v>61.786677240285485</v>
      </c>
      <c r="O25" s="14">
        <f t="shared" si="15"/>
        <v>58.627420723709584</v>
      </c>
      <c r="P25" s="14">
        <f t="shared" si="15"/>
        <v>50.470404782015457</v>
      </c>
      <c r="Q25" s="14">
        <f t="shared" si="15"/>
        <v>47.731812708082458</v>
      </c>
      <c r="R25" s="14">
        <f t="shared" si="15"/>
        <v>38.44812084157526</v>
      </c>
      <c r="S25" s="14">
        <f t="shared" si="15"/>
        <v>53.931989924433253</v>
      </c>
      <c r="T25" s="14">
        <f t="shared" si="15"/>
        <v>42.322533876094347</v>
      </c>
      <c r="V25" s="14">
        <f t="shared" ref="V25:AQ25" si="16">$T$25</f>
        <v>42.322533876094347</v>
      </c>
      <c r="W25" s="14">
        <f t="shared" si="16"/>
        <v>42.322533876094347</v>
      </c>
      <c r="X25" s="14">
        <f t="shared" si="16"/>
        <v>42.322533876094347</v>
      </c>
      <c r="Y25" s="14">
        <f t="shared" si="16"/>
        <v>42.322533876094347</v>
      </c>
      <c r="Z25" s="14">
        <f t="shared" si="16"/>
        <v>42.322533876094347</v>
      </c>
      <c r="AA25" s="14">
        <f t="shared" si="16"/>
        <v>42.322533876094347</v>
      </c>
      <c r="AB25" s="14">
        <f t="shared" si="16"/>
        <v>42.322533876094347</v>
      </c>
      <c r="AC25" s="14">
        <f t="shared" si="16"/>
        <v>42.322533876094347</v>
      </c>
      <c r="AD25" s="14">
        <f t="shared" si="16"/>
        <v>42.322533876094347</v>
      </c>
      <c r="AE25" s="14">
        <f t="shared" si="16"/>
        <v>42.322533876094347</v>
      </c>
      <c r="AF25" s="14">
        <f t="shared" si="16"/>
        <v>42.322533876094347</v>
      </c>
      <c r="AG25" s="14">
        <f t="shared" si="16"/>
        <v>42.322533876094347</v>
      </c>
      <c r="AH25" s="14">
        <f t="shared" si="16"/>
        <v>42.322533876094347</v>
      </c>
      <c r="AI25" s="14">
        <f t="shared" si="16"/>
        <v>42.322533876094347</v>
      </c>
      <c r="AJ25" s="14">
        <f t="shared" si="16"/>
        <v>42.322533876094347</v>
      </c>
      <c r="AK25" s="14">
        <f t="shared" si="16"/>
        <v>42.322533876094347</v>
      </c>
      <c r="AL25" s="14">
        <f t="shared" si="16"/>
        <v>42.322533876094347</v>
      </c>
      <c r="AM25" s="14">
        <f t="shared" si="16"/>
        <v>42.322533876094347</v>
      </c>
      <c r="AN25" s="14">
        <f t="shared" si="16"/>
        <v>42.322533876094347</v>
      </c>
      <c r="AO25" s="14">
        <f t="shared" si="16"/>
        <v>42.322533876094347</v>
      </c>
      <c r="AP25" s="14">
        <f t="shared" si="16"/>
        <v>42.322533876094347</v>
      </c>
      <c r="AQ25" s="14">
        <f t="shared" si="16"/>
        <v>42.322533876094347</v>
      </c>
      <c r="AR25" s="14"/>
      <c r="XFD25" s="14"/>
    </row>
    <row r="26" spans="2:44 16384:16384">
      <c r="B26" t="s">
        <v>178</v>
      </c>
      <c r="C26" s="14">
        <f t="shared" ref="C26:S26" si="17">C21</f>
        <v>58.798985057795321</v>
      </c>
      <c r="D26" s="14">
        <f t="shared" si="17"/>
        <v>52.324030624845641</v>
      </c>
      <c r="E26" s="14">
        <f t="shared" si="17"/>
        <v>56.648264984227133</v>
      </c>
      <c r="F26" s="14">
        <f t="shared" si="17"/>
        <v>45.775794854024085</v>
      </c>
      <c r="G26" s="14">
        <f t="shared" si="17"/>
        <v>53.775407526665326</v>
      </c>
      <c r="H26" s="14">
        <f t="shared" si="17"/>
        <v>52.372226624405705</v>
      </c>
      <c r="I26" s="14">
        <f t="shared" si="17"/>
        <v>47.65475152571927</v>
      </c>
      <c r="J26" s="14">
        <f t="shared" si="17"/>
        <v>49.002132987109341</v>
      </c>
      <c r="K26" s="14">
        <f t="shared" si="17"/>
        <v>53.481957919982563</v>
      </c>
      <c r="L26" s="14">
        <f t="shared" si="17"/>
        <v>57.136968928344956</v>
      </c>
      <c r="M26" s="14">
        <f t="shared" si="17"/>
        <v>57.256619746037991</v>
      </c>
      <c r="N26" s="14">
        <f t="shared" si="17"/>
        <v>51.187946074544008</v>
      </c>
      <c r="O26" s="14">
        <f t="shared" si="17"/>
        <v>59.82871691999074</v>
      </c>
      <c r="P26" s="14">
        <f t="shared" si="17"/>
        <v>49.470469755051653</v>
      </c>
      <c r="Q26" s="14">
        <f t="shared" si="17"/>
        <v>51.091591697952822</v>
      </c>
      <c r="R26" s="14">
        <f t="shared" si="17"/>
        <v>45.482826829706895</v>
      </c>
      <c r="S26" s="14">
        <f t="shared" si="17"/>
        <v>62.274559193954659</v>
      </c>
      <c r="T26" s="14">
        <f t="shared" ref="C26:T27" si="18">T21</f>
        <v>52.600791836279484</v>
      </c>
      <c r="V26" s="14">
        <f>$T$26</f>
        <v>52.600791836279484</v>
      </c>
      <c r="W26" s="14">
        <f t="shared" ref="W26:AO26" si="19">$T$26</f>
        <v>52.600791836279484</v>
      </c>
      <c r="X26" s="14">
        <f t="shared" si="19"/>
        <v>52.600791836279484</v>
      </c>
      <c r="Y26" s="14">
        <f t="shared" si="19"/>
        <v>52.600791836279484</v>
      </c>
      <c r="Z26" s="14">
        <f t="shared" si="19"/>
        <v>52.600791836279484</v>
      </c>
      <c r="AA26" s="14">
        <f t="shared" si="19"/>
        <v>52.600791836279484</v>
      </c>
      <c r="AB26" s="14">
        <f t="shared" si="19"/>
        <v>52.600791836279484</v>
      </c>
      <c r="AC26" s="14">
        <f t="shared" si="19"/>
        <v>52.600791836279484</v>
      </c>
      <c r="AD26" s="14">
        <f t="shared" si="19"/>
        <v>52.600791836279484</v>
      </c>
      <c r="AE26" s="14">
        <f t="shared" si="19"/>
        <v>52.600791836279484</v>
      </c>
      <c r="AF26" s="14">
        <f t="shared" si="19"/>
        <v>52.600791836279484</v>
      </c>
      <c r="AG26" s="14">
        <f t="shared" si="19"/>
        <v>52.600791836279484</v>
      </c>
      <c r="AH26" s="14">
        <f t="shared" si="19"/>
        <v>52.600791836279484</v>
      </c>
      <c r="AI26" s="14">
        <f t="shared" si="19"/>
        <v>52.600791836279484</v>
      </c>
      <c r="AJ26" s="14">
        <f t="shared" si="19"/>
        <v>52.600791836279484</v>
      </c>
      <c r="AK26" s="14">
        <f t="shared" si="19"/>
        <v>52.600791836279484</v>
      </c>
      <c r="AL26" s="14">
        <f t="shared" si="19"/>
        <v>52.600791836279484</v>
      </c>
      <c r="AM26" s="14">
        <f t="shared" si="19"/>
        <v>52.600791836279484</v>
      </c>
      <c r="AN26" s="14">
        <f t="shared" si="19"/>
        <v>52.600791836279484</v>
      </c>
      <c r="AO26" s="14">
        <f t="shared" si="19"/>
        <v>52.600791836279484</v>
      </c>
      <c r="AQ26" s="14">
        <f>$T$26</f>
        <v>52.600791836279484</v>
      </c>
    </row>
    <row r="27" spans="2:44 16384:16384">
      <c r="B27" t="s">
        <v>179</v>
      </c>
      <c r="C27" s="14">
        <f t="shared" si="18"/>
        <v>33.061742317451362</v>
      </c>
      <c r="D27" s="14">
        <f t="shared" si="18"/>
        <v>23.250185230921215</v>
      </c>
      <c r="E27" s="14">
        <f t="shared" si="18"/>
        <v>25.820189274447948</v>
      </c>
      <c r="F27" s="14">
        <f t="shared" si="18"/>
        <v>27.29706315515897</v>
      </c>
      <c r="G27" s="14">
        <f t="shared" si="18"/>
        <v>34.784664922519624</v>
      </c>
      <c r="H27" s="14">
        <f t="shared" si="18"/>
        <v>27.215729001584787</v>
      </c>
      <c r="I27" s="14">
        <f t="shared" si="18"/>
        <v>26.556233653007844</v>
      </c>
      <c r="J27" s="14">
        <f t="shared" si="18"/>
        <v>29.220996012241493</v>
      </c>
      <c r="K27" s="14">
        <f t="shared" si="18"/>
        <v>33.044805407173229</v>
      </c>
      <c r="L27" s="14">
        <f t="shared" si="18"/>
        <v>24.749524413443247</v>
      </c>
      <c r="M27" s="14">
        <f t="shared" si="18"/>
        <v>23.990550251008955</v>
      </c>
      <c r="N27" s="14">
        <f t="shared" si="18"/>
        <v>18.813639968279144</v>
      </c>
      <c r="O27" s="14">
        <f t="shared" si="18"/>
        <v>26.67849702955019</v>
      </c>
      <c r="P27" s="14">
        <f t="shared" si="18"/>
        <v>21.250081216295239</v>
      </c>
      <c r="Q27" s="14">
        <f t="shared" si="18"/>
        <v>25.144152440320184</v>
      </c>
      <c r="R27" s="14">
        <f t="shared" si="18"/>
        <v>22.927531019600792</v>
      </c>
      <c r="S27" s="14">
        <f t="shared" si="18"/>
        <v>33.075566750629719</v>
      </c>
      <c r="T27" s="14">
        <f t="shared" si="18"/>
        <v>26.834885406791951</v>
      </c>
      <c r="V27" s="14">
        <f>$T$27</f>
        <v>26.834885406791951</v>
      </c>
      <c r="W27" s="14">
        <f t="shared" ref="W27:AO27" si="20">$T$27</f>
        <v>26.834885406791951</v>
      </c>
      <c r="X27" s="14">
        <f t="shared" si="20"/>
        <v>26.834885406791951</v>
      </c>
      <c r="Y27" s="14">
        <f t="shared" si="20"/>
        <v>26.834885406791951</v>
      </c>
      <c r="Z27" s="14">
        <f t="shared" si="20"/>
        <v>26.834885406791951</v>
      </c>
      <c r="AA27" s="14">
        <f t="shared" si="20"/>
        <v>26.834885406791951</v>
      </c>
      <c r="AB27" s="14">
        <f t="shared" si="20"/>
        <v>26.834885406791951</v>
      </c>
      <c r="AC27" s="14">
        <f t="shared" si="20"/>
        <v>26.834885406791951</v>
      </c>
      <c r="AD27" s="14">
        <f t="shared" si="20"/>
        <v>26.834885406791951</v>
      </c>
      <c r="AE27" s="14">
        <f t="shared" si="20"/>
        <v>26.834885406791951</v>
      </c>
      <c r="AF27" s="14">
        <f t="shared" si="20"/>
        <v>26.834885406791951</v>
      </c>
      <c r="AG27" s="14">
        <f t="shared" si="20"/>
        <v>26.834885406791951</v>
      </c>
      <c r="AH27" s="14">
        <f t="shared" si="20"/>
        <v>26.834885406791951</v>
      </c>
      <c r="AI27" s="14">
        <f t="shared" si="20"/>
        <v>26.834885406791951</v>
      </c>
      <c r="AJ27" s="14">
        <f t="shared" si="20"/>
        <v>26.834885406791951</v>
      </c>
      <c r="AK27" s="14">
        <f t="shared" si="20"/>
        <v>26.834885406791951</v>
      </c>
      <c r="AL27" s="14">
        <f t="shared" si="20"/>
        <v>26.834885406791951</v>
      </c>
      <c r="AM27" s="14">
        <f t="shared" si="20"/>
        <v>26.834885406791951</v>
      </c>
      <c r="AN27" s="14">
        <f t="shared" si="20"/>
        <v>26.834885406791951</v>
      </c>
      <c r="AO27" s="14">
        <f t="shared" si="20"/>
        <v>26.834885406791951</v>
      </c>
      <c r="AQ27" s="14">
        <f>$T$27</f>
        <v>26.834885406791951</v>
      </c>
    </row>
    <row r="28" spans="2:44 16384:16384">
      <c r="C28" s="14"/>
    </row>
    <row r="29" spans="2:44 16384:16384" ht="17" thickBot="1">
      <c r="B29" s="46" t="s">
        <v>71</v>
      </c>
      <c r="C29" s="10"/>
      <c r="D29" s="10"/>
      <c r="E29" s="10"/>
      <c r="F29" s="10"/>
      <c r="G29" s="10"/>
      <c r="H29" s="10"/>
      <c r="I29" s="10"/>
      <c r="J29" s="10"/>
      <c r="K29" s="10"/>
      <c r="L29" s="10"/>
      <c r="M29" s="10"/>
      <c r="N29" s="10"/>
      <c r="O29" s="10"/>
      <c r="P29" s="10"/>
      <c r="Q29" s="10"/>
      <c r="R29" s="10"/>
      <c r="S29" s="10"/>
      <c r="T29" s="10"/>
    </row>
    <row r="30" spans="2:44 16384:16384">
      <c r="B30" s="10" t="s">
        <v>69</v>
      </c>
      <c r="C30" s="10">
        <f>'Balance Sheet'!C10+'Balance Sheet'!C11+'Balance Sheet'!C13</f>
        <v>13089</v>
      </c>
      <c r="D30" s="10">
        <f>'Balance Sheet'!D10+'Balance Sheet'!D11+'Balance Sheet'!D13</f>
        <v>13297</v>
      </c>
      <c r="E30" s="10">
        <f>'Balance Sheet'!E10+'Balance Sheet'!E11+'Balance Sheet'!E13</f>
        <v>12844</v>
      </c>
      <c r="F30" s="10">
        <f>'Balance Sheet'!F10+'Balance Sheet'!F11+'Balance Sheet'!F13</f>
        <v>10679</v>
      </c>
      <c r="G30" s="10">
        <f>'Balance Sheet'!G10+'Balance Sheet'!G11+'Balance Sheet'!G13</f>
        <v>10775</v>
      </c>
      <c r="H30" s="10">
        <f>'Balance Sheet'!H10+'Balance Sheet'!H11+'Balance Sheet'!H13</f>
        <v>10869</v>
      </c>
      <c r="I30" s="10">
        <f>'Balance Sheet'!I10+'Balance Sheet'!I11+'Balance Sheet'!I13</f>
        <v>10459</v>
      </c>
      <c r="J30" s="10">
        <f>'Balance Sheet'!J10+'Balance Sheet'!J11+'Balance Sheet'!J13</f>
        <v>10679</v>
      </c>
      <c r="K30" s="10">
        <f>'Balance Sheet'!K10+'Balance Sheet'!K11+'Balance Sheet'!K13</f>
        <v>10856</v>
      </c>
      <c r="L30" s="10">
        <f>'Balance Sheet'!L10+'Balance Sheet'!L11+'Balance Sheet'!L13</f>
        <v>10895</v>
      </c>
      <c r="M30" s="10">
        <f>'Balance Sheet'!M10+'Balance Sheet'!M11+'Balance Sheet'!M13</f>
        <v>12815</v>
      </c>
      <c r="N30" s="10">
        <f>'Balance Sheet'!N10+'Balance Sheet'!N11+'Balance Sheet'!N13</f>
        <v>15157</v>
      </c>
      <c r="O30" s="10">
        <f>'Balance Sheet'!O10+'Balance Sheet'!O11+'Balance Sheet'!O13</f>
        <v>16634</v>
      </c>
      <c r="P30" s="10">
        <f>'Balance Sheet'!P10+'Balance Sheet'!P11+'Balance Sheet'!P13</f>
        <v>16667</v>
      </c>
      <c r="Q30" s="10">
        <f>'Balance Sheet'!Q10+'Balance Sheet'!Q11+'Balance Sheet'!Q13</f>
        <v>15501</v>
      </c>
      <c r="R30" s="10">
        <f>'Balance Sheet'!R10+'Balance Sheet'!R11+'Balance Sheet'!R13</f>
        <v>15294</v>
      </c>
      <c r="S30" s="10">
        <f>'Balance Sheet'!S10+'Balance Sheet'!S11+'Balance Sheet'!S13</f>
        <v>20219</v>
      </c>
      <c r="T30" s="10">
        <f>'Balance Sheet'!T10+'Balance Sheet'!T11+'Balance Sheet'!T13</f>
        <v>18597</v>
      </c>
      <c r="V30" s="10">
        <f>V9+V10</f>
        <v>20405.741318856351</v>
      </c>
      <c r="W30" s="10">
        <f t="shared" ref="W30:AQ30" si="21">W9+W10</f>
        <v>21202.986935934241</v>
      </c>
      <c r="X30" s="10">
        <f t="shared" si="21"/>
        <v>22860.908858432187</v>
      </c>
      <c r="Y30" s="10">
        <f t="shared" si="21"/>
        <v>22947.221122352501</v>
      </c>
      <c r="Z30" s="10">
        <f t="shared" si="21"/>
        <v>24148.865530318551</v>
      </c>
      <c r="AA30" s="10">
        <f t="shared" si="21"/>
        <v>25085.706532181954</v>
      </c>
      <c r="AB30" s="10">
        <f t="shared" si="21"/>
        <v>26063.078464075283</v>
      </c>
      <c r="AC30" s="10">
        <f t="shared" si="21"/>
        <v>27181.413212691848</v>
      </c>
      <c r="AD30" s="10">
        <f t="shared" si="21"/>
        <v>28195.151728857414</v>
      </c>
      <c r="AE30" s="10">
        <f t="shared" si="21"/>
        <v>29354.791431228645</v>
      </c>
      <c r="AF30" s="10">
        <f t="shared" si="21"/>
        <v>30539.929006740342</v>
      </c>
      <c r="AG30" s="10">
        <f t="shared" si="21"/>
        <v>31713.86000078528</v>
      </c>
      <c r="AH30" s="10">
        <f t="shared" si="21"/>
        <v>33036.992183344744</v>
      </c>
      <c r="AI30" s="10">
        <f t="shared" si="21"/>
        <v>34329.199275421728</v>
      </c>
      <c r="AJ30" s="10">
        <f t="shared" si="21"/>
        <v>35705.876139856293</v>
      </c>
      <c r="AK30" s="10">
        <f t="shared" si="21"/>
        <v>37142.827351604348</v>
      </c>
      <c r="AL30" s="10">
        <f t="shared" si="21"/>
        <v>38614.462502710187</v>
      </c>
      <c r="AM30" s="10">
        <f t="shared" si="21"/>
        <v>40172.66012952337</v>
      </c>
      <c r="AN30" s="10">
        <f t="shared" si="21"/>
        <v>41772.818287121248</v>
      </c>
      <c r="AO30" s="10">
        <f t="shared" si="21"/>
        <v>43442.702899508644</v>
      </c>
      <c r="AP30" s="10">
        <f t="shared" si="21"/>
        <v>45185.615970317434</v>
      </c>
      <c r="AQ30" s="10">
        <f t="shared" si="21"/>
        <v>46987.343089770271</v>
      </c>
    </row>
    <row r="31" spans="2:44 16384:16384" ht="17" thickBot="1">
      <c r="B31" s="2" t="s">
        <v>70</v>
      </c>
      <c r="C31" s="10">
        <f>'Balance Sheet'!C27+'Balance Sheet'!C28+'Balance Sheet'!C31</f>
        <v>7257</v>
      </c>
      <c r="D31" s="10">
        <f>'Balance Sheet'!D27+'Balance Sheet'!D28+'Balance Sheet'!D31</f>
        <v>6680</v>
      </c>
      <c r="E31" s="10">
        <f>'Balance Sheet'!E27+'Balance Sheet'!E28+'Balance Sheet'!E31</f>
        <v>6244</v>
      </c>
      <c r="F31" s="10">
        <f>'Balance Sheet'!F27+'Balance Sheet'!F28+'Balance Sheet'!F31</f>
        <v>6422</v>
      </c>
      <c r="G31" s="10">
        <f>'Balance Sheet'!G27+'Balance Sheet'!G28+'Balance Sheet'!G31</f>
        <v>6095</v>
      </c>
      <c r="H31" s="10">
        <f>'Balance Sheet'!H27+'Balance Sheet'!H28+'Balance Sheet'!H31</f>
        <v>5341</v>
      </c>
      <c r="I31" s="10">
        <f>'Balance Sheet'!I27+'Balance Sheet'!I28+'Balance Sheet'!I31</f>
        <v>4893</v>
      </c>
      <c r="J31" s="10">
        <f>'Balance Sheet'!J27+'Balance Sheet'!J28+'Balance Sheet'!J31</f>
        <v>6422</v>
      </c>
      <c r="K31" s="10">
        <f>'Balance Sheet'!K27+'Balance Sheet'!K28+'Balance Sheet'!K31</f>
        <v>7066</v>
      </c>
      <c r="L31" s="10">
        <f>'Balance Sheet'!L27+'Balance Sheet'!L28+'Balance Sheet'!L31</f>
        <v>5591</v>
      </c>
      <c r="M31" s="10">
        <f>'Balance Sheet'!M27+'Balance Sheet'!M28+'Balance Sheet'!M31</f>
        <v>6806</v>
      </c>
      <c r="N31" s="10">
        <f>'Balance Sheet'!N27+'Balance Sheet'!N28+'Balance Sheet'!N31</f>
        <v>7484</v>
      </c>
      <c r="O31" s="10">
        <f>'Balance Sheet'!O27+'Balance Sheet'!O28+'Balance Sheet'!O31</f>
        <v>8309</v>
      </c>
      <c r="P31" s="10">
        <f>'Balance Sheet'!P27+'Balance Sheet'!P28+'Balance Sheet'!P31</f>
        <v>8175</v>
      </c>
      <c r="Q31" s="10">
        <f>'Balance Sheet'!Q27+'Balance Sheet'!Q28+'Balance Sheet'!Q31</f>
        <v>8276</v>
      </c>
      <c r="R31" s="10">
        <f>'Balance Sheet'!R27+'Balance Sheet'!R28+'Balance Sheet'!R31</f>
        <v>8179</v>
      </c>
      <c r="S31" s="10">
        <f>'Balance Sheet'!S27+'Balance Sheet'!S28+'Balance Sheet'!S31</f>
        <v>11433</v>
      </c>
      <c r="T31" s="10">
        <f>'Balance Sheet'!T27+'Balance Sheet'!T28+'Balance Sheet'!T31</f>
        <v>10490</v>
      </c>
      <c r="V31" s="10">
        <f>V11</f>
        <v>5594.170509852328</v>
      </c>
      <c r="W31" s="10">
        <f t="shared" ref="W31:AQ31" si="22">W11</f>
        <v>5917.6873608458527</v>
      </c>
      <c r="X31" s="10">
        <f t="shared" si="22"/>
        <v>6408.2757279439411</v>
      </c>
      <c r="Y31" s="10">
        <f t="shared" si="22"/>
        <v>6403.2730358167764</v>
      </c>
      <c r="Z31" s="10">
        <f t="shared" si="22"/>
        <v>6749.062820021376</v>
      </c>
      <c r="AA31" s="10">
        <f t="shared" si="22"/>
        <v>6989.8519760329791</v>
      </c>
      <c r="AB31" s="10">
        <f t="shared" si="22"/>
        <v>7242.9538061098319</v>
      </c>
      <c r="AC31" s="10">
        <f t="shared" si="22"/>
        <v>7620.3302298486224</v>
      </c>
      <c r="AD31" s="10">
        <f t="shared" si="22"/>
        <v>7853.0789631963653</v>
      </c>
      <c r="AE31" s="10">
        <f t="shared" si="22"/>
        <v>8191.9890392358393</v>
      </c>
      <c r="AF31" s="10">
        <f t="shared" si="22"/>
        <v>8522.404411263451</v>
      </c>
      <c r="AG31" s="10">
        <f t="shared" si="22"/>
        <v>8842.3906293902601</v>
      </c>
      <c r="AH31" s="10">
        <f t="shared" si="22"/>
        <v>9225.0223289527985</v>
      </c>
      <c r="AI31" s="10">
        <f t="shared" si="22"/>
        <v>9574.7425389700293</v>
      </c>
      <c r="AJ31" s="10">
        <f t="shared" si="22"/>
        <v>9962.2026313694751</v>
      </c>
      <c r="AK31" s="10">
        <f t="shared" si="22"/>
        <v>10365.608961549911</v>
      </c>
      <c r="AL31" s="10">
        <f t="shared" si="22"/>
        <v>10770.938775214838</v>
      </c>
      <c r="AM31" s="10">
        <f t="shared" si="22"/>
        <v>11210.74806774846</v>
      </c>
      <c r="AN31" s="10">
        <f t="shared" si="22"/>
        <v>11654.516007106571</v>
      </c>
      <c r="AO31" s="10">
        <f t="shared" si="22"/>
        <v>12120.656444415856</v>
      </c>
      <c r="AP31" s="10">
        <f t="shared" si="22"/>
        <v>12608.230589542982</v>
      </c>
      <c r="AQ31" s="10">
        <f t="shared" si="22"/>
        <v>13109.125309915164</v>
      </c>
    </row>
    <row r="32" spans="2:44 16384:16384" ht="17" thickBot="1">
      <c r="B32" s="2" t="s">
        <v>71</v>
      </c>
      <c r="C32" s="10">
        <f>C30-C31</f>
        <v>5832</v>
      </c>
      <c r="D32" s="10">
        <f t="shared" ref="D32:T32" si="23">D30-D31</f>
        <v>6617</v>
      </c>
      <c r="E32" s="10">
        <f t="shared" si="23"/>
        <v>6600</v>
      </c>
      <c r="F32" s="10">
        <f t="shared" si="23"/>
        <v>4257</v>
      </c>
      <c r="G32" s="10">
        <f t="shared" si="23"/>
        <v>4680</v>
      </c>
      <c r="H32" s="10">
        <f t="shared" si="23"/>
        <v>5528</v>
      </c>
      <c r="I32" s="10">
        <f t="shared" si="23"/>
        <v>5566</v>
      </c>
      <c r="J32" s="10">
        <f t="shared" si="23"/>
        <v>4257</v>
      </c>
      <c r="K32" s="10">
        <f t="shared" si="23"/>
        <v>3790</v>
      </c>
      <c r="L32" s="10">
        <f t="shared" si="23"/>
        <v>5304</v>
      </c>
      <c r="M32" s="10">
        <f t="shared" si="23"/>
        <v>6009</v>
      </c>
      <c r="N32" s="10">
        <f t="shared" si="23"/>
        <v>7673</v>
      </c>
      <c r="O32" s="10">
        <f t="shared" si="23"/>
        <v>8325</v>
      </c>
      <c r="P32" s="10">
        <f t="shared" si="23"/>
        <v>8492</v>
      </c>
      <c r="Q32" s="10">
        <f t="shared" si="23"/>
        <v>7225</v>
      </c>
      <c r="R32" s="10">
        <f t="shared" si="23"/>
        <v>7115</v>
      </c>
      <c r="S32" s="10">
        <f t="shared" si="23"/>
        <v>8786</v>
      </c>
      <c r="T32" s="10">
        <f t="shared" si="23"/>
        <v>8107</v>
      </c>
      <c r="V32" s="10">
        <f>V30-V31</f>
        <v>14811.570809004024</v>
      </c>
      <c r="W32" s="10">
        <f t="shared" ref="W32:AQ32" si="24">W30-W31</f>
        <v>15285.299575088389</v>
      </c>
      <c r="X32" s="10">
        <f t="shared" si="24"/>
        <v>16452.633130488248</v>
      </c>
      <c r="Y32" s="10">
        <f t="shared" si="24"/>
        <v>16543.948086535725</v>
      </c>
      <c r="Z32" s="10">
        <f t="shared" si="24"/>
        <v>17399.802710297176</v>
      </c>
      <c r="AA32" s="10">
        <f t="shared" si="24"/>
        <v>18095.854556148974</v>
      </c>
      <c r="AB32" s="10">
        <f t="shared" si="24"/>
        <v>18820.124657965451</v>
      </c>
      <c r="AC32" s="10">
        <f t="shared" si="24"/>
        <v>19561.082982843225</v>
      </c>
      <c r="AD32" s="10">
        <f t="shared" si="24"/>
        <v>20342.072765661047</v>
      </c>
      <c r="AE32" s="10">
        <f t="shared" si="24"/>
        <v>21162.802391992805</v>
      </c>
      <c r="AF32" s="10">
        <f t="shared" si="24"/>
        <v>22017.524595476891</v>
      </c>
      <c r="AG32" s="10">
        <f t="shared" si="24"/>
        <v>22871.469371395018</v>
      </c>
      <c r="AH32" s="10">
        <f t="shared" si="24"/>
        <v>23811.969854391944</v>
      </c>
      <c r="AI32" s="10">
        <f t="shared" si="24"/>
        <v>24754.456736451699</v>
      </c>
      <c r="AJ32" s="10">
        <f t="shared" si="24"/>
        <v>25743.67350848682</v>
      </c>
      <c r="AK32" s="10">
        <f t="shared" si="24"/>
        <v>26777.218390054437</v>
      </c>
      <c r="AL32" s="10">
        <f t="shared" si="24"/>
        <v>27843.523727495347</v>
      </c>
      <c r="AM32" s="10">
        <f t="shared" si="24"/>
        <v>28961.91206177491</v>
      </c>
      <c r="AN32" s="10">
        <f t="shared" si="24"/>
        <v>30118.302280014679</v>
      </c>
      <c r="AO32" s="10">
        <f t="shared" si="24"/>
        <v>31322.046455092786</v>
      </c>
      <c r="AP32" s="10">
        <f t="shared" si="24"/>
        <v>32577.385380774453</v>
      </c>
      <c r="AQ32" s="10">
        <f t="shared" si="24"/>
        <v>33878.217779855106</v>
      </c>
    </row>
    <row r="53" spans="2:2">
      <c r="B53" t="s">
        <v>185</v>
      </c>
    </row>
    <row r="54" spans="2:2">
      <c r="B54" t="s">
        <v>186</v>
      </c>
    </row>
  </sheetData>
  <dataValidations count="1">
    <dataValidation type="list" allowBlank="1" showInputMessage="1" showErrorMessage="1" sqref="C14" xr:uid="{F0405BDF-D269-FA4A-BBB6-AD73E09F4F8E}">
      <formula1>"1, 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D02C6-C386-F449-BC28-542D7B53473A}">
  <dimension ref="B1:AR14"/>
  <sheetViews>
    <sheetView topLeftCell="A2" zoomScale="75" workbookViewId="0">
      <selection activeCell="F17" sqref="F17"/>
    </sheetView>
  </sheetViews>
  <sheetFormatPr baseColWidth="10" defaultRowHeight="16"/>
  <cols>
    <col min="1" max="1" width="2" customWidth="1"/>
    <col min="2" max="2" width="30.33203125" bestFit="1" customWidth="1"/>
  </cols>
  <sheetData>
    <row r="1" spans="2:44">
      <c r="B1" t="s">
        <v>120</v>
      </c>
    </row>
    <row r="2" spans="2:44">
      <c r="B2" t="e" vm="1">
        <v>#VALUE!</v>
      </c>
    </row>
    <row r="7" spans="2:44">
      <c r="C7" t="s">
        <v>0</v>
      </c>
      <c r="D7" t="s">
        <v>1</v>
      </c>
      <c r="E7" t="s">
        <v>2</v>
      </c>
      <c r="F7" t="s">
        <v>3</v>
      </c>
      <c r="G7" t="s">
        <v>4</v>
      </c>
      <c r="H7" t="s">
        <v>5</v>
      </c>
      <c r="I7" t="s">
        <v>6</v>
      </c>
      <c r="J7" t="s">
        <v>7</v>
      </c>
      <c r="K7" t="s">
        <v>8</v>
      </c>
      <c r="L7" t="s">
        <v>9</v>
      </c>
      <c r="M7" s="1" t="s">
        <v>10</v>
      </c>
      <c r="N7" s="1" t="s">
        <v>11</v>
      </c>
      <c r="O7" t="s">
        <v>12</v>
      </c>
      <c r="P7" t="s">
        <v>13</v>
      </c>
      <c r="Q7" t="s">
        <v>14</v>
      </c>
      <c r="R7" t="s">
        <v>15</v>
      </c>
      <c r="S7" t="s">
        <v>16</v>
      </c>
      <c r="T7" t="s">
        <v>17</v>
      </c>
      <c r="V7" t="s">
        <v>18</v>
      </c>
      <c r="W7" t="s">
        <v>19</v>
      </c>
      <c r="X7" t="s">
        <v>20</v>
      </c>
      <c r="Y7" t="s">
        <v>21</v>
      </c>
      <c r="Z7" t="s">
        <v>22</v>
      </c>
      <c r="AA7" t="s">
        <v>23</v>
      </c>
      <c r="AB7" t="s">
        <v>24</v>
      </c>
      <c r="AC7" t="s">
        <v>25</v>
      </c>
      <c r="AD7" t="s">
        <v>26</v>
      </c>
      <c r="AE7" t="s">
        <v>27</v>
      </c>
      <c r="AF7" t="s">
        <v>28</v>
      </c>
      <c r="AG7" t="s">
        <v>29</v>
      </c>
      <c r="AH7" t="s">
        <v>30</v>
      </c>
      <c r="AI7" t="s">
        <v>31</v>
      </c>
      <c r="AJ7" t="s">
        <v>32</v>
      </c>
      <c r="AK7" t="s">
        <v>33</v>
      </c>
      <c r="AL7" t="s">
        <v>34</v>
      </c>
      <c r="AM7" t="s">
        <v>35</v>
      </c>
      <c r="AN7" t="s">
        <v>36</v>
      </c>
      <c r="AO7" t="s">
        <v>37</v>
      </c>
      <c r="AP7" t="s">
        <v>38</v>
      </c>
      <c r="AQ7" t="s">
        <v>39</v>
      </c>
    </row>
    <row r="8" spans="2:44" ht="20" customHeight="1">
      <c r="B8" t="s">
        <v>198</v>
      </c>
      <c r="C8">
        <f>'Balance Sheet'!C33</f>
        <v>5446</v>
      </c>
      <c r="D8">
        <f>'Balance Sheet'!D33</f>
        <v>4992</v>
      </c>
      <c r="E8">
        <f>'Balance Sheet'!E33</f>
        <v>4912</v>
      </c>
      <c r="F8">
        <f>'Balance Sheet'!F33</f>
        <v>4203</v>
      </c>
      <c r="G8">
        <f>'Balance Sheet'!G33</f>
        <v>3821</v>
      </c>
      <c r="H8">
        <f>'Balance Sheet'!H33</f>
        <v>4039</v>
      </c>
      <c r="I8">
        <f>'Balance Sheet'!I33</f>
        <v>4581</v>
      </c>
      <c r="J8">
        <f>'Balance Sheet'!J33</f>
        <v>4203</v>
      </c>
      <c r="K8">
        <f>'Balance Sheet'!K33</f>
        <v>3753</v>
      </c>
      <c r="L8">
        <f>'Balance Sheet'!L33</f>
        <v>3980</v>
      </c>
      <c r="M8">
        <f>'Balance Sheet'!M33</f>
        <v>4419</v>
      </c>
      <c r="N8">
        <f>'Balance Sheet'!N33</f>
        <v>4452</v>
      </c>
      <c r="O8">
        <f>'Balance Sheet'!O33</f>
        <v>4341</v>
      </c>
      <c r="P8">
        <f>'Balance Sheet'!P33</f>
        <v>5334</v>
      </c>
      <c r="Q8">
        <f>'Balance Sheet'!Q33</f>
        <v>4814</v>
      </c>
      <c r="R8">
        <f>'Balance Sheet'!R33</f>
        <v>4787</v>
      </c>
      <c r="S8">
        <f>'Balance Sheet'!S33</f>
        <v>4040</v>
      </c>
      <c r="T8">
        <f>'Balance Sheet'!T33</f>
        <v>3062</v>
      </c>
      <c r="U8" s="10"/>
      <c r="V8" s="10"/>
      <c r="W8" s="10"/>
      <c r="X8" s="10"/>
      <c r="Y8" s="10"/>
      <c r="Z8" s="10"/>
      <c r="AA8" s="10"/>
      <c r="AB8" s="10"/>
      <c r="AC8" s="10"/>
      <c r="AD8" s="10"/>
      <c r="AE8" s="10"/>
      <c r="AF8" s="10"/>
      <c r="AG8" s="10"/>
      <c r="AH8" s="10"/>
      <c r="AI8" s="10"/>
      <c r="AJ8" s="10"/>
      <c r="AK8" s="10"/>
      <c r="AL8" s="10"/>
      <c r="AM8" s="10"/>
      <c r="AN8" s="10"/>
      <c r="AO8" s="10"/>
      <c r="AP8" s="10"/>
      <c r="AQ8" s="10"/>
    </row>
    <row r="9" spans="2:44">
      <c r="B9" t="s">
        <v>123</v>
      </c>
      <c r="C9" s="10">
        <f>'Income Statement'!C18</f>
        <v>24</v>
      </c>
      <c r="D9" s="10">
        <f>'Income Statement'!D18</f>
        <v>4</v>
      </c>
      <c r="E9" s="10">
        <f>'Income Statement'!E18</f>
        <v>-19</v>
      </c>
      <c r="F9" s="10">
        <f>'Income Statement'!F18</f>
        <v>39</v>
      </c>
      <c r="G9" s="10">
        <f>'Income Statement'!G18</f>
        <v>31</v>
      </c>
      <c r="H9" s="10">
        <f>'Income Statement'!H18</f>
        <v>187</v>
      </c>
      <c r="I9" s="10">
        <f>'Income Statement'!I18</f>
        <v>4</v>
      </c>
      <c r="J9" s="10">
        <f>'Income Statement'!J18</f>
        <v>-49</v>
      </c>
      <c r="K9" s="10">
        <f>'Income Statement'!K18</f>
        <v>-51</v>
      </c>
      <c r="L9" s="10">
        <f>'Income Statement'!L18</f>
        <v>27</v>
      </c>
      <c r="M9" s="10">
        <f>'Income Statement'!M18</f>
        <v>17</v>
      </c>
      <c r="N9" s="10">
        <f>'Income Statement'!N18</f>
        <v>-119</v>
      </c>
      <c r="O9" s="10">
        <f>'Income Statement'!O18</f>
        <v>263</v>
      </c>
      <c r="P9" s="10">
        <f>'Income Statement'!P18</f>
        <v>35</v>
      </c>
      <c r="Q9" s="10">
        <f>'Income Statement'!Q18</f>
        <v>220</v>
      </c>
      <c r="R9" s="10">
        <f>'Income Statement'!R18</f>
        <v>-9</v>
      </c>
      <c r="S9" s="10">
        <f>'Income Statement'!S18</f>
        <v>-47</v>
      </c>
      <c r="T9" s="10">
        <f>'Income Statement'!T18</f>
        <v>-6</v>
      </c>
      <c r="U9" s="10"/>
      <c r="V9" s="10"/>
      <c r="W9" s="10"/>
      <c r="X9" s="10"/>
      <c r="Y9" s="10"/>
      <c r="Z9" s="10"/>
      <c r="AA9" s="10"/>
      <c r="AB9" s="10"/>
      <c r="AC9" s="10"/>
      <c r="AD9" s="10"/>
      <c r="AE9" s="10"/>
      <c r="AF9" s="10"/>
      <c r="AG9" s="10"/>
      <c r="AH9" s="10"/>
      <c r="AI9" s="10"/>
      <c r="AJ9" s="10"/>
      <c r="AK9" s="10"/>
      <c r="AL9" s="10"/>
      <c r="AM9" s="10"/>
      <c r="AN9" s="10"/>
      <c r="AO9" s="10"/>
      <c r="AP9" s="10"/>
      <c r="AQ9" s="10"/>
    </row>
    <row r="10" spans="2:44">
      <c r="B10" t="s">
        <v>199</v>
      </c>
      <c r="C10" s="22">
        <v>1.4999999999999999E-2</v>
      </c>
      <c r="D10" s="22">
        <v>1.7500000000000002E-2</v>
      </c>
      <c r="E10" s="22">
        <v>0.02</v>
      </c>
      <c r="F10" s="22">
        <v>2.2499999999999999E-2</v>
      </c>
      <c r="G10" s="22">
        <v>2.5000000000000001E-2</v>
      </c>
      <c r="H10" s="22">
        <v>2.2499999999999999E-2</v>
      </c>
      <c r="I10" s="22">
        <v>0.02</v>
      </c>
      <c r="J10" s="22">
        <v>1.7500000000000002E-2</v>
      </c>
      <c r="K10" s="22">
        <v>1.7500000000000002E-2</v>
      </c>
      <c r="L10" s="22">
        <v>2.5000000000000001E-3</v>
      </c>
      <c r="M10" s="22">
        <v>2.5000000000000001E-3</v>
      </c>
      <c r="N10" s="22">
        <v>2.5000000000000001E-3</v>
      </c>
      <c r="O10" s="22">
        <v>2.5000000000000001E-3</v>
      </c>
      <c r="P10" s="22">
        <v>2.5000000000000001E-3</v>
      </c>
      <c r="Q10" s="22">
        <v>2.5000000000000001E-3</v>
      </c>
      <c r="R10" s="22">
        <v>2.5000000000000001E-3</v>
      </c>
      <c r="S10" s="22">
        <v>1.7500000000000002E-2</v>
      </c>
      <c r="T10" s="22">
        <v>2.5000000000000001E-2</v>
      </c>
      <c r="U10" s="22"/>
      <c r="V10" s="22">
        <v>3.2500000000000001E-2</v>
      </c>
      <c r="W10" s="22">
        <v>3.7499999999999999E-2</v>
      </c>
      <c r="X10" s="22">
        <v>0.04</v>
      </c>
      <c r="Y10" s="22">
        <v>0.04</v>
      </c>
      <c r="Z10" s="22">
        <v>0.04</v>
      </c>
      <c r="AA10" s="30">
        <v>0.03</v>
      </c>
      <c r="AB10" s="22">
        <v>2.5000000000000001E-2</v>
      </c>
      <c r="AC10" s="22">
        <v>2.5000000000000001E-2</v>
      </c>
      <c r="AD10" s="22">
        <v>2.5000000000000001E-2</v>
      </c>
      <c r="AE10" s="22">
        <v>2.5000000000000001E-2</v>
      </c>
      <c r="AF10" s="22">
        <v>2.5000000000000001E-2</v>
      </c>
      <c r="AG10" s="22">
        <v>2.5000000000000001E-2</v>
      </c>
      <c r="AH10" s="22">
        <v>2.5000000000000001E-2</v>
      </c>
      <c r="AI10" s="22">
        <v>2.5000000000000001E-2</v>
      </c>
      <c r="AJ10" s="22">
        <v>2.5000000000000001E-2</v>
      </c>
      <c r="AK10" s="22">
        <v>2.5000000000000001E-2</v>
      </c>
      <c r="AL10" s="22">
        <v>2.5000000000000001E-2</v>
      </c>
      <c r="AM10" s="22">
        <v>2.5000000000000001E-2</v>
      </c>
      <c r="AN10" s="22">
        <v>2.5000000000000001E-2</v>
      </c>
      <c r="AO10" s="22">
        <v>2.5000000000000001E-2</v>
      </c>
      <c r="AP10" s="22">
        <v>2.5000000000000001E-2</v>
      </c>
      <c r="AQ10" s="22">
        <v>2.5000000000000001E-2</v>
      </c>
    </row>
    <row r="12" spans="2:44" s="32" customFormat="1" ht="34">
      <c r="B12" s="5" t="s">
        <v>200</v>
      </c>
      <c r="C12" s="47">
        <f>'Income Statement'!C32</f>
        <v>0</v>
      </c>
      <c r="D12" s="47">
        <f>'Income Statement'!D32</f>
        <v>761</v>
      </c>
      <c r="E12" s="47">
        <f>'Income Statement'!E32</f>
        <v>713</v>
      </c>
      <c r="F12" s="47">
        <f>'Income Statement'!F32</f>
        <v>-2757</v>
      </c>
      <c r="G12" s="47">
        <f>'Income Statement'!G32</f>
        <v>575</v>
      </c>
      <c r="H12" s="47">
        <f>'Income Statement'!H32</f>
        <v>764</v>
      </c>
      <c r="I12" s="47">
        <f>'Income Statement'!I32</f>
        <v>-1219</v>
      </c>
      <c r="J12" s="47">
        <f>'Income Statement'!J32</f>
        <v>-1096</v>
      </c>
      <c r="K12" s="47">
        <f>'Income Statement'!K32</f>
        <v>-530</v>
      </c>
      <c r="L12" s="47">
        <f>'Income Statement'!L32</f>
        <v>2211</v>
      </c>
      <c r="M12" s="47">
        <f>'Income Statement'!M32</f>
        <v>793</v>
      </c>
      <c r="N12" s="47">
        <f>'Income Statement'!N32</f>
        <v>2273</v>
      </c>
      <c r="O12" s="47">
        <f>'Income Statement'!O32</f>
        <v>1581</v>
      </c>
      <c r="P12" s="47">
        <f>'Income Statement'!P32</f>
        <v>614</v>
      </c>
      <c r="Q12" s="47">
        <f>'Income Statement'!Q32</f>
        <v>-654</v>
      </c>
      <c r="R12" s="47">
        <f>'Income Statement'!R32</f>
        <v>592</v>
      </c>
      <c r="S12" s="47">
        <f>'Income Statement'!S32</f>
        <v>2563</v>
      </c>
      <c r="T12" s="47">
        <f>'Income Statement'!T32</f>
        <v>-249</v>
      </c>
      <c r="U12" s="47">
        <f>'Income Statement'!U32</f>
        <v>0</v>
      </c>
      <c r="V12" s="47">
        <f>'Income Statement'!V32</f>
        <v>7252.186431343649</v>
      </c>
      <c r="W12" s="47">
        <f>'Income Statement'!W32</f>
        <v>1043.249013317575</v>
      </c>
      <c r="X12" s="47">
        <f>'Income Statement'!X32</f>
        <v>1762.2988635183187</v>
      </c>
      <c r="Y12" s="47">
        <f>'Income Statement'!Y32</f>
        <v>710.07887649067845</v>
      </c>
      <c r="Z12" s="47">
        <f>'Income Statement'!Z32</f>
        <v>1499.3691010223765</v>
      </c>
      <c r="AA12" s="47">
        <f>'Income Statement'!AA32</f>
        <v>1365.3069022031641</v>
      </c>
      <c r="AB12" s="47">
        <f>'Income Statement'!AB32</f>
        <v>1420.2953604218956</v>
      </c>
      <c r="AC12" s="47">
        <f>'Income Statement'!AC32</f>
        <v>1464.8245938274104</v>
      </c>
      <c r="AD12" s="47">
        <f>'Income Statement'!AD32</f>
        <v>1533.8107025254421</v>
      </c>
      <c r="AE12" s="47">
        <f>'Income Statement'!AE32</f>
        <v>1603.6633828276858</v>
      </c>
      <c r="AF12" s="47">
        <f>'Income Statement'!AF32</f>
        <v>1668.97331023985</v>
      </c>
      <c r="AG12" s="47">
        <f>'Income Statement'!AG32</f>
        <v>1700.7659269441228</v>
      </c>
      <c r="AH12" s="47">
        <f>'Income Statement'!AH32</f>
        <v>1821.1944800639585</v>
      </c>
      <c r="AI12" s="47">
        <f>'Income Statement'!AI32</f>
        <v>1858.4086390094694</v>
      </c>
      <c r="AJ12" s="47">
        <f>'Income Statement'!AJ32</f>
        <v>1941.7753992628238</v>
      </c>
      <c r="AK12" s="47">
        <f>'Income Statement'!AK32</f>
        <v>2024.2058538844308</v>
      </c>
      <c r="AL12" s="47">
        <f>'Income Statement'!AL32</f>
        <v>2096.5927486503924</v>
      </c>
      <c r="AM12" s="47">
        <f>'Income Statement'!AM32</f>
        <v>2189.8872419374247</v>
      </c>
      <c r="AN12" s="47">
        <f>'Income Statement'!AN32</f>
        <v>2270.7490822039517</v>
      </c>
      <c r="AO12" s="47">
        <f>'Income Statement'!AO32</f>
        <v>2362.6773936008531</v>
      </c>
      <c r="AP12" s="47">
        <f>'Income Statement'!AP32</f>
        <v>2460.6294729453216</v>
      </c>
      <c r="AQ12" s="47">
        <f>'Income Statement'!AQ32</f>
        <v>2554.3345682348554</v>
      </c>
      <c r="AR12" s="48"/>
    </row>
    <row r="13" spans="2:44">
      <c r="B13" t="s">
        <v>201</v>
      </c>
      <c r="C13" s="49">
        <f>0.5*C12</f>
        <v>0</v>
      </c>
      <c r="D13" s="50">
        <f>0.5*D12</f>
        <v>380.5</v>
      </c>
      <c r="E13" s="50">
        <f t="shared" ref="E13:AQ14" si="0">0.5*E12</f>
        <v>356.5</v>
      </c>
      <c r="F13" s="50">
        <f t="shared" si="0"/>
        <v>-1378.5</v>
      </c>
      <c r="G13" s="50">
        <f t="shared" si="0"/>
        <v>287.5</v>
      </c>
      <c r="H13" s="50">
        <f t="shared" si="0"/>
        <v>382</v>
      </c>
      <c r="I13" s="50">
        <f t="shared" si="0"/>
        <v>-609.5</v>
      </c>
      <c r="J13" s="50">
        <f t="shared" si="0"/>
        <v>-548</v>
      </c>
      <c r="K13" s="50">
        <f t="shared" si="0"/>
        <v>-265</v>
      </c>
      <c r="L13" s="50">
        <f t="shared" si="0"/>
        <v>1105.5</v>
      </c>
      <c r="M13" s="50">
        <f t="shared" si="0"/>
        <v>396.5</v>
      </c>
      <c r="N13" s="50">
        <f t="shared" si="0"/>
        <v>1136.5</v>
      </c>
      <c r="O13" s="50">
        <f t="shared" si="0"/>
        <v>790.5</v>
      </c>
      <c r="P13" s="50">
        <f t="shared" si="0"/>
        <v>307</v>
      </c>
      <c r="Q13" s="50">
        <f t="shared" si="0"/>
        <v>-327</v>
      </c>
      <c r="R13" s="50">
        <f t="shared" si="0"/>
        <v>296</v>
      </c>
      <c r="S13" s="50">
        <f t="shared" si="0"/>
        <v>1281.5</v>
      </c>
      <c r="T13" s="50">
        <f t="shared" si="0"/>
        <v>-124.5</v>
      </c>
      <c r="U13" s="50">
        <f t="shared" si="0"/>
        <v>0</v>
      </c>
      <c r="V13" s="50">
        <f t="shared" si="0"/>
        <v>3626.0932156718245</v>
      </c>
      <c r="W13" s="50">
        <f t="shared" si="0"/>
        <v>521.62450665878748</v>
      </c>
      <c r="X13" s="50">
        <f t="shared" si="0"/>
        <v>881.14943175915937</v>
      </c>
      <c r="Y13" s="50">
        <f t="shared" si="0"/>
        <v>355.03943824533923</v>
      </c>
      <c r="Z13" s="50">
        <f t="shared" si="0"/>
        <v>749.68455051118826</v>
      </c>
      <c r="AA13" s="50">
        <f t="shared" si="0"/>
        <v>682.65345110158205</v>
      </c>
      <c r="AB13" s="50">
        <f t="shared" si="0"/>
        <v>710.14768021094778</v>
      </c>
      <c r="AC13" s="50">
        <f t="shared" si="0"/>
        <v>732.41229691370518</v>
      </c>
      <c r="AD13" s="50">
        <f t="shared" si="0"/>
        <v>766.90535126272107</v>
      </c>
      <c r="AE13" s="50">
        <f t="shared" si="0"/>
        <v>801.83169141384292</v>
      </c>
      <c r="AF13" s="50">
        <f t="shared" si="0"/>
        <v>834.48665511992499</v>
      </c>
      <c r="AG13" s="50">
        <f t="shared" si="0"/>
        <v>850.38296347206142</v>
      </c>
      <c r="AH13" s="50">
        <f t="shared" si="0"/>
        <v>910.59724003197925</v>
      </c>
      <c r="AI13" s="50">
        <f t="shared" si="0"/>
        <v>929.20431950473471</v>
      </c>
      <c r="AJ13" s="50">
        <f t="shared" si="0"/>
        <v>970.88769963141192</v>
      </c>
      <c r="AK13" s="50">
        <f t="shared" si="0"/>
        <v>1012.1029269422154</v>
      </c>
      <c r="AL13" s="50">
        <f t="shared" si="0"/>
        <v>1048.2963743251962</v>
      </c>
      <c r="AM13" s="50">
        <f t="shared" si="0"/>
        <v>1094.9436209687124</v>
      </c>
      <c r="AN13" s="50">
        <f t="shared" si="0"/>
        <v>1135.3745411019759</v>
      </c>
      <c r="AO13" s="50">
        <f t="shared" si="0"/>
        <v>1181.3386968004265</v>
      </c>
      <c r="AP13" s="50">
        <f t="shared" si="0"/>
        <v>1230.3147364726608</v>
      </c>
      <c r="AQ13" s="50">
        <f t="shared" si="0"/>
        <v>1277.1672841174277</v>
      </c>
    </row>
    <row r="14" spans="2:44">
      <c r="B14" t="s">
        <v>202</v>
      </c>
      <c r="C14" s="49">
        <f>0.5*C13</f>
        <v>0</v>
      </c>
      <c r="D14" s="50">
        <f>0.5*D13</f>
        <v>190.25</v>
      </c>
      <c r="E14" s="50">
        <f t="shared" si="0"/>
        <v>178.25</v>
      </c>
      <c r="F14" s="50">
        <f t="shared" si="0"/>
        <v>-689.25</v>
      </c>
      <c r="G14" s="50">
        <f t="shared" si="0"/>
        <v>143.75</v>
      </c>
      <c r="H14" s="50">
        <f t="shared" si="0"/>
        <v>191</v>
      </c>
      <c r="I14" s="50">
        <f t="shared" si="0"/>
        <v>-304.75</v>
      </c>
      <c r="J14" s="50">
        <f t="shared" si="0"/>
        <v>-274</v>
      </c>
      <c r="K14" s="50">
        <f t="shared" si="0"/>
        <v>-132.5</v>
      </c>
      <c r="L14" s="50">
        <f t="shared" si="0"/>
        <v>552.75</v>
      </c>
      <c r="M14" s="50">
        <f t="shared" si="0"/>
        <v>198.25</v>
      </c>
      <c r="N14" s="50">
        <f t="shared" si="0"/>
        <v>568.25</v>
      </c>
      <c r="O14" s="50">
        <f t="shared" si="0"/>
        <v>395.25</v>
      </c>
      <c r="P14" s="50">
        <f t="shared" si="0"/>
        <v>153.5</v>
      </c>
      <c r="Q14" s="50">
        <f t="shared" si="0"/>
        <v>-163.5</v>
      </c>
      <c r="R14" s="50">
        <f t="shared" si="0"/>
        <v>148</v>
      </c>
      <c r="S14" s="50">
        <f t="shared" si="0"/>
        <v>640.75</v>
      </c>
      <c r="T14" s="50">
        <f t="shared" si="0"/>
        <v>-62.25</v>
      </c>
      <c r="U14" s="50">
        <f t="shared" si="0"/>
        <v>0</v>
      </c>
      <c r="V14" s="50">
        <f t="shared" si="0"/>
        <v>1813.0466078359123</v>
      </c>
      <c r="W14" s="50">
        <f t="shared" si="0"/>
        <v>260.81225332939374</v>
      </c>
      <c r="X14" s="50">
        <f t="shared" si="0"/>
        <v>440.57471587957968</v>
      </c>
      <c r="Y14" s="50">
        <f t="shared" si="0"/>
        <v>177.51971912266961</v>
      </c>
      <c r="Z14" s="50">
        <f t="shared" si="0"/>
        <v>374.84227525559413</v>
      </c>
      <c r="AA14" s="50">
        <f t="shared" si="0"/>
        <v>341.32672555079102</v>
      </c>
      <c r="AB14" s="50">
        <f t="shared" si="0"/>
        <v>355.07384010547389</v>
      </c>
      <c r="AC14" s="50">
        <f t="shared" si="0"/>
        <v>366.20614845685259</v>
      </c>
      <c r="AD14" s="50">
        <f t="shared" si="0"/>
        <v>383.45267563136053</v>
      </c>
      <c r="AE14" s="50">
        <f t="shared" si="0"/>
        <v>400.91584570692146</v>
      </c>
      <c r="AF14" s="50">
        <f t="shared" si="0"/>
        <v>417.24332755996249</v>
      </c>
      <c r="AG14" s="50">
        <f t="shared" si="0"/>
        <v>425.19148173603071</v>
      </c>
      <c r="AH14" s="50">
        <f t="shared" si="0"/>
        <v>455.29862001598963</v>
      </c>
      <c r="AI14" s="50">
        <f t="shared" si="0"/>
        <v>464.60215975236736</v>
      </c>
      <c r="AJ14" s="50">
        <f t="shared" si="0"/>
        <v>485.44384981570596</v>
      </c>
      <c r="AK14" s="50">
        <f t="shared" si="0"/>
        <v>506.0514634711077</v>
      </c>
      <c r="AL14" s="50">
        <f t="shared" si="0"/>
        <v>524.14818716259811</v>
      </c>
      <c r="AM14" s="50">
        <f t="shared" si="0"/>
        <v>547.47181048435618</v>
      </c>
      <c r="AN14" s="50">
        <f t="shared" si="0"/>
        <v>567.68727055098793</v>
      </c>
      <c r="AO14" s="50">
        <f t="shared" si="0"/>
        <v>590.66934840021327</v>
      </c>
      <c r="AP14" s="50">
        <f t="shared" si="0"/>
        <v>615.1573682363304</v>
      </c>
      <c r="AQ14" s="50">
        <f t="shared" si="0"/>
        <v>638.58364205871385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3DBBD-57BA-944C-8304-F620119EAFA8}">
  <dimension ref="B1:AQ26"/>
  <sheetViews>
    <sheetView zoomScale="75" workbookViewId="0">
      <selection activeCell="V28" sqref="V28"/>
    </sheetView>
  </sheetViews>
  <sheetFormatPr baseColWidth="10" defaultRowHeight="16"/>
  <cols>
    <col min="1" max="1" width="1.6640625" style="58" customWidth="1"/>
    <col min="2" max="2" width="30.33203125" style="58" bestFit="1" customWidth="1"/>
    <col min="3" max="3" width="20.5" style="58" customWidth="1"/>
    <col min="4" max="19" width="0" style="58" hidden="1" customWidth="1"/>
    <col min="20" max="20" width="2" style="58" hidden="1" customWidth="1"/>
    <col min="21" max="27" width="10.83203125" style="58"/>
    <col min="28" max="28" width="10.33203125" style="58" customWidth="1"/>
    <col min="29" max="16384" width="10.83203125" style="58"/>
  </cols>
  <sheetData>
    <row r="1" spans="2:43">
      <c r="B1" s="58" t="s">
        <v>120</v>
      </c>
    </row>
    <row r="2" spans="2:43">
      <c r="B2" s="58" t="e" vm="1">
        <v>#VALUE!</v>
      </c>
      <c r="C2" s="83"/>
    </row>
    <row r="6" spans="2:43" ht="17" thickBot="1"/>
    <row r="7" spans="2:43">
      <c r="B7" s="76" t="s">
        <v>203</v>
      </c>
      <c r="C7" s="84">
        <v>0.06</v>
      </c>
    </row>
    <row r="8" spans="2:43" ht="17" thickBot="1">
      <c r="B8" s="77" t="s">
        <v>215</v>
      </c>
      <c r="C8" s="85">
        <v>0.02</v>
      </c>
    </row>
    <row r="9" spans="2:43" ht="17" thickBot="1">
      <c r="U9" s="58">
        <v>0</v>
      </c>
      <c r="V9" s="58">
        <f>U9+1</f>
        <v>1</v>
      </c>
      <c r="W9" s="58">
        <f t="shared" ref="W9:AQ9" si="0">V9+1</f>
        <v>2</v>
      </c>
      <c r="X9" s="58">
        <f t="shared" si="0"/>
        <v>3</v>
      </c>
      <c r="Y9" s="58">
        <f t="shared" si="0"/>
        <v>4</v>
      </c>
      <c r="Z9" s="58">
        <f t="shared" si="0"/>
        <v>5</v>
      </c>
      <c r="AA9" s="58">
        <f t="shared" si="0"/>
        <v>6</v>
      </c>
      <c r="AB9" s="58">
        <f t="shared" si="0"/>
        <v>7</v>
      </c>
      <c r="AC9" s="58">
        <f t="shared" si="0"/>
        <v>8</v>
      </c>
      <c r="AD9" s="58">
        <f t="shared" si="0"/>
        <v>9</v>
      </c>
      <c r="AE9" s="58">
        <f t="shared" si="0"/>
        <v>10</v>
      </c>
      <c r="AF9" s="58">
        <f t="shared" si="0"/>
        <v>11</v>
      </c>
      <c r="AG9" s="58">
        <f t="shared" si="0"/>
        <v>12</v>
      </c>
      <c r="AH9" s="58">
        <f t="shared" si="0"/>
        <v>13</v>
      </c>
      <c r="AI9" s="58">
        <f t="shared" si="0"/>
        <v>14</v>
      </c>
      <c r="AJ9" s="58">
        <f t="shared" si="0"/>
        <v>15</v>
      </c>
      <c r="AK9" s="58">
        <f t="shared" si="0"/>
        <v>16</v>
      </c>
      <c r="AL9" s="58">
        <f t="shared" si="0"/>
        <v>17</v>
      </c>
      <c r="AM9" s="58">
        <f t="shared" si="0"/>
        <v>18</v>
      </c>
      <c r="AN9" s="58">
        <f t="shared" si="0"/>
        <v>19</v>
      </c>
      <c r="AO9" s="58">
        <f t="shared" si="0"/>
        <v>20</v>
      </c>
      <c r="AP9" s="58">
        <f t="shared" si="0"/>
        <v>21</v>
      </c>
      <c r="AQ9" s="58">
        <f t="shared" si="0"/>
        <v>22</v>
      </c>
    </row>
    <row r="10" spans="2:43">
      <c r="C10" s="61"/>
      <c r="D10" s="62" t="s">
        <v>1</v>
      </c>
      <c r="E10" s="62" t="s">
        <v>2</v>
      </c>
      <c r="F10" s="62" t="s">
        <v>3</v>
      </c>
      <c r="G10" s="62" t="s">
        <v>4</v>
      </c>
      <c r="H10" s="62" t="s">
        <v>5</v>
      </c>
      <c r="I10" s="62" t="s">
        <v>6</v>
      </c>
      <c r="J10" s="62" t="s">
        <v>7</v>
      </c>
      <c r="K10" s="62" t="s">
        <v>8</v>
      </c>
      <c r="L10" s="62" t="s">
        <v>9</v>
      </c>
      <c r="M10" s="63" t="s">
        <v>10</v>
      </c>
      <c r="N10" s="63" t="s">
        <v>11</v>
      </c>
      <c r="O10" s="62" t="s">
        <v>12</v>
      </c>
      <c r="P10" s="62" t="s">
        <v>13</v>
      </c>
      <c r="Q10" s="62" t="s">
        <v>14</v>
      </c>
      <c r="R10" s="62" t="s">
        <v>15</v>
      </c>
      <c r="S10" s="62" t="s">
        <v>16</v>
      </c>
      <c r="T10" s="62"/>
      <c r="U10" s="62" t="s">
        <v>17</v>
      </c>
      <c r="V10" s="62" t="s">
        <v>18</v>
      </c>
      <c r="W10" s="62" t="s">
        <v>19</v>
      </c>
      <c r="X10" s="62" t="s">
        <v>20</v>
      </c>
      <c r="Y10" s="62" t="s">
        <v>21</v>
      </c>
      <c r="Z10" s="62" t="s">
        <v>22</v>
      </c>
      <c r="AA10" s="62" t="s">
        <v>23</v>
      </c>
      <c r="AB10" s="62" t="s">
        <v>24</v>
      </c>
      <c r="AC10" s="62" t="s">
        <v>25</v>
      </c>
      <c r="AD10" s="62" t="s">
        <v>26</v>
      </c>
      <c r="AE10" s="62" t="s">
        <v>27</v>
      </c>
      <c r="AF10" s="62" t="s">
        <v>28</v>
      </c>
      <c r="AG10" s="62" t="s">
        <v>29</v>
      </c>
      <c r="AH10" s="62" t="s">
        <v>30</v>
      </c>
      <c r="AI10" s="62" t="s">
        <v>31</v>
      </c>
      <c r="AJ10" s="62" t="s">
        <v>32</v>
      </c>
      <c r="AK10" s="62" t="s">
        <v>33</v>
      </c>
      <c r="AL10" s="62" t="s">
        <v>34</v>
      </c>
      <c r="AM10" s="62" t="s">
        <v>35</v>
      </c>
      <c r="AN10" s="62" t="s">
        <v>36</v>
      </c>
      <c r="AO10" s="62" t="s">
        <v>37</v>
      </c>
      <c r="AP10" s="62" t="s">
        <v>38</v>
      </c>
      <c r="AQ10" s="64" t="s">
        <v>39</v>
      </c>
    </row>
    <row r="11" spans="2:43">
      <c r="C11" s="65" t="s">
        <v>204</v>
      </c>
      <c r="D11" s="66">
        <f>'Income Statement'!D32</f>
        <v>761</v>
      </c>
      <c r="E11" s="66">
        <f>'Income Statement'!E32</f>
        <v>713</v>
      </c>
      <c r="F11" s="66">
        <f>'Income Statement'!F32</f>
        <v>-2757</v>
      </c>
      <c r="G11" s="66">
        <f>'Income Statement'!G32</f>
        <v>575</v>
      </c>
      <c r="H11" s="66">
        <f>'Income Statement'!H32</f>
        <v>764</v>
      </c>
      <c r="I11" s="66">
        <f>'Income Statement'!I32</f>
        <v>-1219</v>
      </c>
      <c r="J11" s="66">
        <f>'Income Statement'!J32</f>
        <v>-1096</v>
      </c>
      <c r="K11" s="66">
        <f>'Income Statement'!K32</f>
        <v>-530</v>
      </c>
      <c r="L11" s="66">
        <f>'Income Statement'!L32</f>
        <v>2211</v>
      </c>
      <c r="M11" s="66">
        <f>'Income Statement'!M32</f>
        <v>793</v>
      </c>
      <c r="N11" s="66">
        <f>'Income Statement'!N32</f>
        <v>2273</v>
      </c>
      <c r="O11" s="66">
        <f>'Income Statement'!O32</f>
        <v>1581</v>
      </c>
      <c r="P11" s="66">
        <f>'Income Statement'!P32</f>
        <v>614</v>
      </c>
      <c r="Q11" s="66">
        <f>'Income Statement'!Q32</f>
        <v>-654</v>
      </c>
      <c r="R11" s="66">
        <f>'Income Statement'!R32</f>
        <v>592</v>
      </c>
      <c r="S11" s="66">
        <f>'Income Statement'!S32</f>
        <v>2563</v>
      </c>
      <c r="T11" s="66"/>
      <c r="U11" s="66">
        <f>'Income Statement'!T32</f>
        <v>-249</v>
      </c>
      <c r="V11" s="66">
        <f>'Income Statement'!V32</f>
        <v>7252.186431343649</v>
      </c>
      <c r="W11" s="66">
        <f>'Income Statement'!W32</f>
        <v>1043.249013317575</v>
      </c>
      <c r="X11" s="66">
        <f>'Income Statement'!X32</f>
        <v>1762.2988635183187</v>
      </c>
      <c r="Y11" s="66">
        <f>'Income Statement'!Y32</f>
        <v>710.07887649067845</v>
      </c>
      <c r="Z11" s="66">
        <f>'Income Statement'!Z32</f>
        <v>1499.3691010223765</v>
      </c>
      <c r="AA11" s="66">
        <f>'Income Statement'!AA32</f>
        <v>1365.3069022031641</v>
      </c>
      <c r="AB11" s="66">
        <f>'Income Statement'!AB32</f>
        <v>1420.2953604218956</v>
      </c>
      <c r="AC11" s="66">
        <f>'Income Statement'!AC32</f>
        <v>1464.8245938274104</v>
      </c>
      <c r="AD11" s="66">
        <f>'Income Statement'!AD32</f>
        <v>1533.8107025254421</v>
      </c>
      <c r="AE11" s="66">
        <f>'Income Statement'!AE32</f>
        <v>1603.6633828276858</v>
      </c>
      <c r="AF11" s="66">
        <f>'Income Statement'!AF32</f>
        <v>1668.97331023985</v>
      </c>
      <c r="AG11" s="66">
        <f>'Income Statement'!AG32</f>
        <v>1700.7659269441228</v>
      </c>
      <c r="AH11" s="66">
        <f>'Income Statement'!AH32</f>
        <v>1821.1944800639585</v>
      </c>
      <c r="AI11" s="66">
        <f>'Income Statement'!AI32</f>
        <v>1858.4086390094694</v>
      </c>
      <c r="AJ11" s="66">
        <f>'Income Statement'!AJ32</f>
        <v>1941.7753992628238</v>
      </c>
      <c r="AK11" s="66">
        <f>'Income Statement'!AK32</f>
        <v>2024.2058538844308</v>
      </c>
      <c r="AL11" s="66">
        <f>'Income Statement'!AL32</f>
        <v>2096.5927486503924</v>
      </c>
      <c r="AM11" s="66">
        <f>'Income Statement'!AM32</f>
        <v>2189.8872419374247</v>
      </c>
      <c r="AN11" s="66">
        <f>'Income Statement'!AN32</f>
        <v>2270.7490822039517</v>
      </c>
      <c r="AO11" s="66">
        <f>'Income Statement'!AO32</f>
        <v>2362.6773936008531</v>
      </c>
      <c r="AP11" s="66">
        <f>'Income Statement'!AP32</f>
        <v>2460.6294729453216</v>
      </c>
      <c r="AQ11" s="67">
        <f>'Income Statement'!AQ32</f>
        <v>2554.3345682348554</v>
      </c>
    </row>
    <row r="12" spans="2:43">
      <c r="C12" s="65"/>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7"/>
    </row>
    <row r="13" spans="2:43">
      <c r="C13" s="65" t="s">
        <v>205</v>
      </c>
      <c r="D13" s="52"/>
      <c r="E13" s="52"/>
      <c r="F13" s="52"/>
      <c r="G13" s="52"/>
      <c r="H13" s="52"/>
      <c r="I13" s="52"/>
      <c r="J13" s="52"/>
      <c r="K13" s="52"/>
      <c r="L13" s="52"/>
      <c r="M13" s="52"/>
      <c r="N13" s="52"/>
      <c r="O13" s="52"/>
      <c r="P13" s="52"/>
      <c r="Q13" s="52"/>
      <c r="R13" s="52"/>
      <c r="S13" s="52"/>
      <c r="T13" s="52"/>
      <c r="U13" s="59">
        <f>1/((1+$C$7)^U9)</f>
        <v>1</v>
      </c>
      <c r="V13" s="59">
        <f>1/((1+$C$7)^V9)</f>
        <v>0.94339622641509424</v>
      </c>
      <c r="W13" s="59">
        <f t="shared" ref="W13:AQ13" si="1">1/((1+$C$7)^W9)</f>
        <v>0.88999644001423983</v>
      </c>
      <c r="X13" s="59">
        <f t="shared" si="1"/>
        <v>0.8396192830323016</v>
      </c>
      <c r="Y13" s="59">
        <f t="shared" si="1"/>
        <v>0.79209366323802044</v>
      </c>
      <c r="Z13" s="59">
        <f t="shared" si="1"/>
        <v>0.74725817286605689</v>
      </c>
      <c r="AA13" s="59">
        <f t="shared" si="1"/>
        <v>0.70496054043967626</v>
      </c>
      <c r="AB13" s="59">
        <f t="shared" si="1"/>
        <v>0.66505711362233599</v>
      </c>
      <c r="AC13" s="59">
        <f t="shared" si="1"/>
        <v>0.62741237134182648</v>
      </c>
      <c r="AD13" s="59">
        <f t="shared" si="1"/>
        <v>0.59189846353002495</v>
      </c>
      <c r="AE13" s="59">
        <f t="shared" si="1"/>
        <v>0.55839477691511785</v>
      </c>
      <c r="AF13" s="59">
        <f t="shared" si="1"/>
        <v>0.52678752539162055</v>
      </c>
      <c r="AG13" s="59">
        <f t="shared" si="1"/>
        <v>0.4969693635770005</v>
      </c>
      <c r="AH13" s="59">
        <f t="shared" si="1"/>
        <v>0.46883902224245327</v>
      </c>
      <c r="AI13" s="59">
        <f t="shared" si="1"/>
        <v>0.44230096437967292</v>
      </c>
      <c r="AJ13" s="59">
        <f t="shared" si="1"/>
        <v>0.41726506073554037</v>
      </c>
      <c r="AK13" s="59">
        <f t="shared" si="1"/>
        <v>0.39364628371277405</v>
      </c>
      <c r="AL13" s="59">
        <f t="shared" si="1"/>
        <v>0.37136441859695657</v>
      </c>
      <c r="AM13" s="59">
        <f t="shared" si="1"/>
        <v>0.35034379112920433</v>
      </c>
      <c r="AN13" s="59">
        <f t="shared" si="1"/>
        <v>0.3305130104992493</v>
      </c>
      <c r="AO13" s="59">
        <f t="shared" si="1"/>
        <v>0.31180472688608429</v>
      </c>
      <c r="AP13" s="59">
        <f t="shared" si="1"/>
        <v>0.29415540272272095</v>
      </c>
      <c r="AQ13" s="68">
        <f t="shared" si="1"/>
        <v>0.27750509690822728</v>
      </c>
    </row>
    <row r="14" spans="2:43" ht="17" thickBot="1">
      <c r="C14" s="69" t="s">
        <v>206</v>
      </c>
      <c r="D14" s="70"/>
      <c r="E14" s="70"/>
      <c r="F14" s="70"/>
      <c r="G14" s="70"/>
      <c r="H14" s="70"/>
      <c r="I14" s="70"/>
      <c r="J14" s="70"/>
      <c r="K14" s="70"/>
      <c r="L14" s="70"/>
      <c r="M14" s="70"/>
      <c r="N14" s="70"/>
      <c r="O14" s="70"/>
      <c r="P14" s="70"/>
      <c r="Q14" s="70"/>
      <c r="R14" s="70"/>
      <c r="S14" s="70"/>
      <c r="T14" s="70"/>
      <c r="U14" s="71">
        <f t="shared" ref="U14:AQ14" si="2">U11*U13</f>
        <v>-249</v>
      </c>
      <c r="V14" s="71">
        <f t="shared" si="2"/>
        <v>6841.6853125883472</v>
      </c>
      <c r="W14" s="71">
        <f t="shared" si="2"/>
        <v>928.48790790100998</v>
      </c>
      <c r="X14" s="71">
        <f t="shared" si="2"/>
        <v>1479.6601082758907</v>
      </c>
      <c r="Y14" s="71">
        <f t="shared" si="2"/>
        <v>562.44897846743936</v>
      </c>
      <c r="Z14" s="71">
        <f t="shared" si="2"/>
        <v>1120.4158148818033</v>
      </c>
      <c r="AA14" s="71">
        <f t="shared" si="2"/>
        <v>962.4874916431628</v>
      </c>
      <c r="AB14" s="71">
        <f t="shared" si="2"/>
        <v>944.5775328933812</v>
      </c>
      <c r="AC14" s="71">
        <f t="shared" si="2"/>
        <v>919.04907201308333</v>
      </c>
      <c r="AD14" s="71">
        <f t="shared" si="2"/>
        <v>907.86019817071735</v>
      </c>
      <c r="AE14" s="71">
        <f t="shared" si="2"/>
        <v>895.4772569010089</v>
      </c>
      <c r="AF14" s="71">
        <f t="shared" si="2"/>
        <v>879.19432004591192</v>
      </c>
      <c r="AG14" s="71">
        <f t="shared" si="2"/>
        <v>845.22856030686808</v>
      </c>
      <c r="AH14" s="71">
        <f t="shared" si="2"/>
        <v>853.84703934653942</v>
      </c>
      <c r="AI14" s="71">
        <f t="shared" si="2"/>
        <v>821.97593324540378</v>
      </c>
      <c r="AJ14" s="71">
        <f t="shared" si="2"/>
        <v>810.23502990818031</v>
      </c>
      <c r="AK14" s="71">
        <f t="shared" si="2"/>
        <v>796.8211118512487</v>
      </c>
      <c r="AL14" s="71">
        <f t="shared" si="2"/>
        <v>778.59994713714809</v>
      </c>
      <c r="AM14" s="71">
        <f t="shared" si="2"/>
        <v>767.21339848583443</v>
      </c>
      <c r="AN14" s="71">
        <f t="shared" si="2"/>
        <v>750.51211524763539</v>
      </c>
      <c r="AO14" s="71">
        <f t="shared" si="2"/>
        <v>736.69397943163949</v>
      </c>
      <c r="AP14" s="71">
        <f t="shared" si="2"/>
        <v>723.80745356562761</v>
      </c>
      <c r="AQ14" s="72">
        <f t="shared" si="2"/>
        <v>708.84086189404843</v>
      </c>
    </row>
    <row r="16" spans="2:43">
      <c r="C16" s="58" t="s">
        <v>214</v>
      </c>
    </row>
    <row r="17" spans="2:30">
      <c r="C17" s="53" t="s">
        <v>211</v>
      </c>
      <c r="D17" s="53"/>
      <c r="E17" s="53"/>
      <c r="F17" s="53"/>
      <c r="G17" s="53"/>
      <c r="H17" s="53"/>
      <c r="I17" s="53"/>
      <c r="J17" s="53"/>
      <c r="K17" s="53"/>
      <c r="L17" s="53"/>
      <c r="M17" s="53"/>
      <c r="N17" s="53"/>
      <c r="O17" s="53"/>
      <c r="P17" s="53"/>
      <c r="Q17" s="53"/>
      <c r="R17" s="53"/>
      <c r="S17" s="53"/>
      <c r="T17" s="53"/>
      <c r="U17" s="54">
        <f>NPV(C7,V11:AR11)</f>
        <v>25035.11942420193</v>
      </c>
      <c r="V17" s="87">
        <f>(U17/U20)</f>
        <v>0.58071893776706962</v>
      </c>
      <c r="AD17" s="60"/>
    </row>
    <row r="18" spans="2:30">
      <c r="C18" s="53" t="s">
        <v>210</v>
      </c>
      <c r="D18" s="53"/>
      <c r="E18" s="53"/>
      <c r="F18" s="53"/>
      <c r="G18" s="53"/>
      <c r="H18" s="53"/>
      <c r="I18" s="53"/>
      <c r="J18" s="53"/>
      <c r="K18" s="53"/>
      <c r="L18" s="53"/>
      <c r="M18" s="53"/>
      <c r="N18" s="53"/>
      <c r="O18" s="53"/>
      <c r="P18" s="53"/>
      <c r="Q18" s="53"/>
      <c r="R18" s="53"/>
      <c r="S18" s="53"/>
      <c r="T18" s="53"/>
      <c r="U18" s="54">
        <f>(AQ11*(1+C8))/(C7-C8)</f>
        <v>65135.531489988825</v>
      </c>
      <c r="V18" s="52"/>
      <c r="X18" s="81">
        <f>U20</f>
        <v>43110.561402500171</v>
      </c>
      <c r="Y18" s="82">
        <v>0.05</v>
      </c>
      <c r="Z18" s="82">
        <v>0.06</v>
      </c>
      <c r="AA18" s="82">
        <v>7.0000000000000007E-2</v>
      </c>
      <c r="AB18" s="82">
        <v>0.08</v>
      </c>
    </row>
    <row r="19" spans="2:30">
      <c r="C19" s="53" t="s">
        <v>207</v>
      </c>
      <c r="D19" s="53"/>
      <c r="E19" s="53"/>
      <c r="F19" s="53"/>
      <c r="G19" s="53"/>
      <c r="H19" s="53"/>
      <c r="I19" s="53"/>
      <c r="J19" s="53"/>
      <c r="K19" s="53"/>
      <c r="L19" s="53"/>
      <c r="M19" s="53"/>
      <c r="N19" s="53"/>
      <c r="O19" s="53"/>
      <c r="P19" s="53"/>
      <c r="Q19" s="53"/>
      <c r="R19" s="53"/>
      <c r="S19" s="53"/>
      <c r="T19" s="53"/>
      <c r="U19" s="54">
        <f>U18*AQ13</f>
        <v>18075.441978298237</v>
      </c>
      <c r="V19" s="88">
        <f>U19/U20</f>
        <v>0.41928106223293032</v>
      </c>
      <c r="X19" s="82">
        <v>0.01</v>
      </c>
      <c r="Y19" s="79">
        <f t="dataTable" ref="Y19:AB22" dt2D="1" dtr="1" r1="C7" r2="C8"/>
        <v>49234.381487250503</v>
      </c>
      <c r="Z19" s="78">
        <v>39353.704834461707</v>
      </c>
      <c r="AA19" s="78">
        <v>32874.663217390138</v>
      </c>
      <c r="AB19" s="78">
        <v>28323.471509852854</v>
      </c>
      <c r="AD19" s="60"/>
    </row>
    <row r="20" spans="2:30">
      <c r="C20" s="89" t="s">
        <v>212</v>
      </c>
      <c r="D20" s="53"/>
      <c r="E20" s="53"/>
      <c r="F20" s="53"/>
      <c r="G20" s="53"/>
      <c r="H20" s="53"/>
      <c r="I20" s="53"/>
      <c r="J20" s="53"/>
      <c r="K20" s="53"/>
      <c r="L20" s="53"/>
      <c r="M20" s="53"/>
      <c r="N20" s="53"/>
      <c r="O20" s="53"/>
      <c r="P20" s="53"/>
      <c r="Q20" s="53"/>
      <c r="R20" s="53"/>
      <c r="S20" s="53"/>
      <c r="T20" s="53"/>
      <c r="U20" s="73">
        <f>SUM(U19,U17)</f>
        <v>43110.561402500171</v>
      </c>
      <c r="V20" s="52"/>
      <c r="X20" s="82">
        <v>0.02</v>
      </c>
      <c r="Y20" s="80">
        <v>56874.872237303396</v>
      </c>
      <c r="Z20" s="75">
        <v>43110.561402500171</v>
      </c>
      <c r="AA20" s="75">
        <v>34931.013971210217</v>
      </c>
      <c r="AB20" s="75">
        <v>29531.645898576404</v>
      </c>
    </row>
    <row r="21" spans="2:30">
      <c r="C21" s="53" t="s">
        <v>213</v>
      </c>
      <c r="D21" s="53"/>
      <c r="E21" s="53"/>
      <c r="F21" s="53"/>
      <c r="G21" s="53"/>
      <c r="H21" s="53"/>
      <c r="I21" s="53"/>
      <c r="J21" s="53"/>
      <c r="K21" s="53"/>
      <c r="L21" s="53"/>
      <c r="M21" s="53"/>
      <c r="N21" s="53"/>
      <c r="O21" s="53"/>
      <c r="P21" s="53"/>
      <c r="Q21" s="53"/>
      <c r="R21" s="53"/>
      <c r="S21" s="53"/>
      <c r="T21" s="53"/>
      <c r="U21" s="54">
        <f>-('Balance Sheet'!T37)</f>
        <v>-17879</v>
      </c>
      <c r="V21" s="52"/>
      <c r="X21" s="82">
        <v>0.03</v>
      </c>
      <c r="Y21" s="80">
        <v>72155.853737409168</v>
      </c>
      <c r="Z21" s="75">
        <v>49371.989015897598</v>
      </c>
      <c r="AA21" s="75">
        <v>38015.540101940336</v>
      </c>
      <c r="AB21" s="75">
        <v>31223.090042789376</v>
      </c>
    </row>
    <row r="22" spans="2:30">
      <c r="C22" s="53" t="s">
        <v>73</v>
      </c>
      <c r="D22" s="53"/>
      <c r="E22" s="53"/>
      <c r="F22" s="53"/>
      <c r="G22" s="53"/>
      <c r="H22" s="53"/>
      <c r="I22" s="53"/>
      <c r="J22" s="53"/>
      <c r="K22" s="53"/>
      <c r="L22" s="53"/>
      <c r="M22" s="53"/>
      <c r="N22" s="53"/>
      <c r="O22" s="53"/>
      <c r="P22" s="53"/>
      <c r="Q22" s="53"/>
      <c r="R22" s="53"/>
      <c r="S22" s="53"/>
      <c r="T22" s="53"/>
      <c r="U22" s="54">
        <f>'Balance Sheet'!T9</f>
        <v>818</v>
      </c>
      <c r="V22" s="52"/>
      <c r="X22" s="82">
        <v>0.04</v>
      </c>
      <c r="Y22" s="80">
        <v>117998.7982377265</v>
      </c>
      <c r="Z22" s="75">
        <v>61894.844242692459</v>
      </c>
      <c r="AA22" s="75">
        <v>43156.416986490527</v>
      </c>
      <c r="AB22" s="75">
        <v>33760.256259108835</v>
      </c>
    </row>
    <row r="23" spans="2:30">
      <c r="C23" s="89" t="s">
        <v>208</v>
      </c>
      <c r="D23" s="53"/>
      <c r="E23" s="53"/>
      <c r="F23" s="53"/>
      <c r="G23" s="53"/>
      <c r="H23" s="53"/>
      <c r="I23" s="53"/>
      <c r="J23" s="53"/>
      <c r="K23" s="53"/>
      <c r="L23" s="53"/>
      <c r="M23" s="53"/>
      <c r="N23" s="53"/>
      <c r="O23" s="53"/>
      <c r="P23" s="53"/>
      <c r="Q23" s="53"/>
      <c r="R23" s="53"/>
      <c r="S23" s="53"/>
      <c r="T23" s="53"/>
      <c r="U23" s="54">
        <f>SUM(U20:U22)</f>
        <v>26049.561402500171</v>
      </c>
      <c r="V23" s="52"/>
    </row>
    <row r="24" spans="2:30">
      <c r="C24" s="53"/>
      <c r="D24" s="53"/>
      <c r="E24" s="53"/>
      <c r="F24" s="53"/>
      <c r="G24" s="53"/>
      <c r="H24" s="53"/>
      <c r="I24" s="53"/>
      <c r="J24" s="53"/>
      <c r="K24" s="53"/>
      <c r="L24" s="53"/>
      <c r="M24" s="53"/>
      <c r="N24" s="53"/>
      <c r="O24" s="53"/>
      <c r="P24" s="53"/>
      <c r="Q24" s="53"/>
      <c r="R24" s="53"/>
      <c r="S24" s="53"/>
      <c r="T24" s="53"/>
      <c r="U24" s="53"/>
      <c r="V24" s="52"/>
    </row>
    <row r="25" spans="2:30">
      <c r="C25" s="53" t="s">
        <v>209</v>
      </c>
      <c r="D25" s="53"/>
      <c r="E25" s="53"/>
      <c r="F25" s="53"/>
      <c r="G25" s="53"/>
      <c r="H25" s="53"/>
      <c r="I25" s="53"/>
      <c r="J25" s="53"/>
      <c r="K25" s="53"/>
      <c r="L25" s="53"/>
      <c r="M25" s="53"/>
      <c r="N25" s="53"/>
      <c r="O25" s="53"/>
      <c r="P25" s="53"/>
      <c r="Q25" s="53"/>
      <c r="R25" s="53"/>
      <c r="S25" s="53"/>
      <c r="T25" s="53"/>
      <c r="U25" s="55">
        <v>151</v>
      </c>
      <c r="V25" s="52"/>
    </row>
    <row r="26" spans="2:30">
      <c r="B26" s="74"/>
      <c r="C26" s="89" t="s">
        <v>54</v>
      </c>
      <c r="D26" s="53"/>
      <c r="E26" s="53"/>
      <c r="F26" s="53"/>
      <c r="G26" s="53"/>
      <c r="H26" s="53"/>
      <c r="I26" s="53"/>
      <c r="J26" s="53"/>
      <c r="K26" s="53"/>
      <c r="L26" s="53"/>
      <c r="M26" s="53"/>
      <c r="N26" s="53"/>
      <c r="O26" s="53"/>
      <c r="P26" s="53"/>
      <c r="Q26" s="53"/>
      <c r="R26" s="53"/>
      <c r="S26" s="53"/>
      <c r="T26" s="53"/>
      <c r="U26" s="90">
        <f>U23/U25</f>
        <v>172.51365167218657</v>
      </c>
      <c r="V26" s="52"/>
    </row>
  </sheetData>
  <phoneticPr fontId="15" type="noConversion"/>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11823-3F9F-5F4B-B171-19600C60E13A}">
  <dimension ref="B1:AQ29"/>
  <sheetViews>
    <sheetView showGridLines="0" topLeftCell="B18" zoomScale="125" workbookViewId="0">
      <selection activeCell="M41" sqref="M41"/>
    </sheetView>
  </sheetViews>
  <sheetFormatPr baseColWidth="10" defaultRowHeight="16"/>
  <cols>
    <col min="1" max="1" width="2.1640625" customWidth="1"/>
    <col min="2" max="2" width="30.33203125" bestFit="1" customWidth="1"/>
    <col min="6" max="6" width="11.5" bestFit="1" customWidth="1"/>
    <col min="9" max="9" width="14.6640625" bestFit="1" customWidth="1"/>
    <col min="12" max="12" width="11.83203125" bestFit="1" customWidth="1"/>
    <col min="21" max="21" width="3.6640625" customWidth="1"/>
  </cols>
  <sheetData>
    <row r="1" spans="2:43">
      <c r="B1" t="s">
        <v>120</v>
      </c>
    </row>
    <row r="2" spans="2:43">
      <c r="B2" t="e" vm="1">
        <v>#VALUE!</v>
      </c>
    </row>
    <row r="4" spans="2:43">
      <c r="B4" s="10" t="s">
        <v>121</v>
      </c>
      <c r="C4" s="10" t="s">
        <v>0</v>
      </c>
      <c r="D4" s="10" t="s">
        <v>1</v>
      </c>
      <c r="E4" s="10" t="s">
        <v>2</v>
      </c>
      <c r="F4" s="10" t="s">
        <v>3</v>
      </c>
      <c r="G4" s="10" t="s">
        <v>4</v>
      </c>
      <c r="H4" s="10" t="s">
        <v>5</v>
      </c>
      <c r="I4" s="10" t="s">
        <v>6</v>
      </c>
      <c r="J4" s="10" t="s">
        <v>7</v>
      </c>
      <c r="K4" s="10" t="s">
        <v>8</v>
      </c>
      <c r="L4" s="10" t="s">
        <v>9</v>
      </c>
      <c r="M4" s="11" t="s">
        <v>10</v>
      </c>
      <c r="N4" s="11" t="s">
        <v>11</v>
      </c>
      <c r="O4" s="10" t="s">
        <v>12</v>
      </c>
      <c r="P4" s="10" t="s">
        <v>13</v>
      </c>
      <c r="Q4" s="10" t="s">
        <v>14</v>
      </c>
      <c r="R4" s="10" t="s">
        <v>15</v>
      </c>
      <c r="S4" s="10" t="s">
        <v>16</v>
      </c>
      <c r="T4" s="10" t="s">
        <v>17</v>
      </c>
      <c r="V4" t="s">
        <v>18</v>
      </c>
      <c r="W4" t="s">
        <v>19</v>
      </c>
      <c r="X4" t="s">
        <v>20</v>
      </c>
      <c r="Y4" t="s">
        <v>21</v>
      </c>
      <c r="Z4" t="s">
        <v>22</v>
      </c>
      <c r="AA4" t="s">
        <v>23</v>
      </c>
      <c r="AB4" t="s">
        <v>24</v>
      </c>
      <c r="AC4" t="s">
        <v>25</v>
      </c>
      <c r="AD4" t="s">
        <v>26</v>
      </c>
      <c r="AE4" t="s">
        <v>27</v>
      </c>
      <c r="AF4" t="s">
        <v>28</v>
      </c>
      <c r="AG4" t="s">
        <v>29</v>
      </c>
      <c r="AH4" t="s">
        <v>30</v>
      </c>
      <c r="AI4" t="s">
        <v>31</v>
      </c>
      <c r="AJ4" t="s">
        <v>32</v>
      </c>
      <c r="AK4" t="s">
        <v>33</v>
      </c>
      <c r="AL4" t="s">
        <v>34</v>
      </c>
      <c r="AM4" t="s">
        <v>35</v>
      </c>
      <c r="AN4" t="s">
        <v>36</v>
      </c>
      <c r="AO4" t="s">
        <v>37</v>
      </c>
      <c r="AP4" t="s">
        <v>38</v>
      </c>
      <c r="AQ4" t="s">
        <v>39</v>
      </c>
    </row>
    <row r="5" spans="2:43">
      <c r="B5" s="12" t="s">
        <v>40</v>
      </c>
      <c r="C5" s="10">
        <v>10641</v>
      </c>
      <c r="D5" s="10">
        <v>12147</v>
      </c>
      <c r="E5" s="10">
        <v>11412</v>
      </c>
      <c r="F5" s="10">
        <f>45743-E5-D5-C5</f>
        <v>11543</v>
      </c>
      <c r="G5" s="10">
        <v>9938</v>
      </c>
      <c r="H5" s="10">
        <v>10096</v>
      </c>
      <c r="I5" s="10">
        <v>10323</v>
      </c>
      <c r="J5" s="10">
        <f>41140-I5-H5-G5</f>
        <v>10783</v>
      </c>
      <c r="K5" s="10">
        <v>9173</v>
      </c>
      <c r="L5" s="10">
        <v>9462</v>
      </c>
      <c r="M5" s="10">
        <v>10159</v>
      </c>
      <c r="N5" s="10">
        <f>41404-M5-L5-K5</f>
        <v>12610</v>
      </c>
      <c r="O5" s="10">
        <v>12961</v>
      </c>
      <c r="P5" s="10">
        <v>15391</v>
      </c>
      <c r="Q5" s="10">
        <v>14117</v>
      </c>
      <c r="R5" s="10">
        <f>59152-Q5-P5-O5</f>
        <v>16683</v>
      </c>
      <c r="S5" s="10">
        <v>15880</v>
      </c>
      <c r="T5" s="12">
        <v>17933</v>
      </c>
      <c r="V5" s="10">
        <f>'Income Statement'!V8</f>
        <v>18650.32</v>
      </c>
      <c r="W5" s="10">
        <f>'Income Statement'!W8</f>
        <v>19396.3328</v>
      </c>
      <c r="X5" s="10">
        <f>'Income Statement'!X8</f>
        <v>20172.186111999999</v>
      </c>
      <c r="Y5" s="10">
        <f>'Income Statement'!Y8</f>
        <v>20979.073556480002</v>
      </c>
      <c r="Z5" s="10">
        <f>'Income Statement'!Z8</f>
        <v>21818.236498739203</v>
      </c>
      <c r="AA5" s="10">
        <f>'Income Statement'!AA8</f>
        <v>22690.965958688772</v>
      </c>
      <c r="AB5" s="10">
        <f>'Income Statement'!AB8</f>
        <v>23598.604597036323</v>
      </c>
      <c r="AC5" s="10">
        <f>'Income Statement'!AC8</f>
        <v>24542.548780917776</v>
      </c>
      <c r="AD5" s="10">
        <f>'Income Statement'!AD8</f>
        <v>25524.250732154487</v>
      </c>
      <c r="AE5" s="10">
        <f>'Income Statement'!AE8</f>
        <v>26545.220761440669</v>
      </c>
      <c r="AF5" s="10">
        <f>'Income Statement'!AF8</f>
        <v>27607.029591898296</v>
      </c>
      <c r="AG5" s="10">
        <f>'Income Statement'!AG8</f>
        <v>28711.310775574228</v>
      </c>
      <c r="AH5" s="10">
        <f>'Income Statement'!AH8</f>
        <v>29859.763206597199</v>
      </c>
      <c r="AI5" s="10">
        <f>'Income Statement'!AI8</f>
        <v>31054.153734861087</v>
      </c>
      <c r="AJ5" s="10">
        <f>'Income Statement'!AJ8</f>
        <v>32296.319884255532</v>
      </c>
      <c r="AK5" s="10">
        <f>'Income Statement'!AK8</f>
        <v>33588.172679625757</v>
      </c>
      <c r="AL5" s="10">
        <f>'Income Statement'!AL8</f>
        <v>34931.699586810792</v>
      </c>
      <c r="AM5" s="10">
        <f>'Income Statement'!AM8</f>
        <v>36328.967570283225</v>
      </c>
      <c r="AN5" s="10">
        <f>'Income Statement'!AN8</f>
        <v>37782.126273094553</v>
      </c>
      <c r="AO5" s="10">
        <f>'Income Statement'!AO8</f>
        <v>39293.411324018336</v>
      </c>
      <c r="AP5" s="10">
        <f>'Income Statement'!AP8</f>
        <v>40865.147776979073</v>
      </c>
      <c r="AQ5" s="10">
        <f>'Income Statement'!AQ8</f>
        <v>42499.753688058234</v>
      </c>
    </row>
    <row r="26" spans="5:12">
      <c r="E26" s="86" t="s">
        <v>194</v>
      </c>
      <c r="H26" s="86" t="s">
        <v>193</v>
      </c>
      <c r="K26" s="86" t="s">
        <v>195</v>
      </c>
    </row>
    <row r="27" spans="5:12" ht="17" thickBot="1">
      <c r="E27" t="s">
        <v>212</v>
      </c>
      <c r="F27" s="10">
        <v>43110.561402500171</v>
      </c>
      <c r="H27" t="s">
        <v>216</v>
      </c>
      <c r="I27" s="10">
        <v>94922.424200433379</v>
      </c>
      <c r="K27" t="s">
        <v>216</v>
      </c>
      <c r="L27" s="10">
        <v>12738.163052223928</v>
      </c>
    </row>
    <row r="28" spans="5:12">
      <c r="E28" t="s">
        <v>217</v>
      </c>
      <c r="F28" s="10">
        <v>25035.11942420193</v>
      </c>
      <c r="H28" t="s">
        <v>217</v>
      </c>
      <c r="I28" s="56">
        <v>47105.651529043702</v>
      </c>
      <c r="K28" t="s">
        <v>217</v>
      </c>
      <c r="L28" s="10">
        <v>9781.1867260974668</v>
      </c>
    </row>
    <row r="29" spans="5:12">
      <c r="E29" t="s">
        <v>218</v>
      </c>
      <c r="F29" s="10">
        <v>18075.441978298237</v>
      </c>
      <c r="H29" t="s">
        <v>218</v>
      </c>
      <c r="I29" s="10">
        <v>47816.772671389677</v>
      </c>
      <c r="K29" t="s">
        <v>218</v>
      </c>
      <c r="L29" s="10">
        <v>2956.9763261264607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1781-676E-3243-8141-C596909EA6DE}">
  <dimension ref="B1:B2"/>
  <sheetViews>
    <sheetView zoomScale="162" workbookViewId="0">
      <selection activeCell="B2" sqref="B1:B2"/>
    </sheetView>
  </sheetViews>
  <sheetFormatPr baseColWidth="10" defaultRowHeight="16"/>
  <cols>
    <col min="1" max="1" width="1.83203125" customWidth="1"/>
  </cols>
  <sheetData>
    <row r="1" spans="2:2">
      <c r="B1" t="s">
        <v>120</v>
      </c>
    </row>
    <row r="2" spans="2:2">
      <c r="B2" t="e" vm="1">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Income Statement</vt:lpstr>
      <vt:lpstr>Balance Sheet</vt:lpstr>
      <vt:lpstr>Cash Flow Statement</vt:lpstr>
      <vt:lpstr>D&amp;A_CapEx</vt:lpstr>
      <vt:lpstr>WC (Days)</vt:lpstr>
      <vt:lpstr>Interest Financing</vt:lpstr>
      <vt:lpstr>DCF_Sens</vt:lpstr>
      <vt:lpstr>Charts</vt:lpstr>
      <vt:lpstr>Current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2022-08-22T05:06:27Z</dcterms:created>
  <dcterms:modified xsi:type="dcterms:W3CDTF">2022-08-29T04:44:55Z</dcterms:modified>
</cp:coreProperties>
</file>