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ev/Desktop/DCF Analysis Practice/"/>
    </mc:Choice>
  </mc:AlternateContent>
  <xr:revisionPtr revIDLastSave="0" documentId="13_ncr:1_{DACE16AF-64B0-9041-8CA5-47CA731A3E17}" xr6:coauthVersionLast="47" xr6:coauthVersionMax="47" xr10:uidLastSave="{00000000-0000-0000-0000-000000000000}"/>
  <bookViews>
    <workbookView xWindow="0" yWindow="0" windowWidth="28800" windowHeight="18000" activeTab="1" xr2:uid="{B736AC9F-C412-3043-B250-AB0315BBC726}"/>
  </bookViews>
  <sheets>
    <sheet name="Drivers &amp; Assumptions" sheetId="7" r:id="rId1"/>
    <sheet name="Income Statement" sheetId="1" r:id="rId2"/>
    <sheet name="Balance Sheet" sheetId="2" r:id="rId3"/>
    <sheet name="CF Statement" sheetId="3" r:id="rId4"/>
    <sheet name="D&amp;A_CapEx" sheetId="6" r:id="rId5"/>
    <sheet name="WC (Days Evaluation)" sheetId="8" r:id="rId6"/>
    <sheet name="Interest Financing" sheetId="9" r:id="rId7"/>
    <sheet name="DCF" sheetId="11" r:id="rId8"/>
    <sheet name="Charts" sheetId="14" r:id="rId9"/>
    <sheet name="Drug Patents &amp; Info" sheetId="4" r:id="rId10"/>
    <sheet name="Management" sheetId="12" r:id="rId11"/>
    <sheet name="M&amp;A" sheetId="13" r:id="rId12"/>
  </sheets>
  <definedNames>
    <definedName name="_xlnm._FilterDatabase" localSheetId="2" hidden="1">'Balance Sheet'!$C$8:$S$8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18" i="11" l="1"/>
  <c r="U10" i="11"/>
  <c r="T29" i="8"/>
  <c r="V10" i="14"/>
  <c r="W10" i="14"/>
  <c r="X10" i="14"/>
  <c r="Y10" i="14"/>
  <c r="Z10" i="14"/>
  <c r="AA10" i="14"/>
  <c r="AB10" i="14"/>
  <c r="AC10" i="14"/>
  <c r="AD10" i="14"/>
  <c r="AE10" i="14"/>
  <c r="AF10" i="14"/>
  <c r="AG10" i="14"/>
  <c r="AH10" i="14"/>
  <c r="AI10" i="14"/>
  <c r="AJ10" i="14"/>
  <c r="AK10" i="14"/>
  <c r="AL10" i="14"/>
  <c r="AM10" i="14"/>
  <c r="AN10" i="14"/>
  <c r="AO10" i="14"/>
  <c r="AP10" i="14"/>
  <c r="AQ10" i="14"/>
  <c r="U10" i="14"/>
  <c r="D10" i="14"/>
  <c r="E10" i="14"/>
  <c r="F10" i="14"/>
  <c r="G10" i="14"/>
  <c r="H10" i="14"/>
  <c r="I10" i="14"/>
  <c r="J10" i="14"/>
  <c r="K10" i="14"/>
  <c r="L10" i="14"/>
  <c r="M10" i="14"/>
  <c r="N10" i="14"/>
  <c r="O10" i="14"/>
  <c r="P10" i="14"/>
  <c r="Q10" i="14"/>
  <c r="R10" i="14"/>
  <c r="S10" i="14"/>
  <c r="C10" i="14"/>
  <c r="C5" i="11" l="1"/>
  <c r="AT16" i="1" l="1"/>
  <c r="U19" i="11" l="1"/>
  <c r="V6" i="11"/>
  <c r="W6" i="11" s="1"/>
  <c r="T8" i="11"/>
  <c r="X6" i="11" l="1"/>
  <c r="W10" i="11"/>
  <c r="V10" i="11"/>
  <c r="V39" i="2"/>
  <c r="V41" i="2" s="1"/>
  <c r="V43" i="2" s="1"/>
  <c r="W39" i="2"/>
  <c r="W41" i="2" s="1"/>
  <c r="W43" i="2" s="1"/>
  <c r="X39" i="2"/>
  <c r="X41" i="2" s="1"/>
  <c r="X43" i="2" s="1"/>
  <c r="Y39" i="2"/>
  <c r="Y41" i="2" s="1"/>
  <c r="Y43" i="2" s="1"/>
  <c r="Z39" i="2"/>
  <c r="Z41" i="2" s="1"/>
  <c r="Z43" i="2" s="1"/>
  <c r="AA39" i="2"/>
  <c r="AA41" i="2" s="1"/>
  <c r="AA43" i="2" s="1"/>
  <c r="AB39" i="2"/>
  <c r="AB41" i="2" s="1"/>
  <c r="AB43" i="2" s="1"/>
  <c r="AC39" i="2"/>
  <c r="AC41" i="2" s="1"/>
  <c r="AC43" i="2" s="1"/>
  <c r="AD39" i="2"/>
  <c r="AD41" i="2" s="1"/>
  <c r="AD43" i="2" s="1"/>
  <c r="AE39" i="2"/>
  <c r="AE41" i="2" s="1"/>
  <c r="AE43" i="2" s="1"/>
  <c r="AF39" i="2"/>
  <c r="AF41" i="2" s="1"/>
  <c r="AF43" i="2" s="1"/>
  <c r="AG39" i="2"/>
  <c r="AG41" i="2" s="1"/>
  <c r="AG43" i="2" s="1"/>
  <c r="AH39" i="2"/>
  <c r="AH41" i="2" s="1"/>
  <c r="AH43" i="2" s="1"/>
  <c r="AI39" i="2"/>
  <c r="AI41" i="2" s="1"/>
  <c r="AI43" i="2" s="1"/>
  <c r="AJ39" i="2"/>
  <c r="AJ41" i="2" s="1"/>
  <c r="AJ43" i="2" s="1"/>
  <c r="AK39" i="2"/>
  <c r="AK41" i="2" s="1"/>
  <c r="AK43" i="2" s="1"/>
  <c r="AL39" i="2"/>
  <c r="AL41" i="2" s="1"/>
  <c r="AL43" i="2" s="1"/>
  <c r="AM39" i="2"/>
  <c r="AM41" i="2" s="1"/>
  <c r="AM43" i="2" s="1"/>
  <c r="AN39" i="2"/>
  <c r="AN41" i="2" s="1"/>
  <c r="AN43" i="2" s="1"/>
  <c r="AO39" i="2"/>
  <c r="AO41" i="2" s="1"/>
  <c r="AO43" i="2" s="1"/>
  <c r="AP39" i="2"/>
  <c r="AP41" i="2" s="1"/>
  <c r="AP43" i="2" s="1"/>
  <c r="AQ39" i="2"/>
  <c r="AQ41" i="2" s="1"/>
  <c r="AQ43" i="2" s="1"/>
  <c r="U39" i="2"/>
  <c r="U41" i="2" s="1"/>
  <c r="U43" i="2" s="1"/>
  <c r="AI32" i="2"/>
  <c r="AI31" i="2"/>
  <c r="N62" i="2"/>
  <c r="N61" i="2"/>
  <c r="AI28" i="2"/>
  <c r="AI27" i="2"/>
  <c r="AI26" i="2"/>
  <c r="N60" i="2"/>
  <c r="N59" i="2"/>
  <c r="N58" i="2"/>
  <c r="AI24" i="2"/>
  <c r="N57" i="2"/>
  <c r="AI19" i="2"/>
  <c r="N55" i="2"/>
  <c r="AI18" i="2"/>
  <c r="N54" i="2"/>
  <c r="AI17" i="2"/>
  <c r="N53" i="2"/>
  <c r="AI16" i="2"/>
  <c r="AI15" i="2"/>
  <c r="N51" i="2"/>
  <c r="V49" i="2"/>
  <c r="W49" i="2"/>
  <c r="X49" i="2"/>
  <c r="Y49" i="2"/>
  <c r="Z49" i="2"/>
  <c r="AA49" i="2"/>
  <c r="AB49" i="2"/>
  <c r="AC49" i="2"/>
  <c r="AD49" i="2"/>
  <c r="AE49" i="2"/>
  <c r="AF49" i="2"/>
  <c r="AG49" i="2"/>
  <c r="AH49" i="2"/>
  <c r="AI49" i="2"/>
  <c r="AI13" i="2" s="1"/>
  <c r="AJ49" i="2"/>
  <c r="AK49" i="2"/>
  <c r="AL49" i="2"/>
  <c r="AM49" i="2"/>
  <c r="AN49" i="2"/>
  <c r="AO49" i="2"/>
  <c r="AP49" i="2"/>
  <c r="AQ49" i="2"/>
  <c r="U49" i="2"/>
  <c r="N49" i="2"/>
  <c r="N48" i="2"/>
  <c r="AQ49" i="3"/>
  <c r="AP49" i="3"/>
  <c r="AO49" i="3"/>
  <c r="AN49" i="3"/>
  <c r="AM49" i="3"/>
  <c r="AL49" i="3"/>
  <c r="AK49" i="3"/>
  <c r="AJ49" i="3"/>
  <c r="AI49" i="3"/>
  <c r="AH49" i="3"/>
  <c r="AG49" i="3"/>
  <c r="AF49" i="3"/>
  <c r="AE49" i="3"/>
  <c r="AD49" i="3"/>
  <c r="AC49" i="3"/>
  <c r="AB49" i="3"/>
  <c r="AA49" i="3"/>
  <c r="Z49" i="3"/>
  <c r="Y49" i="3"/>
  <c r="X49" i="3"/>
  <c r="W49" i="3"/>
  <c r="V49" i="3"/>
  <c r="V40" i="3"/>
  <c r="W40" i="3"/>
  <c r="X40" i="3"/>
  <c r="Y40" i="3"/>
  <c r="Z40" i="3"/>
  <c r="AA40" i="3"/>
  <c r="AB40" i="3"/>
  <c r="AC40" i="3"/>
  <c r="AD40" i="3"/>
  <c r="AE40" i="3"/>
  <c r="AF40" i="3"/>
  <c r="AG40" i="3"/>
  <c r="AH40" i="3"/>
  <c r="AI40" i="3"/>
  <c r="AJ40" i="3"/>
  <c r="AK40" i="3"/>
  <c r="AL40" i="3"/>
  <c r="AM40" i="3"/>
  <c r="AN40" i="3"/>
  <c r="AO40" i="3"/>
  <c r="AP40" i="3"/>
  <c r="AQ40" i="3"/>
  <c r="U40" i="3"/>
  <c r="Y6" i="11" l="1"/>
  <c r="X10" i="11"/>
  <c r="S76" i="1"/>
  <c r="S91" i="1"/>
  <c r="X14" i="9"/>
  <c r="Y14" i="9"/>
  <c r="X13" i="9"/>
  <c r="Y13" i="9"/>
  <c r="C9" i="9" a="1"/>
  <c r="C9" i="9" s="1"/>
  <c r="C8" i="9" a="1"/>
  <c r="C8" i="9" s="1"/>
  <c r="AI73" i="1"/>
  <c r="AI74" i="1"/>
  <c r="AI75" i="1"/>
  <c r="N105" i="1"/>
  <c r="AI71" i="1"/>
  <c r="AI72" i="1" s="1"/>
  <c r="AI97" i="1" s="1"/>
  <c r="U38" i="1"/>
  <c r="W36" i="1"/>
  <c r="V36" i="1"/>
  <c r="U36" i="1"/>
  <c r="V35" i="1"/>
  <c r="U35" i="1"/>
  <c r="W30" i="1"/>
  <c r="V30" i="1"/>
  <c r="U30" i="1"/>
  <c r="W29" i="1"/>
  <c r="V29" i="1"/>
  <c r="U29" i="1"/>
  <c r="W28" i="1"/>
  <c r="V28" i="1"/>
  <c r="U28" i="1"/>
  <c r="W52" i="1"/>
  <c r="V52" i="1"/>
  <c r="U52" i="1"/>
  <c r="AJ8" i="1"/>
  <c r="AJ13" i="2" s="1"/>
  <c r="W12" i="1"/>
  <c r="V12" i="1"/>
  <c r="U12" i="1"/>
  <c r="U51" i="1"/>
  <c r="V51" i="1"/>
  <c r="W51" i="1"/>
  <c r="W46" i="1"/>
  <c r="V46" i="1"/>
  <c r="U46" i="1"/>
  <c r="W45" i="1"/>
  <c r="V45" i="1"/>
  <c r="U45" i="1"/>
  <c r="U41" i="1"/>
  <c r="V41" i="1" s="1"/>
  <c r="W18" i="1"/>
  <c r="V18" i="1"/>
  <c r="U18" i="1"/>
  <c r="W11" i="1"/>
  <c r="V11" i="1"/>
  <c r="U11" i="1"/>
  <c r="W27" i="1"/>
  <c r="V27" i="1"/>
  <c r="U27" i="1"/>
  <c r="W21" i="1"/>
  <c r="V21" i="1"/>
  <c r="U21" i="1"/>
  <c r="W68" i="1"/>
  <c r="V68" i="1"/>
  <c r="U68" i="1"/>
  <c r="W67" i="1"/>
  <c r="V67" i="1"/>
  <c r="U67" i="1"/>
  <c r="W26" i="1"/>
  <c r="V26" i="1"/>
  <c r="U26" i="1"/>
  <c r="W40" i="1"/>
  <c r="V40" i="1"/>
  <c r="U40" i="1"/>
  <c r="N9" i="1"/>
  <c r="O9" i="1"/>
  <c r="Q9" i="1"/>
  <c r="P9" i="1"/>
  <c r="W25" i="1"/>
  <c r="V25" i="1"/>
  <c r="U25" i="1"/>
  <c r="X22" i="1"/>
  <c r="AB22" i="1" s="1"/>
  <c r="AF22" i="1" s="1"/>
  <c r="AJ22" i="1" s="1"/>
  <c r="AN22" i="1" s="1"/>
  <c r="U22" i="1"/>
  <c r="V22" i="1" s="1"/>
  <c r="U20" i="1"/>
  <c r="V20" i="1" s="1"/>
  <c r="W20" i="1" s="1"/>
  <c r="X20" i="1" s="1"/>
  <c r="Y20" i="1" s="1"/>
  <c r="Z20" i="1" s="1"/>
  <c r="AA20" i="1" s="1"/>
  <c r="AB20" i="1" s="1"/>
  <c r="AC20" i="1" s="1"/>
  <c r="AD20" i="1" s="1"/>
  <c r="AE20" i="1" s="1"/>
  <c r="AF20" i="1" s="1"/>
  <c r="AG20" i="1" s="1"/>
  <c r="AH20" i="1" s="1"/>
  <c r="AI20" i="1" s="1"/>
  <c r="AJ20" i="1" s="1"/>
  <c r="AK20" i="1" s="1"/>
  <c r="AL20" i="1" s="1"/>
  <c r="AM20" i="1" s="1"/>
  <c r="AN20" i="1" s="1"/>
  <c r="AO20" i="1" s="1"/>
  <c r="AP20" i="1" s="1"/>
  <c r="AQ20" i="1" s="1"/>
  <c r="W19" i="1"/>
  <c r="V19" i="1"/>
  <c r="U19" i="1"/>
  <c r="U14" i="1"/>
  <c r="V14" i="1" s="1"/>
  <c r="Z14" i="1" s="1"/>
  <c r="AD14" i="1" s="1"/>
  <c r="W13" i="1"/>
  <c r="V13" i="1"/>
  <c r="U13" i="1"/>
  <c r="V65" i="1"/>
  <c r="U65" i="1"/>
  <c r="W65" i="1" s="1"/>
  <c r="R91" i="1"/>
  <c r="Q91" i="1"/>
  <c r="P91" i="1"/>
  <c r="O91" i="1"/>
  <c r="N91" i="1"/>
  <c r="M91" i="1"/>
  <c r="L91" i="1"/>
  <c r="K91" i="1"/>
  <c r="J91" i="1"/>
  <c r="I91" i="1"/>
  <c r="H91" i="1"/>
  <c r="G91" i="1"/>
  <c r="F91" i="1"/>
  <c r="E91" i="1"/>
  <c r="D91" i="1"/>
  <c r="S90" i="1"/>
  <c r="R90" i="1"/>
  <c r="Q90" i="1"/>
  <c r="P90" i="1"/>
  <c r="O90" i="1"/>
  <c r="N90" i="1"/>
  <c r="M90" i="1"/>
  <c r="L90" i="1"/>
  <c r="K90" i="1"/>
  <c r="J90" i="1"/>
  <c r="I90" i="1"/>
  <c r="H90" i="1"/>
  <c r="G90" i="1"/>
  <c r="F90" i="1"/>
  <c r="E90" i="1"/>
  <c r="D90" i="1"/>
  <c r="C90" i="1"/>
  <c r="S89" i="1"/>
  <c r="Q89" i="1"/>
  <c r="K89" i="1"/>
  <c r="J89" i="1"/>
  <c r="I89" i="1"/>
  <c r="R9" i="1"/>
  <c r="J84" i="1"/>
  <c r="F84" i="1"/>
  <c r="S9" i="1"/>
  <c r="M9" i="1"/>
  <c r="L9" i="1"/>
  <c r="K9" i="1"/>
  <c r="J9" i="1"/>
  <c r="I9" i="1"/>
  <c r="H9" i="1"/>
  <c r="G9" i="1"/>
  <c r="F9" i="1"/>
  <c r="E9" i="1"/>
  <c r="D9" i="1"/>
  <c r="C9" i="1"/>
  <c r="O29" i="8"/>
  <c r="P29" i="8"/>
  <c r="Q29" i="8"/>
  <c r="R29" i="8"/>
  <c r="R31" i="8" s="1"/>
  <c r="O30" i="8"/>
  <c r="P30" i="8"/>
  <c r="Q30" i="8"/>
  <c r="R30" i="8"/>
  <c r="C109" i="1" a="1"/>
  <c r="C109" i="1" s="1"/>
  <c r="N30" i="8"/>
  <c r="M30" i="8"/>
  <c r="L30" i="8"/>
  <c r="K30" i="8"/>
  <c r="J30" i="8"/>
  <c r="I30" i="8"/>
  <c r="H30" i="8"/>
  <c r="G30" i="8"/>
  <c r="F30" i="8"/>
  <c r="E30" i="8"/>
  <c r="D30" i="8"/>
  <c r="C30" i="8"/>
  <c r="B30" i="8"/>
  <c r="N29" i="8"/>
  <c r="M29" i="8"/>
  <c r="L29" i="8"/>
  <c r="K29" i="8"/>
  <c r="J29" i="8"/>
  <c r="I29" i="8"/>
  <c r="H29" i="8"/>
  <c r="G29" i="8"/>
  <c r="F29" i="8"/>
  <c r="E29" i="8"/>
  <c r="D29" i="8"/>
  <c r="C29" i="8"/>
  <c r="B29" i="8"/>
  <c r="F5" i="7" a="1"/>
  <c r="F5" i="7" s="1"/>
  <c r="F10" i="7"/>
  <c r="F9" i="7"/>
  <c r="F8" i="7" a="1"/>
  <c r="F8" i="7" s="1"/>
  <c r="F7" i="7" a="1"/>
  <c r="F7" i="7" s="1"/>
  <c r="R82" i="1"/>
  <c r="N82" i="1"/>
  <c r="J82" i="1"/>
  <c r="F82" i="1"/>
  <c r="R76" i="1"/>
  <c r="Q76" i="1"/>
  <c r="P76" i="1"/>
  <c r="O76" i="1"/>
  <c r="N76" i="1"/>
  <c r="M76" i="1"/>
  <c r="L76" i="1"/>
  <c r="K76" i="1"/>
  <c r="J76" i="1"/>
  <c r="I76" i="1"/>
  <c r="H76" i="1"/>
  <c r="G76" i="1"/>
  <c r="F76" i="1"/>
  <c r="E76" i="1"/>
  <c r="D76" i="1"/>
  <c r="C76" i="1"/>
  <c r="N66" i="1"/>
  <c r="C40" i="3"/>
  <c r="C29" i="3"/>
  <c r="C13" i="3"/>
  <c r="C21" i="3" s="1"/>
  <c r="D40" i="3"/>
  <c r="D29" i="3"/>
  <c r="D13" i="3"/>
  <c r="D21" i="3" s="1"/>
  <c r="E13" i="3"/>
  <c r="E89" i="1" s="1"/>
  <c r="E40" i="3"/>
  <c r="E29" i="3"/>
  <c r="E16" i="3"/>
  <c r="F40" i="3"/>
  <c r="G40" i="3"/>
  <c r="F29" i="3"/>
  <c r="F20" i="3"/>
  <c r="F13" i="3"/>
  <c r="F89" i="1" s="1"/>
  <c r="G29" i="3"/>
  <c r="G13" i="3"/>
  <c r="G21" i="3" s="1"/>
  <c r="H40" i="3"/>
  <c r="H27" i="3"/>
  <c r="H29" i="3" s="1"/>
  <c r="H13" i="3"/>
  <c r="H21" i="3" s="1"/>
  <c r="I40" i="3"/>
  <c r="I27" i="3"/>
  <c r="I29" i="3" s="1"/>
  <c r="I13" i="3"/>
  <c r="I21" i="3" s="1"/>
  <c r="J13" i="3"/>
  <c r="J40" i="3"/>
  <c r="J27" i="3"/>
  <c r="J29" i="3" s="1"/>
  <c r="J20" i="3"/>
  <c r="J21" i="3" s="1"/>
  <c r="J48" i="3" s="1"/>
  <c r="J51" i="3" s="1"/>
  <c r="M40" i="3"/>
  <c r="M27" i="3"/>
  <c r="M29" i="3" s="1"/>
  <c r="M13" i="3"/>
  <c r="M21" i="3" s="1"/>
  <c r="N40" i="3"/>
  <c r="O29" i="3"/>
  <c r="N27" i="3"/>
  <c r="N25" i="3"/>
  <c r="N29" i="3" s="1"/>
  <c r="N20" i="3"/>
  <c r="N13" i="3"/>
  <c r="N89" i="1" s="1"/>
  <c r="R46" i="3"/>
  <c r="Q46" i="3"/>
  <c r="P46" i="3"/>
  <c r="P40" i="3"/>
  <c r="P27" i="3"/>
  <c r="P29" i="3"/>
  <c r="P13" i="3"/>
  <c r="P21" i="3" s="1"/>
  <c r="P48" i="3" s="1"/>
  <c r="P51" i="3" s="1"/>
  <c r="O40" i="3"/>
  <c r="O13" i="3"/>
  <c r="O21" i="3" s="1"/>
  <c r="K40" i="3"/>
  <c r="K29" i="3"/>
  <c r="K13" i="3"/>
  <c r="K21" i="3" s="1"/>
  <c r="L40" i="3"/>
  <c r="L27" i="3"/>
  <c r="L29" i="3" s="1"/>
  <c r="L13" i="3"/>
  <c r="L21" i="3" s="1"/>
  <c r="Q40" i="3"/>
  <c r="Q27" i="3"/>
  <c r="Q29" i="3" s="1"/>
  <c r="Q13" i="3"/>
  <c r="Q21" i="3" s="1"/>
  <c r="R40" i="3"/>
  <c r="R27" i="3"/>
  <c r="R29" i="3" s="1"/>
  <c r="R20" i="3"/>
  <c r="R13" i="3"/>
  <c r="R21" i="3" s="1"/>
  <c r="S40" i="3"/>
  <c r="S29" i="3"/>
  <c r="S13" i="3"/>
  <c r="F16" i="2"/>
  <c r="I39" i="2"/>
  <c r="I41" i="2" s="1"/>
  <c r="I43" i="2" s="1"/>
  <c r="J29" i="2"/>
  <c r="J33" i="2" s="1"/>
  <c r="J16" i="2"/>
  <c r="N39" i="2"/>
  <c r="N41" i="2" s="1"/>
  <c r="N43" i="2" s="1"/>
  <c r="O39" i="2"/>
  <c r="O41" i="2" s="1"/>
  <c r="O43" i="2" s="1"/>
  <c r="N16" i="2"/>
  <c r="N52" i="2" s="1"/>
  <c r="O29" i="2"/>
  <c r="O33" i="2" s="1"/>
  <c r="C39" i="2"/>
  <c r="C43" i="2" s="1"/>
  <c r="C29" i="2"/>
  <c r="C33" i="2" s="1"/>
  <c r="C14" i="2"/>
  <c r="C20" i="2" s="1"/>
  <c r="D39" i="2"/>
  <c r="D43" i="2" s="1"/>
  <c r="D29" i="2"/>
  <c r="D33" i="2" s="1"/>
  <c r="D14" i="2"/>
  <c r="E39" i="2"/>
  <c r="E41" i="2" s="1"/>
  <c r="E43" i="2" s="1"/>
  <c r="E29" i="2"/>
  <c r="E33" i="2" s="1"/>
  <c r="E14" i="2"/>
  <c r="F39" i="2"/>
  <c r="F41" i="2" s="1"/>
  <c r="F43" i="2" s="1"/>
  <c r="F29" i="2"/>
  <c r="F33" i="2" s="1"/>
  <c r="F14" i="2"/>
  <c r="F20" i="2" s="1"/>
  <c r="G39" i="2"/>
  <c r="G41" i="2" s="1"/>
  <c r="G43" i="2" s="1"/>
  <c r="G29" i="2"/>
  <c r="G33" i="2" s="1"/>
  <c r="G14" i="2"/>
  <c r="H39" i="2"/>
  <c r="H41" i="2" s="1"/>
  <c r="H43" i="2" s="1"/>
  <c r="H29" i="2"/>
  <c r="H33" i="2" s="1"/>
  <c r="H14" i="2"/>
  <c r="H20" i="2" s="1"/>
  <c r="I29" i="2"/>
  <c r="I33" i="2" s="1"/>
  <c r="I14" i="2"/>
  <c r="J39" i="2"/>
  <c r="J41" i="2" s="1"/>
  <c r="J43" i="2" s="1"/>
  <c r="J14" i="2"/>
  <c r="K39" i="2"/>
  <c r="K41" i="2" s="1"/>
  <c r="K43" i="2" s="1"/>
  <c r="K29" i="2"/>
  <c r="K33" i="2" s="1"/>
  <c r="K14" i="2"/>
  <c r="L39" i="2"/>
  <c r="L41" i="2" s="1"/>
  <c r="L43" i="2" s="1"/>
  <c r="L29" i="2"/>
  <c r="L33" i="2" s="1"/>
  <c r="L14" i="2"/>
  <c r="L20" i="2" s="1"/>
  <c r="M39" i="2"/>
  <c r="M41" i="2" s="1"/>
  <c r="M43" i="2" s="1"/>
  <c r="M29" i="2"/>
  <c r="M33" i="2" s="1"/>
  <c r="M14" i="2"/>
  <c r="M20" i="2" s="1"/>
  <c r="N29" i="2"/>
  <c r="N33" i="2" s="1"/>
  <c r="N14" i="2"/>
  <c r="O14" i="2"/>
  <c r="O20" i="2" s="1"/>
  <c r="P39" i="2"/>
  <c r="P41" i="2" s="1"/>
  <c r="P43" i="2" s="1"/>
  <c r="P29" i="2"/>
  <c r="P33" i="2" s="1"/>
  <c r="P14" i="2"/>
  <c r="P20" i="2" s="1"/>
  <c r="Q39" i="2"/>
  <c r="Q29" i="2"/>
  <c r="Q33" i="2" s="1"/>
  <c r="Q14" i="2"/>
  <c r="Q20" i="2" s="1"/>
  <c r="R39" i="2"/>
  <c r="R41" i="2" s="1"/>
  <c r="R43" i="2" s="1"/>
  <c r="R29" i="2"/>
  <c r="R33" i="2" s="1"/>
  <c r="R14" i="2"/>
  <c r="S14" i="2"/>
  <c r="S20" i="2" s="1"/>
  <c r="R16" i="2"/>
  <c r="S39" i="2"/>
  <c r="S41" i="2" s="1"/>
  <c r="S43" i="2" s="1"/>
  <c r="S29" i="2"/>
  <c r="S33" i="2" s="1"/>
  <c r="C78" i="1" l="1" a="1"/>
  <c r="C78" i="1" s="1"/>
  <c r="L89" i="1"/>
  <c r="C89" i="1"/>
  <c r="R44" i="2"/>
  <c r="N20" i="2"/>
  <c r="E21" i="3"/>
  <c r="E48" i="3" s="1"/>
  <c r="E51" i="3" s="1"/>
  <c r="P31" i="8"/>
  <c r="O31" i="8"/>
  <c r="G89" i="1"/>
  <c r="O89" i="1"/>
  <c r="C11" i="6" a="1"/>
  <c r="C11" i="6" s="1"/>
  <c r="C12" i="6" s="1"/>
  <c r="H89" i="1"/>
  <c r="P89" i="1"/>
  <c r="N21" i="3"/>
  <c r="R89" i="1"/>
  <c r="D89" i="1"/>
  <c r="M89" i="1"/>
  <c r="Z6" i="11"/>
  <c r="Y10" i="11"/>
  <c r="AJ71" i="1"/>
  <c r="AJ27" i="2"/>
  <c r="AJ18" i="2"/>
  <c r="AJ31" i="2"/>
  <c r="AJ26" i="2"/>
  <c r="AJ17" i="2"/>
  <c r="AJ16" i="2"/>
  <c r="AJ15" i="2"/>
  <c r="AJ32" i="2"/>
  <c r="AJ24" i="2"/>
  <c r="AJ19" i="2"/>
  <c r="AJ28" i="2"/>
  <c r="Q31" i="8"/>
  <c r="F11" i="7"/>
  <c r="AA12" i="1"/>
  <c r="AJ75" i="1"/>
  <c r="AJ98" i="1"/>
  <c r="AI76" i="1"/>
  <c r="AI77" i="1" s="1"/>
  <c r="AJ72" i="1"/>
  <c r="AJ97" i="1" s="1"/>
  <c r="Y51" i="1"/>
  <c r="AJ74" i="1"/>
  <c r="AA18" i="1"/>
  <c r="Z36" i="1"/>
  <c r="Z67" i="1"/>
  <c r="AJ73" i="1"/>
  <c r="X25" i="1"/>
  <c r="Z68" i="1"/>
  <c r="AA45" i="1"/>
  <c r="Y52" i="1"/>
  <c r="X36" i="1"/>
  <c r="X11" i="1"/>
  <c r="X30" i="1"/>
  <c r="Y36" i="1"/>
  <c r="Y18" i="1"/>
  <c r="AA46" i="1"/>
  <c r="AA36" i="1"/>
  <c r="V66" i="1"/>
  <c r="AA27" i="1"/>
  <c r="Z51" i="1"/>
  <c r="Z12" i="1"/>
  <c r="AA40" i="1"/>
  <c r="W66" i="1"/>
  <c r="AG29" i="1"/>
  <c r="Z45" i="1"/>
  <c r="X35" i="1"/>
  <c r="AA21" i="1"/>
  <c r="AA52" i="1"/>
  <c r="W35" i="1"/>
  <c r="Y35" i="1" s="1"/>
  <c r="X45" i="1"/>
  <c r="Z28" i="1"/>
  <c r="X18" i="1"/>
  <c r="Z26" i="1"/>
  <c r="AA11" i="1"/>
  <c r="Z18" i="1"/>
  <c r="Y46" i="1"/>
  <c r="X27" i="1"/>
  <c r="X12" i="1"/>
  <c r="AA30" i="1"/>
  <c r="AK29" i="1"/>
  <c r="Y40" i="1"/>
  <c r="X21" i="1"/>
  <c r="Y27" i="1"/>
  <c r="AK8" i="1"/>
  <c r="X29" i="1"/>
  <c r="Y30" i="1"/>
  <c r="AA67" i="1"/>
  <c r="AA68" i="1"/>
  <c r="Y45" i="1"/>
  <c r="Z46" i="1"/>
  <c r="Y12" i="1"/>
  <c r="Z52" i="1"/>
  <c r="AA28" i="1"/>
  <c r="AB29" i="1"/>
  <c r="AN29" i="1"/>
  <c r="AC29" i="1"/>
  <c r="AM29" i="1"/>
  <c r="AD29" i="1"/>
  <c r="Y11" i="1"/>
  <c r="AE29" i="1"/>
  <c r="Z11" i="1"/>
  <c r="AF29" i="1"/>
  <c r="Z25" i="1"/>
  <c r="X67" i="1"/>
  <c r="X68" i="1"/>
  <c r="Y21" i="1"/>
  <c r="Z27" i="1"/>
  <c r="X51" i="1"/>
  <c r="X28" i="1"/>
  <c r="Y29" i="1"/>
  <c r="AQ29" i="1"/>
  <c r="AI29" i="1"/>
  <c r="Z30" i="1"/>
  <c r="AJ29" i="1"/>
  <c r="AA25" i="1"/>
  <c r="Y67" i="1"/>
  <c r="Y68" i="1"/>
  <c r="Z21" i="1"/>
  <c r="X46" i="1"/>
  <c r="X52" i="1"/>
  <c r="Y28" i="1"/>
  <c r="Z29" i="1"/>
  <c r="AP29" i="1"/>
  <c r="AH29" i="1"/>
  <c r="U66" i="1"/>
  <c r="AL29" i="1"/>
  <c r="X13" i="1"/>
  <c r="AA29" i="1"/>
  <c r="AO29" i="1"/>
  <c r="AA51" i="1"/>
  <c r="W41" i="1"/>
  <c r="X41" i="1" s="1"/>
  <c r="Y41" i="1" s="1"/>
  <c r="Z41" i="1" s="1"/>
  <c r="AA41" i="1" s="1"/>
  <c r="AB41" i="1" s="1"/>
  <c r="AC41" i="1" s="1"/>
  <c r="AD41" i="1" s="1"/>
  <c r="AE41" i="1" s="1"/>
  <c r="AF41" i="1" s="1"/>
  <c r="AG41" i="1" s="1"/>
  <c r="AH41" i="1" s="1"/>
  <c r="AI41" i="1" s="1"/>
  <c r="AJ41" i="1" s="1"/>
  <c r="AK41" i="1" s="1"/>
  <c r="AL41" i="1" s="1"/>
  <c r="AM41" i="1" s="1"/>
  <c r="AN41" i="1" s="1"/>
  <c r="AO41" i="1" s="1"/>
  <c r="AP41" i="1" s="1"/>
  <c r="AQ41" i="1" s="1"/>
  <c r="U9" i="1"/>
  <c r="AA26" i="1"/>
  <c r="Y25" i="1"/>
  <c r="Z40" i="1"/>
  <c r="X26" i="1"/>
  <c r="X40" i="1"/>
  <c r="Y26" i="1"/>
  <c r="N103" i="1"/>
  <c r="N102" i="1"/>
  <c r="N104" i="1"/>
  <c r="N72" i="1"/>
  <c r="N97" i="1" s="1"/>
  <c r="N9" i="6"/>
  <c r="N106" i="1"/>
  <c r="AA19" i="1"/>
  <c r="AK14" i="1"/>
  <c r="AJ14" i="1"/>
  <c r="AQ14" i="1"/>
  <c r="AI14" i="1"/>
  <c r="AP14" i="1"/>
  <c r="AH14" i="1"/>
  <c r="AO14" i="1"/>
  <c r="AG14" i="1"/>
  <c r="AN14" i="1"/>
  <c r="AF14" i="1"/>
  <c r="AM14" i="1"/>
  <c r="AE14" i="1"/>
  <c r="AL14" i="1"/>
  <c r="W22" i="1"/>
  <c r="AA22" i="1" s="1"/>
  <c r="AE22" i="1" s="1"/>
  <c r="AI22" i="1" s="1"/>
  <c r="AM22" i="1" s="1"/>
  <c r="AQ22" i="1" s="1"/>
  <c r="Z22" i="1"/>
  <c r="AD22" i="1" s="1"/>
  <c r="AH22" i="1" s="1"/>
  <c r="AL22" i="1" s="1"/>
  <c r="AP22" i="1" s="1"/>
  <c r="Y22" i="1"/>
  <c r="AC22" i="1" s="1"/>
  <c r="AG22" i="1" s="1"/>
  <c r="AK22" i="1" s="1"/>
  <c r="AO22" i="1" s="1"/>
  <c r="Y13" i="1"/>
  <c r="Z13" i="1"/>
  <c r="W14" i="1"/>
  <c r="AA14" i="1" s="1"/>
  <c r="X19" i="1"/>
  <c r="Y19" i="1"/>
  <c r="AA13" i="1"/>
  <c r="X14" i="1"/>
  <c r="AB14" i="1" s="1"/>
  <c r="Y14" i="1"/>
  <c r="AC14" i="1" s="1"/>
  <c r="Z19" i="1"/>
  <c r="X65" i="1"/>
  <c r="Y65" i="1"/>
  <c r="N110" i="1"/>
  <c r="C31" i="8"/>
  <c r="K31" i="8"/>
  <c r="F31" i="8"/>
  <c r="N31" i="8"/>
  <c r="B31" i="8"/>
  <c r="J31" i="8"/>
  <c r="M19" i="8"/>
  <c r="M14" i="8" s="1"/>
  <c r="L31" i="8"/>
  <c r="I31" i="8"/>
  <c r="D31" i="8"/>
  <c r="G31" i="8"/>
  <c r="E20" i="8"/>
  <c r="E15" i="8" s="1"/>
  <c r="M20" i="8"/>
  <c r="M15" i="8" s="1"/>
  <c r="F20" i="8"/>
  <c r="F15" i="8" s="1"/>
  <c r="N20" i="8"/>
  <c r="N15" i="8" s="1"/>
  <c r="H31" i="8"/>
  <c r="B20" i="8"/>
  <c r="J20" i="8"/>
  <c r="J15" i="8" s="1"/>
  <c r="R20" i="8"/>
  <c r="R15" i="8" s="1"/>
  <c r="C20" i="8"/>
  <c r="K20" i="8"/>
  <c r="K15" i="8" s="1"/>
  <c r="E31" i="8"/>
  <c r="M31" i="8"/>
  <c r="G20" i="8"/>
  <c r="G15" i="8" s="1"/>
  <c r="O20" i="8"/>
  <c r="O15" i="8" s="1"/>
  <c r="H20" i="8"/>
  <c r="H15" i="8" s="1"/>
  <c r="P20" i="8"/>
  <c r="P15" i="8" s="1"/>
  <c r="I20" i="8"/>
  <c r="I15" i="8" s="1"/>
  <c r="Q20" i="8"/>
  <c r="Q15" i="8" s="1"/>
  <c r="D20" i="8"/>
  <c r="D15" i="8" s="1"/>
  <c r="L20" i="8"/>
  <c r="L15" i="8" s="1"/>
  <c r="N12" i="6"/>
  <c r="G12" i="6"/>
  <c r="H12" i="6"/>
  <c r="Q12" i="6"/>
  <c r="D12" i="6"/>
  <c r="L12" i="6"/>
  <c r="E12" i="6"/>
  <c r="M12" i="6"/>
  <c r="J12" i="6"/>
  <c r="R12" i="6"/>
  <c r="F12" i="6"/>
  <c r="O12" i="6"/>
  <c r="P12" i="6"/>
  <c r="I12" i="6"/>
  <c r="K12" i="6"/>
  <c r="S12" i="6"/>
  <c r="D48" i="3"/>
  <c r="D51" i="3" s="1"/>
  <c r="C48" i="3"/>
  <c r="C51" i="3" s="1"/>
  <c r="F21" i="3"/>
  <c r="R48" i="3"/>
  <c r="R51" i="3" s="1"/>
  <c r="K48" i="3"/>
  <c r="K51" i="3" s="1"/>
  <c r="J20" i="2"/>
  <c r="R20" i="2"/>
  <c r="Q41" i="2"/>
  <c r="Q43" i="2" s="1"/>
  <c r="Q44" i="2" s="1"/>
  <c r="I48" i="3"/>
  <c r="I51" i="3" s="1"/>
  <c r="Q48" i="3"/>
  <c r="Q51" i="3" s="1"/>
  <c r="N48" i="3"/>
  <c r="N51" i="3" s="1"/>
  <c r="H48" i="3"/>
  <c r="H51" i="3" s="1"/>
  <c r="F48" i="3"/>
  <c r="F51" i="3" s="1"/>
  <c r="M48" i="3"/>
  <c r="M51" i="3" s="1"/>
  <c r="O48" i="3"/>
  <c r="O51" i="3" s="1"/>
  <c r="L48" i="3"/>
  <c r="L51" i="3" s="1"/>
  <c r="D20" i="2"/>
  <c r="E44" i="2"/>
  <c r="E20" i="2"/>
  <c r="F44" i="2"/>
  <c r="G44" i="2"/>
  <c r="G20" i="2"/>
  <c r="I44" i="2"/>
  <c r="I20" i="2"/>
  <c r="K20" i="2"/>
  <c r="O44" i="2"/>
  <c r="N44" i="2"/>
  <c r="C44" i="2"/>
  <c r="D44" i="2"/>
  <c r="H44" i="2"/>
  <c r="J44" i="2"/>
  <c r="K44" i="2"/>
  <c r="L44" i="2"/>
  <c r="M44" i="2"/>
  <c r="P44" i="2"/>
  <c r="S44" i="2"/>
  <c r="AD12" i="6" l="1"/>
  <c r="V12" i="6"/>
  <c r="AP12" i="6"/>
  <c r="AL12" i="6"/>
  <c r="Z12" i="6"/>
  <c r="AH12" i="6"/>
  <c r="AO12" i="6"/>
  <c r="U12" i="6"/>
  <c r="AG12" i="6"/>
  <c r="AC12" i="6"/>
  <c r="AK12" i="6"/>
  <c r="Y12" i="6"/>
  <c r="AA6" i="11"/>
  <c r="Z10" i="11"/>
  <c r="AB12" i="6"/>
  <c r="AF12" i="6"/>
  <c r="X12" i="6"/>
  <c r="AJ12" i="6"/>
  <c r="AN12" i="6"/>
  <c r="AQ12" i="6"/>
  <c r="AI12" i="6"/>
  <c r="AE12" i="6"/>
  <c r="AM12" i="6"/>
  <c r="AA12" i="6"/>
  <c r="W12" i="6"/>
  <c r="AB18" i="1"/>
  <c r="AK98" i="1"/>
  <c r="AK24" i="2"/>
  <c r="AK18" i="2"/>
  <c r="AK31" i="2"/>
  <c r="AK26" i="2"/>
  <c r="AK32" i="2"/>
  <c r="AK19" i="2"/>
  <c r="AK15" i="2"/>
  <c r="AK28" i="2"/>
  <c r="AK17" i="2"/>
  <c r="AK27" i="2"/>
  <c r="AK16" i="2"/>
  <c r="AK13" i="2"/>
  <c r="R21" i="8"/>
  <c r="R16" i="8" s="1"/>
  <c r="R11" i="8"/>
  <c r="AE36" i="1"/>
  <c r="Z66" i="1"/>
  <c r="AD36" i="1"/>
  <c r="AE27" i="1"/>
  <c r="AN30" i="1"/>
  <c r="AJ76" i="1"/>
  <c r="AJ77" i="1" s="1"/>
  <c r="AK74" i="1"/>
  <c r="AK73" i="1"/>
  <c r="AK75" i="1"/>
  <c r="AE18" i="1"/>
  <c r="AE45" i="1"/>
  <c r="AB36" i="1"/>
  <c r="AP30" i="1"/>
  <c r="AG30" i="1"/>
  <c r="Z35" i="1"/>
  <c r="AB35" i="1" s="1"/>
  <c r="AC36" i="1"/>
  <c r="AC45" i="1"/>
  <c r="AE51" i="1"/>
  <c r="AC18" i="1"/>
  <c r="AK30" i="1"/>
  <c r="AD45" i="1"/>
  <c r="AC30" i="1"/>
  <c r="AA66" i="1"/>
  <c r="AC27" i="1"/>
  <c r="AC11" i="1"/>
  <c r="AB45" i="1"/>
  <c r="AB30" i="1"/>
  <c r="AA35" i="1"/>
  <c r="AJ30" i="1"/>
  <c r="AD18" i="1"/>
  <c r="AF18" i="1" s="1"/>
  <c r="AD21" i="1"/>
  <c r="AC21" i="1"/>
  <c r="AB21" i="1"/>
  <c r="AE21" i="1"/>
  <c r="AC28" i="1"/>
  <c r="AD28" i="1"/>
  <c r="AB28" i="1"/>
  <c r="AE28" i="1"/>
  <c r="AH30" i="1"/>
  <c r="AO30" i="1"/>
  <c r="AD27" i="1"/>
  <c r="AE30" i="1"/>
  <c r="AD30" i="1"/>
  <c r="AB11" i="1"/>
  <c r="AO52" i="1"/>
  <c r="AG52" i="1"/>
  <c r="AI52" i="1"/>
  <c r="AN52" i="1"/>
  <c r="AF52" i="1"/>
  <c r="AD52" i="1"/>
  <c r="AB52" i="1"/>
  <c r="AM52" i="1"/>
  <c r="AE52" i="1"/>
  <c r="AC52" i="1"/>
  <c r="AJ52" i="1"/>
  <c r="AP52" i="1"/>
  <c r="AH52" i="1"/>
  <c r="AL52" i="1"/>
  <c r="AK52" i="1"/>
  <c r="AQ52" i="1"/>
  <c r="AC46" i="1"/>
  <c r="AE46" i="1"/>
  <c r="AD46" i="1"/>
  <c r="AB46" i="1"/>
  <c r="AE25" i="1"/>
  <c r="AD11" i="1"/>
  <c r="AB25" i="1"/>
  <c r="AC68" i="1"/>
  <c r="AD68" i="1"/>
  <c r="AE68" i="1"/>
  <c r="AB68" i="1"/>
  <c r="AK71" i="1"/>
  <c r="AK72" i="1" s="1"/>
  <c r="AK97" i="1" s="1"/>
  <c r="AL8" i="1"/>
  <c r="AB27" i="1"/>
  <c r="AQ30" i="1"/>
  <c r="AF30" i="1"/>
  <c r="AE11" i="1"/>
  <c r="AM30" i="1"/>
  <c r="AL30" i="1"/>
  <c r="AD25" i="1"/>
  <c r="Y66" i="1"/>
  <c r="AB67" i="1"/>
  <c r="AE67" i="1"/>
  <c r="X66" i="1"/>
  <c r="AD67" i="1"/>
  <c r="AC67" i="1"/>
  <c r="AI30" i="1"/>
  <c r="AO13" i="1"/>
  <c r="AB40" i="1"/>
  <c r="AE40" i="1"/>
  <c r="AD40" i="1"/>
  <c r="AC40" i="1"/>
  <c r="AQ26" i="1"/>
  <c r="AI26" i="1"/>
  <c r="AL26" i="1"/>
  <c r="AC26" i="1"/>
  <c r="AP26" i="1"/>
  <c r="AH26" i="1"/>
  <c r="AF26" i="1"/>
  <c r="AE26" i="1"/>
  <c r="AO26" i="1"/>
  <c r="AG26" i="1"/>
  <c r="AN26" i="1"/>
  <c r="AM26" i="1"/>
  <c r="AJ26" i="1"/>
  <c r="AB26" i="1"/>
  <c r="AD26" i="1"/>
  <c r="AK26" i="1"/>
  <c r="AC25" i="1"/>
  <c r="AB13" i="1"/>
  <c r="AG13" i="1"/>
  <c r="AM13" i="1"/>
  <c r="AK13" i="1"/>
  <c r="AC13" i="1"/>
  <c r="AF13" i="1"/>
  <c r="AN13" i="1"/>
  <c r="AD19" i="1"/>
  <c r="AC19" i="1"/>
  <c r="AB19" i="1"/>
  <c r="AE19" i="1"/>
  <c r="AH13" i="1"/>
  <c r="AL13" i="1"/>
  <c r="AP13" i="1"/>
  <c r="AD13" i="1"/>
  <c r="AI13" i="1"/>
  <c r="AA65" i="1"/>
  <c r="AQ13" i="1"/>
  <c r="AE13" i="1"/>
  <c r="AE12" i="1"/>
  <c r="AB12" i="1"/>
  <c r="AD12" i="1"/>
  <c r="AC12" i="1"/>
  <c r="AJ13" i="1"/>
  <c r="Z65" i="1"/>
  <c r="U20" i="8"/>
  <c r="U15" i="8" s="1"/>
  <c r="C15" i="8"/>
  <c r="T20" i="8"/>
  <c r="T15" i="8" s="1"/>
  <c r="B15" i="8"/>
  <c r="P11" i="8"/>
  <c r="H11" i="8"/>
  <c r="M21" i="8"/>
  <c r="M16" i="8" s="1"/>
  <c r="G21" i="8"/>
  <c r="O21" i="8"/>
  <c r="O16" i="8" s="1"/>
  <c r="E21" i="8"/>
  <c r="F21" i="8"/>
  <c r="E11" i="8"/>
  <c r="N21" i="8"/>
  <c r="N16" i="8" s="1"/>
  <c r="I21" i="8"/>
  <c r="I16" i="8" s="1"/>
  <c r="B21" i="8"/>
  <c r="P21" i="8"/>
  <c r="P16" i="8" s="1"/>
  <c r="C21" i="8"/>
  <c r="D21" i="8"/>
  <c r="Q21" i="8"/>
  <c r="Q16" i="8" s="1"/>
  <c r="H21" i="8"/>
  <c r="H16" i="8" s="1"/>
  <c r="K21" i="8"/>
  <c r="K16" i="8" s="1"/>
  <c r="L21" i="8"/>
  <c r="L16" i="8" s="1"/>
  <c r="J21" i="8"/>
  <c r="J16" i="8" s="1"/>
  <c r="M11" i="8"/>
  <c r="N11" i="8"/>
  <c r="D11" i="8"/>
  <c r="F11" i="8"/>
  <c r="O11" i="8"/>
  <c r="G11" i="8"/>
  <c r="L11" i="8"/>
  <c r="Q11" i="8"/>
  <c r="K11" i="8"/>
  <c r="J11" i="8"/>
  <c r="I11" i="8"/>
  <c r="C11" i="8"/>
  <c r="AB6" i="11" l="1"/>
  <c r="AA10" i="11"/>
  <c r="AL98" i="1"/>
  <c r="AL18" i="2"/>
  <c r="AL31" i="2"/>
  <c r="AL26" i="2"/>
  <c r="AL27" i="2"/>
  <c r="AL16" i="2"/>
  <c r="AL32" i="2"/>
  <c r="AL19" i="2"/>
  <c r="AL24" i="2"/>
  <c r="AL28" i="2"/>
  <c r="AL17" i="2"/>
  <c r="AL15" i="2"/>
  <c r="AL13" i="2"/>
  <c r="AF36" i="1"/>
  <c r="AL74" i="1"/>
  <c r="AL73" i="1"/>
  <c r="AL75" i="1"/>
  <c r="AK76" i="1"/>
  <c r="AK77" i="1" s="1"/>
  <c r="AG45" i="1"/>
  <c r="AE66" i="1"/>
  <c r="AF25" i="1"/>
  <c r="AH45" i="1"/>
  <c r="AH36" i="1"/>
  <c r="AD35" i="1"/>
  <c r="AI36" i="1"/>
  <c r="AG36" i="1"/>
  <c r="AC66" i="1"/>
  <c r="AI45" i="1"/>
  <c r="AN25" i="1"/>
  <c r="AD66" i="1"/>
  <c r="AC35" i="1"/>
  <c r="AF45" i="1"/>
  <c r="AM8" i="1"/>
  <c r="AL71" i="1"/>
  <c r="AL72" i="1" s="1"/>
  <c r="AL97" i="1" s="1"/>
  <c r="AG11" i="1"/>
  <c r="AF11" i="1"/>
  <c r="AI11" i="1"/>
  <c r="AH11" i="1"/>
  <c r="AH68" i="1"/>
  <c r="AG68" i="1"/>
  <c r="AF68" i="1"/>
  <c r="AI68" i="1"/>
  <c r="AG46" i="1"/>
  <c r="AF46" i="1"/>
  <c r="AI46" i="1"/>
  <c r="AH46" i="1"/>
  <c r="AI21" i="1"/>
  <c r="AH21" i="1"/>
  <c r="AG21" i="1"/>
  <c r="AF21" i="1"/>
  <c r="AI25" i="1"/>
  <c r="AJ25" i="1"/>
  <c r="AH67" i="1"/>
  <c r="AG67" i="1"/>
  <c r="AF67" i="1"/>
  <c r="AB66" i="1"/>
  <c r="AI67" i="1"/>
  <c r="AO25" i="1"/>
  <c r="AG25" i="1"/>
  <c r="AL25" i="1"/>
  <c r="AJ27" i="1"/>
  <c r="AM27" i="1"/>
  <c r="AQ27" i="1"/>
  <c r="AI27" i="1"/>
  <c r="AO27" i="1"/>
  <c r="AN27" i="1"/>
  <c r="AP27" i="1"/>
  <c r="AH27" i="1"/>
  <c r="AL27" i="1"/>
  <c r="AK27" i="1"/>
  <c r="AG27" i="1"/>
  <c r="AF27" i="1"/>
  <c r="AI28" i="1"/>
  <c r="AG28" i="1"/>
  <c r="AH28" i="1"/>
  <c r="AF28" i="1"/>
  <c r="AK25" i="1"/>
  <c r="AH25" i="1"/>
  <c r="AM25" i="1"/>
  <c r="AI40" i="1"/>
  <c r="AH40" i="1"/>
  <c r="AF40" i="1"/>
  <c r="AG40" i="1"/>
  <c r="AP25" i="1"/>
  <c r="AQ25" i="1"/>
  <c r="AI18" i="1"/>
  <c r="AH18" i="1"/>
  <c r="AG18" i="1"/>
  <c r="AI12" i="1"/>
  <c r="AH12" i="1"/>
  <c r="AG12" i="1"/>
  <c r="AF12" i="1"/>
  <c r="AI19" i="1"/>
  <c r="AH19" i="1"/>
  <c r="AG19" i="1"/>
  <c r="AF19" i="1"/>
  <c r="AB65" i="1"/>
  <c r="AC65" i="1"/>
  <c r="V20" i="8"/>
  <c r="V15" i="8" s="1"/>
  <c r="W20" i="8"/>
  <c r="W15" i="8" s="1"/>
  <c r="B16" i="8"/>
  <c r="T21" i="8"/>
  <c r="T16" i="8" s="1"/>
  <c r="G16" i="8"/>
  <c r="D16" i="8"/>
  <c r="F16" i="8"/>
  <c r="C16" i="8"/>
  <c r="U21" i="8"/>
  <c r="U16" i="8" s="1"/>
  <c r="E16" i="8"/>
  <c r="B11" i="8"/>
  <c r="AC6" i="11" l="1"/>
  <c r="AB10" i="11"/>
  <c r="AM98" i="1"/>
  <c r="AM32" i="2"/>
  <c r="AM18" i="2"/>
  <c r="AM31" i="2"/>
  <c r="AM27" i="2"/>
  <c r="AM26" i="2"/>
  <c r="AM16" i="2"/>
  <c r="AM15" i="2"/>
  <c r="AM19" i="2"/>
  <c r="AM17" i="2"/>
  <c r="AM28" i="2"/>
  <c r="AM24" i="2"/>
  <c r="AM13" i="2"/>
  <c r="AJ36" i="1"/>
  <c r="AM75" i="1"/>
  <c r="AM74" i="1"/>
  <c r="AM73" i="1"/>
  <c r="AL76" i="1"/>
  <c r="AL77" i="1" s="1"/>
  <c r="AK36" i="1"/>
  <c r="AL36" i="1"/>
  <c r="AK45" i="1"/>
  <c r="AH66" i="1"/>
  <c r="AM36" i="1"/>
  <c r="AM45" i="1"/>
  <c r="AF35" i="1"/>
  <c r="AE35" i="1"/>
  <c r="AG35" i="1" s="1"/>
  <c r="AJ45" i="1"/>
  <c r="AG66" i="1"/>
  <c r="AL45" i="1"/>
  <c r="AL67" i="1"/>
  <c r="AK67" i="1"/>
  <c r="AM67" i="1"/>
  <c r="AJ67" i="1"/>
  <c r="AF66" i="1"/>
  <c r="AK11" i="1"/>
  <c r="AJ11" i="1"/>
  <c r="AM11" i="1"/>
  <c r="AL11" i="1"/>
  <c r="AL21" i="1"/>
  <c r="AM21" i="1"/>
  <c r="AJ21" i="1"/>
  <c r="AK21" i="1"/>
  <c r="AO46" i="1"/>
  <c r="AN46" i="1"/>
  <c r="AL46" i="1"/>
  <c r="AM46" i="1"/>
  <c r="AK46" i="1"/>
  <c r="AJ46" i="1"/>
  <c r="AQ46" i="1"/>
  <c r="AP46" i="1"/>
  <c r="AK68" i="1"/>
  <c r="AM68" i="1"/>
  <c r="AJ68" i="1"/>
  <c r="AL68" i="1"/>
  <c r="AP28" i="1"/>
  <c r="AO28" i="1"/>
  <c r="AM28" i="1"/>
  <c r="AL28" i="1"/>
  <c r="AK28" i="1"/>
  <c r="AN28" i="1"/>
  <c r="AJ28" i="1"/>
  <c r="AQ28" i="1"/>
  <c r="AI66" i="1"/>
  <c r="AN8" i="1"/>
  <c r="AM71" i="1"/>
  <c r="AM72" i="1" s="1"/>
  <c r="AM97" i="1" s="1"/>
  <c r="AK40" i="1"/>
  <c r="AJ40" i="1"/>
  <c r="AM40" i="1"/>
  <c r="AL40" i="1"/>
  <c r="AM12" i="1"/>
  <c r="AL12" i="1"/>
  <c r="AK12" i="1"/>
  <c r="AJ12" i="1"/>
  <c r="AL19" i="1"/>
  <c r="AK19" i="1"/>
  <c r="AJ19" i="1"/>
  <c r="AM19" i="1"/>
  <c r="AK18" i="1"/>
  <c r="AJ18" i="1"/>
  <c r="AM18" i="1"/>
  <c r="AL18" i="1"/>
  <c r="AE65" i="1"/>
  <c r="AD65" i="1"/>
  <c r="Y20" i="8"/>
  <c r="Y15" i="8" s="1"/>
  <c r="X20" i="8"/>
  <c r="X15" i="8" s="1"/>
  <c r="W21" i="8"/>
  <c r="W16" i="8" s="1"/>
  <c r="V21" i="8"/>
  <c r="AD6" i="11" l="1"/>
  <c r="AC10" i="11"/>
  <c r="AQ36" i="1"/>
  <c r="AN98" i="1"/>
  <c r="AN28" i="2"/>
  <c r="AN27" i="2"/>
  <c r="AN19" i="2"/>
  <c r="AN18" i="2"/>
  <c r="AN26" i="2"/>
  <c r="AN16" i="2"/>
  <c r="AN32" i="2"/>
  <c r="AN31" i="2"/>
  <c r="AN24" i="2"/>
  <c r="AN15" i="2"/>
  <c r="AN17" i="2"/>
  <c r="AN13" i="2"/>
  <c r="AM76" i="1"/>
  <c r="AO45" i="1"/>
  <c r="AO36" i="1"/>
  <c r="AN75" i="1"/>
  <c r="AN74" i="1"/>
  <c r="AN73" i="1"/>
  <c r="AN76" i="1" s="1"/>
  <c r="AP36" i="1"/>
  <c r="AQ45" i="1"/>
  <c r="AM77" i="1"/>
  <c r="AN45" i="1"/>
  <c r="AN36" i="1"/>
  <c r="AE9" i="1"/>
  <c r="AL66" i="1"/>
  <c r="AP45" i="1"/>
  <c r="AH35" i="1"/>
  <c r="AI35" i="1"/>
  <c r="AP68" i="1"/>
  <c r="AO68" i="1"/>
  <c r="AN68" i="1"/>
  <c r="AQ68" i="1"/>
  <c r="AK66" i="1"/>
  <c r="AQ21" i="1"/>
  <c r="AP21" i="1"/>
  <c r="AN21" i="1"/>
  <c r="AO21" i="1"/>
  <c r="AM66" i="1"/>
  <c r="AN71" i="1"/>
  <c r="AN72" i="1" s="1"/>
  <c r="AN97" i="1" s="1"/>
  <c r="AO8" i="1"/>
  <c r="AJ66" i="1"/>
  <c r="AP67" i="1"/>
  <c r="AO67" i="1"/>
  <c r="AN67" i="1"/>
  <c r="AQ67" i="1"/>
  <c r="AQ11" i="1"/>
  <c r="AP11" i="1"/>
  <c r="AO11" i="1"/>
  <c r="AN11" i="1"/>
  <c r="AQ40" i="1"/>
  <c r="AP40" i="1"/>
  <c r="AO40" i="1"/>
  <c r="AN40" i="1"/>
  <c r="AQ19" i="1"/>
  <c r="AP19" i="1"/>
  <c r="AO19" i="1"/>
  <c r="AN19" i="1"/>
  <c r="AQ18" i="1"/>
  <c r="AP18" i="1"/>
  <c r="AO18" i="1"/>
  <c r="AN18" i="1"/>
  <c r="AN12" i="1"/>
  <c r="AO12" i="1"/>
  <c r="AP12" i="1"/>
  <c r="AQ12" i="1"/>
  <c r="AF65" i="1"/>
  <c r="AH65" i="1" s="1"/>
  <c r="AG65" i="1"/>
  <c r="Z20" i="8"/>
  <c r="AB20" i="8" s="1"/>
  <c r="AA20" i="8"/>
  <c r="AA15" i="8" s="1"/>
  <c r="V16" i="8"/>
  <c r="X21" i="8"/>
  <c r="Y21" i="8"/>
  <c r="Y16" i="8" s="1"/>
  <c r="AE6" i="11" l="1"/>
  <c r="AD10" i="11"/>
  <c r="AO98" i="1"/>
  <c r="AO32" i="2"/>
  <c r="AO24" i="2"/>
  <c r="AO19" i="2"/>
  <c r="AO17" i="2"/>
  <c r="AO16" i="2"/>
  <c r="AO15" i="2"/>
  <c r="AO28" i="2"/>
  <c r="AO27" i="2"/>
  <c r="AO31" i="2"/>
  <c r="AO26" i="2"/>
  <c r="AO18" i="2"/>
  <c r="AO13" i="2"/>
  <c r="AN77" i="1"/>
  <c r="AO73" i="1"/>
  <c r="AO75" i="1"/>
  <c r="AO74" i="1"/>
  <c r="AQ66" i="1"/>
  <c r="AN66" i="1"/>
  <c r="AO66" i="1"/>
  <c r="AK35" i="1"/>
  <c r="AJ35" i="1"/>
  <c r="AP66" i="1"/>
  <c r="AO71" i="1"/>
  <c r="AO72" i="1" s="1"/>
  <c r="AO97" i="1" s="1"/>
  <c r="AP8" i="1"/>
  <c r="AJ65" i="1"/>
  <c r="AI65" i="1"/>
  <c r="AC20" i="8"/>
  <c r="AC15" i="8" s="1"/>
  <c r="Z15" i="8"/>
  <c r="AA21" i="8"/>
  <c r="AA16" i="8" s="1"/>
  <c r="AB15" i="8"/>
  <c r="AD20" i="8"/>
  <c r="X16" i="8"/>
  <c r="Z21" i="8"/>
  <c r="AF6" i="11" l="1"/>
  <c r="AE10" i="11"/>
  <c r="AP98" i="1"/>
  <c r="AP31" i="2"/>
  <c r="AP26" i="2"/>
  <c r="AP32" i="2"/>
  <c r="AP24" i="2"/>
  <c r="AP19" i="2"/>
  <c r="AP17" i="2"/>
  <c r="AP16" i="2"/>
  <c r="AP15" i="2"/>
  <c r="AP28" i="2"/>
  <c r="AP27" i="2"/>
  <c r="AP18" i="2"/>
  <c r="AP13" i="2"/>
  <c r="AP75" i="1"/>
  <c r="AP74" i="1"/>
  <c r="AP73" i="1"/>
  <c r="AO76" i="1"/>
  <c r="AO77" i="1" s="1"/>
  <c r="AM35" i="1"/>
  <c r="AL35" i="1"/>
  <c r="AO35" i="1" s="1"/>
  <c r="AQ8" i="1"/>
  <c r="AP71" i="1"/>
  <c r="AP72" i="1" s="1"/>
  <c r="AP97" i="1" s="1"/>
  <c r="AK65" i="1"/>
  <c r="AL65" i="1"/>
  <c r="AE20" i="8"/>
  <c r="AE15" i="8" s="1"/>
  <c r="AD15" i="8"/>
  <c r="AF20" i="8"/>
  <c r="Z16" i="8"/>
  <c r="AC21" i="8"/>
  <c r="AC16" i="8" s="1"/>
  <c r="AB21" i="8"/>
  <c r="AP76" i="1" l="1"/>
  <c r="AG6" i="11"/>
  <c r="AF10" i="11"/>
  <c r="AQ98" i="1"/>
  <c r="AQ31" i="2"/>
  <c r="AQ26" i="2"/>
  <c r="AQ32" i="2"/>
  <c r="AQ24" i="2"/>
  <c r="AQ19" i="2"/>
  <c r="AQ17" i="2"/>
  <c r="AQ16" i="2"/>
  <c r="AQ15" i="2"/>
  <c r="AQ28" i="2"/>
  <c r="AQ27" i="2"/>
  <c r="AQ18" i="2"/>
  <c r="AQ13" i="2"/>
  <c r="AP77" i="1"/>
  <c r="AQ73" i="1"/>
  <c r="AQ74" i="1"/>
  <c r="AQ75" i="1"/>
  <c r="AN35" i="1"/>
  <c r="AP35" i="1" s="1"/>
  <c r="AQ71" i="1"/>
  <c r="AQ72" i="1" s="1"/>
  <c r="AQ97" i="1" s="1"/>
  <c r="AM65" i="1"/>
  <c r="AO65" i="1" s="1"/>
  <c r="AH20" i="8"/>
  <c r="AH15" i="8" s="1"/>
  <c r="AH9" i="8" s="1"/>
  <c r="AN65" i="1"/>
  <c r="AG20" i="8"/>
  <c r="AG15" i="8" s="1"/>
  <c r="AF15" i="8"/>
  <c r="AD21" i="8"/>
  <c r="AB16" i="8"/>
  <c r="AE21" i="8"/>
  <c r="AE16" i="8" s="1"/>
  <c r="AH6" i="11" l="1"/>
  <c r="AG10" i="11"/>
  <c r="AQ76" i="1"/>
  <c r="AQ77" i="1" s="1"/>
  <c r="AQ35" i="1"/>
  <c r="AJ20" i="8"/>
  <c r="AJ15" i="8" s="1"/>
  <c r="AJ9" i="8" s="1"/>
  <c r="AQ65" i="1"/>
  <c r="AI20" i="8"/>
  <c r="AI15" i="8" s="1"/>
  <c r="AI9" i="8" s="1"/>
  <c r="AP65" i="1"/>
  <c r="AG21" i="8"/>
  <c r="AG16" i="8" s="1"/>
  <c r="AF21" i="8"/>
  <c r="AH21" i="8" s="1"/>
  <c r="AH16" i="8" s="1"/>
  <c r="AH10" i="8" s="1"/>
  <c r="AD16" i="8"/>
  <c r="AI6" i="11" l="1"/>
  <c r="AH10" i="11"/>
  <c r="AH30" i="8"/>
  <c r="AI25" i="2"/>
  <c r="AI29" i="2" s="1"/>
  <c r="AK20" i="8"/>
  <c r="AK15" i="8" s="1"/>
  <c r="AK9" i="8" s="1"/>
  <c r="AL20" i="8"/>
  <c r="AF16" i="8"/>
  <c r="AI21" i="8"/>
  <c r="AI16" i="8" s="1"/>
  <c r="AI10" i="8" s="1"/>
  <c r="AJ21" i="8"/>
  <c r="AJ6" i="11" l="1"/>
  <c r="AI10" i="11"/>
  <c r="AI30" i="8"/>
  <c r="AJ25" i="2"/>
  <c r="AJ29" i="2" s="1"/>
  <c r="AM20" i="8"/>
  <c r="AM15" i="8" s="1"/>
  <c r="AM9" i="8" s="1"/>
  <c r="AN20" i="8"/>
  <c r="AN15" i="8" s="1"/>
  <c r="AN9" i="8" s="1"/>
  <c r="AL15" i="8"/>
  <c r="AL9" i="8" s="1"/>
  <c r="AK21" i="8"/>
  <c r="AK16" i="8" s="1"/>
  <c r="AK10" i="8" s="1"/>
  <c r="AL21" i="8"/>
  <c r="AL16" i="8" s="1"/>
  <c r="AL10" i="8" s="1"/>
  <c r="AJ16" i="8"/>
  <c r="AJ10" i="8" s="1"/>
  <c r="AK6" i="11" l="1"/>
  <c r="AJ10" i="11"/>
  <c r="AJ30" i="8"/>
  <c r="AK25" i="2"/>
  <c r="AK29" i="2" s="1"/>
  <c r="AK30" i="8"/>
  <c r="AL25" i="2"/>
  <c r="AL29" i="2" s="1"/>
  <c r="AL30" i="8"/>
  <c r="AM25" i="2"/>
  <c r="AM29" i="2" s="1"/>
  <c r="AO20" i="8"/>
  <c r="AO15" i="8" s="1"/>
  <c r="AO9" i="8" s="1"/>
  <c r="AP20" i="8"/>
  <c r="AP15" i="8" s="1"/>
  <c r="AP9" i="8" s="1"/>
  <c r="AM21" i="8"/>
  <c r="AM16" i="8" s="1"/>
  <c r="AM10" i="8" s="1"/>
  <c r="AN21" i="8"/>
  <c r="AO21" i="8"/>
  <c r="AO16" i="8" s="1"/>
  <c r="AO10" i="8" s="1"/>
  <c r="AL6" i="11" l="1"/>
  <c r="AK10" i="11"/>
  <c r="AO30" i="8"/>
  <c r="AP25" i="2"/>
  <c r="AP29" i="2" s="1"/>
  <c r="AM30" i="8"/>
  <c r="AN25" i="2"/>
  <c r="AN29" i="2" s="1"/>
  <c r="AN16" i="8"/>
  <c r="AN10" i="8" s="1"/>
  <c r="AP21" i="8"/>
  <c r="AP16" i="8" s="1"/>
  <c r="AP10" i="8" s="1"/>
  <c r="AM6" i="11" l="1"/>
  <c r="AL10" i="11"/>
  <c r="AP30" i="8"/>
  <c r="AQ25" i="2"/>
  <c r="AQ29" i="2" s="1"/>
  <c r="AN30" i="8"/>
  <c r="AO25" i="2"/>
  <c r="AO29" i="2" s="1"/>
  <c r="C66" i="1"/>
  <c r="J53" i="1"/>
  <c r="I53" i="1"/>
  <c r="H53" i="1"/>
  <c r="G53" i="1"/>
  <c r="H66" i="1"/>
  <c r="J66" i="1"/>
  <c r="M53" i="1"/>
  <c r="M56" i="1"/>
  <c r="R66" i="1"/>
  <c r="R8" i="1" s="1"/>
  <c r="O66" i="1"/>
  <c r="O8" i="1" s="1"/>
  <c r="Q66" i="1"/>
  <c r="Q8" i="1" s="1"/>
  <c r="AN6" i="11" l="1"/>
  <c r="AM10" i="11"/>
  <c r="O58" i="2"/>
  <c r="O49" i="2"/>
  <c r="O60" i="2"/>
  <c r="O54" i="2"/>
  <c r="O52" i="2"/>
  <c r="O57" i="2"/>
  <c r="O55" i="2"/>
  <c r="O61" i="2"/>
  <c r="O53" i="2"/>
  <c r="O59" i="2"/>
  <c r="O51" i="2"/>
  <c r="O48" i="2"/>
  <c r="O62" i="2"/>
  <c r="Q60" i="2"/>
  <c r="Q52" i="2"/>
  <c r="Q48" i="2"/>
  <c r="Q61" i="2"/>
  <c r="Q59" i="2"/>
  <c r="Q57" i="2"/>
  <c r="Q55" i="2"/>
  <c r="Q54" i="2"/>
  <c r="Q53" i="2"/>
  <c r="Q51" i="2"/>
  <c r="Q58" i="2"/>
  <c r="Q62" i="2"/>
  <c r="Q49" i="2"/>
  <c r="R62" i="2"/>
  <c r="R48" i="2"/>
  <c r="R60" i="2"/>
  <c r="R52" i="2"/>
  <c r="R61" i="2"/>
  <c r="R59" i="2"/>
  <c r="R57" i="2"/>
  <c r="R55" i="2"/>
  <c r="R54" i="2"/>
  <c r="R53" i="2"/>
  <c r="R51" i="2"/>
  <c r="R58" i="2"/>
  <c r="R49" i="2"/>
  <c r="Q105" i="1"/>
  <c r="R105" i="1"/>
  <c r="O105" i="1"/>
  <c r="R110" i="1"/>
  <c r="R98" i="1"/>
  <c r="R106" i="1"/>
  <c r="R103" i="1"/>
  <c r="R104" i="1"/>
  <c r="R9" i="6"/>
  <c r="R102" i="1"/>
  <c r="Q19" i="8"/>
  <c r="R72" i="1"/>
  <c r="R97" i="1" s="1"/>
  <c r="J8" i="1"/>
  <c r="M6" i="1"/>
  <c r="Q110" i="1"/>
  <c r="O110" i="1"/>
  <c r="AO6" i="11" l="1"/>
  <c r="AN10" i="11"/>
  <c r="J105" i="1"/>
  <c r="J62" i="2"/>
  <c r="J48" i="2"/>
  <c r="J60" i="2"/>
  <c r="J52" i="2"/>
  <c r="J61" i="2"/>
  <c r="J59" i="2"/>
  <c r="J57" i="2"/>
  <c r="J55" i="2"/>
  <c r="J54" i="2"/>
  <c r="J53" i="2"/>
  <c r="J51" i="2"/>
  <c r="J58" i="2"/>
  <c r="J49" i="2"/>
  <c r="J110" i="1"/>
  <c r="AA110" i="1" s="1"/>
  <c r="J106" i="1"/>
  <c r="J103" i="1"/>
  <c r="Q106" i="1"/>
  <c r="Q103" i="1"/>
  <c r="O106" i="1"/>
  <c r="O103" i="1"/>
  <c r="Q14" i="8"/>
  <c r="Q104" i="1"/>
  <c r="Q102" i="1"/>
  <c r="Q9" i="6"/>
  <c r="P19" i="8"/>
  <c r="J104" i="1"/>
  <c r="J9" i="6"/>
  <c r="W9" i="6" s="1"/>
  <c r="J102" i="1"/>
  <c r="I19" i="8"/>
  <c r="O98" i="1"/>
  <c r="O9" i="6"/>
  <c r="O104" i="1"/>
  <c r="O102" i="1"/>
  <c r="N19" i="8"/>
  <c r="O72" i="1"/>
  <c r="O97" i="1" s="1"/>
  <c r="Q72" i="1"/>
  <c r="Q97" i="1" s="1"/>
  <c r="J72" i="1"/>
  <c r="J97" i="1" s="1"/>
  <c r="D66" i="1"/>
  <c r="E66" i="1"/>
  <c r="F66" i="1"/>
  <c r="G66" i="1"/>
  <c r="H8" i="1"/>
  <c r="I66" i="1"/>
  <c r="I8" i="1" s="1"/>
  <c r="K66" i="1"/>
  <c r="K8" i="1" s="1"/>
  <c r="L66" i="1"/>
  <c r="L8" i="1" s="1"/>
  <c r="M66" i="1"/>
  <c r="M8" i="1" s="1"/>
  <c r="P66" i="1"/>
  <c r="S66" i="1"/>
  <c r="S8" i="1" s="1"/>
  <c r="AP6" i="11" l="1"/>
  <c r="AO10" i="11"/>
  <c r="K105" i="1"/>
  <c r="K48" i="2"/>
  <c r="K58" i="2"/>
  <c r="K62" i="2"/>
  <c r="K60" i="2"/>
  <c r="K52" i="2"/>
  <c r="K61" i="2"/>
  <c r="K59" i="2"/>
  <c r="K57" i="2"/>
  <c r="K55" i="2"/>
  <c r="K54" i="2"/>
  <c r="K53" i="2"/>
  <c r="K51" i="2"/>
  <c r="K49" i="2"/>
  <c r="I105" i="1"/>
  <c r="I60" i="2"/>
  <c r="I52" i="2"/>
  <c r="I49" i="2"/>
  <c r="I48" i="2"/>
  <c r="I61" i="2"/>
  <c r="I59" i="2"/>
  <c r="I57" i="2"/>
  <c r="I55" i="2"/>
  <c r="I54" i="2"/>
  <c r="I53" i="2"/>
  <c r="I51" i="2"/>
  <c r="I58" i="2"/>
  <c r="I62" i="2"/>
  <c r="H105" i="1"/>
  <c r="H61" i="2"/>
  <c r="H59" i="2"/>
  <c r="H57" i="2"/>
  <c r="H55" i="2"/>
  <c r="H54" i="2"/>
  <c r="H53" i="2"/>
  <c r="H51" i="2"/>
  <c r="H49" i="2"/>
  <c r="H58" i="2"/>
  <c r="H48" i="2"/>
  <c r="H60" i="2"/>
  <c r="H62" i="2"/>
  <c r="H52" i="2"/>
  <c r="M105" i="1"/>
  <c r="M49" i="2"/>
  <c r="M60" i="2"/>
  <c r="M62" i="2"/>
  <c r="M53" i="2"/>
  <c r="M58" i="2"/>
  <c r="M51" i="2"/>
  <c r="M54" i="2"/>
  <c r="M55" i="2"/>
  <c r="M61" i="2"/>
  <c r="M57" i="2"/>
  <c r="M52" i="2"/>
  <c r="M59" i="2"/>
  <c r="M48" i="2"/>
  <c r="L105" i="1"/>
  <c r="L49" i="2"/>
  <c r="L48" i="2"/>
  <c r="L61" i="2"/>
  <c r="L62" i="2"/>
  <c r="L52" i="2"/>
  <c r="L60" i="2"/>
  <c r="L59" i="2"/>
  <c r="L55" i="2"/>
  <c r="L58" i="2"/>
  <c r="L51" i="2"/>
  <c r="L53" i="2"/>
  <c r="L57" i="2"/>
  <c r="L54" i="2"/>
  <c r="W48" i="2"/>
  <c r="AE48" i="2"/>
  <c r="AM48" i="2"/>
  <c r="AM10" i="2" s="1"/>
  <c r="AM14" i="2" s="1"/>
  <c r="AM20" i="2" s="1"/>
  <c r="AF48" i="2"/>
  <c r="AN48" i="2"/>
  <c r="AN10" i="2" s="1"/>
  <c r="AN14" i="2" s="1"/>
  <c r="AN20" i="2" s="1"/>
  <c r="AG48" i="2"/>
  <c r="S51" i="2"/>
  <c r="AH48" i="2"/>
  <c r="S62" i="2"/>
  <c r="X48" i="2"/>
  <c r="U48" i="2"/>
  <c r="S54" i="2"/>
  <c r="Z48" i="2"/>
  <c r="S58" i="2"/>
  <c r="S60" i="2"/>
  <c r="S52" i="2"/>
  <c r="Y48" i="2"/>
  <c r="AO48" i="2"/>
  <c r="AO10" i="2" s="1"/>
  <c r="AO14" i="2" s="1"/>
  <c r="AO20" i="2" s="1"/>
  <c r="S48" i="2"/>
  <c r="S53" i="2"/>
  <c r="AP48" i="2"/>
  <c r="AP10" i="2" s="1"/>
  <c r="AP14" i="2" s="1"/>
  <c r="AP20" i="2" s="1"/>
  <c r="S61" i="2"/>
  <c r="S59" i="2"/>
  <c r="S57" i="2"/>
  <c r="S55" i="2"/>
  <c r="S49" i="2"/>
  <c r="AD48" i="2"/>
  <c r="AI48" i="2"/>
  <c r="AI10" i="2" s="1"/>
  <c r="AI14" i="2" s="1"/>
  <c r="AI20" i="2" s="1"/>
  <c r="AK48" i="2"/>
  <c r="AK10" i="2" s="1"/>
  <c r="AK14" i="2" s="1"/>
  <c r="AK20" i="2" s="1"/>
  <c r="AL48" i="2"/>
  <c r="AL10" i="2" s="1"/>
  <c r="AL14" i="2" s="1"/>
  <c r="AL20" i="2" s="1"/>
  <c r="AA48" i="2"/>
  <c r="AJ48" i="2"/>
  <c r="AJ10" i="2" s="1"/>
  <c r="AJ14" i="2" s="1"/>
  <c r="AJ20" i="2" s="1"/>
  <c r="V48" i="2"/>
  <c r="AQ48" i="2"/>
  <c r="AQ10" i="2" s="1"/>
  <c r="AQ14" i="2" s="1"/>
  <c r="AQ20" i="2" s="1"/>
  <c r="AB48" i="2"/>
  <c r="AC48" i="2"/>
  <c r="AE110" i="1"/>
  <c r="AI110" i="1"/>
  <c r="AM110" i="1"/>
  <c r="W110" i="1"/>
  <c r="AQ9" i="6"/>
  <c r="AQ8" i="6" s="1"/>
  <c r="AQ110" i="1"/>
  <c r="S105" i="1"/>
  <c r="S98" i="1"/>
  <c r="AE9" i="6"/>
  <c r="AI9" i="6"/>
  <c r="AI8" i="6" s="1"/>
  <c r="AI24" i="3" s="1"/>
  <c r="AI29" i="3" s="1"/>
  <c r="AA9" i="6"/>
  <c r="AM9" i="6"/>
  <c r="AM8" i="6" s="1"/>
  <c r="AM24" i="3" s="1"/>
  <c r="AM29" i="3" s="1"/>
  <c r="U8" i="1"/>
  <c r="I110" i="1"/>
  <c r="H110" i="1"/>
  <c r="K110" i="1"/>
  <c r="P8" i="1"/>
  <c r="M104" i="1"/>
  <c r="M103" i="1"/>
  <c r="M72" i="1"/>
  <c r="M97" i="1" s="1"/>
  <c r="M9" i="6"/>
  <c r="M102" i="1"/>
  <c r="M106" i="1"/>
  <c r="M110" i="1"/>
  <c r="N98" i="1"/>
  <c r="L19" i="8"/>
  <c r="L14" i="8" s="1"/>
  <c r="L110" i="1"/>
  <c r="S110" i="1"/>
  <c r="S103" i="1"/>
  <c r="S106" i="1"/>
  <c r="L106" i="1"/>
  <c r="L103" i="1"/>
  <c r="K103" i="1"/>
  <c r="K106" i="1"/>
  <c r="I106" i="1"/>
  <c r="I103" i="1"/>
  <c r="H103" i="1"/>
  <c r="H106" i="1"/>
  <c r="P14" i="8"/>
  <c r="L102" i="1"/>
  <c r="L9" i="6"/>
  <c r="L104" i="1"/>
  <c r="K19" i="8"/>
  <c r="S104" i="1"/>
  <c r="S102" i="1"/>
  <c r="S9" i="6"/>
  <c r="R19" i="8"/>
  <c r="I14" i="8"/>
  <c r="H104" i="1"/>
  <c r="H102" i="1"/>
  <c r="H9" i="6"/>
  <c r="G19" i="8"/>
  <c r="N14" i="8"/>
  <c r="K98" i="1"/>
  <c r="K104" i="1"/>
  <c r="K102" i="1"/>
  <c r="K9" i="6"/>
  <c r="J19" i="8"/>
  <c r="I98" i="1"/>
  <c r="I104" i="1"/>
  <c r="I102" i="1"/>
  <c r="I9" i="6"/>
  <c r="H19" i="8"/>
  <c r="J98" i="1"/>
  <c r="M98" i="1"/>
  <c r="L98" i="1"/>
  <c r="L72" i="1"/>
  <c r="L97" i="1" s="1"/>
  <c r="K72" i="1"/>
  <c r="K97" i="1" s="1"/>
  <c r="I72" i="1"/>
  <c r="I97" i="1" s="1"/>
  <c r="H72" i="1"/>
  <c r="H97" i="1" s="1"/>
  <c r="S72" i="1"/>
  <c r="S97" i="1" s="1"/>
  <c r="G8" i="1"/>
  <c r="C8" i="1"/>
  <c r="E8" i="1"/>
  <c r="D8" i="1"/>
  <c r="F8" i="1"/>
  <c r="S21" i="3"/>
  <c r="G48" i="3"/>
  <c r="G51" i="3" s="1"/>
  <c r="AQ6" i="11" l="1"/>
  <c r="AQ10" i="11" s="1"/>
  <c r="AP10" i="11"/>
  <c r="U15" i="2"/>
  <c r="U28" i="2"/>
  <c r="U26" i="2"/>
  <c r="U32" i="2"/>
  <c r="U24" i="2"/>
  <c r="U19" i="2"/>
  <c r="U18" i="2"/>
  <c r="U17" i="2"/>
  <c r="U27" i="2"/>
  <c r="U16" i="2"/>
  <c r="U31" i="2"/>
  <c r="U13" i="2"/>
  <c r="E105" i="1"/>
  <c r="E60" i="2"/>
  <c r="E62" i="2"/>
  <c r="E61" i="2"/>
  <c r="E57" i="2"/>
  <c r="E58" i="2"/>
  <c r="E51" i="2"/>
  <c r="E49" i="2"/>
  <c r="E48" i="2"/>
  <c r="E55" i="2"/>
  <c r="E59" i="2"/>
  <c r="E54" i="2"/>
  <c r="E52" i="2"/>
  <c r="E53" i="2"/>
  <c r="C105" i="1"/>
  <c r="C61" i="2"/>
  <c r="C62" i="2"/>
  <c r="C59" i="2"/>
  <c r="C58" i="2"/>
  <c r="C60" i="2"/>
  <c r="C52" i="2"/>
  <c r="C51" i="2"/>
  <c r="C48" i="2"/>
  <c r="C53" i="2"/>
  <c r="C54" i="2"/>
  <c r="C49" i="2"/>
  <c r="C55" i="2"/>
  <c r="C57" i="2"/>
  <c r="P61" i="2"/>
  <c r="P59" i="2"/>
  <c r="P57" i="2"/>
  <c r="P55" i="2"/>
  <c r="P54" i="2"/>
  <c r="P53" i="2"/>
  <c r="P51" i="2"/>
  <c r="P58" i="2"/>
  <c r="P48" i="2"/>
  <c r="P60" i="2"/>
  <c r="P52" i="2"/>
  <c r="P49" i="2"/>
  <c r="P62" i="2"/>
  <c r="G105" i="1"/>
  <c r="G58" i="2"/>
  <c r="G49" i="2"/>
  <c r="G54" i="2"/>
  <c r="G62" i="2"/>
  <c r="G53" i="2"/>
  <c r="G51" i="2"/>
  <c r="G59" i="2"/>
  <c r="G52" i="2"/>
  <c r="G61" i="2"/>
  <c r="G57" i="2"/>
  <c r="G48" i="2"/>
  <c r="G60" i="2"/>
  <c r="G55" i="2"/>
  <c r="F105" i="1"/>
  <c r="F49" i="2"/>
  <c r="F62" i="2"/>
  <c r="F53" i="2"/>
  <c r="F54" i="2"/>
  <c r="F61" i="2"/>
  <c r="F57" i="2"/>
  <c r="F52" i="2"/>
  <c r="F58" i="2"/>
  <c r="F51" i="2"/>
  <c r="F48" i="2"/>
  <c r="F59" i="2"/>
  <c r="F60" i="2"/>
  <c r="F55" i="2"/>
  <c r="D105" i="1"/>
  <c r="D52" i="2"/>
  <c r="D48" i="2"/>
  <c r="D59" i="2"/>
  <c r="D62" i="2"/>
  <c r="D57" i="2"/>
  <c r="D60" i="2"/>
  <c r="D61" i="2"/>
  <c r="D58" i="2"/>
  <c r="D51" i="2"/>
  <c r="D55" i="2"/>
  <c r="D54" i="2"/>
  <c r="D49" i="2"/>
  <c r="D53" i="2"/>
  <c r="U10" i="2"/>
  <c r="AQ90" i="1"/>
  <c r="AQ24" i="3"/>
  <c r="AQ29" i="3" s="1"/>
  <c r="AQ11" i="6"/>
  <c r="AQ13" i="3" s="1"/>
  <c r="AQ21" i="3" s="1"/>
  <c r="AI11" i="6"/>
  <c r="AI13" i="3" s="1"/>
  <c r="AI21" i="3" s="1"/>
  <c r="AI48" i="3" s="1"/>
  <c r="AI51" i="3" s="1"/>
  <c r="AI90" i="1"/>
  <c r="U75" i="1"/>
  <c r="U98" i="1"/>
  <c r="AH110" i="1"/>
  <c r="Z110" i="1"/>
  <c r="V110" i="1"/>
  <c r="AP110" i="1"/>
  <c r="AL110" i="1"/>
  <c r="AD110" i="1"/>
  <c r="AM11" i="6"/>
  <c r="AM13" i="3" s="1"/>
  <c r="AM21" i="3" s="1"/>
  <c r="AM48" i="3" s="1"/>
  <c r="AM51" i="3" s="1"/>
  <c r="AM90" i="1"/>
  <c r="Z9" i="6"/>
  <c r="AD9" i="6"/>
  <c r="V9" i="6"/>
  <c r="AP9" i="6"/>
  <c r="AP8" i="6" s="1"/>
  <c r="AP24" i="3" s="1"/>
  <c r="AP29" i="3" s="1"/>
  <c r="P105" i="1"/>
  <c r="AH9" i="6"/>
  <c r="AL9" i="6"/>
  <c r="AL8" i="6" s="1"/>
  <c r="AL24" i="3" s="1"/>
  <c r="AL29" i="3" s="1"/>
  <c r="U74" i="1"/>
  <c r="U73" i="1"/>
  <c r="U71" i="1"/>
  <c r="U69" i="1"/>
  <c r="V8" i="1"/>
  <c r="V10" i="2" s="1"/>
  <c r="D110" i="1"/>
  <c r="P9" i="6"/>
  <c r="O19" i="8"/>
  <c r="O14" i="8" s="1"/>
  <c r="P72" i="1"/>
  <c r="C110" i="1"/>
  <c r="G110" i="1"/>
  <c r="AN110" i="1" s="1"/>
  <c r="F110" i="1"/>
  <c r="P110" i="1"/>
  <c r="E110" i="1"/>
  <c r="Q98" i="1"/>
  <c r="P102" i="1"/>
  <c r="P104" i="1"/>
  <c r="P98" i="1"/>
  <c r="P106" i="1"/>
  <c r="P103" i="1"/>
  <c r="C106" i="1"/>
  <c r="C103" i="1"/>
  <c r="E103" i="1"/>
  <c r="E106" i="1"/>
  <c r="G106" i="1"/>
  <c r="G103" i="1"/>
  <c r="F106" i="1"/>
  <c r="F103" i="1"/>
  <c r="D106" i="1"/>
  <c r="D103" i="1"/>
  <c r="G9" i="6"/>
  <c r="X9" i="6" s="1"/>
  <c r="G104" i="1"/>
  <c r="G102" i="1"/>
  <c r="F19" i="8"/>
  <c r="K14" i="8"/>
  <c r="R14" i="8"/>
  <c r="C104" i="1"/>
  <c r="C102" i="1"/>
  <c r="C9" i="6"/>
  <c r="B19" i="8"/>
  <c r="J14" i="8"/>
  <c r="H14" i="8"/>
  <c r="F9" i="6"/>
  <c r="F102" i="1"/>
  <c r="F104" i="1"/>
  <c r="E19" i="8"/>
  <c r="D98" i="1"/>
  <c r="D102" i="1"/>
  <c r="D9" i="6"/>
  <c r="D104" i="1"/>
  <c r="C19" i="8"/>
  <c r="E102" i="1"/>
  <c r="E9" i="6"/>
  <c r="E104" i="1"/>
  <c r="D19" i="8"/>
  <c r="G14" i="8"/>
  <c r="F98" i="1"/>
  <c r="E98" i="1"/>
  <c r="G98" i="1"/>
  <c r="H98" i="1"/>
  <c r="D72" i="1"/>
  <c r="D97" i="1" s="1"/>
  <c r="E72" i="1"/>
  <c r="E97" i="1" s="1"/>
  <c r="C72" i="1"/>
  <c r="C77" i="1" s="1"/>
  <c r="G72" i="1"/>
  <c r="G97" i="1" s="1"/>
  <c r="F72" i="1"/>
  <c r="F97" i="1" s="1"/>
  <c r="S48" i="3"/>
  <c r="S51" i="3" s="1"/>
  <c r="Q77" i="1"/>
  <c r="O77" i="1"/>
  <c r="J77" i="1"/>
  <c r="R77" i="1"/>
  <c r="I77" i="1"/>
  <c r="K77" i="1"/>
  <c r="M77" i="1"/>
  <c r="H77" i="1"/>
  <c r="S77" i="1"/>
  <c r="S92" i="1" s="1"/>
  <c r="S8" i="11" s="1"/>
  <c r="L77" i="1"/>
  <c r="N77" i="1"/>
  <c r="U76" i="1" l="1"/>
  <c r="V98" i="1"/>
  <c r="V18" i="2"/>
  <c r="V26" i="2"/>
  <c r="V31" i="2"/>
  <c r="V19" i="2"/>
  <c r="V27" i="2"/>
  <c r="V17" i="2"/>
  <c r="V15" i="2"/>
  <c r="V32" i="2"/>
  <c r="V24" i="2"/>
  <c r="V28" i="2"/>
  <c r="V16" i="2"/>
  <c r="V13" i="2"/>
  <c r="V14" i="2" s="1"/>
  <c r="AB110" i="1"/>
  <c r="AF110" i="1"/>
  <c r="AQ48" i="3"/>
  <c r="AQ51" i="3" s="1"/>
  <c r="X110" i="1"/>
  <c r="AO110" i="1"/>
  <c r="U110" i="1"/>
  <c r="AK110" i="1"/>
  <c r="AG110" i="1"/>
  <c r="AC110" i="1"/>
  <c r="Y110" i="1"/>
  <c r="AP11" i="6"/>
  <c r="AP13" i="3" s="1"/>
  <c r="AP21" i="3" s="1"/>
  <c r="AP48" i="3" s="1"/>
  <c r="AP51" i="3" s="1"/>
  <c r="AP90" i="1"/>
  <c r="P77" i="1"/>
  <c r="P92" i="1" s="1"/>
  <c r="P8" i="11" s="1"/>
  <c r="P97" i="1"/>
  <c r="AJ110" i="1"/>
  <c r="T9" i="8"/>
  <c r="T10" i="8"/>
  <c r="U72" i="1"/>
  <c r="U97" i="1" s="1"/>
  <c r="AL11" i="6"/>
  <c r="AL13" i="3" s="1"/>
  <c r="AL21" i="3" s="1"/>
  <c r="AL48" i="3" s="1"/>
  <c r="AL51" i="3" s="1"/>
  <c r="AL90" i="1"/>
  <c r="AN9" i="6"/>
  <c r="AN8" i="6" s="1"/>
  <c r="AN24" i="3" s="1"/>
  <c r="AN29" i="3" s="1"/>
  <c r="V8" i="6"/>
  <c r="V24" i="3" s="1"/>
  <c r="V29" i="3" s="1"/>
  <c r="AB9" i="6"/>
  <c r="V71" i="1"/>
  <c r="V74" i="1"/>
  <c r="V73" i="1"/>
  <c r="V75" i="1"/>
  <c r="Y9" i="6"/>
  <c r="U9" i="6"/>
  <c r="U8" i="6" s="1"/>
  <c r="U24" i="3" s="1"/>
  <c r="U29" i="3" s="1"/>
  <c r="AJ9" i="6"/>
  <c r="AJ8" i="6" s="1"/>
  <c r="AJ24" i="3" s="1"/>
  <c r="AJ29" i="3" s="1"/>
  <c r="AF9" i="6"/>
  <c r="V69" i="1"/>
  <c r="W8" i="1"/>
  <c r="M79" i="1"/>
  <c r="M92" i="1"/>
  <c r="M8" i="11" s="1"/>
  <c r="K79" i="1"/>
  <c r="K92" i="1"/>
  <c r="K8" i="11" s="1"/>
  <c r="I79" i="1"/>
  <c r="I92" i="1"/>
  <c r="I8" i="11" s="1"/>
  <c r="R79" i="1"/>
  <c r="R92" i="1"/>
  <c r="R8" i="11" s="1"/>
  <c r="N79" i="1"/>
  <c r="N92" i="1"/>
  <c r="N8" i="11" s="1"/>
  <c r="H79" i="1"/>
  <c r="H92" i="1"/>
  <c r="H8" i="11" s="1"/>
  <c r="Q79" i="1"/>
  <c r="Q92" i="1"/>
  <c r="Q8" i="11" s="1"/>
  <c r="J79" i="1"/>
  <c r="J92" i="1"/>
  <c r="J8" i="11" s="1"/>
  <c r="L79" i="1"/>
  <c r="L92" i="1"/>
  <c r="L8" i="11" s="1"/>
  <c r="S79" i="1"/>
  <c r="O79" i="1"/>
  <c r="O92" i="1"/>
  <c r="O8" i="11" s="1"/>
  <c r="E14" i="8"/>
  <c r="F14" i="8"/>
  <c r="B14" i="8"/>
  <c r="T19" i="8"/>
  <c r="U19" i="8"/>
  <c r="C14" i="8"/>
  <c r="D14" i="8"/>
  <c r="C81" i="1"/>
  <c r="C79" i="1"/>
  <c r="K81" i="1"/>
  <c r="R81" i="1"/>
  <c r="L81" i="1"/>
  <c r="I81" i="1"/>
  <c r="N81" i="1"/>
  <c r="J81" i="1"/>
  <c r="S81" i="1"/>
  <c r="O81" i="1"/>
  <c r="H81" i="1"/>
  <c r="Q81" i="1"/>
  <c r="M81" i="1"/>
  <c r="D77" i="1"/>
  <c r="F77" i="1"/>
  <c r="E77" i="1"/>
  <c r="C97" i="1"/>
  <c r="G77" i="1"/>
  <c r="P79" i="1" l="1"/>
  <c r="AO9" i="6"/>
  <c r="AO8" i="6" s="1"/>
  <c r="AO24" i="3" s="1"/>
  <c r="AO29" i="3" s="1"/>
  <c r="V20" i="2"/>
  <c r="W98" i="1"/>
  <c r="W18" i="2"/>
  <c r="W28" i="2"/>
  <c r="W16" i="2"/>
  <c r="W19" i="2"/>
  <c r="W17" i="2"/>
  <c r="W32" i="2"/>
  <c r="W27" i="2"/>
  <c r="W26" i="2"/>
  <c r="W31" i="2"/>
  <c r="W24" i="2"/>
  <c r="W15" i="2"/>
  <c r="W13" i="2"/>
  <c r="W10" i="2"/>
  <c r="T30" i="8"/>
  <c r="U25" i="2"/>
  <c r="U29" i="2" s="1"/>
  <c r="P81" i="1"/>
  <c r="AK9" i="6"/>
  <c r="AK8" i="6" s="1"/>
  <c r="AK24" i="3" s="1"/>
  <c r="AK29" i="3" s="1"/>
  <c r="U9" i="8"/>
  <c r="U10" i="8"/>
  <c r="V11" i="6"/>
  <c r="V13" i="3" s="1"/>
  <c r="V21" i="3" s="1"/>
  <c r="V48" i="3" s="1"/>
  <c r="V51" i="3" s="1"/>
  <c r="V90" i="1"/>
  <c r="U77" i="1"/>
  <c r="V72" i="1"/>
  <c r="V97" i="1" s="1"/>
  <c r="AO90" i="1"/>
  <c r="U11" i="6"/>
  <c r="U13" i="3" s="1"/>
  <c r="U21" i="3" s="1"/>
  <c r="U48" i="3" s="1"/>
  <c r="U51" i="3" s="1"/>
  <c r="U90" i="1"/>
  <c r="AN11" i="6"/>
  <c r="AN13" i="3" s="1"/>
  <c r="AN21" i="3" s="1"/>
  <c r="AN48" i="3" s="1"/>
  <c r="AN51" i="3" s="1"/>
  <c r="AN90" i="1"/>
  <c r="AJ11" i="6"/>
  <c r="AJ13" i="3" s="1"/>
  <c r="AJ21" i="3" s="1"/>
  <c r="AJ48" i="3" s="1"/>
  <c r="AJ51" i="3" s="1"/>
  <c r="AJ90" i="1"/>
  <c r="V76" i="1"/>
  <c r="W71" i="1"/>
  <c r="W75" i="1"/>
  <c r="W72" i="1"/>
  <c r="W97" i="1" s="1"/>
  <c r="W74" i="1"/>
  <c r="W73" i="1"/>
  <c r="W8" i="6"/>
  <c r="W24" i="3" s="1"/>
  <c r="W29" i="3" s="1"/>
  <c r="AG9" i="6"/>
  <c r="AC9" i="6"/>
  <c r="X8" i="1"/>
  <c r="W69" i="1"/>
  <c r="F79" i="1"/>
  <c r="F92" i="1"/>
  <c r="F8" i="11" s="1"/>
  <c r="D79" i="1"/>
  <c r="D92" i="1"/>
  <c r="D8" i="11" s="1"/>
  <c r="E79" i="1"/>
  <c r="E92" i="1"/>
  <c r="E8" i="11" s="1"/>
  <c r="G79" i="1"/>
  <c r="G92" i="1"/>
  <c r="G8" i="11" s="1"/>
  <c r="U14" i="8"/>
  <c r="U8" i="8" s="1"/>
  <c r="T14" i="8"/>
  <c r="W19" i="8"/>
  <c r="V19" i="8"/>
  <c r="N95" i="1"/>
  <c r="N83" i="1"/>
  <c r="M83" i="1"/>
  <c r="M95" i="1"/>
  <c r="I83" i="1"/>
  <c r="I95" i="1"/>
  <c r="Q83" i="1"/>
  <c r="Q95" i="1"/>
  <c r="L83" i="1"/>
  <c r="L95" i="1"/>
  <c r="H83" i="1"/>
  <c r="H95" i="1"/>
  <c r="R83" i="1"/>
  <c r="R95" i="1"/>
  <c r="O83" i="1"/>
  <c r="O95" i="1"/>
  <c r="K83" i="1"/>
  <c r="K95" i="1"/>
  <c r="S83" i="1"/>
  <c r="S85" i="1" s="1"/>
  <c r="S86" i="1" s="1"/>
  <c r="U22" i="11" s="1"/>
  <c r="S95" i="1"/>
  <c r="P83" i="1"/>
  <c r="P95" i="1"/>
  <c r="C83" i="1"/>
  <c r="C95" i="1"/>
  <c r="J83" i="1"/>
  <c r="J95" i="1"/>
  <c r="F81" i="1"/>
  <c r="G81" i="1"/>
  <c r="E81" i="1"/>
  <c r="D81" i="1"/>
  <c r="W14" i="2" l="1"/>
  <c r="W20" i="2" s="1"/>
  <c r="AO11" i="6"/>
  <c r="AO13" i="3" s="1"/>
  <c r="AO21" i="3" s="1"/>
  <c r="AO48" i="3" s="1"/>
  <c r="AO51" i="3" s="1"/>
  <c r="X98" i="1"/>
  <c r="X28" i="2"/>
  <c r="X27" i="2"/>
  <c r="X18" i="2"/>
  <c r="X31" i="2"/>
  <c r="X24" i="2"/>
  <c r="X26" i="2"/>
  <c r="X16" i="2"/>
  <c r="X17" i="2"/>
  <c r="X19" i="2"/>
  <c r="X15" i="2"/>
  <c r="X32" i="2"/>
  <c r="X13" i="2"/>
  <c r="X10" i="2"/>
  <c r="U30" i="8"/>
  <c r="V25" i="2"/>
  <c r="V29" i="2" s="1"/>
  <c r="AK90" i="1"/>
  <c r="AK11" i="6"/>
  <c r="AK13" i="3" s="1"/>
  <c r="AK21" i="3" s="1"/>
  <c r="AK48" i="3" s="1"/>
  <c r="AK51" i="3" s="1"/>
  <c r="T8" i="8"/>
  <c r="T11" i="8"/>
  <c r="W76" i="1"/>
  <c r="W77" i="1" s="1"/>
  <c r="V9" i="8"/>
  <c r="V10" i="8"/>
  <c r="V77" i="1"/>
  <c r="U11" i="8"/>
  <c r="U29" i="8"/>
  <c r="W11" i="6"/>
  <c r="W13" i="3" s="1"/>
  <c r="W21" i="3" s="1"/>
  <c r="W48" i="3" s="1"/>
  <c r="W51" i="3" s="1"/>
  <c r="W90" i="1"/>
  <c r="D12" i="9" a="1"/>
  <c r="X71" i="1"/>
  <c r="X72" i="1" s="1"/>
  <c r="X97" i="1" s="1"/>
  <c r="X73" i="1"/>
  <c r="X75" i="1"/>
  <c r="X74" i="1"/>
  <c r="X8" i="6"/>
  <c r="X24" i="3" s="1"/>
  <c r="X29" i="3" s="1"/>
  <c r="Y8" i="1"/>
  <c r="X69" i="1"/>
  <c r="H99" i="1"/>
  <c r="H85" i="1"/>
  <c r="H86" i="1" s="1"/>
  <c r="J99" i="1"/>
  <c r="J85" i="1"/>
  <c r="J86" i="1" s="1"/>
  <c r="Q99" i="1"/>
  <c r="Q85" i="1"/>
  <c r="Q86" i="1" s="1"/>
  <c r="K99" i="1"/>
  <c r="K85" i="1"/>
  <c r="K86" i="1" s="1"/>
  <c r="O99" i="1"/>
  <c r="O85" i="1"/>
  <c r="O86" i="1" s="1"/>
  <c r="M99" i="1"/>
  <c r="M85" i="1"/>
  <c r="M86" i="1" s="1"/>
  <c r="N99" i="1"/>
  <c r="N85" i="1"/>
  <c r="N86" i="1" s="1"/>
  <c r="L99" i="1"/>
  <c r="L85" i="1"/>
  <c r="L86" i="1" s="1"/>
  <c r="C99" i="1"/>
  <c r="C85" i="1"/>
  <c r="C86" i="1" s="1"/>
  <c r="P99" i="1"/>
  <c r="P85" i="1"/>
  <c r="P86" i="1" s="1"/>
  <c r="R99" i="1"/>
  <c r="R85" i="1"/>
  <c r="R86" i="1" s="1"/>
  <c r="I99" i="1"/>
  <c r="I85" i="1"/>
  <c r="I86" i="1" s="1"/>
  <c r="Y19" i="8"/>
  <c r="Y14" i="8" s="1"/>
  <c r="S99" i="1"/>
  <c r="W14" i="8"/>
  <c r="W8" i="8" s="1"/>
  <c r="V14" i="8"/>
  <c r="V8" i="8" s="1"/>
  <c r="X19" i="8"/>
  <c r="D83" i="1"/>
  <c r="D95" i="1"/>
  <c r="E83" i="1"/>
  <c r="E95" i="1"/>
  <c r="G95" i="1"/>
  <c r="G83" i="1"/>
  <c r="F83" i="1"/>
  <c r="F95" i="1"/>
  <c r="X14" i="2" l="1"/>
  <c r="X20" i="2"/>
  <c r="U31" i="8"/>
  <c r="Y98" i="1"/>
  <c r="Y32" i="2"/>
  <c r="Y24" i="2"/>
  <c r="Y19" i="2"/>
  <c r="Y17" i="2"/>
  <c r="Y16" i="2"/>
  <c r="Y15" i="2"/>
  <c r="Y28" i="2"/>
  <c r="Y27" i="2"/>
  <c r="Y26" i="2"/>
  <c r="Y31" i="2"/>
  <c r="Y18" i="2"/>
  <c r="Y13" i="2"/>
  <c r="Y10" i="2"/>
  <c r="V30" i="8"/>
  <c r="W25" i="2"/>
  <c r="W29" i="2" s="1"/>
  <c r="T31" i="8"/>
  <c r="X11" i="6"/>
  <c r="X13" i="3" s="1"/>
  <c r="X21" i="3" s="1"/>
  <c r="X48" i="3" s="1"/>
  <c r="X51" i="3" s="1"/>
  <c r="X90" i="1"/>
  <c r="V11" i="8"/>
  <c r="V29" i="8"/>
  <c r="V31" i="8" s="1"/>
  <c r="W9" i="8"/>
  <c r="W10" i="8"/>
  <c r="Y71" i="1"/>
  <c r="Y72" i="1"/>
  <c r="Y97" i="1" s="1"/>
  <c r="Y73" i="1"/>
  <c r="Y75" i="1"/>
  <c r="Y74" i="1"/>
  <c r="Y8" i="6"/>
  <c r="Y24" i="3" s="1"/>
  <c r="Y29" i="3" s="1"/>
  <c r="D12" i="9"/>
  <c r="K14" i="9"/>
  <c r="S14" i="9"/>
  <c r="K13" i="9"/>
  <c r="S13" i="9"/>
  <c r="L14" i="9"/>
  <c r="L13" i="9"/>
  <c r="E14" i="9"/>
  <c r="M14" i="9"/>
  <c r="E13" i="9"/>
  <c r="M13" i="9"/>
  <c r="F14" i="9"/>
  <c r="N14" i="9"/>
  <c r="F13" i="9"/>
  <c r="N13" i="9"/>
  <c r="G14" i="9"/>
  <c r="O14" i="9"/>
  <c r="G13" i="9"/>
  <c r="O13" i="9"/>
  <c r="H14" i="9"/>
  <c r="P14" i="9"/>
  <c r="H13" i="9"/>
  <c r="P13" i="9"/>
  <c r="I14" i="9"/>
  <c r="Q14" i="9"/>
  <c r="I13" i="9"/>
  <c r="Q13" i="9"/>
  <c r="J14" i="9"/>
  <c r="R14" i="9"/>
  <c r="J13" i="9"/>
  <c r="R13" i="9"/>
  <c r="X76" i="1"/>
  <c r="X77" i="1" s="1"/>
  <c r="Y69" i="1"/>
  <c r="Z8" i="1"/>
  <c r="E99" i="1"/>
  <c r="E85" i="1"/>
  <c r="E86" i="1" s="1"/>
  <c r="F99" i="1"/>
  <c r="F85" i="1"/>
  <c r="F86" i="1" s="1"/>
  <c r="G99" i="1"/>
  <c r="G85" i="1"/>
  <c r="G86" i="1" s="1"/>
  <c r="D99" i="1"/>
  <c r="D85" i="1"/>
  <c r="D86" i="1" s="1"/>
  <c r="AA19" i="8"/>
  <c r="AA14" i="8" s="1"/>
  <c r="X14" i="8"/>
  <c r="X8" i="8" s="1"/>
  <c r="Z19" i="8"/>
  <c r="Y14" i="2" l="1"/>
  <c r="Y20" i="2" s="1"/>
  <c r="Z98" i="1"/>
  <c r="Z31" i="2"/>
  <c r="Z26" i="2"/>
  <c r="Z32" i="2"/>
  <c r="Z24" i="2"/>
  <c r="Z19" i="2"/>
  <c r="Z17" i="2"/>
  <c r="Z16" i="2"/>
  <c r="Z15" i="2"/>
  <c r="Z28" i="2"/>
  <c r="Z27" i="2"/>
  <c r="Z18" i="2"/>
  <c r="Z13" i="2"/>
  <c r="Z10" i="2"/>
  <c r="Z14" i="2" s="1"/>
  <c r="W30" i="8"/>
  <c r="X25" i="2"/>
  <c r="X29" i="2" s="1"/>
  <c r="W11" i="8"/>
  <c r="W29" i="8"/>
  <c r="X9" i="8"/>
  <c r="X10" i="8"/>
  <c r="Y11" i="6"/>
  <c r="Y13" i="3" s="1"/>
  <c r="Y21" i="3" s="1"/>
  <c r="Y48" i="3" s="1"/>
  <c r="Y51" i="3" s="1"/>
  <c r="Y90" i="1"/>
  <c r="Y8" i="8"/>
  <c r="Y76" i="1"/>
  <c r="Y77" i="1" s="1"/>
  <c r="Z71" i="1"/>
  <c r="Z75" i="1"/>
  <c r="Z72" i="1"/>
  <c r="Z97" i="1" s="1"/>
  <c r="Z74" i="1"/>
  <c r="Z73" i="1"/>
  <c r="Z76" i="1" s="1"/>
  <c r="Z8" i="6"/>
  <c r="Z24" i="3" s="1"/>
  <c r="Z29" i="3" s="1"/>
  <c r="D14" i="9"/>
  <c r="D13" i="9"/>
  <c r="AA8" i="1"/>
  <c r="Z69" i="1"/>
  <c r="AC19" i="8"/>
  <c r="AC14" i="8" s="1"/>
  <c r="Z14" i="8"/>
  <c r="Z8" i="8" s="1"/>
  <c r="AB19" i="8"/>
  <c r="AB14" i="8" s="1"/>
  <c r="Z20" i="2" l="1"/>
  <c r="AA98" i="1"/>
  <c r="AA18" i="2"/>
  <c r="AA31" i="2"/>
  <c r="AA26" i="2"/>
  <c r="AA32" i="2"/>
  <c r="AA24" i="2"/>
  <c r="AA19" i="2"/>
  <c r="AA17" i="2"/>
  <c r="AA16" i="2"/>
  <c r="AA15" i="2"/>
  <c r="AA28" i="2"/>
  <c r="AA27" i="2"/>
  <c r="AA13" i="2"/>
  <c r="AA10" i="2"/>
  <c r="AA14" i="2" s="1"/>
  <c r="X30" i="8"/>
  <c r="Y25" i="2"/>
  <c r="Y29" i="2" s="1"/>
  <c r="X11" i="8"/>
  <c r="Z11" i="6"/>
  <c r="Z13" i="3" s="1"/>
  <c r="Z21" i="3" s="1"/>
  <c r="Z48" i="3" s="1"/>
  <c r="Z51" i="3" s="1"/>
  <c r="Z90" i="1"/>
  <c r="W31" i="8"/>
  <c r="Y9" i="8"/>
  <c r="Y10" i="8"/>
  <c r="X29" i="8"/>
  <c r="X31" i="8" s="1"/>
  <c r="Z77" i="1"/>
  <c r="AA71" i="1"/>
  <c r="AA73" i="1"/>
  <c r="AA72" i="1"/>
  <c r="AA97" i="1" s="1"/>
  <c r="AA75" i="1"/>
  <c r="AA74" i="1"/>
  <c r="AA8" i="6"/>
  <c r="AA24" i="3" s="1"/>
  <c r="AA29" i="3" s="1"/>
  <c r="AB8" i="1"/>
  <c r="AA69" i="1"/>
  <c r="AD19" i="8"/>
  <c r="AE19" i="8"/>
  <c r="AE14" i="8" s="1"/>
  <c r="AB17" i="2" l="1"/>
  <c r="AB15" i="2"/>
  <c r="AB18" i="2"/>
  <c r="AB31" i="2"/>
  <c r="AB26" i="2"/>
  <c r="AB28" i="2"/>
  <c r="AB32" i="2"/>
  <c r="AB24" i="2"/>
  <c r="AB19" i="2"/>
  <c r="AB16" i="2"/>
  <c r="AB27" i="2"/>
  <c r="AB13" i="2"/>
  <c r="AB10" i="2"/>
  <c r="AB14" i="2" s="1"/>
  <c r="AB20" i="2" s="1"/>
  <c r="AA20" i="2"/>
  <c r="Y30" i="8"/>
  <c r="Z25" i="2"/>
  <c r="Z29" i="2" s="1"/>
  <c r="Y11" i="8"/>
  <c r="Y29" i="8"/>
  <c r="Z9" i="8"/>
  <c r="Z10" i="8"/>
  <c r="AB98" i="1"/>
  <c r="AA8" i="8"/>
  <c r="AA11" i="6"/>
  <c r="AA13" i="3" s="1"/>
  <c r="AA21" i="3" s="1"/>
  <c r="AA48" i="3" s="1"/>
  <c r="AA51" i="3" s="1"/>
  <c r="AA90" i="1"/>
  <c r="AA76" i="1"/>
  <c r="AA77" i="1" s="1"/>
  <c r="AB71" i="1"/>
  <c r="AB73" i="1"/>
  <c r="AB74" i="1"/>
  <c r="AB75" i="1"/>
  <c r="AB8" i="6"/>
  <c r="AB24" i="3" s="1"/>
  <c r="AB29" i="3" s="1"/>
  <c r="AC8" i="1"/>
  <c r="AD14" i="8"/>
  <c r="AF19" i="8"/>
  <c r="AG19" i="8"/>
  <c r="Y31" i="8" l="1"/>
  <c r="AC18" i="2"/>
  <c r="AC31" i="2"/>
  <c r="AC26" i="2"/>
  <c r="AC32" i="2"/>
  <c r="AC24" i="2"/>
  <c r="AC28" i="2"/>
  <c r="AC27" i="2"/>
  <c r="AC19" i="2"/>
  <c r="AC17" i="2"/>
  <c r="AC16" i="2"/>
  <c r="AC15" i="2"/>
  <c r="AC13" i="2"/>
  <c r="AC10" i="2"/>
  <c r="Z30" i="8"/>
  <c r="AA25" i="2"/>
  <c r="AA29" i="2" s="1"/>
  <c r="AB11" i="6"/>
  <c r="AB13" i="3" s="1"/>
  <c r="AB21" i="3" s="1"/>
  <c r="AB48" i="3" s="1"/>
  <c r="AB51" i="3" s="1"/>
  <c r="AB90" i="1"/>
  <c r="AA9" i="8"/>
  <c r="AA10" i="8"/>
  <c r="AC98" i="1"/>
  <c r="AB8" i="8"/>
  <c r="AB72" i="1"/>
  <c r="AB97" i="1" s="1"/>
  <c r="Z11" i="8"/>
  <c r="Z29" i="8"/>
  <c r="AB76" i="1"/>
  <c r="AC71" i="1"/>
  <c r="AC74" i="1"/>
  <c r="AC75" i="1"/>
  <c r="AC73" i="1"/>
  <c r="AC76" i="1" s="1"/>
  <c r="AC8" i="6"/>
  <c r="AC24" i="3" s="1"/>
  <c r="AC29" i="3" s="1"/>
  <c r="AD8" i="1"/>
  <c r="AG14" i="8"/>
  <c r="AI19" i="8"/>
  <c r="AF14" i="8"/>
  <c r="AH19" i="8"/>
  <c r="AD26" i="2" l="1"/>
  <c r="AD18" i="2"/>
  <c r="AD31" i="2"/>
  <c r="AD32" i="2"/>
  <c r="AD15" i="2"/>
  <c r="AD24" i="2"/>
  <c r="AD16" i="2"/>
  <c r="AD27" i="2"/>
  <c r="AD19" i="2"/>
  <c r="AD28" i="2"/>
  <c r="AD17" i="2"/>
  <c r="AD13" i="2"/>
  <c r="AD10" i="2"/>
  <c r="AD14" i="2" s="1"/>
  <c r="AC14" i="2"/>
  <c r="AC20" i="2"/>
  <c r="AA30" i="8"/>
  <c r="AB25" i="2"/>
  <c r="AB29" i="2" s="1"/>
  <c r="AA11" i="8"/>
  <c r="Z31" i="8"/>
  <c r="AB9" i="8"/>
  <c r="AB29" i="8" s="1"/>
  <c r="AB10" i="8"/>
  <c r="AD98" i="1"/>
  <c r="AC8" i="8"/>
  <c r="AB77" i="1"/>
  <c r="AC11" i="6"/>
  <c r="AC13" i="3" s="1"/>
  <c r="AC21" i="3" s="1"/>
  <c r="AC48" i="3" s="1"/>
  <c r="AC51" i="3" s="1"/>
  <c r="AC90" i="1"/>
  <c r="AA29" i="8"/>
  <c r="AC72" i="1"/>
  <c r="AD71" i="1"/>
  <c r="AD72" i="1"/>
  <c r="AD97" i="1" s="1"/>
  <c r="AD74" i="1"/>
  <c r="AD73" i="1"/>
  <c r="AD75" i="1"/>
  <c r="AD8" i="6"/>
  <c r="AD24" i="3" s="1"/>
  <c r="AD29" i="3" s="1"/>
  <c r="AE8" i="1"/>
  <c r="AH14" i="8"/>
  <c r="AH8" i="8" s="1"/>
  <c r="AJ19" i="8"/>
  <c r="AI14" i="8"/>
  <c r="AI8" i="8" s="1"/>
  <c r="AK19" i="8"/>
  <c r="AE18" i="2" l="1"/>
  <c r="AE27" i="2"/>
  <c r="AE32" i="2"/>
  <c r="AE15" i="2"/>
  <c r="AE31" i="2"/>
  <c r="AE24" i="2"/>
  <c r="AE28" i="2"/>
  <c r="AE19" i="2"/>
  <c r="AE17" i="2"/>
  <c r="AE16" i="2"/>
  <c r="AE26" i="2"/>
  <c r="AE13" i="2"/>
  <c r="AE10" i="2"/>
  <c r="AE14" i="2" s="1"/>
  <c r="AA31" i="8"/>
  <c r="AD20" i="2"/>
  <c r="AB30" i="8"/>
  <c r="AB31" i="8" s="1"/>
  <c r="AC25" i="2"/>
  <c r="AC29" i="2" s="1"/>
  <c r="AB11" i="8"/>
  <c r="AI11" i="8"/>
  <c r="AI29" i="8"/>
  <c r="AI31" i="8" s="1"/>
  <c r="AE98" i="1"/>
  <c r="AD8" i="8"/>
  <c r="AC77" i="1"/>
  <c r="AC97" i="1"/>
  <c r="AH11" i="8"/>
  <c r="AH29" i="8"/>
  <c r="AH31" i="8" s="1"/>
  <c r="AD11" i="6"/>
  <c r="AD13" i="3" s="1"/>
  <c r="AD21" i="3" s="1"/>
  <c r="AD48" i="3" s="1"/>
  <c r="AD51" i="3" s="1"/>
  <c r="AD90" i="1"/>
  <c r="AC9" i="8"/>
  <c r="AC29" i="8" s="1"/>
  <c r="AC10" i="8"/>
  <c r="AD76" i="1"/>
  <c r="AD77" i="1" s="1"/>
  <c r="AE71" i="1"/>
  <c r="AE75" i="1"/>
  <c r="AE74" i="1"/>
  <c r="AE73" i="1"/>
  <c r="AE76" i="1" s="1"/>
  <c r="AE8" i="6"/>
  <c r="AE24" i="3" s="1"/>
  <c r="AE29" i="3" s="1"/>
  <c r="AF8" i="1"/>
  <c r="AE69" i="1"/>
  <c r="AK14" i="8"/>
  <c r="AK8" i="8" s="1"/>
  <c r="AM19" i="8"/>
  <c r="AJ14" i="8"/>
  <c r="AJ8" i="8" s="1"/>
  <c r="AL19" i="8"/>
  <c r="AF28" i="2" l="1"/>
  <c r="AF27" i="2"/>
  <c r="AF17" i="2"/>
  <c r="AF24" i="2"/>
  <c r="AF16" i="2"/>
  <c r="AF19" i="2"/>
  <c r="AF18" i="2"/>
  <c r="AF32" i="2"/>
  <c r="AF15" i="2"/>
  <c r="AF31" i="2"/>
  <c r="AF26" i="2"/>
  <c r="AF13" i="2"/>
  <c r="AF10" i="2"/>
  <c r="AF14" i="2" s="1"/>
  <c r="AE20" i="2"/>
  <c r="AC30" i="8"/>
  <c r="AC31" i="8" s="1"/>
  <c r="AD25" i="2"/>
  <c r="AD29" i="2" s="1"/>
  <c r="AD9" i="8"/>
  <c r="AD29" i="8" s="1"/>
  <c r="AD10" i="8"/>
  <c r="AF98" i="1"/>
  <c r="AE8" i="8"/>
  <c r="AC11" i="8"/>
  <c r="AE72" i="1"/>
  <c r="AE97" i="1" s="1"/>
  <c r="AK11" i="8"/>
  <c r="AK29" i="8"/>
  <c r="AK31" i="8" s="1"/>
  <c r="AJ11" i="8"/>
  <c r="AJ29" i="8"/>
  <c r="AJ31" i="8" s="1"/>
  <c r="AE11" i="6"/>
  <c r="AE13" i="3" s="1"/>
  <c r="AE21" i="3" s="1"/>
  <c r="AE48" i="3" s="1"/>
  <c r="AE51" i="3" s="1"/>
  <c r="AE90" i="1"/>
  <c r="AF71" i="1"/>
  <c r="AF75" i="1"/>
  <c r="AF73" i="1"/>
  <c r="AF74" i="1"/>
  <c r="AF8" i="6"/>
  <c r="AF24" i="3" s="1"/>
  <c r="AF29" i="3" s="1"/>
  <c r="AG8" i="1"/>
  <c r="AL14" i="8"/>
  <c r="AL8" i="8" s="1"/>
  <c r="AN19" i="8"/>
  <c r="AM14" i="8"/>
  <c r="AM8" i="8" s="1"/>
  <c r="AO19" i="8"/>
  <c r="AO14" i="8" s="1"/>
  <c r="AO8" i="8" s="1"/>
  <c r="AF20" i="2" l="1"/>
  <c r="AG32" i="2"/>
  <c r="AG24" i="2"/>
  <c r="AG19" i="2"/>
  <c r="AG17" i="2"/>
  <c r="AG16" i="2"/>
  <c r="AG15" i="2"/>
  <c r="AG28" i="2"/>
  <c r="AG27" i="2"/>
  <c r="AG31" i="2"/>
  <c r="AG18" i="2"/>
  <c r="AG26" i="2"/>
  <c r="AG13" i="2"/>
  <c r="AG10" i="2"/>
  <c r="AG14" i="2" s="1"/>
  <c r="AD30" i="8"/>
  <c r="AD31" i="8" s="1"/>
  <c r="AE25" i="2"/>
  <c r="AE29" i="2" s="1"/>
  <c r="AE77" i="1"/>
  <c r="AD11" i="8"/>
  <c r="AG98" i="1"/>
  <c r="AF8" i="8"/>
  <c r="AF11" i="6"/>
  <c r="AF13" i="3" s="1"/>
  <c r="AF21" i="3" s="1"/>
  <c r="AF48" i="3" s="1"/>
  <c r="AF51" i="3" s="1"/>
  <c r="AF90" i="1"/>
  <c r="AL11" i="8"/>
  <c r="AL29" i="8"/>
  <c r="AL31" i="8" s="1"/>
  <c r="AO11" i="8"/>
  <c r="AO29" i="8"/>
  <c r="AO31" i="8" s="1"/>
  <c r="AM11" i="8"/>
  <c r="AM29" i="8"/>
  <c r="AM31" i="8" s="1"/>
  <c r="AE9" i="8"/>
  <c r="AE29" i="8" s="1"/>
  <c r="AE10" i="8"/>
  <c r="AF72" i="1"/>
  <c r="AF97" i="1" s="1"/>
  <c r="AF76" i="1"/>
  <c r="AG71" i="1"/>
  <c r="AG73" i="1"/>
  <c r="AG75" i="1"/>
  <c r="AG74" i="1"/>
  <c r="AG8" i="6"/>
  <c r="AG24" i="3" s="1"/>
  <c r="AG29" i="3" s="1"/>
  <c r="AH8" i="1"/>
  <c r="AN14" i="8"/>
  <c r="AN8" i="8" s="1"/>
  <c r="AP19" i="8"/>
  <c r="AP14" i="8" s="1"/>
  <c r="AP8" i="8" s="1"/>
  <c r="Z9" i="1"/>
  <c r="V9" i="1"/>
  <c r="X9" i="1"/>
  <c r="AG20" i="2" l="1"/>
  <c r="AH31" i="2"/>
  <c r="AH26" i="2"/>
  <c r="AH32" i="2"/>
  <c r="AH24" i="2"/>
  <c r="AH19" i="2"/>
  <c r="AH17" i="2"/>
  <c r="AH16" i="2"/>
  <c r="AH15" i="2"/>
  <c r="AH28" i="2"/>
  <c r="AH27" i="2"/>
  <c r="AH18" i="2"/>
  <c r="AH13" i="2"/>
  <c r="AH10" i="2"/>
  <c r="AE30" i="8"/>
  <c r="AE31" i="8" s="1"/>
  <c r="AF25" i="2"/>
  <c r="AF29" i="2" s="1"/>
  <c r="AF77" i="1"/>
  <c r="AE11" i="8"/>
  <c r="AH98" i="1"/>
  <c r="AI98" i="1"/>
  <c r="AG8" i="8"/>
  <c r="AP11" i="8"/>
  <c r="AP29" i="8"/>
  <c r="AP31" i="8" s="1"/>
  <c r="AF9" i="8"/>
  <c r="AF10" i="8"/>
  <c r="AG11" i="6"/>
  <c r="AG13" i="3" s="1"/>
  <c r="AG21" i="3" s="1"/>
  <c r="AG48" i="3" s="1"/>
  <c r="AG51" i="3" s="1"/>
  <c r="AG90" i="1"/>
  <c r="AN11" i="8"/>
  <c r="AN29" i="8"/>
  <c r="AN31" i="8" s="1"/>
  <c r="AG72" i="1"/>
  <c r="AG97" i="1" s="1"/>
  <c r="AG76" i="1"/>
  <c r="AH71" i="1"/>
  <c r="AH74" i="1"/>
  <c r="AH75" i="1"/>
  <c r="AH73" i="1"/>
  <c r="AH8" i="6"/>
  <c r="AH24" i="3" s="1"/>
  <c r="AH29" i="3" s="1"/>
  <c r="W9" i="1"/>
  <c r="AH14" i="2" l="1"/>
  <c r="AH20" i="2" s="1"/>
  <c r="AF30" i="8"/>
  <c r="AG25" i="2"/>
  <c r="AG29" i="2" s="1"/>
  <c r="AF11" i="8"/>
  <c r="AG9" i="8"/>
  <c r="AG29" i="8" s="1"/>
  <c r="AG10" i="8"/>
  <c r="AF29" i="8"/>
  <c r="AF31" i="8" s="1"/>
  <c r="AG77" i="1"/>
  <c r="AH76" i="1"/>
  <c r="AH11" i="6"/>
  <c r="AH90" i="1"/>
  <c r="AH72" i="1"/>
  <c r="AH97" i="1" s="1"/>
  <c r="Y9" i="1"/>
  <c r="AH77" i="1" l="1"/>
  <c r="AG30" i="8"/>
  <c r="AH25" i="2"/>
  <c r="AH29" i="2" s="1"/>
  <c r="U78" i="1" a="1"/>
  <c r="AL89" i="1" s="1"/>
  <c r="AH13" i="3"/>
  <c r="AH21" i="3" s="1"/>
  <c r="AH48" i="3" s="1"/>
  <c r="AH51" i="3" s="1"/>
  <c r="AG31" i="8"/>
  <c r="AG11" i="8"/>
  <c r="U113" i="1" a="1"/>
  <c r="AD91" i="1" s="1"/>
  <c r="AB51" i="1"/>
  <c r="AD51" i="1"/>
  <c r="AA9" i="1"/>
  <c r="AC51" i="1"/>
  <c r="AM89" i="1" l="1"/>
  <c r="AN89" i="1"/>
  <c r="W89" i="1"/>
  <c r="AP89" i="1"/>
  <c r="AI79" i="1"/>
  <c r="V79" i="1"/>
  <c r="AJ79" i="1"/>
  <c r="AQ79" i="1"/>
  <c r="AK89" i="1"/>
  <c r="AB79" i="1"/>
  <c r="AA79" i="1"/>
  <c r="AM79" i="1"/>
  <c r="X89" i="1"/>
  <c r="AA89" i="1"/>
  <c r="AF79" i="1"/>
  <c r="AO79" i="1"/>
  <c r="AK79" i="1"/>
  <c r="Z89" i="1"/>
  <c r="AQ89" i="1"/>
  <c r="Z79" i="1"/>
  <c r="AD79" i="1"/>
  <c r="AN79" i="1"/>
  <c r="AC79" i="1"/>
  <c r="V89" i="1"/>
  <c r="W79" i="1"/>
  <c r="AP79" i="1"/>
  <c r="AG79" i="1"/>
  <c r="AH79" i="1"/>
  <c r="AE79" i="1"/>
  <c r="Y89" i="1"/>
  <c r="Y79" i="1"/>
  <c r="AC89" i="1"/>
  <c r="AD89" i="1"/>
  <c r="AD92" i="1" s="1"/>
  <c r="AG89" i="1"/>
  <c r="AI89" i="1"/>
  <c r="AF89" i="1"/>
  <c r="AE89" i="1"/>
  <c r="AB89" i="1"/>
  <c r="X79" i="1"/>
  <c r="AL79" i="1"/>
  <c r="AH89" i="1"/>
  <c r="AO89" i="1"/>
  <c r="AJ89" i="1"/>
  <c r="U78" i="1"/>
  <c r="U79" i="1" s="1"/>
  <c r="X91" i="1"/>
  <c r="AF91" i="1"/>
  <c r="AF92" i="1" s="1"/>
  <c r="AM91" i="1"/>
  <c r="AM92" i="1" s="1"/>
  <c r="AA91" i="1"/>
  <c r="V91" i="1"/>
  <c r="AI91" i="1"/>
  <c r="U91" i="1"/>
  <c r="AP91" i="1"/>
  <c r="AP92" i="1" s="1"/>
  <c r="AK91" i="1"/>
  <c r="AH91" i="1"/>
  <c r="AC91" i="1"/>
  <c r="Z91" i="1"/>
  <c r="Z92" i="1" s="1"/>
  <c r="AN91" i="1"/>
  <c r="AJ91" i="1"/>
  <c r="AO91" i="1"/>
  <c r="AO92" i="1" s="1"/>
  <c r="AB91" i="1"/>
  <c r="AE91" i="1"/>
  <c r="AE92" i="1" s="1"/>
  <c r="W91" i="1"/>
  <c r="W92" i="1" s="1"/>
  <c r="AG91" i="1"/>
  <c r="AL91" i="1"/>
  <c r="AL92" i="1" s="1"/>
  <c r="U113" i="1"/>
  <c r="AQ91" i="1"/>
  <c r="Y91" i="1"/>
  <c r="U89" i="1"/>
  <c r="X92" i="1"/>
  <c r="X8" i="11" s="1"/>
  <c r="X11" i="11" s="1"/>
  <c r="AD9" i="1"/>
  <c r="AD69" i="1"/>
  <c r="AM51" i="1"/>
  <c r="AO51" i="1"/>
  <c r="AL51" i="1"/>
  <c r="AH51" i="1"/>
  <c r="AK51" i="1"/>
  <c r="AJ51" i="1"/>
  <c r="AQ51" i="1"/>
  <c r="AP51" i="1"/>
  <c r="AN51" i="1"/>
  <c r="AF51" i="1"/>
  <c r="AI51" i="1"/>
  <c r="AG51" i="1"/>
  <c r="AB69" i="1"/>
  <c r="AC9" i="1"/>
  <c r="AC69" i="1"/>
  <c r="AB9" i="1"/>
  <c r="Z12" i="9" l="1"/>
  <c r="Z8" i="11"/>
  <c r="Z11" i="11" s="1"/>
  <c r="AF12" i="9"/>
  <c r="AF13" i="9" s="1"/>
  <c r="AF8" i="11"/>
  <c r="AF11" i="11" s="1"/>
  <c r="AE12" i="9"/>
  <c r="AE13" i="9" s="1"/>
  <c r="AE8" i="11"/>
  <c r="AE11" i="11" s="1"/>
  <c r="AP12" i="9"/>
  <c r="AP14" i="9" s="1"/>
  <c r="AP8" i="11"/>
  <c r="AP11" i="11" s="1"/>
  <c r="AO12" i="9"/>
  <c r="AO13" i="9" s="1"/>
  <c r="AO8" i="11"/>
  <c r="AO11" i="11" s="1"/>
  <c r="AL12" i="9"/>
  <c r="AL14" i="9" s="1"/>
  <c r="AL8" i="11"/>
  <c r="AL11" i="11" s="1"/>
  <c r="AM12" i="9"/>
  <c r="AM14" i="9" s="1"/>
  <c r="AM8" i="11"/>
  <c r="AM11" i="11" s="1"/>
  <c r="W12" i="9"/>
  <c r="W14" i="9" s="1"/>
  <c r="W8" i="11"/>
  <c r="W11" i="11" s="1"/>
  <c r="AN92" i="1"/>
  <c r="AD12" i="9"/>
  <c r="AD13" i="9" s="1"/>
  <c r="AD8" i="11"/>
  <c r="AD11" i="11" s="1"/>
  <c r="AK92" i="1"/>
  <c r="AH92" i="1"/>
  <c r="AC92" i="1"/>
  <c r="AQ92" i="1"/>
  <c r="AA92" i="1"/>
  <c r="Y92" i="1"/>
  <c r="Y8" i="11" s="1"/>
  <c r="Y11" i="11" s="1"/>
  <c r="AJ92" i="1"/>
  <c r="V92" i="1"/>
  <c r="AI92" i="1"/>
  <c r="AB92" i="1"/>
  <c r="AG92" i="1"/>
  <c r="AO14" i="9"/>
  <c r="Z14" i="9"/>
  <c r="Z13" i="9"/>
  <c r="U92" i="1"/>
  <c r="AG9" i="1"/>
  <c r="AG69" i="1"/>
  <c r="AH9" i="1"/>
  <c r="AH69" i="1"/>
  <c r="AL69" i="1"/>
  <c r="AL9" i="1"/>
  <c r="AF9" i="1"/>
  <c r="AF69" i="1"/>
  <c r="AO69" i="1"/>
  <c r="AO9" i="1"/>
  <c r="AK69" i="1"/>
  <c r="AK9" i="1"/>
  <c r="AI69" i="1"/>
  <c r="AI9" i="1"/>
  <c r="AN69" i="1"/>
  <c r="AN9" i="1"/>
  <c r="AM69" i="1"/>
  <c r="AM9" i="1"/>
  <c r="AP69" i="1"/>
  <c r="AP9" i="1"/>
  <c r="AQ69" i="1"/>
  <c r="AQ9" i="1"/>
  <c r="AJ69" i="1"/>
  <c r="AJ9" i="1"/>
  <c r="AL13" i="9" l="1"/>
  <c r="AF14" i="9"/>
  <c r="AD14" i="9"/>
  <c r="AP13" i="9"/>
  <c r="W13" i="9"/>
  <c r="AG12" i="9"/>
  <c r="AG14" i="9" s="1"/>
  <c r="AG8" i="11"/>
  <c r="AG11" i="11" s="1"/>
  <c r="AT9" i="1"/>
  <c r="U8" i="11"/>
  <c r="AH12" i="9"/>
  <c r="AH8" i="11"/>
  <c r="AH11" i="11" s="1"/>
  <c r="AK12" i="9"/>
  <c r="AK8" i="11"/>
  <c r="AK11" i="11" s="1"/>
  <c r="V12" i="9"/>
  <c r="V13" i="9" s="1"/>
  <c r="V8" i="11"/>
  <c r="V11" i="11" s="1"/>
  <c r="AA12" i="9"/>
  <c r="AA13" i="9" s="1"/>
  <c r="AA8" i="11"/>
  <c r="AA11" i="11" s="1"/>
  <c r="AT12" i="1"/>
  <c r="AT13" i="1" s="1"/>
  <c r="AQ8" i="11"/>
  <c r="AB12" i="9"/>
  <c r="AB13" i="9" s="1"/>
  <c r="AB8" i="11"/>
  <c r="AB11" i="11" s="1"/>
  <c r="AE14" i="9"/>
  <c r="AM13" i="9"/>
  <c r="AJ12" i="9"/>
  <c r="AJ13" i="9" s="1"/>
  <c r="AJ8" i="11"/>
  <c r="AJ11" i="11" s="1"/>
  <c r="AC12" i="9"/>
  <c r="AC8" i="11"/>
  <c r="AC11" i="11" s="1"/>
  <c r="AI12" i="9"/>
  <c r="AI8" i="11"/>
  <c r="AI11" i="11" s="1"/>
  <c r="AN12" i="9"/>
  <c r="AN8" i="11"/>
  <c r="AN11" i="11" s="1"/>
  <c r="AA14" i="9"/>
  <c r="AQ12" i="9"/>
  <c r="AQ13" i="9" s="1"/>
  <c r="U12" i="9"/>
  <c r="U13" i="9" s="1"/>
  <c r="AG13" i="9" l="1"/>
  <c r="AB14" i="9"/>
  <c r="V14" i="9"/>
  <c r="AH13" i="9"/>
  <c r="AH14" i="9"/>
  <c r="U15" i="11"/>
  <c r="U16" i="11" s="1"/>
  <c r="AQ11" i="11"/>
  <c r="AT15" i="1"/>
  <c r="AI13" i="9"/>
  <c r="AI14" i="9"/>
  <c r="AK14" i="9"/>
  <c r="AK13" i="9"/>
  <c r="AC13" i="9"/>
  <c r="AC14" i="9"/>
  <c r="U11" i="11"/>
  <c r="U14" i="11" s="1"/>
  <c r="AJ14" i="9"/>
  <c r="AN14" i="9"/>
  <c r="AN13" i="9"/>
  <c r="U14" i="9"/>
  <c r="U8" i="9" s="1"/>
  <c r="V8" i="9" s="1"/>
  <c r="AQ14" i="9"/>
  <c r="U9" i="9"/>
  <c r="U80" i="1" s="1"/>
  <c r="U106" i="1" s="1"/>
  <c r="V30" i="2" l="1"/>
  <c r="V33" i="2" s="1"/>
  <c r="V44" i="2" s="1"/>
  <c r="V22" i="2" s="1"/>
  <c r="V9" i="9"/>
  <c r="V80" i="1" s="1"/>
  <c r="V106" i="1" s="1"/>
  <c r="W8" i="9"/>
  <c r="W30" i="2" s="1"/>
  <c r="W33" i="2" s="1"/>
  <c r="W44" i="2" s="1"/>
  <c r="W22" i="2" s="1"/>
  <c r="U30" i="2"/>
  <c r="U33" i="2" s="1"/>
  <c r="U44" i="2" s="1"/>
  <c r="AT17" i="1"/>
  <c r="AT20" i="1" s="1"/>
  <c r="AS23" i="1"/>
  <c r="U17" i="11"/>
  <c r="U20" i="11" s="1"/>
  <c r="U23" i="11" s="1"/>
  <c r="U81" i="1"/>
  <c r="U82" i="1" s="1"/>
  <c r="V81" i="1" l="1"/>
  <c r="V83" i="1" s="1"/>
  <c r="W9" i="9"/>
  <c r="W80" i="1" s="1"/>
  <c r="W106" i="1" s="1"/>
  <c r="X8" i="9"/>
  <c r="X30" i="2" s="1"/>
  <c r="X33" i="2" s="1"/>
  <c r="X44" i="2" s="1"/>
  <c r="X22" i="2" s="1"/>
  <c r="U83" i="1"/>
  <c r="U99" i="1" s="1"/>
  <c r="Y8" i="9"/>
  <c r="Y30" i="2" s="1"/>
  <c r="Y33" i="2" s="1"/>
  <c r="Y44" i="2" s="1"/>
  <c r="Y22" i="2" s="1"/>
  <c r="X9" i="9"/>
  <c r="X80" i="1" s="1"/>
  <c r="W81" i="1" l="1"/>
  <c r="V82" i="1"/>
  <c r="U85" i="1"/>
  <c r="U87" i="1" s="1"/>
  <c r="X106" i="1"/>
  <c r="X81" i="1"/>
  <c r="W82" i="1"/>
  <c r="W83" i="1"/>
  <c r="Y9" i="9"/>
  <c r="Y80" i="1" s="1"/>
  <c r="Z8" i="9"/>
  <c r="Z30" i="2" s="1"/>
  <c r="Z33" i="2" s="1"/>
  <c r="Z44" i="2" s="1"/>
  <c r="Z22" i="2" s="1"/>
  <c r="V99" i="1"/>
  <c r="V85" i="1"/>
  <c r="V87" i="1" s="1"/>
  <c r="Y106" i="1" l="1"/>
  <c r="Y81" i="1"/>
  <c r="Z9" i="9"/>
  <c r="Z80" i="1" s="1"/>
  <c r="AA8" i="9"/>
  <c r="AA30" i="2" s="1"/>
  <c r="AA33" i="2" s="1"/>
  <c r="AA44" i="2" s="1"/>
  <c r="AA22" i="2" s="1"/>
  <c r="W85" i="1"/>
  <c r="W87" i="1" s="1"/>
  <c r="W99" i="1"/>
  <c r="X83" i="1"/>
  <c r="X82" i="1"/>
  <c r="X85" i="1" l="1"/>
  <c r="X87" i="1" s="1"/>
  <c r="X99" i="1"/>
  <c r="AA9" i="9"/>
  <c r="AA80" i="1" s="1"/>
  <c r="AB8" i="9"/>
  <c r="AB30" i="2" s="1"/>
  <c r="AB33" i="2" s="1"/>
  <c r="AB44" i="2" s="1"/>
  <c r="AB22" i="2" s="1"/>
  <c r="Z106" i="1"/>
  <c r="Z81" i="1"/>
  <c r="Y82" i="1"/>
  <c r="Y83" i="1"/>
  <c r="Y85" i="1" l="1"/>
  <c r="Y87" i="1" s="1"/>
  <c r="Y99" i="1"/>
  <c r="Z82" i="1"/>
  <c r="Z83" i="1"/>
  <c r="AB9" i="9"/>
  <c r="AB80" i="1" s="1"/>
  <c r="AC8" i="9"/>
  <c r="AC30" i="2" s="1"/>
  <c r="AC33" i="2" s="1"/>
  <c r="AC44" i="2" s="1"/>
  <c r="AC22" i="2" s="1"/>
  <c r="AA106" i="1"/>
  <c r="AA81" i="1"/>
  <c r="AA82" i="1" l="1"/>
  <c r="AA83" i="1"/>
  <c r="AC9" i="9"/>
  <c r="AC80" i="1" s="1"/>
  <c r="AD8" i="9"/>
  <c r="AD30" i="2" s="1"/>
  <c r="AD33" i="2" s="1"/>
  <c r="AD44" i="2" s="1"/>
  <c r="AD22" i="2" s="1"/>
  <c r="AB106" i="1"/>
  <c r="AB81" i="1"/>
  <c r="Z99" i="1"/>
  <c r="Z85" i="1"/>
  <c r="Z87" i="1" s="1"/>
  <c r="AB82" i="1" l="1"/>
  <c r="AB83" i="1"/>
  <c r="AE8" i="9"/>
  <c r="AE30" i="2" s="1"/>
  <c r="AE33" i="2" s="1"/>
  <c r="AE44" i="2" s="1"/>
  <c r="AE22" i="2" s="1"/>
  <c r="AD9" i="9"/>
  <c r="AD80" i="1" s="1"/>
  <c r="AC106" i="1"/>
  <c r="AC81" i="1"/>
  <c r="AA85" i="1"/>
  <c r="AA87" i="1" s="1"/>
  <c r="AA99" i="1"/>
  <c r="AC82" i="1" l="1"/>
  <c r="AC83" i="1"/>
  <c r="AD106" i="1"/>
  <c r="AD81" i="1"/>
  <c r="AF8" i="9"/>
  <c r="AF30" i="2" s="1"/>
  <c r="AF33" i="2" s="1"/>
  <c r="AF44" i="2" s="1"/>
  <c r="AF22" i="2" s="1"/>
  <c r="AE9" i="9"/>
  <c r="AE80" i="1" s="1"/>
  <c r="AB99" i="1"/>
  <c r="AB85" i="1"/>
  <c r="AB87" i="1" s="1"/>
  <c r="AE106" i="1" l="1"/>
  <c r="AE81" i="1"/>
  <c r="AF9" i="9"/>
  <c r="AF80" i="1" s="1"/>
  <c r="AG8" i="9"/>
  <c r="AG30" i="2" s="1"/>
  <c r="AG33" i="2" s="1"/>
  <c r="AG44" i="2" s="1"/>
  <c r="AG22" i="2" s="1"/>
  <c r="AD83" i="1"/>
  <c r="AD82" i="1"/>
  <c r="AC99" i="1"/>
  <c r="AC85" i="1"/>
  <c r="AC87" i="1" s="1"/>
  <c r="AD99" i="1" l="1"/>
  <c r="AD85" i="1"/>
  <c r="AD87" i="1" s="1"/>
  <c r="AH8" i="9"/>
  <c r="AH30" i="2" s="1"/>
  <c r="AH33" i="2" s="1"/>
  <c r="AH44" i="2" s="1"/>
  <c r="AH22" i="2" s="1"/>
  <c r="AG9" i="9"/>
  <c r="AG80" i="1" s="1"/>
  <c r="AF106" i="1"/>
  <c r="AF81" i="1"/>
  <c r="AE83" i="1"/>
  <c r="AE82" i="1"/>
  <c r="AE85" i="1" l="1"/>
  <c r="AE87" i="1" s="1"/>
  <c r="AE99" i="1"/>
  <c r="AF83" i="1"/>
  <c r="AF82" i="1"/>
  <c r="AG106" i="1"/>
  <c r="AG81" i="1"/>
  <c r="AI8" i="9"/>
  <c r="AI30" i="2" s="1"/>
  <c r="AI33" i="2" s="1"/>
  <c r="AI44" i="2" s="1"/>
  <c r="AI22" i="2" s="1"/>
  <c r="AH9" i="9"/>
  <c r="AH80" i="1" s="1"/>
  <c r="AH106" i="1" l="1"/>
  <c r="AH81" i="1"/>
  <c r="AJ8" i="9"/>
  <c r="AJ30" i="2" s="1"/>
  <c r="AJ33" i="2" s="1"/>
  <c r="AJ44" i="2" s="1"/>
  <c r="AJ22" i="2" s="1"/>
  <c r="AI9" i="9"/>
  <c r="AI80" i="1" s="1"/>
  <c r="AG83" i="1"/>
  <c r="AG82" i="1"/>
  <c r="AF99" i="1"/>
  <c r="AF85" i="1"/>
  <c r="AF87" i="1" s="1"/>
  <c r="AG85" i="1" l="1"/>
  <c r="AG87" i="1" s="1"/>
  <c r="AG99" i="1"/>
  <c r="AI106" i="1"/>
  <c r="AI81" i="1"/>
  <c r="AK8" i="9"/>
  <c r="AK30" i="2" s="1"/>
  <c r="AK33" i="2" s="1"/>
  <c r="AK44" i="2" s="1"/>
  <c r="AK22" i="2" s="1"/>
  <c r="AJ9" i="9"/>
  <c r="AJ80" i="1" s="1"/>
  <c r="AH83" i="1"/>
  <c r="AH82" i="1"/>
  <c r="AH85" i="1" l="1"/>
  <c r="AH87" i="1" s="1"/>
  <c r="AH99" i="1"/>
  <c r="AJ106" i="1"/>
  <c r="AJ81" i="1"/>
  <c r="AL8" i="9"/>
  <c r="AL30" i="2" s="1"/>
  <c r="AL33" i="2" s="1"/>
  <c r="AL44" i="2" s="1"/>
  <c r="AL22" i="2" s="1"/>
  <c r="AK9" i="9"/>
  <c r="AK80" i="1" s="1"/>
  <c r="AI83" i="1"/>
  <c r="AI82" i="1"/>
  <c r="AI85" i="1" l="1"/>
  <c r="AI87" i="1" s="1"/>
  <c r="AI99" i="1"/>
  <c r="AK106" i="1"/>
  <c r="AK81" i="1"/>
  <c r="AM8" i="9"/>
  <c r="AM30" i="2" s="1"/>
  <c r="AM33" i="2" s="1"/>
  <c r="AM44" i="2" s="1"/>
  <c r="AM22" i="2" s="1"/>
  <c r="AL9" i="9"/>
  <c r="AL80" i="1" s="1"/>
  <c r="AJ83" i="1"/>
  <c r="AJ82" i="1"/>
  <c r="AJ99" i="1" l="1"/>
  <c r="AJ85" i="1"/>
  <c r="AJ87" i="1" s="1"/>
  <c r="AL106" i="1"/>
  <c r="AL81" i="1"/>
  <c r="AN8" i="9"/>
  <c r="AN30" i="2" s="1"/>
  <c r="AN33" i="2" s="1"/>
  <c r="AN44" i="2" s="1"/>
  <c r="AN22" i="2" s="1"/>
  <c r="AM9" i="9"/>
  <c r="AM80" i="1" s="1"/>
  <c r="AK83" i="1"/>
  <c r="AK82" i="1"/>
  <c r="AK85" i="1" l="1"/>
  <c r="AK87" i="1" s="1"/>
  <c r="AK99" i="1"/>
  <c r="AM106" i="1"/>
  <c r="AM81" i="1"/>
  <c r="AO8" i="9"/>
  <c r="AO30" i="2" s="1"/>
  <c r="AO33" i="2" s="1"/>
  <c r="AO44" i="2" s="1"/>
  <c r="AO22" i="2" s="1"/>
  <c r="AN9" i="9"/>
  <c r="AN80" i="1" s="1"/>
  <c r="AL83" i="1"/>
  <c r="AL82" i="1"/>
  <c r="AL85" i="1" l="1"/>
  <c r="AL87" i="1" s="1"/>
  <c r="AL99" i="1"/>
  <c r="AP8" i="9"/>
  <c r="AP30" i="2" s="1"/>
  <c r="AP33" i="2" s="1"/>
  <c r="AP44" i="2" s="1"/>
  <c r="AP22" i="2" s="1"/>
  <c r="AO9" i="9"/>
  <c r="AO80" i="1" s="1"/>
  <c r="AM83" i="1"/>
  <c r="AM82" i="1"/>
  <c r="AN106" i="1"/>
  <c r="AN81" i="1"/>
  <c r="AN83" i="1" l="1"/>
  <c r="AN82" i="1"/>
  <c r="AM99" i="1"/>
  <c r="AM85" i="1"/>
  <c r="AM87" i="1" s="1"/>
  <c r="AO106" i="1"/>
  <c r="AO81" i="1"/>
  <c r="AQ8" i="9"/>
  <c r="AP9" i="9"/>
  <c r="AP80" i="1" s="1"/>
  <c r="AQ9" i="9" l="1"/>
  <c r="AQ80" i="1" s="1"/>
  <c r="AQ106" i="1" s="1"/>
  <c r="AQ30" i="2"/>
  <c r="AQ33" i="2" s="1"/>
  <c r="AQ44" i="2" s="1"/>
  <c r="AQ22" i="2" s="1"/>
  <c r="AP106" i="1"/>
  <c r="AP81" i="1"/>
  <c r="AO82" i="1"/>
  <c r="AO83" i="1"/>
  <c r="AN99" i="1"/>
  <c r="AN85" i="1"/>
  <c r="AN87" i="1" s="1"/>
  <c r="AQ81" i="1" l="1"/>
  <c r="AQ82" i="1" s="1"/>
  <c r="AO99" i="1"/>
  <c r="AO85" i="1"/>
  <c r="AO87" i="1" s="1"/>
  <c r="AP82" i="1"/>
  <c r="AP83" i="1"/>
  <c r="AQ83" i="1" l="1"/>
  <c r="AQ85" i="1" s="1"/>
  <c r="AQ87" i="1" s="1"/>
  <c r="AP99" i="1"/>
  <c r="AP85" i="1"/>
  <c r="AP87" i="1" s="1"/>
  <c r="AQ99" i="1"/>
  <c r="U14" i="2"/>
  <c r="U20" i="2" s="1"/>
  <c r="U22" i="2" s="1"/>
  <c r="X109" i="1" l="1"/>
  <c r="AJ109" i="1"/>
  <c r="AC109" i="1"/>
  <c r="Y109" i="1"/>
  <c r="AN109" i="1"/>
  <c r="AB109" i="1"/>
  <c r="AP109" i="1"/>
  <c r="AQ109" i="1"/>
  <c r="AI109" i="1"/>
  <c r="U109" i="1"/>
  <c r="AM109" i="1"/>
  <c r="AA109" i="1"/>
  <c r="Z109" i="1"/>
  <c r="AK109" i="1"/>
  <c r="AG109" i="1"/>
  <c r="AL109" i="1"/>
  <c r="AH109" i="1"/>
  <c r="AD109" i="1"/>
  <c r="AE109" i="1"/>
  <c r="W109" i="1"/>
  <c r="V109" i="1"/>
  <c r="AF109" i="1"/>
  <c r="AO10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<sst xmlns="http://schemas.openxmlformats.org/spreadsheetml/2006/main" count="947" uniqueCount="519">
  <si>
    <t>Merck &amp; Co.</t>
  </si>
  <si>
    <t>Sales</t>
  </si>
  <si>
    <t>SG&amp;A</t>
  </si>
  <si>
    <t>R&amp;D</t>
  </si>
  <si>
    <t>COGS</t>
  </si>
  <si>
    <t>Restructuring Costs</t>
  </si>
  <si>
    <t>Q1Y22</t>
  </si>
  <si>
    <t>Q4Y21</t>
  </si>
  <si>
    <t>Q3Y21</t>
  </si>
  <si>
    <t>Q2Y21</t>
  </si>
  <si>
    <t>Q1Y21</t>
  </si>
  <si>
    <t>Q4Y20</t>
  </si>
  <si>
    <t>Q3Y20</t>
  </si>
  <si>
    <t>Q2Y20</t>
  </si>
  <si>
    <t>Q1Y20</t>
  </si>
  <si>
    <t>Pharmaceutical</t>
  </si>
  <si>
    <t>KEYTRUDA</t>
  </si>
  <si>
    <t>LAGEVRIO</t>
  </si>
  <si>
    <t>GARDASIL / GARDASIL 9</t>
  </si>
  <si>
    <t>PROQUAD, M-M-R II and VARIVAX</t>
  </si>
  <si>
    <t>-</t>
  </si>
  <si>
    <t>BRIDION</t>
  </si>
  <si>
    <t>LYNPARZA*</t>
  </si>
  <si>
    <t>LENVIMA*</t>
  </si>
  <si>
    <t>ROTATEQ</t>
  </si>
  <si>
    <t>SIMPONI</t>
  </si>
  <si>
    <t>Animal Health</t>
  </si>
  <si>
    <t>Livestock</t>
  </si>
  <si>
    <t>Companion Animals</t>
  </si>
  <si>
    <t>Other Revenue</t>
  </si>
  <si>
    <t>Q4Y19</t>
  </si>
  <si>
    <t>Q3Y19</t>
  </si>
  <si>
    <t>Q2Y19</t>
  </si>
  <si>
    <t>Q1Y19</t>
  </si>
  <si>
    <t>Q4Y18</t>
  </si>
  <si>
    <t>Q3Y18</t>
  </si>
  <si>
    <t>Q2Y18</t>
  </si>
  <si>
    <t>Q1Y18</t>
  </si>
  <si>
    <t>MOLNUPIRAVIR</t>
  </si>
  <si>
    <t>PNEUMOVAX 23</t>
  </si>
  <si>
    <t>ISENTRESS</t>
  </si>
  <si>
    <t>Oncology</t>
  </si>
  <si>
    <t>Vaccines</t>
  </si>
  <si>
    <t>PREVIMIS</t>
  </si>
  <si>
    <t>Hospital Acute Care</t>
  </si>
  <si>
    <t>VAQTA</t>
  </si>
  <si>
    <t>NOXAFIL</t>
  </si>
  <si>
    <t>PRIMAXIN</t>
  </si>
  <si>
    <t>CANCIDAS</t>
  </si>
  <si>
    <t>INVANZ</t>
  </si>
  <si>
    <t>ZERBAXA</t>
  </si>
  <si>
    <t>Immunology</t>
  </si>
  <si>
    <t>REMICADE</t>
  </si>
  <si>
    <t>Neuroscience</t>
  </si>
  <si>
    <t>Belsomra</t>
  </si>
  <si>
    <t>Virology</t>
  </si>
  <si>
    <t>Cardiovascular</t>
  </si>
  <si>
    <t>ADEMPAS/VERQUVO</t>
  </si>
  <si>
    <t xml:space="preserve">ADEMPAS </t>
  </si>
  <si>
    <t>Diabetes</t>
  </si>
  <si>
    <t>Other Pharmaceuticals</t>
  </si>
  <si>
    <t>JANUMET</t>
  </si>
  <si>
    <t>JANUVIA</t>
  </si>
  <si>
    <t>REBLOZYL</t>
  </si>
  <si>
    <t>DIFFICID</t>
  </si>
  <si>
    <t>OPEX</t>
  </si>
  <si>
    <t>D&amp;A</t>
  </si>
  <si>
    <t>EBITDA</t>
  </si>
  <si>
    <t>ZETIA</t>
  </si>
  <si>
    <t>VYTORIN</t>
  </si>
  <si>
    <t>ATOZET</t>
  </si>
  <si>
    <t>Women's Health</t>
  </si>
  <si>
    <t>Implanon/ Nexplanon</t>
  </si>
  <si>
    <t>NuvaRing</t>
  </si>
  <si>
    <t>Diversified Brands</t>
  </si>
  <si>
    <t>Singulair</t>
  </si>
  <si>
    <t>Cozaar/ Hyzaar</t>
  </si>
  <si>
    <t>Arcoxia</t>
  </si>
  <si>
    <t>Follistim AQ</t>
  </si>
  <si>
    <t>Nasonex</t>
  </si>
  <si>
    <t>CUBICIN</t>
  </si>
  <si>
    <t>ZEPATIR</t>
  </si>
  <si>
    <t>EMEND</t>
  </si>
  <si>
    <t>TEMODAR</t>
  </si>
  <si>
    <t>Dulera</t>
  </si>
  <si>
    <t>Fosamax</t>
  </si>
  <si>
    <t>ZOSTAFAX</t>
  </si>
  <si>
    <t>Current Assets</t>
  </si>
  <si>
    <t>Cash</t>
  </si>
  <si>
    <t>Short-Term Investments</t>
  </si>
  <si>
    <t>Accounts Receivable</t>
  </si>
  <si>
    <t>Inventory</t>
  </si>
  <si>
    <t>Other CA</t>
  </si>
  <si>
    <t>Total CA</t>
  </si>
  <si>
    <t>Investments</t>
  </si>
  <si>
    <t>PPE</t>
  </si>
  <si>
    <t>Goodwill</t>
  </si>
  <si>
    <t>Other Net Intangibles</t>
  </si>
  <si>
    <t>Other Assets</t>
  </si>
  <si>
    <t>Current Liabilities</t>
  </si>
  <si>
    <t>Loans Payable</t>
  </si>
  <si>
    <t>Accounts Payable</t>
  </si>
  <si>
    <t>Other Current Liabilities</t>
  </si>
  <si>
    <t>Income Tax Payable</t>
  </si>
  <si>
    <t>Dividends Payable</t>
  </si>
  <si>
    <t>Total CL</t>
  </si>
  <si>
    <t>Long-Term Debt</t>
  </si>
  <si>
    <t>Deferred Income Tax</t>
  </si>
  <si>
    <t>Other Noncurrent Liabilities</t>
  </si>
  <si>
    <t>Stockholder's Equity</t>
  </si>
  <si>
    <t>Other Paid-In Capital</t>
  </si>
  <si>
    <t>Retained Earnings</t>
  </si>
  <si>
    <t>Accumulated Other Comphrehensive Loss</t>
  </si>
  <si>
    <t>Less Treasury Stock, at Cost</t>
  </si>
  <si>
    <t>Noncontrolling Interests</t>
  </si>
  <si>
    <t>Total Equity</t>
  </si>
  <si>
    <t>Current Assets:</t>
  </si>
  <si>
    <t>Total Assets</t>
  </si>
  <si>
    <t>Liabilities:</t>
  </si>
  <si>
    <t>Current Liabilities:</t>
  </si>
  <si>
    <t>Total Stockholders' Equity</t>
  </si>
  <si>
    <t>Total Liabilities</t>
  </si>
  <si>
    <t>Sum of Total Liabiltiies and Equity</t>
  </si>
  <si>
    <t>Net Income from Continuing Operations</t>
  </si>
  <si>
    <t>Amortization</t>
  </si>
  <si>
    <t>Depreciation</t>
  </si>
  <si>
    <t>Loss (Income) from Investments in Equity securities, net</t>
  </si>
  <si>
    <t>Deferred Income Taxes</t>
  </si>
  <si>
    <t>Share-based Compensation</t>
  </si>
  <si>
    <t>Other</t>
  </si>
  <si>
    <t>Net changes in assets and liabilities</t>
  </si>
  <si>
    <t>Net Cash Provided by Operating Activities of Continuing Ops</t>
  </si>
  <si>
    <t>CapEx</t>
  </si>
  <si>
    <t>Proceeds from Sale of securities and Other Investments</t>
  </si>
  <si>
    <t>Net Cash used in Investing Activities</t>
  </si>
  <si>
    <t>Net Change in Short-Term Borrowings</t>
  </si>
  <si>
    <t>Payments on Debt</t>
  </si>
  <si>
    <t>Dividends paid to Shareholders</t>
  </si>
  <si>
    <t>Proceeds from exercise of Stock Options</t>
  </si>
  <si>
    <t>Net Cash used in Financing Activities</t>
  </si>
  <si>
    <t>Cash from Discontinued Operations</t>
  </si>
  <si>
    <t>Net Cash provided by Operating Activities</t>
  </si>
  <si>
    <t>Net cash used in Investing Activities</t>
  </si>
  <si>
    <t>Net Cash Flows provided by Discontinued Operations</t>
  </si>
  <si>
    <t>Effect of Exchange Rate Changes on Cash, Cash Equivalents &amp;
Restricted Cash</t>
  </si>
  <si>
    <t>Cash, Cash Equivalents &amp; Restricted Cash at Beginning of Year</t>
  </si>
  <si>
    <t>Less: Cash &amp; Cash Equivalents related to discontinued Ops</t>
  </si>
  <si>
    <t>Cash, Cash Equivalents &amp; Restricted Cash at End of Period</t>
  </si>
  <si>
    <t>Cash Flows from Investing Activities:</t>
  </si>
  <si>
    <t>Cash Flows from Operating Activities of Continuing Operations:</t>
  </si>
  <si>
    <t>Cash Flows from Financing Activities:</t>
  </si>
  <si>
    <t>Intangible Impairment Charges</t>
  </si>
  <si>
    <t>Summary of Acquisitions, Net of Cash Acquired</t>
  </si>
  <si>
    <t>Proceeds from Issuance of Debt</t>
  </si>
  <si>
    <t>Distribution from Organon &amp; Co.</t>
  </si>
  <si>
    <t>Purchases of Treasury Stock</t>
  </si>
  <si>
    <t xml:space="preserve">Net Increase(Decrease) in Cash, Cash Equivalents &amp; 
Restricted Cash </t>
  </si>
  <si>
    <t>Purchases of Securities and other Investments including Seagen Inc</t>
  </si>
  <si>
    <t>Adjustments to reconcile net income from continuing operations to 
net cash provided by operating activities of continuing operations:</t>
  </si>
  <si>
    <t>Acquisition &amp; Collaboration Charges</t>
  </si>
  <si>
    <t>Capital Expenditures (CapEx)</t>
  </si>
  <si>
    <t xml:space="preserve">Capital Expenditures as a %
of Revenue </t>
  </si>
  <si>
    <t>Depreciation as a % of CapEx</t>
  </si>
  <si>
    <t>Gross Profit</t>
  </si>
  <si>
    <t>EBIT (Operating Profit)</t>
  </si>
  <si>
    <t>Gross Margin</t>
  </si>
  <si>
    <t>Taxes Paid</t>
  </si>
  <si>
    <t>EBT (Income Before Taxes)</t>
  </si>
  <si>
    <t>Other Income Expenses (I)</t>
  </si>
  <si>
    <t>Tax Rate with the tax benefits yatayata</t>
  </si>
  <si>
    <t>Corporate Tax Rate</t>
  </si>
  <si>
    <t>21%/25%/28%</t>
  </si>
  <si>
    <t xml:space="preserve">Net Profit Percentage </t>
  </si>
  <si>
    <t>Market Cap</t>
  </si>
  <si>
    <t>Shares Outstanding</t>
  </si>
  <si>
    <t>EV</t>
  </si>
  <si>
    <t>Share Price</t>
  </si>
  <si>
    <t>P/E Ratio</t>
  </si>
  <si>
    <t>Debt</t>
  </si>
  <si>
    <t>COGS as a % of Sales</t>
  </si>
  <si>
    <t>R&amp;D as a % of Sales</t>
  </si>
  <si>
    <t>SG&amp;A as a % of Sales</t>
  </si>
  <si>
    <t>Interest Income as % of Sales</t>
  </si>
  <si>
    <t>Working Capital</t>
  </si>
  <si>
    <t>Selected Case</t>
  </si>
  <si>
    <t>DSO</t>
  </si>
  <si>
    <t>DIO</t>
  </si>
  <si>
    <t>DPO</t>
  </si>
  <si>
    <t>Using Average</t>
  </si>
  <si>
    <t>Using Most Recent</t>
  </si>
  <si>
    <t>Q2Y22</t>
  </si>
  <si>
    <t>Q3Y22</t>
  </si>
  <si>
    <t>Q4Y22</t>
  </si>
  <si>
    <t>Q1Y23</t>
  </si>
  <si>
    <t>Q2Y23</t>
  </si>
  <si>
    <t>Q4Y24</t>
  </si>
  <si>
    <t>Q3Y23</t>
  </si>
  <si>
    <t>Q4Y23</t>
  </si>
  <si>
    <t>Q1Y24</t>
  </si>
  <si>
    <t>Q2Y24</t>
  </si>
  <si>
    <t>Q3Y24</t>
  </si>
  <si>
    <t>Q1Y25</t>
  </si>
  <si>
    <t>Q3Y25</t>
  </si>
  <si>
    <t>Q2Y25</t>
  </si>
  <si>
    <t>Q4Y25</t>
  </si>
  <si>
    <t>Q1Y26</t>
  </si>
  <si>
    <t>Q2Y26</t>
  </si>
  <si>
    <t>Q3Y26</t>
  </si>
  <si>
    <t>Q4Y26</t>
  </si>
  <si>
    <t>Q1Y27</t>
  </si>
  <si>
    <t>Q2Y27</t>
  </si>
  <si>
    <t>Q3Y27</t>
  </si>
  <si>
    <t>Q4Y27</t>
  </si>
  <si>
    <t>Legend:</t>
  </si>
  <si>
    <t>Case 1 = Using Average Scenario</t>
  </si>
  <si>
    <t>Case 2 = Using Most Recent
 (Q1Y22) Scenario</t>
  </si>
  <si>
    <t>EPS</t>
  </si>
  <si>
    <t>Net Income (from Continuing Ops)</t>
  </si>
  <si>
    <t>Additional Net Income from Discontinued Ops</t>
  </si>
  <si>
    <t>Total Net Income</t>
  </si>
  <si>
    <t xml:space="preserve">Plus: D&amp;A </t>
  </si>
  <si>
    <t>Less: CapEx</t>
  </si>
  <si>
    <t>Unlevered Free Cash Flow
(EBIT+D&amp;A+CapEx+WC)</t>
  </si>
  <si>
    <t>(Increase) Decrease in Working
Capital from previous year</t>
  </si>
  <si>
    <t>Q/Q Revenue Growth</t>
  </si>
  <si>
    <t>Rights</t>
  </si>
  <si>
    <t>Class</t>
  </si>
  <si>
    <t>Competition</t>
  </si>
  <si>
    <t>Admin</t>
  </si>
  <si>
    <t>Patent Expiration</t>
  </si>
  <si>
    <t>Approval Date</t>
  </si>
  <si>
    <t>Active Ingredient</t>
  </si>
  <si>
    <t>Opdivo</t>
  </si>
  <si>
    <t>Antineoplastics ((PD-1) inhibitors)</t>
  </si>
  <si>
    <t>Pembrolizumab</t>
  </si>
  <si>
    <t>Classification No.</t>
  </si>
  <si>
    <t>125514Orig1s000</t>
  </si>
  <si>
    <t>Injection</t>
  </si>
  <si>
    <t>Olaparib</t>
  </si>
  <si>
    <t>N208558, N206162</t>
  </si>
  <si>
    <t>Aug 17, 2017</t>
  </si>
  <si>
    <t>Sept 4, 2014</t>
  </si>
  <si>
    <t>PARP Inhibitor</t>
  </si>
  <si>
    <t>AstraZeneca Partnership</t>
  </si>
  <si>
    <t>Zejula</t>
  </si>
  <si>
    <t>Oral</t>
  </si>
  <si>
    <t>N206947</t>
  </si>
  <si>
    <t>Feb 13, 2015</t>
  </si>
  <si>
    <t>Eisai</t>
  </si>
  <si>
    <t>Lenvatinib Mesylate</t>
  </si>
  <si>
    <t>TK inhibitor</t>
  </si>
  <si>
    <t>Nexavar, Sutent, Inlyta</t>
  </si>
  <si>
    <t>April 3, 2020</t>
  </si>
  <si>
    <t>BLA761136</t>
  </si>
  <si>
    <t>BMS</t>
  </si>
  <si>
    <t>Erythroid maturation agent</t>
  </si>
  <si>
    <t>Addressing Issue</t>
  </si>
  <si>
    <t>Luspatercept-aamt</t>
  </si>
  <si>
    <t>anaemia</t>
  </si>
  <si>
    <t>Thyroid Cancer, Endometrial carcinoma</t>
  </si>
  <si>
    <t>TNBC</t>
  </si>
  <si>
    <t>Ovarian Cancer</t>
  </si>
  <si>
    <t>Retacrit, Revlimid</t>
  </si>
  <si>
    <t>N021029</t>
  </si>
  <si>
    <t>Temozolomide</t>
  </si>
  <si>
    <t>Aug 11, 1999</t>
  </si>
  <si>
    <t>Alkylating agent</t>
  </si>
  <si>
    <t>Brain Cancer</t>
  </si>
  <si>
    <t>Generic</t>
  </si>
  <si>
    <t>Aprepitant</t>
  </si>
  <si>
    <t>Antiemetic Agent</t>
  </si>
  <si>
    <t>N021549</t>
  </si>
  <si>
    <t>100$</t>
  </si>
  <si>
    <t xml:space="preserve">09/26/2027	</t>
  </si>
  <si>
    <t>Dexamethasone, Prochlorperazine</t>
  </si>
  <si>
    <t>Chemotherapy related Nausea &amp; Vomitting</t>
  </si>
  <si>
    <t>Mar 26, 2003</t>
  </si>
  <si>
    <t>HPV, Cervical Cancer</t>
  </si>
  <si>
    <t>4 HPV Types</t>
  </si>
  <si>
    <t>Vaccine (Viral)</t>
  </si>
  <si>
    <t>Cervarix</t>
  </si>
  <si>
    <t>MMRP</t>
  </si>
  <si>
    <t>Priorix</t>
  </si>
  <si>
    <t>Vaccine (Pneumococcal)</t>
  </si>
  <si>
    <t>pneumococcal disease</t>
  </si>
  <si>
    <t>Prevnar 13</t>
  </si>
  <si>
    <t>Vaxneuvance</t>
  </si>
  <si>
    <t>Rotavirus gastroenteritis</t>
  </si>
  <si>
    <t>23 types of polysaccharide from pneumococci</t>
  </si>
  <si>
    <t>herpes zoster (shingles) &gt; 50 year olds</t>
  </si>
  <si>
    <t>Hepatitis A</t>
  </si>
  <si>
    <t>Hepatitis A virus, Inactivated</t>
  </si>
  <si>
    <t>Havrix, Avaxim, Twinrix</t>
  </si>
  <si>
    <t>Notes</t>
  </si>
  <si>
    <t>varicella-zoster virus</t>
  </si>
  <si>
    <t>Shingrix</t>
  </si>
  <si>
    <t>live reassortant rotaviruses</t>
  </si>
  <si>
    <t xml:space="preserve">
Rotarix </t>
  </si>
  <si>
    <t>Sugammadex sodium</t>
  </si>
  <si>
    <t>N022225</t>
  </si>
  <si>
    <t>IV</t>
  </si>
  <si>
    <t>01/27/2026</t>
  </si>
  <si>
    <t>reversal of neuromuscular blockade</t>
  </si>
  <si>
    <t>neostigmine</t>
  </si>
  <si>
    <t>selective relaxant binding agent</t>
  </si>
  <si>
    <t>Fungal Infection (Lungs)</t>
  </si>
  <si>
    <t>N205596/N022003/N205053/N214770</t>
  </si>
  <si>
    <t>azole antifungal</t>
  </si>
  <si>
    <t>Posaconazole</t>
  </si>
  <si>
    <t>fluconazole, itraconazole</t>
  </si>
  <si>
    <t>IV, Tablet, etc</t>
  </si>
  <si>
    <t>03/13/2029</t>
  </si>
  <si>
    <t>N021337</t>
  </si>
  <si>
    <t>bacterial infections</t>
  </si>
  <si>
    <t>carbapenem-type antibiotic</t>
  </si>
  <si>
    <t>ERTAPENEM generic, ceftriaxone</t>
  </si>
  <si>
    <t>Nil generic available</t>
  </si>
  <si>
    <t>N209940(39)</t>
  </si>
  <si>
    <t>Cytomegalovirus Infection Prophylaxis (CMV)</t>
  </si>
  <si>
    <t>Ertapenem Sodium</t>
  </si>
  <si>
    <t>CYP3A4 (CVM) Inhibitor</t>
  </si>
  <si>
    <t>letermovir</t>
  </si>
  <si>
    <t>Valcyte</t>
  </si>
  <si>
    <t>05/22/2024</t>
  </si>
  <si>
    <t>Injection, Oral</t>
  </si>
  <si>
    <t>Powder</t>
  </si>
  <si>
    <t>CASPOFUNGIN ACETATE</t>
  </si>
  <si>
    <t>N021227</t>
  </si>
  <si>
    <t>Antifungal (echinocandins)</t>
  </si>
  <si>
    <t>Internal Fungal Infections</t>
  </si>
  <si>
    <t>Amphotericin B, Micafungin</t>
  </si>
  <si>
    <t>2022/2032?</t>
  </si>
  <si>
    <t>Powder, Injection</t>
  </si>
  <si>
    <t>N050587/A062756</t>
  </si>
  <si>
    <t>Carbapenems</t>
  </si>
  <si>
    <t>Imipenem</t>
  </si>
  <si>
    <t>Cilastatin Sodium: Imipenem</t>
  </si>
  <si>
    <t>bacterial infection</t>
  </si>
  <si>
    <t>2022 (Discontinued?)</t>
  </si>
  <si>
    <t>DAPTOMYCIN</t>
  </si>
  <si>
    <t>N021572</t>
  </si>
  <si>
    <t>Staphylococcus Aureus Bacteremia Infection</t>
  </si>
  <si>
    <t>Lipopeptides</t>
  </si>
  <si>
    <t>vancomycin</t>
  </si>
  <si>
    <t>2021 voluntary recall, patent expiration: 2028</t>
  </si>
  <si>
    <t>CEFTOLOZANE SULFATE; TAZOBACTAM SODIUM</t>
  </si>
  <si>
    <t>Cephalosporins</t>
  </si>
  <si>
    <t>N206829</t>
  </si>
  <si>
    <t xml:space="preserve">	05/15/2028</t>
  </si>
  <si>
    <t>cUTI</t>
  </si>
  <si>
    <t>Avycaz, Vabomere</t>
  </si>
  <si>
    <t>DIFICID</t>
  </si>
  <si>
    <r>
      <t xml:space="preserve">		</t>
    </r>
    <r>
      <rPr>
        <sz val="12"/>
        <color theme="1"/>
        <rFont val="TimesNewRomanPSMT"/>
      </rPr>
      <t>N213138, N201699</t>
    </r>
  </si>
  <si>
    <t>FIDAXOMICIN</t>
  </si>
  <si>
    <t>Macrolides</t>
  </si>
  <si>
    <t>07/31/2027</t>
  </si>
  <si>
    <t>IV, Oral</t>
  </si>
  <si>
    <t>C. difficile-associated diarrhea</t>
  </si>
  <si>
    <t>Nitazoxanide, teicoplanin, bacitracin and tolevame</t>
  </si>
  <si>
    <t>biologics: tumor necrosis factor (TNF) inhibitor</t>
  </si>
  <si>
    <t>25289/S103</t>
  </si>
  <si>
    <t>golimumab</t>
  </si>
  <si>
    <t>rheumatoid arthritis, psoriatic arthritis, ankylosing spondylitis</t>
  </si>
  <si>
    <r>
      <rPr>
        <sz val="12"/>
        <color rgb="FFFF0000"/>
        <rFont val="TimesNewRomanPSMT"/>
      </rPr>
      <t xml:space="preserve">Humira, </t>
    </r>
    <r>
      <rPr>
        <sz val="12"/>
        <color theme="1"/>
        <rFont val="TimesNewRomanPSMT"/>
      </rPr>
      <t>Otezla, Remicade, Cimzia, Sulfasalazine, Cosentyx, Stelara</t>
    </r>
  </si>
  <si>
    <t>Samsung Bioepics</t>
  </si>
  <si>
    <t>tumor necrosis factor (TNF) blocker</t>
  </si>
  <si>
    <t>Infliximab</t>
  </si>
  <si>
    <t>arthritis, Crohn's Disease</t>
  </si>
  <si>
    <t>Remicade (variations), RENFLEXIS, Inflectra</t>
  </si>
  <si>
    <t>REMICADE (RENFLEXIS)</t>
  </si>
  <si>
    <t>2029?</t>
  </si>
  <si>
    <t>N204569</t>
  </si>
  <si>
    <t>SUVOREXANT</t>
  </si>
  <si>
    <t>11/20/2029</t>
  </si>
  <si>
    <t>dual orexin receptor antagonists (DORAs)</t>
  </si>
  <si>
    <t>Insomnia</t>
  </si>
  <si>
    <t>Ambien, lemborexant, Lunesta, Sonata, Rozerem, Silenor, trazodone, Benadryl etc</t>
  </si>
  <si>
    <t>N205786/N022145</t>
  </si>
  <si>
    <t>RALTEGRAVIR POTASSIUM</t>
  </si>
  <si>
    <t>HIV-1 integrase strand transfer inhibitor (INSTI)</t>
  </si>
  <si>
    <t>HIV</t>
  </si>
  <si>
    <t>Triumeq, Biktarvy, Tivicay, Dovato, Juluca, Vitekta, Genvoya</t>
  </si>
  <si>
    <t>Info not out yet</t>
  </si>
  <si>
    <t>ZEPATIER</t>
  </si>
  <si>
    <t>N208261</t>
  </si>
  <si>
    <t>ELBASVIR; GRAZOPREVIR</t>
  </si>
  <si>
    <t>HCV NS5A Inhibitors</t>
  </si>
  <si>
    <t>Mavyret, Harvoni, Pegasys, Rebetol, Sovaldi, Epclusa, Vosevi</t>
  </si>
  <si>
    <t>Lagevrio now</t>
  </si>
  <si>
    <t>07/24/2029</t>
  </si>
  <si>
    <t>N214377</t>
  </si>
  <si>
    <t>VERICIGUAT</t>
  </si>
  <si>
    <t>Soluble guanylate cyclase activator</t>
  </si>
  <si>
    <t xml:space="preserve">Chronic Hepatitis C </t>
  </si>
  <si>
    <t>chronic (long-lasting) heart failure</t>
  </si>
  <si>
    <t>Zestril, Diovan, Toprol XL, Entresto</t>
  </si>
  <si>
    <t>05/19/2031</t>
  </si>
  <si>
    <t>N204819</t>
  </si>
  <si>
    <t>Bayer</t>
  </si>
  <si>
    <t>RIOCIGUAT</t>
  </si>
  <si>
    <t>Chronic thromboembolic pulmonary hypertension (CTEPH)</t>
  </si>
  <si>
    <t>Uptravi</t>
  </si>
  <si>
    <t xml:space="preserve"> Lipid-Lowering Agents, 2-Azetidinones</t>
  </si>
  <si>
    <t>high cholesterol</t>
  </si>
  <si>
    <t xml:space="preserve">	N021445</t>
  </si>
  <si>
    <t>Lipitor, Ezetimibe, Crestor, Repatha, Pravastatin, Praluent</t>
  </si>
  <si>
    <t>EZETIMIBE</t>
  </si>
  <si>
    <t>01/25/2022</t>
  </si>
  <si>
    <t>LDL HDL cholesterol management</t>
  </si>
  <si>
    <t>N021687</t>
  </si>
  <si>
    <t>Discontinued</t>
  </si>
  <si>
    <t>cholesterol absorption inhibitors</t>
  </si>
  <si>
    <t>EZETIMIBE; SIMVASTATIN</t>
  </si>
  <si>
    <t>ezetimibe, atorvastatin</t>
  </si>
  <si>
    <t>Liptruzet, Atozet (Generic)</t>
  </si>
  <si>
    <t>SITAGLIPTIN PHOSPHATE</t>
  </si>
  <si>
    <t>N021995</t>
  </si>
  <si>
    <t>07/26/2022</t>
  </si>
  <si>
    <t>dipeptidyl peptidase-4 (DPP-4) inhibitors</t>
  </si>
  <si>
    <t>Tradjenta, Fortamet, Glumetza, Jardiance, Invokana, Onglyza, Nesina, Glucotrol)</t>
  </si>
  <si>
    <t xml:space="preserve">N022044	</t>
  </si>
  <si>
    <t>Antidiabetics, Biguanides/Dipeptyl Peptidase-IV Inhibitors</t>
  </si>
  <si>
    <t>METFORMIN HYDROCHLORIDE; SITAGLIPTIN PHOSPHATE</t>
  </si>
  <si>
    <t>Lower blood sugar levels in adults with type 2 diabetes</t>
  </si>
  <si>
    <t>type 2 diabetes</t>
  </si>
  <si>
    <t>None</t>
  </si>
  <si>
    <t>ETHINYL ESTRADIOL; ETONOGESTREL</t>
  </si>
  <si>
    <t>N021187</t>
  </si>
  <si>
    <t>Vaginal</t>
  </si>
  <si>
    <t xml:space="preserve"> prevent pregnancy</t>
  </si>
  <si>
    <t>Contraception</t>
  </si>
  <si>
    <t>ETONOGESTREL</t>
  </si>
  <si>
    <t>Progestins</t>
  </si>
  <si>
    <t>N021529</t>
  </si>
  <si>
    <t>Implant</t>
  </si>
  <si>
    <t>etonogestrel implant</t>
  </si>
  <si>
    <t>07/28/2030</t>
  </si>
  <si>
    <t xml:space="preserve">N021409	</t>
  </si>
  <si>
    <t>MONTELUKAST SODIUM</t>
  </si>
  <si>
    <t>Leukotriene Receptor Antagonist</t>
  </si>
  <si>
    <t>blocking leukotrienes that may cause or worsen asthma and allergies</t>
  </si>
  <si>
    <t>10/24/2022</t>
  </si>
  <si>
    <t>Loratadine, Fluticasone nasal, Flonase, Allegra, Montelukast, Claritin</t>
  </si>
  <si>
    <t>Angiotensin II receptor blocker (ARB) + thiazide diuretic</t>
  </si>
  <si>
    <t xml:space="preserve">N020386 / N020387	</t>
  </si>
  <si>
    <t>LOSARTAN POTASSIUM; HYDROCHLOROTHIAZIDE</t>
  </si>
  <si>
    <t>High blood pressure;  hypertension</t>
  </si>
  <si>
    <t>valsartan; lisinopril; losartan and hydrochlorothiazide; amlodipine</t>
  </si>
  <si>
    <t>Intl Approval only</t>
  </si>
  <si>
    <t>2003/2007</t>
  </si>
  <si>
    <t>selective COX-2 inhibitor (NSAIDs)</t>
  </si>
  <si>
    <t>etoricoxib</t>
  </si>
  <si>
    <t>relieve short term pai</t>
  </si>
  <si>
    <t>Ibuprofen</t>
  </si>
  <si>
    <t>Diversified Brands have been spun off into a separate company; Organon &amp; Co.</t>
  </si>
  <si>
    <t>Diversified Brands*</t>
  </si>
  <si>
    <t xml:space="preserve">human recombinant follicle-stimulating hormone </t>
  </si>
  <si>
    <t>FOLLITROPIN ALFA/BETA</t>
  </si>
  <si>
    <t>induction of ovulation and pregnancy</t>
  </si>
  <si>
    <t xml:space="preserve">Repronex, hCG </t>
  </si>
  <si>
    <t>MOMETASONE FUROATE</t>
  </si>
  <si>
    <t>N215712</t>
  </si>
  <si>
    <t>Nasal</t>
  </si>
  <si>
    <t>corticosteroids</t>
  </si>
  <si>
    <t>Allergies</t>
  </si>
  <si>
    <t>Flonase, Nasacort</t>
  </si>
  <si>
    <t>FORMOTEROL FUMARATE; MOMETASONE FUROATE</t>
  </si>
  <si>
    <t>Inhalation</t>
  </si>
  <si>
    <t>N022518</t>
  </si>
  <si>
    <t>Allergies (ong-acting beta agonists)</t>
  </si>
  <si>
    <t xml:space="preserve">Symbicort, Breo Elliptam, Advair, AirDuo RespiClick </t>
  </si>
  <si>
    <t xml:space="preserve">	N020560</t>
  </si>
  <si>
    <t>Organon</t>
  </si>
  <si>
    <t>bisphosphonates</t>
  </si>
  <si>
    <t>ALENDRONATE SODIUM</t>
  </si>
  <si>
    <t>osteoporosis</t>
  </si>
  <si>
    <t xml:space="preserve">Actonel, </t>
  </si>
  <si>
    <t>LYNPARZA</t>
  </si>
  <si>
    <t>LENVIMA</t>
  </si>
  <si>
    <t>Implanon/ Nexplanon* (Spun Off)</t>
  </si>
  <si>
    <t>NuvaRing* (Spun off)</t>
  </si>
  <si>
    <t>BELSOMRA</t>
  </si>
  <si>
    <t>Zetia* (spun off)</t>
  </si>
  <si>
    <t>Vytorin* (spun off)</t>
  </si>
  <si>
    <t>Atozet* (spun off)</t>
  </si>
  <si>
    <t>Restructing Costs as a % of Sales</t>
  </si>
  <si>
    <t>Long term debt</t>
  </si>
  <si>
    <t>Interest Expenses</t>
  </si>
  <si>
    <t>Interest Rate</t>
  </si>
  <si>
    <t>Unlevered Free Cash Flow
(NOPAT+D&amp;A+CapEx+WC)</t>
  </si>
  <si>
    <t>Equity</t>
  </si>
  <si>
    <t>Marginal Tax Rate</t>
  </si>
  <si>
    <t>issues:</t>
  </si>
  <si>
    <t>1. Calculating Other Interest Expenses
2. Forecasting BS and CFs</t>
  </si>
  <si>
    <t>To be Done:</t>
  </si>
  <si>
    <t>1. Balance Sheet
2. Cash Flows
3. Actual DCF tests
4. EV etc 
5. Listing Assumptions
6. Graphs</t>
  </si>
  <si>
    <t>WACC</t>
  </si>
  <si>
    <t>Net Present Value</t>
  </si>
  <si>
    <t>Terminal growth rate</t>
  </si>
  <si>
    <t>Terminal Value</t>
  </si>
  <si>
    <t>Present Value</t>
  </si>
  <si>
    <t>Enterprise Value</t>
  </si>
  <si>
    <t>Less Net Debt</t>
  </si>
  <si>
    <t>Equity Value</t>
  </si>
  <si>
    <t>Trade Receivables</t>
  </si>
  <si>
    <t>Trade Payables</t>
  </si>
  <si>
    <t>Net Trade Cycle</t>
  </si>
  <si>
    <t>UFCF</t>
  </si>
  <si>
    <t>G</t>
  </si>
  <si>
    <t>Discount Factor</t>
  </si>
  <si>
    <t>PV of Cash Flows</t>
  </si>
  <si>
    <t>Continuing Value</t>
  </si>
  <si>
    <t>PV of Continuing Value</t>
  </si>
  <si>
    <t>Financial Liability</t>
  </si>
  <si>
    <t>S/O</t>
  </si>
  <si>
    <t>S/0</t>
  </si>
  <si>
    <t>Ac</t>
  </si>
  <si>
    <t>Revenue</t>
  </si>
  <si>
    <t>EBITDA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</si>
</sst>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44" formatCode="_(&quot;$&quot;* #,##0.00_);_(&quot;$&quot;* \(#,##0.00\);_(&quot;$&quot;* &quot;-&quot;??_);_(@_)"/>
    <numFmt numFmtId="43" formatCode="_(* #,##0.00_);_(* \(#,##0.00\);_(* &quot;-&quot;??_);_(@_)"/>
    <numFmt numFmtId="164" formatCode="_([$$-409]* #,##0.00_);_([$$-409]* \(#,##0.00\);_([$$-409]* &quot;-&quot;??_);_(@_)"/>
    <numFmt numFmtId="165" formatCode="_(&quot;$&quot;* #,##0.0_);_(&quot;$&quot;* \(#,##0.0\);_(&quot;$&quot;* &quot;-&quot;??_);_(@_)"/>
    <numFmt numFmtId="166" formatCode="_(&quot;$&quot;* #,##0_);_(&quot;$&quot;* \(#,##0\);_(&quot;$&quot;* &quot;-&quot;??_);_(@_)"/>
    <numFmt numFmtId="167" formatCode="&quot;$&quot;#,##0"/>
    <numFmt numFmtId="168" formatCode="0.0%"/>
    <numFmt numFmtId="169" formatCode="_([$$-409]* #,##0_);_([$$-409]* \(#,##0\);_([$$-409]* &quot;-&quot;_);_(@_)"/>
    <numFmt numFmtId="170" formatCode="_([$$-409]* #,##0_);_([$$-409]* \(#,##0\);_([$$-409]* &quot;-&quot;??_);_(@_)"/>
    <numFmt numFmtId="171" formatCode="0.0"/>
    <numFmt numFmtId="172" formatCode="0.000%"/>
    <numFmt numFmtId="173" formatCode="&quot;$&quot;#,##0.000_);[Red]\(&quot;$&quot;#,##0.000\)"/>
  </numFmts>
  <fonts count="24">
    <font>
      <sz val="12"/>
      <color theme="1"/>
      <name val="TimesNewRomanPSMT"/>
      <family val="2"/>
    </font>
    <font>
      <sz val="12"/>
      <color theme="1"/>
      <name val="TimesNewRomanPSMT"/>
      <family val="2"/>
    </font>
    <font>
      <sz val="12"/>
      <color rgb="FFFF0000"/>
      <name val="TimesNewRomanPSMT"/>
      <family val="2"/>
    </font>
    <font>
      <sz val="12"/>
      <color theme="0"/>
      <name val="TimesNewRomanPSMT"/>
      <family val="2"/>
    </font>
    <font>
      <i/>
      <sz val="12"/>
      <color theme="1"/>
      <name val="TimesNewRomanPSMT"/>
    </font>
    <font>
      <sz val="12"/>
      <color theme="1"/>
      <name val="TimesNewRomanPSMT"/>
    </font>
    <font>
      <sz val="12"/>
      <color rgb="FF000000"/>
      <name val="TimesNewRomanPSMT"/>
      <family val="2"/>
    </font>
    <font>
      <b/>
      <sz val="12"/>
      <color theme="1"/>
      <name val="TimesNewRomanPSMT"/>
    </font>
    <font>
      <sz val="10"/>
      <name val="Arial"/>
      <family val="2"/>
    </font>
    <font>
      <sz val="12"/>
      <name val="Times New Roman"/>
      <family val="1"/>
    </font>
    <font>
      <sz val="12"/>
      <color theme="1"/>
      <name val="Times New Roman"/>
      <family val="1"/>
    </font>
    <font>
      <sz val="12"/>
      <name val="Times Roman"/>
    </font>
    <font>
      <sz val="12"/>
      <color theme="1"/>
      <name val="Times Roman"/>
    </font>
    <font>
      <sz val="8"/>
      <name val="TimesNewRomanPSMT"/>
      <family val="2"/>
    </font>
    <font>
      <sz val="12"/>
      <color rgb="FFFF0000"/>
      <name val="TimesNewRomanPSMT"/>
    </font>
    <font>
      <sz val="12"/>
      <color rgb="FF000000"/>
      <name val="Times New Roman"/>
      <family val="1"/>
    </font>
    <font>
      <b/>
      <sz val="12"/>
      <color theme="1"/>
      <name val="Calibri"/>
      <family val="2"/>
      <scheme val="minor"/>
    </font>
    <font>
      <b/>
      <sz val="12"/>
      <color theme="4" tint="-0.499984740745262"/>
      <name val="Calibri"/>
      <family val="2"/>
      <scheme val="minor"/>
    </font>
    <font>
      <b/>
      <sz val="12"/>
      <color theme="1"/>
      <name val="Times New Roman"/>
      <family val="1"/>
    </font>
    <font>
      <sz val="12"/>
      <color rgb="FF333333"/>
      <name val="Helvetica Neue"/>
      <family val="2"/>
    </font>
    <font>
      <sz val="12"/>
      <color rgb="FF333333"/>
      <name val="Times New Roman"/>
      <family val="1"/>
    </font>
    <font>
      <sz val="12"/>
      <color rgb="FF222222"/>
      <name val="Times New Roman"/>
      <family val="1"/>
    </font>
    <font>
      <sz val="9"/>
      <color theme="1"/>
      <name val="Arial"/>
      <family val="2"/>
    </font>
    <font>
      <b/>
      <sz val="12"/>
      <color rgb="FFFF0000"/>
      <name val="Calibri"/>
      <family val="2"/>
      <scheme val="minor"/>
    </font>
  </fonts>
  <fills count="6">
    <fill>
      <patternFill patternType="none"/>
    </fill>
    <fill>
      <patternFill patternType="gray125"/>
    </fill>
    <fill>
      <patternFill patternType="solid">
        <fgColor theme="3"/>
        <bgColor indexed="64"/>
      </patternFill>
    </fill>
    <fill>
      <patternFill patternType="lightTrellis">
        <bgColor theme="3" tint="0.79998168889431442"/>
      </patternFill>
    </fill>
    <fill>
      <patternFill patternType="lightTrellis">
        <bgColor rgb="FFF3B8C8"/>
      </patternFill>
    </fill>
    <fill>
      <patternFill patternType="solid">
        <fgColor theme="0" tint="-0.14999847407452621"/>
        <bgColor indexed="64"/>
      </patternFill>
    </fill>
  </fills>
  <borders count="13">
    <border>
      <left/>
      <right/>
      <top/>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8" fillId="0" borderId="0"/>
  </cellStyleXfs>
  <cellXfs count="120">
    <xf numFmtId="0" fontId="0" fillId="0" borderId="0" xfId="0"/>
    <xf numFmtId="3" fontId="0" fillId="0" borderId="0" xfId="0" applyNumberFormat="1"/>
    <xf numFmtId="164" fontId="0" fillId="0" borderId="0" xfId="0" applyNumberFormat="1"/>
    <xf numFmtId="0" fontId="4" fillId="0" borderId="0" xfId="0" applyFont="1"/>
    <xf numFmtId="164" fontId="4" fillId="0" borderId="0" xfId="0" applyNumberFormat="1" applyFont="1"/>
    <xf numFmtId="0" fontId="5" fillId="0" borderId="0" xfId="0" applyFont="1"/>
    <xf numFmtId="0" fontId="0" fillId="0" borderId="0" xfId="0" applyFont="1"/>
    <xf numFmtId="0" fontId="7" fillId="0" borderId="0" xfId="0" applyFont="1"/>
    <xf numFmtId="0" fontId="5" fillId="0" borderId="0" xfId="0" applyFont="1" applyAlignment="1">
      <alignment horizontal="left"/>
    </xf>
    <xf numFmtId="6" fontId="0" fillId="0" borderId="0" xfId="0" applyNumberFormat="1"/>
    <xf numFmtId="44" fontId="0" fillId="0" borderId="0" xfId="0" applyNumberFormat="1"/>
    <xf numFmtId="165" fontId="0" fillId="0" borderId="0" xfId="0" applyNumberFormat="1"/>
    <xf numFmtId="166" fontId="0" fillId="0" borderId="0" xfId="0" applyNumberFormat="1"/>
    <xf numFmtId="167" fontId="0" fillId="0" borderId="0" xfId="0" applyNumberFormat="1"/>
    <xf numFmtId="166" fontId="9" fillId="0" borderId="0" xfId="4" applyNumberFormat="1" applyFont="1" applyBorder="1" applyAlignment="1">
      <alignment horizontal="left" vertical="center"/>
    </xf>
    <xf numFmtId="166" fontId="0" fillId="0" borderId="0" xfId="0" applyNumberFormat="1" applyFont="1"/>
    <xf numFmtId="166" fontId="10" fillId="0" borderId="0" xfId="0" applyNumberFormat="1" applyFont="1"/>
    <xf numFmtId="0" fontId="10" fillId="0" borderId="0" xfId="0" applyFont="1"/>
    <xf numFmtId="166" fontId="7" fillId="0" borderId="0" xfId="0" applyNumberFormat="1" applyFont="1"/>
    <xf numFmtId="0" fontId="0" fillId="0" borderId="0" xfId="0" applyBorder="1"/>
    <xf numFmtId="166" fontId="0" fillId="0" borderId="0" xfId="0" applyNumberFormat="1" applyBorder="1"/>
    <xf numFmtId="166" fontId="5" fillId="0" borderId="0" xfId="0" applyNumberFormat="1" applyFont="1"/>
    <xf numFmtId="0" fontId="14" fillId="0" borderId="0" xfId="0" applyFont="1"/>
    <xf numFmtId="166" fontId="2" fillId="0" borderId="0" xfId="0" applyNumberFormat="1" applyFont="1"/>
    <xf numFmtId="166" fontId="4" fillId="0" borderId="0" xfId="0" applyNumberFormat="1" applyFont="1"/>
    <xf numFmtId="0" fontId="7" fillId="0" borderId="2" xfId="0" applyFont="1" applyBorder="1"/>
    <xf numFmtId="166" fontId="0" fillId="0" borderId="2" xfId="0" applyNumberFormat="1" applyBorder="1"/>
    <xf numFmtId="0" fontId="0" fillId="0" borderId="2" xfId="0" applyBorder="1"/>
    <xf numFmtId="166" fontId="12" fillId="0" borderId="0" xfId="0" applyNumberFormat="1" applyFont="1" applyBorder="1"/>
    <xf numFmtId="166" fontId="0" fillId="0" borderId="0" xfId="0" applyNumberFormat="1" applyFill="1" applyBorder="1"/>
    <xf numFmtId="166" fontId="0" fillId="0" borderId="0" xfId="2" applyNumberFormat="1" applyFont="1"/>
    <xf numFmtId="166" fontId="3" fillId="2" borderId="3" xfId="0" applyNumberFormat="1" applyFont="1" applyFill="1" applyBorder="1"/>
    <xf numFmtId="166" fontId="3" fillId="0" borderId="0" xfId="0" applyNumberFormat="1" applyFont="1" applyFill="1" applyBorder="1"/>
    <xf numFmtId="0" fontId="0" fillId="0" borderId="0" xfId="0" applyFill="1" applyBorder="1"/>
    <xf numFmtId="0" fontId="3" fillId="2" borderId="3" xfId="0" applyFont="1" applyFill="1" applyBorder="1"/>
    <xf numFmtId="0" fontId="0" fillId="0" borderId="0" xfId="0" applyFill="1"/>
    <xf numFmtId="166" fontId="3" fillId="0" borderId="0" xfId="0" applyNumberFormat="1" applyFont="1" applyFill="1"/>
    <xf numFmtId="0" fontId="0" fillId="0" borderId="0" xfId="0" applyFont="1" applyFill="1"/>
    <xf numFmtId="0" fontId="0" fillId="0" borderId="4" xfId="0" applyBorder="1"/>
    <xf numFmtId="0" fontId="3" fillId="2" borderId="2" xfId="0" applyFont="1" applyFill="1" applyBorder="1"/>
    <xf numFmtId="0" fontId="0" fillId="0" borderId="0" xfId="0" applyAlignment="1">
      <alignment wrapText="1"/>
    </xf>
    <xf numFmtId="166" fontId="3" fillId="2" borderId="2" xfId="0" applyNumberFormat="1" applyFont="1" applyFill="1" applyBorder="1"/>
    <xf numFmtId="166" fontId="0" fillId="0" borderId="4" xfId="0" applyNumberFormat="1" applyBorder="1"/>
    <xf numFmtId="0" fontId="7" fillId="0" borderId="0" xfId="0" applyFont="1" applyAlignment="1">
      <alignment wrapText="1"/>
    </xf>
    <xf numFmtId="0" fontId="10" fillId="0" borderId="0" xfId="0" applyFont="1" applyAlignment="1">
      <alignment vertical="center"/>
    </xf>
    <xf numFmtId="0" fontId="10" fillId="0" borderId="0" xfId="0" applyFont="1" applyAlignment="1">
      <alignment vertical="center" wrapText="1"/>
    </xf>
    <xf numFmtId="10" fontId="0" fillId="0" borderId="0" xfId="0" applyNumberFormat="1"/>
    <xf numFmtId="168" fontId="0" fillId="0" borderId="0" xfId="0" applyNumberFormat="1"/>
    <xf numFmtId="166" fontId="11" fillId="0" borderId="0" xfId="4" applyNumberFormat="1" applyFont="1" applyBorder="1" applyAlignment="1">
      <alignment horizontal="right" vertical="center"/>
    </xf>
    <xf numFmtId="9" fontId="0" fillId="0" borderId="0" xfId="0" applyNumberFormat="1"/>
    <xf numFmtId="0" fontId="0" fillId="3" borderId="0" xfId="0" applyFill="1"/>
    <xf numFmtId="169" fontId="0" fillId="0" borderId="0" xfId="0" applyNumberFormat="1"/>
    <xf numFmtId="4" fontId="0" fillId="0" borderId="0" xfId="0" applyNumberFormat="1"/>
    <xf numFmtId="170" fontId="0" fillId="0" borderId="0" xfId="0" applyNumberFormat="1"/>
    <xf numFmtId="1" fontId="0" fillId="0" borderId="0" xfId="0" applyNumberFormat="1"/>
    <xf numFmtId="9" fontId="6" fillId="0" borderId="0" xfId="0" applyNumberFormat="1" applyFont="1"/>
    <xf numFmtId="0" fontId="0" fillId="0" borderId="1" xfId="0" applyBorder="1"/>
    <xf numFmtId="0" fontId="16" fillId="0" borderId="5" xfId="0" applyFont="1" applyBorder="1"/>
    <xf numFmtId="0" fontId="16" fillId="0" borderId="0" xfId="0" applyFont="1"/>
    <xf numFmtId="0" fontId="17" fillId="0" borderId="0" xfId="0" applyFont="1"/>
    <xf numFmtId="2" fontId="0" fillId="0" borderId="0" xfId="0" applyNumberFormat="1"/>
    <xf numFmtId="171" fontId="0" fillId="0" borderId="0" xfId="0" applyNumberFormat="1"/>
    <xf numFmtId="0" fontId="0" fillId="0" borderId="0" xfId="0" applyFill="1" applyBorder="1" applyAlignment="1">
      <alignment wrapText="1"/>
    </xf>
    <xf numFmtId="0" fontId="18" fillId="0" borderId="0" xfId="0" applyFont="1" applyAlignment="1">
      <alignment vertical="center" wrapText="1"/>
    </xf>
    <xf numFmtId="44" fontId="0" fillId="3" borderId="0" xfId="0" applyNumberFormat="1" applyFill="1"/>
    <xf numFmtId="166" fontId="0" fillId="3" borderId="0" xfId="0" applyNumberFormat="1" applyFill="1"/>
    <xf numFmtId="0" fontId="0" fillId="4" borderId="0" xfId="0" applyFill="1"/>
    <xf numFmtId="1" fontId="0" fillId="4" borderId="0" xfId="0" applyNumberFormat="1" applyFill="1"/>
    <xf numFmtId="0" fontId="4" fillId="4" borderId="0" xfId="0" applyFont="1" applyFill="1"/>
    <xf numFmtId="0" fontId="21" fillId="0" borderId="0" xfId="0" applyFont="1" applyAlignment="1">
      <alignment horizontal="center"/>
    </xf>
    <xf numFmtId="0" fontId="2" fillId="0" borderId="0" xfId="0" applyFont="1"/>
    <xf numFmtId="0" fontId="0" fillId="0" borderId="0" xfId="0" applyAlignment="1">
      <alignment horizontal="center" vertical="center"/>
    </xf>
    <xf numFmtId="0" fontId="7" fillId="0" borderId="0" xfId="0" applyFont="1" applyAlignment="1">
      <alignment horizontal="center" vertical="center"/>
    </xf>
    <xf numFmtId="0" fontId="0" fillId="0" borderId="0" xfId="0" applyFont="1" applyAlignment="1">
      <alignment horizontal="center" vertical="center"/>
    </xf>
    <xf numFmtId="14" fontId="19" fillId="0" borderId="0" xfId="0" applyNumberFormat="1" applyFont="1" applyAlignment="1">
      <alignment horizontal="center" vertical="center"/>
    </xf>
    <xf numFmtId="9" fontId="0" fillId="0" borderId="0" xfId="0" applyNumberFormat="1" applyFont="1" applyAlignment="1">
      <alignment horizontal="center" vertical="center"/>
    </xf>
    <xf numFmtId="14" fontId="20" fillId="0" borderId="0" xfId="0" applyNumberFormat="1" applyFont="1" applyAlignment="1">
      <alignment horizontal="center" vertical="center"/>
    </xf>
    <xf numFmtId="0" fontId="21" fillId="0" borderId="0" xfId="0" applyFont="1" applyAlignment="1">
      <alignment horizontal="center" vertical="center"/>
    </xf>
    <xf numFmtId="0" fontId="2" fillId="0" borderId="0" xfId="0" applyFont="1" applyFill="1" applyAlignment="1">
      <alignment horizontal="center" vertical="center"/>
    </xf>
    <xf numFmtId="9" fontId="2" fillId="0" borderId="0" xfId="0" applyNumberFormat="1" applyFont="1" applyFill="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14" fontId="0" fillId="0" borderId="0" xfId="0" applyNumberFormat="1" applyFont="1" applyAlignment="1">
      <alignment horizontal="center" vertical="center"/>
    </xf>
    <xf numFmtId="0" fontId="14" fillId="0" borderId="0" xfId="0" applyFont="1" applyAlignment="1">
      <alignment horizontal="center" vertical="center"/>
    </xf>
    <xf numFmtId="9" fontId="0" fillId="0" borderId="0" xfId="0" applyNumberFormat="1" applyAlignment="1">
      <alignment horizontal="center" vertical="center"/>
    </xf>
    <xf numFmtId="14" fontId="0" fillId="0" borderId="0" xfId="0" applyNumberFormat="1" applyAlignment="1">
      <alignment horizontal="center" vertical="center"/>
    </xf>
    <xf numFmtId="0" fontId="7" fillId="0" borderId="0" xfId="0" applyFont="1" applyAlignment="1">
      <alignment horizontal="left" vertical="center"/>
    </xf>
    <xf numFmtId="166" fontId="6" fillId="0" borderId="0" xfId="0" applyNumberFormat="1" applyFont="1"/>
    <xf numFmtId="0" fontId="7" fillId="0" borderId="0" xfId="0" applyFont="1" applyBorder="1"/>
    <xf numFmtId="172" fontId="0" fillId="0" borderId="0" xfId="0" applyNumberFormat="1"/>
    <xf numFmtId="166" fontId="15" fillId="0" borderId="0" xfId="0" applyNumberFormat="1" applyFont="1" applyAlignment="1">
      <alignment horizontal="right"/>
    </xf>
    <xf numFmtId="168" fontId="0" fillId="3" borderId="0" xfId="0" applyNumberFormat="1" applyFill="1"/>
    <xf numFmtId="10" fontId="0" fillId="3" borderId="0" xfId="0" applyNumberFormat="1" applyFill="1"/>
    <xf numFmtId="1" fontId="16" fillId="0" borderId="0" xfId="0" applyNumberFormat="1" applyFont="1"/>
    <xf numFmtId="166" fontId="6" fillId="0" borderId="2" xfId="0" applyNumberFormat="1" applyFont="1" applyBorder="1"/>
    <xf numFmtId="10" fontId="16" fillId="0" borderId="0" xfId="0" applyNumberFormat="1" applyFont="1"/>
    <xf numFmtId="173" fontId="0" fillId="0" borderId="0" xfId="0" applyNumberFormat="1"/>
    <xf numFmtId="9" fontId="0" fillId="0" borderId="0" xfId="3" applyFont="1"/>
    <xf numFmtId="43" fontId="22" fillId="5" borderId="0" xfId="1" applyFont="1" applyFill="1" applyBorder="1"/>
    <xf numFmtId="0" fontId="2" fillId="0" borderId="0" xfId="0" applyFont="1" applyBorder="1"/>
    <xf numFmtId="166" fontId="2" fillId="0" borderId="0" xfId="0" applyNumberFormat="1" applyFont="1" applyBorder="1"/>
    <xf numFmtId="0" fontId="23" fillId="0" borderId="0" xfId="0" applyFont="1"/>
    <xf numFmtId="1" fontId="2" fillId="0" borderId="0" xfId="0" applyNumberFormat="1" applyFont="1"/>
    <xf numFmtId="171" fontId="2" fillId="0" borderId="0" xfId="0" applyNumberFormat="1" applyFont="1"/>
    <xf numFmtId="0" fontId="0" fillId="0" borderId="6" xfId="0" applyBorder="1"/>
    <xf numFmtId="166" fontId="0" fillId="0" borderId="7" xfId="0" applyNumberFormat="1" applyBorder="1"/>
    <xf numFmtId="0" fontId="0" fillId="0" borderId="8" xfId="0" applyBorder="1"/>
    <xf numFmtId="166" fontId="0" fillId="0" borderId="9" xfId="0" applyNumberFormat="1" applyBorder="1"/>
    <xf numFmtId="0" fontId="0" fillId="0" borderId="9" xfId="0" applyBorder="1"/>
    <xf numFmtId="1" fontId="0" fillId="0" borderId="9" xfId="0" applyNumberFormat="1" applyBorder="1"/>
    <xf numFmtId="0" fontId="0" fillId="0" borderId="10" xfId="0" applyBorder="1"/>
    <xf numFmtId="44" fontId="0" fillId="0" borderId="11" xfId="0" applyNumberFormat="1" applyBorder="1"/>
    <xf numFmtId="168" fontId="0" fillId="0" borderId="0" xfId="3" applyNumberFormat="1" applyFont="1"/>
    <xf numFmtId="166" fontId="0" fillId="0" borderId="12" xfId="0" applyNumberFormat="1" applyFont="1" applyBorder="1"/>
    <xf numFmtId="0" fontId="5" fillId="0" borderId="0" xfId="0" applyFont="1" applyBorder="1"/>
    <xf numFmtId="166" fontId="6" fillId="0" borderId="0" xfId="0" applyNumberFormat="1" applyFont="1" applyBorder="1"/>
    <xf numFmtId="0" fontId="16" fillId="0" borderId="0" xfId="0" applyFont="1" applyBorder="1"/>
    <xf numFmtId="10" fontId="16" fillId="0" borderId="0" xfId="0" applyNumberFormat="1" applyFont="1" applyBorder="1"/>
  </cellXfs>
  <cellStyles count="5">
    <cellStyle name="Comma" xfId="1" builtinId="3"/>
    <cellStyle name="Currency" xfId="2" builtinId="4"/>
    <cellStyle name="Normal" xfId="0" builtinId="0"/>
    <cellStyle name="Normal_New Co Proforma GAAP to NonGAAP P&amp;L" xfId="4" xr:uid="{7E9AB216-F9C8-A84F-97F5-F246206C32C2}"/>
    <cellStyle name="Per cent" xfId="3" builtinId="5"/>
  </cellStyles>
  <dxfs count="0"/>
  <tableStyles count="0" defaultTableStyle="TableStyleMedium2" defaultPivotStyle="PivotStyleLight16"/>
  <colors>
    <mruColors>
      <color rgb="FFF3B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a:t>Historical</a:t>
            </a:r>
            <a:r>
              <a:rPr lang="en-GB" baseline="0"/>
              <a:t> Period</a:t>
            </a:r>
          </a:p>
        </c:rich>
      </c:tx>
      <c:layout>
        <c:manualLayout>
          <c:xMode val="edge"/>
          <c:yMode val="edge"/>
          <c:x val="0.16159811116433859"/>
          <c:y val="9.4065015961425941E-2"/>
        </c:manualLayout>
      </c:layout>
      <c:overlay val="0"/>
      <c:spPr>
        <a:noFill/>
        <a:ln>
          <a:solidFill>
            <a:schemeClr val="accent1"/>
          </a:solid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Charts!$B$8</c:f>
              <c:strCache>
                <c:ptCount val="1"/>
                <c:pt idx="0">
                  <c:v>Revenue</c:v>
                </c:pt>
              </c:strCache>
            </c:strRef>
          </c:tx>
          <c:spPr>
            <a:solidFill>
              <a:schemeClr val="accent1"/>
            </a:solidFill>
            <a:ln w="73025">
              <a:solidFill>
                <a:schemeClr val="accent1"/>
              </a:solidFill>
              <a:miter lim="800000"/>
            </a:ln>
            <a:effectLst>
              <a:softEdge rad="0"/>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Charts!$C$7:$AQ$7</c:f>
              <c:strCache>
                <c:ptCount val="41"/>
                <c:pt idx="0">
                  <c:v>Q1Y18</c:v>
                </c:pt>
                <c:pt idx="1">
                  <c:v>Q2Y18</c:v>
                </c:pt>
                <c:pt idx="2">
                  <c:v>Q3Y18</c:v>
                </c:pt>
                <c:pt idx="3">
                  <c:v>Q4Y18</c:v>
                </c:pt>
                <c:pt idx="4">
                  <c:v>Q1Y19</c:v>
                </c:pt>
                <c:pt idx="5">
                  <c:v>Q2Y19</c:v>
                </c:pt>
                <c:pt idx="6">
                  <c:v>Q3Y19</c:v>
                </c:pt>
                <c:pt idx="7">
                  <c:v>Q4Y19</c:v>
                </c:pt>
                <c:pt idx="8">
                  <c:v>Q1Y20</c:v>
                </c:pt>
                <c:pt idx="9">
                  <c:v>Q2Y20</c:v>
                </c:pt>
                <c:pt idx="10">
                  <c:v>Q3Y20</c:v>
                </c:pt>
                <c:pt idx="11">
                  <c:v>Q4Y20</c:v>
                </c:pt>
                <c:pt idx="12">
                  <c:v>Q1Y21</c:v>
                </c:pt>
                <c:pt idx="13">
                  <c:v>Q2Y21</c:v>
                </c:pt>
                <c:pt idx="14">
                  <c:v>Q3Y21</c:v>
                </c:pt>
                <c:pt idx="15">
                  <c:v>Q4Y21</c:v>
                </c:pt>
                <c:pt idx="16">
                  <c:v>Q1Y22</c:v>
                </c:pt>
                <c:pt idx="18">
                  <c:v>Q2Y22</c:v>
                </c:pt>
                <c:pt idx="19">
                  <c:v>Q3Y22</c:v>
                </c:pt>
                <c:pt idx="20">
                  <c:v>Q4Y22</c:v>
                </c:pt>
                <c:pt idx="21">
                  <c:v>Q1Y23</c:v>
                </c:pt>
                <c:pt idx="22">
                  <c:v>Q2Y23</c:v>
                </c:pt>
                <c:pt idx="23">
                  <c:v>Q3Y23</c:v>
                </c:pt>
                <c:pt idx="24">
                  <c:v>Q4Y23</c:v>
                </c:pt>
                <c:pt idx="25">
                  <c:v>Q1Y24</c:v>
                </c:pt>
                <c:pt idx="26">
                  <c:v>Q2Y24</c:v>
                </c:pt>
                <c:pt idx="27">
                  <c:v>Q3Y24</c:v>
                </c:pt>
                <c:pt idx="28">
                  <c:v>Q4Y24</c:v>
                </c:pt>
                <c:pt idx="29">
                  <c:v>Q1Y25</c:v>
                </c:pt>
                <c:pt idx="30">
                  <c:v>Q2Y25</c:v>
                </c:pt>
                <c:pt idx="31">
                  <c:v>Q3Y25</c:v>
                </c:pt>
                <c:pt idx="32">
                  <c:v>Q4Y25</c:v>
                </c:pt>
                <c:pt idx="33">
                  <c:v>Q1Y26</c:v>
                </c:pt>
                <c:pt idx="34">
                  <c:v>Q2Y26</c:v>
                </c:pt>
                <c:pt idx="35">
                  <c:v>Q3Y26</c:v>
                </c:pt>
                <c:pt idx="36">
                  <c:v>Q4Y26</c:v>
                </c:pt>
                <c:pt idx="37">
                  <c:v>Q1Y27</c:v>
                </c:pt>
                <c:pt idx="38">
                  <c:v>Q2Y27</c:v>
                </c:pt>
                <c:pt idx="39">
                  <c:v>Q3Y27</c:v>
                </c:pt>
                <c:pt idx="40">
                  <c:v>Q4Y27</c:v>
                </c:pt>
              </c:strCache>
            </c:strRef>
          </c:cat>
          <c:val>
            <c:numRef>
              <c:f>Charts!$C$8:$AQ$8</c:f>
              <c:numCache>
                <c:formatCode>_("$"* #,##0_);_("$"* \(#,##0\);_("$"* "-"??_);_(@_)</c:formatCode>
                <c:ptCount val="41"/>
                <c:pt idx="0">
                  <c:v>10037</c:v>
                </c:pt>
                <c:pt idx="1">
                  <c:v>10465</c:v>
                </c:pt>
                <c:pt idx="2">
                  <c:v>10794</c:v>
                </c:pt>
                <c:pt idx="3">
                  <c:v>10998</c:v>
                </c:pt>
                <c:pt idx="4">
                  <c:v>10816</c:v>
                </c:pt>
                <c:pt idx="5">
                  <c:v>11760</c:v>
                </c:pt>
                <c:pt idx="6">
                  <c:v>12397</c:v>
                </c:pt>
                <c:pt idx="7">
                  <c:v>11868</c:v>
                </c:pt>
                <c:pt idx="8">
                  <c:v>12057</c:v>
                </c:pt>
                <c:pt idx="9">
                  <c:v>10872</c:v>
                </c:pt>
                <c:pt idx="10">
                  <c:v>12551</c:v>
                </c:pt>
                <c:pt idx="11">
                  <c:v>12514</c:v>
                </c:pt>
                <c:pt idx="12">
                  <c:v>12080</c:v>
                </c:pt>
                <c:pt idx="13">
                  <c:v>11402</c:v>
                </c:pt>
                <c:pt idx="14">
                  <c:v>13154</c:v>
                </c:pt>
                <c:pt idx="15">
                  <c:v>13521</c:v>
                </c:pt>
                <c:pt idx="16">
                  <c:v>15901</c:v>
                </c:pt>
                <c:pt idx="18">
                  <c:v>16258.772499999999</c:v>
                </c:pt>
                <c:pt idx="19">
                  <c:v>16624.594881249999</c:v>
                </c:pt>
                <c:pt idx="20">
                  <c:v>16998.648266078122</c:v>
                </c:pt>
                <c:pt idx="21">
                  <c:v>17381.117852064879</c:v>
                </c:pt>
                <c:pt idx="22">
                  <c:v>17772.193003736338</c:v>
                </c:pt>
                <c:pt idx="23">
                  <c:v>18172.067346320404</c:v>
                </c:pt>
                <c:pt idx="24">
                  <c:v>18580.938861612613</c:v>
                </c:pt>
                <c:pt idx="25">
                  <c:v>18999.009985998895</c:v>
                </c:pt>
                <c:pt idx="26">
                  <c:v>19426.487710683868</c:v>
                </c:pt>
                <c:pt idx="27">
                  <c:v>19863.583684174257</c:v>
                </c:pt>
                <c:pt idx="28">
                  <c:v>20310.514317068177</c:v>
                </c:pt>
                <c:pt idx="29">
                  <c:v>20767.500889202209</c:v>
                </c:pt>
                <c:pt idx="30">
                  <c:v>21234.769659209258</c:v>
                </c:pt>
                <c:pt idx="31">
                  <c:v>21712.551976541465</c:v>
                </c:pt>
                <c:pt idx="32">
                  <c:v>16625</c:v>
                </c:pt>
                <c:pt idx="33">
                  <c:v>16999.0625</c:v>
                </c:pt>
                <c:pt idx="34">
                  <c:v>17381.541406249999</c:v>
                </c:pt>
                <c:pt idx="35">
                  <c:v>17772.626087890621</c:v>
                </c:pt>
                <c:pt idx="36">
                  <c:v>18172.510174868159</c:v>
                </c:pt>
                <c:pt idx="37">
                  <c:v>18581.391653802693</c:v>
                </c:pt>
                <c:pt idx="38">
                  <c:v>18999.472966013254</c:v>
                </c:pt>
                <c:pt idx="39">
                  <c:v>19426.961107748553</c:v>
                </c:pt>
                <c:pt idx="40">
                  <c:v>19864.067732672895</c:v>
                </c:pt>
              </c:numCache>
            </c:numRef>
          </c:val>
          <c:extLst>
            <c:ext xmlns:c16="http://schemas.microsoft.com/office/drawing/2014/chart" uri="{C3380CC4-5D6E-409C-BE32-E72D297353CC}">
              <c16:uniqueId val="{00000000-7D06-3546-8B74-6DD0C803114C}"/>
            </c:ext>
          </c:extLst>
        </c:ser>
        <c:dLbls>
          <c:dLblPos val="inEnd"/>
          <c:showLegendKey val="0"/>
          <c:showVal val="1"/>
          <c:showCatName val="0"/>
          <c:showSerName val="0"/>
          <c:showPercent val="0"/>
          <c:showBubbleSize val="0"/>
        </c:dLbls>
        <c:gapWidth val="199"/>
        <c:axId val="685610576"/>
        <c:axId val="685612224"/>
      </c:barChart>
      <c:lineChart>
        <c:grouping val="standard"/>
        <c:varyColors val="0"/>
        <c:ser>
          <c:idx val="1"/>
          <c:order val="1"/>
          <c:tx>
            <c:strRef>
              <c:f>Charts!$B$10</c:f>
              <c:strCache>
                <c:ptCount val="1"/>
                <c:pt idx="0">
                  <c:v>EBITDA %</c:v>
                </c:pt>
              </c:strCache>
            </c:strRef>
          </c:tx>
          <c:spPr>
            <a:ln w="38100" cap="rnd">
              <a:solidFill>
                <a:schemeClr val="accent2"/>
              </a:solidFill>
              <a:round/>
            </a:ln>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5-7D06-3546-8B74-6DD0C803114C}"/>
                </c:ext>
              </c:extLst>
            </c:dLbl>
            <c:dLbl>
              <c:idx val="2"/>
              <c:delete val="1"/>
              <c:extLst>
                <c:ext xmlns:c15="http://schemas.microsoft.com/office/drawing/2012/chart" uri="{CE6537A1-D6FC-4f65-9D91-7224C49458BB}"/>
                <c:ext xmlns:c16="http://schemas.microsoft.com/office/drawing/2014/chart" uri="{C3380CC4-5D6E-409C-BE32-E72D297353CC}">
                  <c16:uniqueId val="{00000004-7D06-3546-8B74-6DD0C803114C}"/>
                </c:ext>
              </c:extLst>
            </c:dLbl>
            <c:dLbl>
              <c:idx val="5"/>
              <c:layout>
                <c:manualLayout>
                  <c:x val="-1.9118942908126706E-2"/>
                  <c:y val="-1.26530618853037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7D06-3546-8B74-6DD0C803114C}"/>
                </c:ext>
              </c:extLst>
            </c:dLbl>
            <c:dLbl>
              <c:idx val="9"/>
              <c:layout>
                <c:manualLayout>
                  <c:x val="-2.2760646319198493E-2"/>
                  <c:y val="-1.42346946209666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7D06-3546-8B74-6DD0C803114C}"/>
                </c:ext>
              </c:extLst>
            </c:dLbl>
            <c:dLbl>
              <c:idx val="11"/>
              <c:layout>
                <c:manualLayout>
                  <c:x val="-4.3154616634306635E-2"/>
                  <c:y val="-0.14030036278992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D06-3546-8B74-6DD0C803114C}"/>
                </c:ext>
              </c:extLst>
            </c:dLbl>
            <c:dLbl>
              <c:idx val="12"/>
              <c:layout>
                <c:manualLayout>
                  <c:x val="-1.7298091202590894E-2"/>
                  <c:y val="-1.26530618853038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7D06-3546-8B74-6DD0C803114C}"/>
                </c:ext>
              </c:extLst>
            </c:dLbl>
            <c:dLbl>
              <c:idx val="16"/>
              <c:layout>
                <c:manualLayout>
                  <c:x val="-2.093979461366258E-2"/>
                  <c:y val="1.89795928279555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D06-3546-8B74-6DD0C803114C}"/>
                </c:ext>
              </c:extLst>
            </c:dLbl>
            <c:dLbl>
              <c:idx val="19"/>
              <c:delete val="1"/>
              <c:extLst>
                <c:ext xmlns:c15="http://schemas.microsoft.com/office/drawing/2012/chart" uri="{CE6537A1-D6FC-4f65-9D91-7224C49458BB}"/>
                <c:ext xmlns:c16="http://schemas.microsoft.com/office/drawing/2014/chart" uri="{C3380CC4-5D6E-409C-BE32-E72D297353CC}">
                  <c16:uniqueId val="{0000000A-7D06-3546-8B74-6DD0C803114C}"/>
                </c:ext>
              </c:extLst>
            </c:dLbl>
            <c:dLbl>
              <c:idx val="22"/>
              <c:delete val="1"/>
              <c:extLst>
                <c:ext xmlns:c15="http://schemas.microsoft.com/office/drawing/2012/chart" uri="{CE6537A1-D6FC-4f65-9D91-7224C49458BB}"/>
                <c:ext xmlns:c16="http://schemas.microsoft.com/office/drawing/2014/chart" uri="{C3380CC4-5D6E-409C-BE32-E72D297353CC}">
                  <c16:uniqueId val="{0000000B-7D06-3546-8B74-6DD0C803114C}"/>
                </c:ext>
              </c:extLst>
            </c:dLbl>
            <c:dLbl>
              <c:idx val="23"/>
              <c:delete val="1"/>
              <c:extLst>
                <c:ext xmlns:c15="http://schemas.microsoft.com/office/drawing/2012/chart" uri="{CE6537A1-D6FC-4f65-9D91-7224C49458BB}"/>
                <c:ext xmlns:c16="http://schemas.microsoft.com/office/drawing/2014/chart" uri="{C3380CC4-5D6E-409C-BE32-E72D297353CC}">
                  <c16:uniqueId val="{0000000C-7D06-3546-8B74-6DD0C803114C}"/>
                </c:ext>
              </c:extLst>
            </c:dLbl>
            <c:dLbl>
              <c:idx val="26"/>
              <c:delete val="1"/>
              <c:extLst>
                <c:ext xmlns:c15="http://schemas.microsoft.com/office/drawing/2012/chart" uri="{CE6537A1-D6FC-4f65-9D91-7224C49458BB}"/>
                <c:ext xmlns:c16="http://schemas.microsoft.com/office/drawing/2014/chart" uri="{C3380CC4-5D6E-409C-BE32-E72D297353CC}">
                  <c16:uniqueId val="{0000000D-7D06-3546-8B74-6DD0C803114C}"/>
                </c:ext>
              </c:extLst>
            </c:dLbl>
            <c:dLbl>
              <c:idx val="27"/>
              <c:delete val="1"/>
              <c:extLst>
                <c:ext xmlns:c15="http://schemas.microsoft.com/office/drawing/2012/chart" uri="{CE6537A1-D6FC-4f65-9D91-7224C49458BB}"/>
                <c:ext xmlns:c16="http://schemas.microsoft.com/office/drawing/2014/chart" uri="{C3380CC4-5D6E-409C-BE32-E72D297353CC}">
                  <c16:uniqueId val="{0000000E-7D06-3546-8B74-6DD0C803114C}"/>
                </c:ext>
              </c:extLst>
            </c:dLbl>
            <c:dLbl>
              <c:idx val="30"/>
              <c:delete val="1"/>
              <c:extLst>
                <c:ext xmlns:c15="http://schemas.microsoft.com/office/drawing/2012/chart" uri="{CE6537A1-D6FC-4f65-9D91-7224C49458BB}"/>
                <c:ext xmlns:c16="http://schemas.microsoft.com/office/drawing/2014/chart" uri="{C3380CC4-5D6E-409C-BE32-E72D297353CC}">
                  <c16:uniqueId val="{0000000F-7D06-3546-8B74-6DD0C803114C}"/>
                </c:ext>
              </c:extLst>
            </c:dLbl>
            <c:dLbl>
              <c:idx val="31"/>
              <c:delete val="1"/>
              <c:extLst>
                <c:ext xmlns:c15="http://schemas.microsoft.com/office/drawing/2012/chart" uri="{CE6537A1-D6FC-4f65-9D91-7224C49458BB}"/>
                <c:ext xmlns:c16="http://schemas.microsoft.com/office/drawing/2014/chart" uri="{C3380CC4-5D6E-409C-BE32-E72D297353CC}">
                  <c16:uniqueId val="{00000010-7D06-3546-8B74-6DD0C803114C}"/>
                </c:ext>
              </c:extLst>
            </c:dLbl>
            <c:dLbl>
              <c:idx val="34"/>
              <c:delete val="1"/>
              <c:extLst>
                <c:ext xmlns:c15="http://schemas.microsoft.com/office/drawing/2012/chart" uri="{CE6537A1-D6FC-4f65-9D91-7224C49458BB}"/>
                <c:ext xmlns:c16="http://schemas.microsoft.com/office/drawing/2014/chart" uri="{C3380CC4-5D6E-409C-BE32-E72D297353CC}">
                  <c16:uniqueId val="{00000011-7D06-3546-8B74-6DD0C803114C}"/>
                </c:ext>
              </c:extLst>
            </c:dLbl>
            <c:dLbl>
              <c:idx val="35"/>
              <c:delete val="1"/>
              <c:extLst>
                <c:ext xmlns:c15="http://schemas.microsoft.com/office/drawing/2012/chart" uri="{CE6537A1-D6FC-4f65-9D91-7224C49458BB}"/>
                <c:ext xmlns:c16="http://schemas.microsoft.com/office/drawing/2014/chart" uri="{C3380CC4-5D6E-409C-BE32-E72D297353CC}">
                  <c16:uniqueId val="{00000012-7D06-3546-8B74-6DD0C803114C}"/>
                </c:ext>
              </c:extLst>
            </c:dLbl>
            <c:dLbl>
              <c:idx val="38"/>
              <c:delete val="1"/>
              <c:extLst>
                <c:ext xmlns:c15="http://schemas.microsoft.com/office/drawing/2012/chart" uri="{CE6537A1-D6FC-4f65-9D91-7224C49458BB}"/>
                <c:ext xmlns:c16="http://schemas.microsoft.com/office/drawing/2014/chart" uri="{C3380CC4-5D6E-409C-BE32-E72D297353CC}">
                  <c16:uniqueId val="{00000014-7D06-3546-8B74-6DD0C803114C}"/>
                </c:ext>
              </c:extLst>
            </c:dLbl>
            <c:dLbl>
              <c:idx val="39"/>
              <c:delete val="1"/>
              <c:extLst>
                <c:ext xmlns:c15="http://schemas.microsoft.com/office/drawing/2012/chart" uri="{CE6537A1-D6FC-4f65-9D91-7224C49458BB}"/>
                <c:ext xmlns:c16="http://schemas.microsoft.com/office/drawing/2014/chart" uri="{C3380CC4-5D6E-409C-BE32-E72D297353CC}">
                  <c16:uniqueId val="{00000013-7D06-3546-8B74-6DD0C803114C}"/>
                </c:ext>
              </c:extLst>
            </c:dLbl>
            <c:dLbl>
              <c:idx val="40"/>
              <c:layout>
                <c:manualLayout>
                  <c:x val="-2.3671072171966397E-2"/>
                  <c:y val="-1.73979600922926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7D06-3546-8B74-6DD0C803114C}"/>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Charts!$C$7:$AQ$7</c:f>
              <c:strCache>
                <c:ptCount val="41"/>
                <c:pt idx="0">
                  <c:v>Q1Y18</c:v>
                </c:pt>
                <c:pt idx="1">
                  <c:v>Q2Y18</c:v>
                </c:pt>
                <c:pt idx="2">
                  <c:v>Q3Y18</c:v>
                </c:pt>
                <c:pt idx="3">
                  <c:v>Q4Y18</c:v>
                </c:pt>
                <c:pt idx="4">
                  <c:v>Q1Y19</c:v>
                </c:pt>
                <c:pt idx="5">
                  <c:v>Q2Y19</c:v>
                </c:pt>
                <c:pt idx="6">
                  <c:v>Q3Y19</c:v>
                </c:pt>
                <c:pt idx="7">
                  <c:v>Q4Y19</c:v>
                </c:pt>
                <c:pt idx="8">
                  <c:v>Q1Y20</c:v>
                </c:pt>
                <c:pt idx="9">
                  <c:v>Q2Y20</c:v>
                </c:pt>
                <c:pt idx="10">
                  <c:v>Q3Y20</c:v>
                </c:pt>
                <c:pt idx="11">
                  <c:v>Q4Y20</c:v>
                </c:pt>
                <c:pt idx="12">
                  <c:v>Q1Y21</c:v>
                </c:pt>
                <c:pt idx="13">
                  <c:v>Q2Y21</c:v>
                </c:pt>
                <c:pt idx="14">
                  <c:v>Q3Y21</c:v>
                </c:pt>
                <c:pt idx="15">
                  <c:v>Q4Y21</c:v>
                </c:pt>
                <c:pt idx="16">
                  <c:v>Q1Y22</c:v>
                </c:pt>
                <c:pt idx="18">
                  <c:v>Q2Y22</c:v>
                </c:pt>
                <c:pt idx="19">
                  <c:v>Q3Y22</c:v>
                </c:pt>
                <c:pt idx="20">
                  <c:v>Q4Y22</c:v>
                </c:pt>
                <c:pt idx="21">
                  <c:v>Q1Y23</c:v>
                </c:pt>
                <c:pt idx="22">
                  <c:v>Q2Y23</c:v>
                </c:pt>
                <c:pt idx="23">
                  <c:v>Q3Y23</c:v>
                </c:pt>
                <c:pt idx="24">
                  <c:v>Q4Y23</c:v>
                </c:pt>
                <c:pt idx="25">
                  <c:v>Q1Y24</c:v>
                </c:pt>
                <c:pt idx="26">
                  <c:v>Q2Y24</c:v>
                </c:pt>
                <c:pt idx="27">
                  <c:v>Q3Y24</c:v>
                </c:pt>
                <c:pt idx="28">
                  <c:v>Q4Y24</c:v>
                </c:pt>
                <c:pt idx="29">
                  <c:v>Q1Y25</c:v>
                </c:pt>
                <c:pt idx="30">
                  <c:v>Q2Y25</c:v>
                </c:pt>
                <c:pt idx="31">
                  <c:v>Q3Y25</c:v>
                </c:pt>
                <c:pt idx="32">
                  <c:v>Q4Y25</c:v>
                </c:pt>
                <c:pt idx="33">
                  <c:v>Q1Y26</c:v>
                </c:pt>
                <c:pt idx="34">
                  <c:v>Q2Y26</c:v>
                </c:pt>
                <c:pt idx="35">
                  <c:v>Q3Y26</c:v>
                </c:pt>
                <c:pt idx="36">
                  <c:v>Q4Y26</c:v>
                </c:pt>
                <c:pt idx="37">
                  <c:v>Q1Y27</c:v>
                </c:pt>
                <c:pt idx="38">
                  <c:v>Q2Y27</c:v>
                </c:pt>
                <c:pt idx="39">
                  <c:v>Q3Y27</c:v>
                </c:pt>
                <c:pt idx="40">
                  <c:v>Q4Y27</c:v>
                </c:pt>
              </c:strCache>
            </c:strRef>
          </c:cat>
          <c:val>
            <c:numRef>
              <c:f>Charts!$C$10:$AQ$10</c:f>
              <c:numCache>
                <c:formatCode>0.0%</c:formatCode>
                <c:ptCount val="41"/>
                <c:pt idx="0">
                  <c:v>0.21829231842183919</c:v>
                </c:pt>
                <c:pt idx="1">
                  <c:v>0.42054467271858575</c:v>
                </c:pt>
                <c:pt idx="2">
                  <c:v>0.54817491198814161</c:v>
                </c:pt>
                <c:pt idx="3">
                  <c:v>0.65766503000545551</c:v>
                </c:pt>
                <c:pt idx="4">
                  <c:v>0.38396819526627218</c:v>
                </c:pt>
                <c:pt idx="5">
                  <c:v>0.4481292517006803</c:v>
                </c:pt>
                <c:pt idx="6">
                  <c:v>0.41122852302976526</c:v>
                </c:pt>
                <c:pt idx="7">
                  <c:v>0.52418267610380853</c:v>
                </c:pt>
                <c:pt idx="8">
                  <c:v>0.39230322634154435</c:v>
                </c:pt>
                <c:pt idx="9">
                  <c:v>0.45971302428256072</c:v>
                </c:pt>
                <c:pt idx="10">
                  <c:v>0.46506254481714604</c:v>
                </c:pt>
                <c:pt idx="11">
                  <c:v>0.10979702732939108</c:v>
                </c:pt>
                <c:pt idx="12">
                  <c:v>0.32649006622516558</c:v>
                </c:pt>
                <c:pt idx="13">
                  <c:v>0.28363445009647431</c:v>
                </c:pt>
                <c:pt idx="14">
                  <c:v>0.54698190664436674</c:v>
                </c:pt>
                <c:pt idx="15">
                  <c:v>0.50218179128762663</c:v>
                </c:pt>
                <c:pt idx="16">
                  <c:v>0.42066536695805296</c:v>
                </c:pt>
                <c:pt idx="18">
                  <c:v>0.43382243176119173</c:v>
                </c:pt>
                <c:pt idx="19">
                  <c:v>0.48041694759857057</c:v>
                </c:pt>
                <c:pt idx="20">
                  <c:v>0.54569946589539375</c:v>
                </c:pt>
                <c:pt idx="21">
                  <c:v>0.34862582940343351</c:v>
                </c:pt>
                <c:pt idx="22">
                  <c:v>0.43382243176119178</c:v>
                </c:pt>
                <c:pt idx="23">
                  <c:v>0.48041694759857068</c:v>
                </c:pt>
                <c:pt idx="24">
                  <c:v>0.54569946589539386</c:v>
                </c:pt>
                <c:pt idx="25">
                  <c:v>0.34862582940343351</c:v>
                </c:pt>
                <c:pt idx="26">
                  <c:v>0.43382243176119178</c:v>
                </c:pt>
                <c:pt idx="27">
                  <c:v>0.48041694759857062</c:v>
                </c:pt>
                <c:pt idx="28">
                  <c:v>0.54569946589539375</c:v>
                </c:pt>
                <c:pt idx="29">
                  <c:v>0.34862582940343356</c:v>
                </c:pt>
                <c:pt idx="30">
                  <c:v>0.43382243176119173</c:v>
                </c:pt>
                <c:pt idx="31">
                  <c:v>0.48041694759857057</c:v>
                </c:pt>
                <c:pt idx="32">
                  <c:v>0.54569946589539375</c:v>
                </c:pt>
                <c:pt idx="33">
                  <c:v>0.34862582940343345</c:v>
                </c:pt>
                <c:pt idx="34">
                  <c:v>0.43382243176119173</c:v>
                </c:pt>
                <c:pt idx="35">
                  <c:v>0.48041694759857062</c:v>
                </c:pt>
                <c:pt idx="36">
                  <c:v>0.54569946589539386</c:v>
                </c:pt>
                <c:pt idx="37">
                  <c:v>0.3486258294034334</c:v>
                </c:pt>
                <c:pt idx="38">
                  <c:v>0.43382243176119184</c:v>
                </c:pt>
                <c:pt idx="39">
                  <c:v>0.48041694759857057</c:v>
                </c:pt>
                <c:pt idx="40">
                  <c:v>0.54569946589539386</c:v>
                </c:pt>
              </c:numCache>
            </c:numRef>
          </c:val>
          <c:smooth val="0"/>
          <c:extLst>
            <c:ext xmlns:c16="http://schemas.microsoft.com/office/drawing/2014/chart" uri="{C3380CC4-5D6E-409C-BE32-E72D297353CC}">
              <c16:uniqueId val="{00000003-7D06-3546-8B74-6DD0C803114C}"/>
            </c:ext>
          </c:extLst>
        </c:ser>
        <c:dLbls>
          <c:showLegendKey val="0"/>
          <c:showVal val="0"/>
          <c:showCatName val="0"/>
          <c:showSerName val="0"/>
          <c:showPercent val="0"/>
          <c:showBubbleSize val="0"/>
        </c:dLbls>
        <c:marker val="1"/>
        <c:smooth val="0"/>
        <c:axId val="693935728"/>
        <c:axId val="951710896"/>
      </c:lineChart>
      <c:catAx>
        <c:axId val="68561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85612224"/>
        <c:crosses val="autoZero"/>
        <c:auto val="1"/>
        <c:lblAlgn val="ctr"/>
        <c:lblOffset val="100"/>
        <c:noMultiLvlLbl val="0"/>
      </c:catAx>
      <c:valAx>
        <c:axId val="685612224"/>
        <c:scaling>
          <c:orientation val="minMax"/>
          <c:max val="5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USD</a:t>
                </a:r>
                <a:r>
                  <a:rPr lang="en-GB" baseline="0"/>
                  <a:t> iN MILLIONS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10576"/>
        <c:crosses val="autoZero"/>
        <c:crossBetween val="between"/>
      </c:valAx>
      <c:valAx>
        <c:axId val="951710896"/>
        <c:scaling>
          <c:orientation val="minMax"/>
          <c:max val="0.8"/>
          <c:min val="0"/>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35728"/>
        <c:crosses val="max"/>
        <c:crossBetween val="between"/>
        <c:minorUnit val="2.0000000000000004E-2"/>
      </c:valAx>
      <c:catAx>
        <c:axId val="693935728"/>
        <c:scaling>
          <c:orientation val="minMax"/>
        </c:scaling>
        <c:delete val="1"/>
        <c:axPos val="b"/>
        <c:numFmt formatCode="General" sourceLinked="1"/>
        <c:majorTickMark val="out"/>
        <c:minorTickMark val="none"/>
        <c:tickLblPos val="nextTo"/>
        <c:crossAx val="95171089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450645</xdr:colOff>
      <xdr:row>14</xdr:row>
      <xdr:rowOff>61452</xdr:rowOff>
    </xdr:from>
    <xdr:to>
      <xdr:col>24</xdr:col>
      <xdr:colOff>471129</xdr:colOff>
      <xdr:row>53</xdr:row>
      <xdr:rowOff>102419</xdr:rowOff>
    </xdr:to>
    <xdr:graphicFrame macro="">
      <xdr:nvGraphicFramePr>
        <xdr:cNvPr id="4" name="Chart 3">
          <a:extLst>
            <a:ext uri="{FF2B5EF4-FFF2-40B4-BE49-F238E27FC236}">
              <a16:creationId xmlns:a16="http://schemas.microsoft.com/office/drawing/2014/main" id="{72BD40AD-02F9-CC97-4E56-D88486F5C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0.70532</cdr:x>
      <cdr:y>0.08582</cdr:y>
    </cdr:from>
    <cdr:to>
      <cdr:x>0.84198</cdr:x>
      <cdr:y>0.13046</cdr:y>
    </cdr:to>
    <cdr:sp macro="" textlink="">
      <cdr:nvSpPr>
        <cdr:cNvPr id="2" name="Rectangle 1">
          <a:extLst xmlns:a="http://schemas.openxmlformats.org/drawingml/2006/main">
            <a:ext uri="{FF2B5EF4-FFF2-40B4-BE49-F238E27FC236}">
              <a16:creationId xmlns:a16="http://schemas.microsoft.com/office/drawing/2014/main" id="{41F42818-77A6-8AA0-6BCF-3611EB347983}"/>
            </a:ext>
          </a:extLst>
        </cdr:cNvPr>
        <cdr:cNvSpPr/>
      </cdr:nvSpPr>
      <cdr:spPr>
        <a:xfrm xmlns:a="http://schemas.openxmlformats.org/drawingml/2006/main">
          <a:off x="9963356" y="683616"/>
          <a:ext cx="1930399" cy="355599"/>
        </a:xfrm>
        <a:prstGeom xmlns:a="http://schemas.openxmlformats.org/drawingml/2006/main" prst="rect">
          <a:avLst/>
        </a:prstGeom>
        <a:noFill xmlns:a="http://schemas.openxmlformats.org/drawingml/2006/mai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2000">
              <a:solidFill>
                <a:schemeClr val="tx1"/>
              </a:solidFill>
              <a:latin typeface="+mj-lt"/>
            </a:rPr>
            <a:t>Forecast</a:t>
          </a:r>
          <a:r>
            <a:rPr lang="en-US" sz="2000" baseline="0">
              <a:solidFill>
                <a:schemeClr val="tx1"/>
              </a:solidFill>
              <a:latin typeface="+mj-lt"/>
            </a:rPr>
            <a:t> Period</a:t>
          </a:r>
          <a:endParaRPr lang="en-US" sz="2000">
            <a:solidFill>
              <a:schemeClr val="tx1"/>
            </a:solidFill>
            <a:latin typeface="+mj-lt"/>
          </a:endParaRPr>
        </a:p>
      </cdr:txBody>
    </cdr:sp>
  </cdr:relSizeAnchor>
</c:userShape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https://www.bing.com/financeapi/forcetrigger?t=a1xxmw&amp;q=XNYS%3aMRK&amp;form=skydnc</v>
    <v>Learn more on Bing</v>
  </rv>
  <rv s="1">
    <v>0</v>
    <v>MERCK &amp; CO., INC. (XNYS:MRK)</v>
    <v>2</v>
    <v>3</v>
    <v>Finance</v>
    <v>4</v>
    <v>en-GB</v>
    <v>a1xxmw</v>
    <v>268435456</v>
    <v>1</v>
    <v>Powered by Refinitiv</v>
    <v>95.72</v>
    <v>70.89</v>
    <v>0.32890000000000003</v>
    <v>-1.01</v>
    <v>-1.1188999999999999E-2</v>
    <v>0.04</v>
    <v>4.4810000000000005E-4</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Rd, KENILWORTH, NJ, 07033-1310 US</v>
    <v>90.74</v>
    <v>Pharmaceuticals</v>
    <v>Stock</v>
    <v>44799.997748900001</v>
    <v>0</v>
    <v>89.09</v>
    <v>226120600000</v>
    <v>MERCK &amp; CO., INC.</v>
    <v>MERCK &amp; CO., INC.</v>
    <v>90.28</v>
    <v>13.762</v>
    <v>90.27</v>
    <v>89.26</v>
    <v>89.3</v>
    <v>2533280000</v>
    <v>MRK</v>
    <v>MERCK &amp; CO., INC. (XNYS:MRK)</v>
    <v>5695502</v>
    <v>8026590</v>
    <v>1970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0931-1BB2-7A47-B448-0879C208B4B8}">
  <dimension ref="B1:F20"/>
  <sheetViews>
    <sheetView topLeftCell="A16" zoomScale="115" workbookViewId="0">
      <selection activeCell="F17" sqref="F17"/>
    </sheetView>
  </sheetViews>
  <sheetFormatPr baseColWidth="10" defaultRowHeight="16"/>
  <cols>
    <col min="1" max="1" width="2" customWidth="1"/>
    <col min="2" max="2" width="18.6640625" customWidth="1"/>
    <col min="3" max="3" width="18.33203125" customWidth="1"/>
    <col min="4" max="4" width="19.5" customWidth="1"/>
    <col min="5" max="5" width="16.83203125" bestFit="1" customWidth="1"/>
    <col min="6" max="6" width="12.6640625" bestFit="1" customWidth="1"/>
    <col min="9" max="9" width="12.5" bestFit="1" customWidth="1"/>
  </cols>
  <sheetData>
    <row r="1" spans="2:6">
      <c r="B1" t="s">
        <v>0</v>
      </c>
    </row>
    <row r="2" spans="2:6">
      <c r="B2" t="e" vm="1">
        <v>#VALUE!</v>
      </c>
    </row>
    <row r="5" spans="2:6">
      <c r="E5" t="s">
        <v>174</v>
      </c>
      <c r="F5" s="1" cm="1">
        <f t="array" ref="F5">_FV(B2,"Shares outstanding",TRUE)</f>
        <v>2533280000</v>
      </c>
    </row>
    <row r="6" spans="2:6">
      <c r="B6" t="s">
        <v>170</v>
      </c>
      <c r="C6" t="s">
        <v>171</v>
      </c>
      <c r="E6" t="s">
        <v>173</v>
      </c>
      <c r="F6" s="51">
        <v>234623</v>
      </c>
    </row>
    <row r="7" spans="2:6">
      <c r="E7" t="s">
        <v>176</v>
      </c>
      <c r="F7" s="2" cm="1">
        <f t="array" ref="F7">_FV(B2,"Price")</f>
        <v>89.26</v>
      </c>
    </row>
    <row r="8" spans="2:6">
      <c r="E8" t="s">
        <v>177</v>
      </c>
      <c r="F8" s="52" cm="1">
        <f t="array" ref="F8">_FV(B2,"P/E",TRUE)</f>
        <v>13.762</v>
      </c>
    </row>
    <row r="9" spans="2:6">
      <c r="E9" t="s">
        <v>88</v>
      </c>
      <c r="F9" s="12">
        <f>SUM('Balance Sheet'!S9:S10)</f>
        <v>8928</v>
      </c>
    </row>
    <row r="10" spans="2:6">
      <c r="E10" t="s">
        <v>178</v>
      </c>
      <c r="F10" s="12">
        <f>'Balance Sheet'!S30</f>
        <v>30586</v>
      </c>
    </row>
    <row r="11" spans="2:6">
      <c r="E11" t="s">
        <v>175</v>
      </c>
      <c r="F11" s="53">
        <f>F6-F9+F10</f>
        <v>256281</v>
      </c>
    </row>
    <row r="19" spans="2:4">
      <c r="B19" t="s">
        <v>492</v>
      </c>
      <c r="D19" t="s">
        <v>494</v>
      </c>
    </row>
    <row r="20" spans="2:4" ht="119">
      <c r="B20" s="40" t="s">
        <v>493</v>
      </c>
      <c r="D20" s="40"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3F8D-3565-B94A-901C-8846BE1C0D39}">
  <dimension ref="A1:XFD118"/>
  <sheetViews>
    <sheetView tabSelected="1" zoomScale="110" zoomScaleNormal="56" workbookViewId="0">
      <pane xSplit="2" ySplit="7" topLeftCell="AH78" activePane="bottomRight" state="frozen"/>
      <selection pane="topRight"/>
      <selection pane="bottomLeft"/>
      <selection pane="bottomRight" activeCell="AO94" sqref="AO94"/>
    </sheetView>
  </sheetViews>
  <sheetFormatPr baseColWidth="10" defaultRowHeight="16" outlineLevelRow="1"/>
  <cols>
    <col min="1" max="1" width="2.33203125" customWidth="1"/>
    <col min="2" max="2" width="39.1640625" bestFit="1" customWidth="1"/>
    <col min="3" max="3" width="11.5" customWidth="1"/>
    <col min="4" max="4" width="12.1640625" customWidth="1"/>
    <col min="5" max="5" width="10.5" customWidth="1"/>
    <col min="6" max="6" width="11.5" customWidth="1"/>
    <col min="7" max="10" width="11.5" bestFit="1" customWidth="1"/>
    <col min="11" max="13" width="12.33203125" bestFit="1" customWidth="1"/>
    <col min="14" max="14" width="12.33203125" customWidth="1"/>
    <col min="15" max="15" width="12.1640625" style="3" customWidth="1"/>
    <col min="16" max="17" width="12.33203125" bestFit="1" customWidth="1"/>
    <col min="18" max="18" width="12.1640625" customWidth="1"/>
    <col min="19" max="19" width="11.6640625" bestFit="1" customWidth="1"/>
    <col min="20" max="20" width="1.33203125" customWidth="1"/>
    <col min="21" max="21" width="12.5" customWidth="1"/>
    <col min="22" max="23" width="11.83203125" bestFit="1" customWidth="1"/>
    <col min="24" max="24" width="16.6640625" bestFit="1" customWidth="1"/>
    <col min="25" max="25" width="15" bestFit="1" customWidth="1"/>
    <col min="26" max="43" width="11.83203125" bestFit="1" customWidth="1"/>
    <col min="45" max="45" width="17.83203125" bestFit="1" customWidth="1"/>
    <col min="46" max="46" width="12" bestFit="1" customWidth="1"/>
    <col min="48" max="48" width="16.6640625" bestFit="1" customWidth="1"/>
  </cols>
  <sheetData>
    <row r="1" spans="2:46 16384:16384">
      <c r="B1" t="s">
        <v>0</v>
      </c>
    </row>
    <row r="2" spans="2:46 16384:16384">
      <c r="B2" t="e" vm="1">
        <v>#VALUE!</v>
      </c>
      <c r="G2" s="1"/>
      <c r="H2" s="1"/>
      <c r="I2" s="1"/>
      <c r="J2" s="1"/>
      <c r="K2" s="1"/>
      <c r="L2" s="1"/>
      <c r="M2" s="1"/>
      <c r="N2" s="1"/>
      <c r="O2" s="4"/>
    </row>
    <row r="5" spans="2:46 16384:16384">
      <c r="C5">
        <v>1</v>
      </c>
    </row>
    <row r="6" spans="2:46 16384:16384" ht="17" customHeight="1">
      <c r="M6" s="12">
        <f>SUM(M11:M16,M18:M22,M25:M33,M35:M36,M38,M40:M42,M45:M49,M51:M52,M55:M55,M57:M61)</f>
        <v>10076</v>
      </c>
    </row>
    <row r="7" spans="2:46 16384:16384">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2:46 16384:16384" ht="17" thickBot="1">
      <c r="B8" s="25" t="s">
        <v>1</v>
      </c>
      <c r="C8" s="26">
        <f t="shared" ref="C8:M8" si="0">SUM(C9,C66,C69)</f>
        <v>10037</v>
      </c>
      <c r="D8" s="26">
        <f t="shared" si="0"/>
        <v>10465</v>
      </c>
      <c r="E8" s="26">
        <f t="shared" si="0"/>
        <v>10794</v>
      </c>
      <c r="F8" s="26">
        <f t="shared" si="0"/>
        <v>10998</v>
      </c>
      <c r="G8" s="26">
        <f t="shared" si="0"/>
        <v>10816</v>
      </c>
      <c r="H8" s="26">
        <f t="shared" si="0"/>
        <v>11760</v>
      </c>
      <c r="I8" s="26">
        <f t="shared" si="0"/>
        <v>12397</v>
      </c>
      <c r="J8" s="26">
        <f t="shared" si="0"/>
        <v>11868</v>
      </c>
      <c r="K8" s="26">
        <f t="shared" si="0"/>
        <v>12057</v>
      </c>
      <c r="L8" s="26">
        <f t="shared" si="0"/>
        <v>10872</v>
      </c>
      <c r="M8" s="26">
        <f t="shared" si="0"/>
        <v>12551</v>
      </c>
      <c r="N8" s="26">
        <v>12514</v>
      </c>
      <c r="O8" s="26">
        <f>SUM(O9,O66,O69)</f>
        <v>12080</v>
      </c>
      <c r="P8" s="26">
        <f>SUM(P9,P66,P69)</f>
        <v>11402</v>
      </c>
      <c r="Q8" s="26">
        <f>SUM(Q9,Q66,Q69)</f>
        <v>13154</v>
      </c>
      <c r="R8" s="26">
        <f>SUM(R9,R66,R69)</f>
        <v>13521</v>
      </c>
      <c r="S8" s="26">
        <f>SUM(S9,S66,S69)</f>
        <v>15901</v>
      </c>
      <c r="T8" s="12"/>
      <c r="U8" s="26">
        <f>1.0225*S8</f>
        <v>16258.772499999999</v>
      </c>
      <c r="V8" s="26">
        <f t="shared" ref="V8:AH8" si="1">1.0225*U8</f>
        <v>16624.594881249999</v>
      </c>
      <c r="W8" s="26">
        <f t="shared" si="1"/>
        <v>16998.648266078122</v>
      </c>
      <c r="X8" s="26">
        <f t="shared" si="1"/>
        <v>17381.117852064879</v>
      </c>
      <c r="Y8" s="26">
        <f t="shared" si="1"/>
        <v>17772.193003736338</v>
      </c>
      <c r="Z8" s="26">
        <f t="shared" si="1"/>
        <v>18172.067346320404</v>
      </c>
      <c r="AA8" s="26">
        <f t="shared" si="1"/>
        <v>18580.938861612613</v>
      </c>
      <c r="AB8" s="26">
        <f t="shared" si="1"/>
        <v>18999.009985998895</v>
      </c>
      <c r="AC8" s="26">
        <f t="shared" si="1"/>
        <v>19426.487710683868</v>
      </c>
      <c r="AD8" s="26">
        <f t="shared" si="1"/>
        <v>19863.583684174257</v>
      </c>
      <c r="AE8" s="26">
        <f t="shared" si="1"/>
        <v>20310.514317068177</v>
      </c>
      <c r="AF8" s="26">
        <f t="shared" si="1"/>
        <v>20767.500889202209</v>
      </c>
      <c r="AG8" s="26">
        <f t="shared" si="1"/>
        <v>21234.769659209258</v>
      </c>
      <c r="AH8" s="26">
        <f t="shared" si="1"/>
        <v>21712.551976541465</v>
      </c>
      <c r="AI8" s="96">
        <v>16625</v>
      </c>
      <c r="AJ8" s="26">
        <f t="shared" ref="AJ8:AQ8" si="2">1.0225*AI8</f>
        <v>16999.0625</v>
      </c>
      <c r="AK8" s="26">
        <f t="shared" si="2"/>
        <v>17381.541406249999</v>
      </c>
      <c r="AL8" s="26">
        <f t="shared" si="2"/>
        <v>17772.626087890621</v>
      </c>
      <c r="AM8" s="26">
        <f t="shared" si="2"/>
        <v>18172.510174868159</v>
      </c>
      <c r="AN8" s="26">
        <f t="shared" si="2"/>
        <v>18581.391653802693</v>
      </c>
      <c r="AO8" s="26">
        <f t="shared" si="2"/>
        <v>18999.472966013254</v>
      </c>
      <c r="AP8" s="26">
        <f t="shared" si="2"/>
        <v>19426.961107748553</v>
      </c>
      <c r="AQ8" s="26">
        <f t="shared" si="2"/>
        <v>19864.067732672895</v>
      </c>
      <c r="AS8" s="58" t="s">
        <v>496</v>
      </c>
      <c r="AT8" s="97">
        <v>4.3499999999999997E-2</v>
      </c>
    </row>
    <row r="9" spans="2:46 16384:16384">
      <c r="B9" s="7" t="s">
        <v>15</v>
      </c>
      <c r="C9" s="30">
        <f t="shared" ref="C9:N9" si="3">SUM(C11:C16,C18:C23,C25:C33,C35:C36,C38,C40:C42,C45:C49,C51:C52,C54:C55,C57:C63,C65)</f>
        <v>8919</v>
      </c>
      <c r="D9" s="30">
        <f t="shared" si="3"/>
        <v>9282</v>
      </c>
      <c r="E9" s="30">
        <f t="shared" si="3"/>
        <v>9658</v>
      </c>
      <c r="F9" s="30">
        <f t="shared" si="3"/>
        <v>9830</v>
      </c>
      <c r="G9" s="30">
        <f t="shared" si="3"/>
        <v>9663</v>
      </c>
      <c r="H9" s="30">
        <f t="shared" si="3"/>
        <v>10460</v>
      </c>
      <c r="I9" s="30">
        <f t="shared" si="3"/>
        <v>11095</v>
      </c>
      <c r="J9" s="30">
        <f t="shared" si="3"/>
        <v>10533</v>
      </c>
      <c r="K9" s="30">
        <f t="shared" si="3"/>
        <v>10655</v>
      </c>
      <c r="L9" s="30">
        <f t="shared" si="3"/>
        <v>9679</v>
      </c>
      <c r="M9" s="30">
        <f t="shared" si="3"/>
        <v>11320</v>
      </c>
      <c r="N9" s="30">
        <f t="shared" si="3"/>
        <v>11367</v>
      </c>
      <c r="O9" s="30">
        <f>SUM(O11:O16,O18:O23,O25:O32,O35:O36,O38,O40:O42,O45:O49,O51:O52,O54:O55,O57:O63,O65)</f>
        <v>10675</v>
      </c>
      <c r="P9" s="30">
        <f>SUM(P11:P16,P18:P23,P25:P32,P35:P36,P38,P40:P42,P45:P49,P51:P52,P54:P55,P57:P63,P65)</f>
        <v>9980</v>
      </c>
      <c r="Q9" s="12">
        <f>SUM(Q11:Q16,Q18:Q22,Q25:Q32,Q35:Q36,Q38,Q40:Q42,Q45:Q49,Q51:Q52,Q54:Q55,Q57:Q63,Q65)</f>
        <v>11496</v>
      </c>
      <c r="R9" s="12">
        <f>SUM(R11:R16,R18:R22,R25:R33,R35:R36,R38,R40:R43,R45:R49,R51:R52,R54:R55,R57:R63,R65)</f>
        <v>12039</v>
      </c>
      <c r="S9" s="12">
        <f>SUM(S11:S16,S18:S22,S25:S33,S35:S36,S38,S40:S42,S45:S49,S51:S52,S54:S55,S57:S63,S65)</f>
        <v>14107</v>
      </c>
      <c r="T9" s="12"/>
      <c r="U9" s="12">
        <f t="shared" ref="U9:AQ9" si="4">SUM(U11:U16,U18:U22,U25:U33,U35:U36,U38,U40:U42,U45:U49,U51:U52,U54:U55,U57:U63,U65)</f>
        <v>14944.196031111114</v>
      </c>
      <c r="V9" s="12">
        <f t="shared" si="4"/>
        <v>15368.424920000001</v>
      </c>
      <c r="W9" s="12">
        <f t="shared" si="4"/>
        <v>15837.468475555555</v>
      </c>
      <c r="X9" s="12">
        <f t="shared" si="4"/>
        <v>16880.11282571726</v>
      </c>
      <c r="Y9" s="12">
        <f t="shared" si="4"/>
        <v>17150.364667383928</v>
      </c>
      <c r="Z9" s="12">
        <f t="shared" si="4"/>
        <v>17428.084948272819</v>
      </c>
      <c r="AA9" s="12">
        <f t="shared" si="4"/>
        <v>17784.373059954763</v>
      </c>
      <c r="AB9" s="12">
        <f t="shared" si="4"/>
        <v>18802.957082942889</v>
      </c>
      <c r="AC9" s="12">
        <f t="shared" si="4"/>
        <v>19120.961857336912</v>
      </c>
      <c r="AD9" s="12">
        <f t="shared" si="4"/>
        <v>19458.636842525186</v>
      </c>
      <c r="AE9" s="12">
        <f t="shared" si="4"/>
        <v>19812.764641435544</v>
      </c>
      <c r="AF9" s="12">
        <f t="shared" si="4"/>
        <v>20770.129583542268</v>
      </c>
      <c r="AG9" s="12">
        <f t="shared" si="4"/>
        <v>21151.289007778603</v>
      </c>
      <c r="AH9" s="12">
        <f t="shared" si="4"/>
        <v>21553.914978139561</v>
      </c>
      <c r="AI9" s="12">
        <f t="shared" si="4"/>
        <v>21979.225600299204</v>
      </c>
      <c r="AJ9" s="12">
        <f t="shared" si="4"/>
        <v>23069.775241878564</v>
      </c>
      <c r="AK9" s="12">
        <f t="shared" si="4"/>
        <v>23528.562697291316</v>
      </c>
      <c r="AL9" s="12">
        <f t="shared" si="4"/>
        <v>24012.825643803604</v>
      </c>
      <c r="AM9" s="12">
        <f t="shared" si="4"/>
        <v>24524.264019664653</v>
      </c>
      <c r="AN9" s="12">
        <f t="shared" si="4"/>
        <v>25676.300436574038</v>
      </c>
      <c r="AO9" s="12">
        <f t="shared" si="4"/>
        <v>26228.820778413414</v>
      </c>
      <c r="AP9" s="12">
        <f t="shared" si="4"/>
        <v>26811.717949587357</v>
      </c>
      <c r="AQ9" s="12">
        <f t="shared" si="4"/>
        <v>27426.880638294075</v>
      </c>
      <c r="AS9" t="s">
        <v>497</v>
      </c>
      <c r="AT9" s="54">
        <f>NPV(AT8,D92,E92,F92,G92,H92,I92,J92,K92,L92,M92,N92,O92,P92,Q92,R92,S92,U92,V92,W92,X92,Y92,Z92,AA92,AB92,AC92,AD92,AE92,AF92,AG92,AH92,AI92,AJ92,AK92,AL92,AM92,AN92,AO92,AP92,AQ92)</f>
        <v>75430.612612070661</v>
      </c>
    </row>
    <row r="10" spans="2:46 16384:16384">
      <c r="B10" s="7" t="s">
        <v>41</v>
      </c>
      <c r="C10" s="12"/>
      <c r="D10" s="12"/>
      <c r="E10" s="12"/>
      <c r="F10" s="12"/>
      <c r="G10" s="12"/>
      <c r="H10" s="12"/>
      <c r="I10" s="12"/>
      <c r="J10" s="12"/>
      <c r="K10" s="12"/>
      <c r="L10" s="12"/>
      <c r="M10" s="12"/>
      <c r="N10" s="12"/>
      <c r="O10" s="12"/>
      <c r="P10" s="12"/>
      <c r="Q10" s="12"/>
      <c r="R10" s="12"/>
      <c r="S10" s="12"/>
      <c r="U10" s="12"/>
      <c r="AT10" s="54"/>
    </row>
    <row r="11" spans="2:46 16384:16384">
      <c r="B11" t="s">
        <v>16</v>
      </c>
      <c r="C11" s="12">
        <v>1464</v>
      </c>
      <c r="D11" s="12">
        <v>1667</v>
      </c>
      <c r="E11" s="12">
        <v>1889</v>
      </c>
      <c r="F11" s="12">
        <v>2151</v>
      </c>
      <c r="G11" s="12">
        <v>2269</v>
      </c>
      <c r="H11" s="12">
        <v>2634</v>
      </c>
      <c r="I11" s="12">
        <v>3070</v>
      </c>
      <c r="J11" s="12">
        <v>3111</v>
      </c>
      <c r="K11" s="12">
        <v>3284</v>
      </c>
      <c r="L11" s="12">
        <v>3388</v>
      </c>
      <c r="M11" s="12">
        <v>3715</v>
      </c>
      <c r="N11" s="12">
        <v>3993</v>
      </c>
      <c r="O11" s="12">
        <v>3899</v>
      </c>
      <c r="P11" s="12">
        <v>4176</v>
      </c>
      <c r="Q11" s="12">
        <v>4534</v>
      </c>
      <c r="R11" s="12">
        <v>4577</v>
      </c>
      <c r="S11" s="12">
        <v>4809</v>
      </c>
      <c r="U11" s="12">
        <f>((1.07*SUM($O$11:$R$11))-$S$11)/3</f>
        <v>4526.6733333333332</v>
      </c>
      <c r="V11" s="12">
        <f>((1.07*SUM($O$11:$R$11))-$S$11)/3</f>
        <v>4526.6733333333332</v>
      </c>
      <c r="W11" s="12">
        <f>((1.07*SUM($O$11:$R$11))-$S$11)/3</f>
        <v>4526.6733333333332</v>
      </c>
      <c r="X11" s="12">
        <f>((1.07*SUM($S$11,$U$11:$W$11)))/4</f>
        <v>4919.0628499999993</v>
      </c>
      <c r="Y11" s="12">
        <f>((1.07*SUM($S$11,$U$11:$W$11)))/4</f>
        <v>4919.0628499999993</v>
      </c>
      <c r="Z11" s="12">
        <f>((1.07*SUM($S$11,$U$11:$W$11)))/4</f>
        <v>4919.0628499999993</v>
      </c>
      <c r="AA11" s="12">
        <f>((1.07*SUM($S$11,$U$11:$W$11)))/4</f>
        <v>4919.0628499999993</v>
      </c>
      <c r="AB11" s="12">
        <f>((1.07*SUM($X$11:$AA$11)))/4</f>
        <v>5263.3972494999998</v>
      </c>
      <c r="AC11" s="12">
        <f>((1.07*SUM($X$11:$AA$11)))/4</f>
        <v>5263.3972494999998</v>
      </c>
      <c r="AD11" s="12">
        <f>((1.07*SUM($X$11:$AA$11)))/4</f>
        <v>5263.3972494999998</v>
      </c>
      <c r="AE11" s="12">
        <f>((1.07*SUM($X$11:$AA$11)))/4</f>
        <v>5263.3972494999998</v>
      </c>
      <c r="AF11" s="12">
        <f>((1.07*SUM($AB$11:$AE$11)))/4</f>
        <v>5631.8350569650001</v>
      </c>
      <c r="AG11" s="12">
        <f>((1.07*SUM($AB$11:$AE$11)))/4</f>
        <v>5631.8350569650001</v>
      </c>
      <c r="AH11" s="12">
        <f>((1.07*SUM($AB$11:$AE$11)))/4</f>
        <v>5631.8350569650001</v>
      </c>
      <c r="AI11" s="12">
        <f>((1.07*SUM($AB$11:$AE$11)))/4</f>
        <v>5631.8350569650001</v>
      </c>
      <c r="AJ11" s="12">
        <f>((1.07*SUM($AF$11:$AI$11)))/4</f>
        <v>6026.0635109525501</v>
      </c>
      <c r="AK11" s="12">
        <f>((1.07*SUM($AF$11:$AI$11)))/4</f>
        <v>6026.0635109525501</v>
      </c>
      <c r="AL11" s="12">
        <f>((1.07*SUM($AF$11:$AI$11)))/4</f>
        <v>6026.0635109525501</v>
      </c>
      <c r="AM11" s="12">
        <f>((1.07*SUM($AF$11:$AI$11)))/4</f>
        <v>6026.0635109525501</v>
      </c>
      <c r="AN11" s="12">
        <f>((1.07*SUM($AJ$11:$AM$11)))/4</f>
        <v>6447.8879567192289</v>
      </c>
      <c r="AO11" s="12">
        <f>((1.07*SUM($AJ$11:$AM$11)))/4</f>
        <v>6447.8879567192289</v>
      </c>
      <c r="AP11" s="12">
        <f>((1.07*SUM($AJ$11:$AM$11)))/4</f>
        <v>6447.8879567192289</v>
      </c>
      <c r="AQ11" s="12">
        <f>((1.07*SUM($AJ$11:$AM$11)))/4</f>
        <v>6447.8879567192289</v>
      </c>
      <c r="AS11" t="s">
        <v>498</v>
      </c>
      <c r="AT11" s="49">
        <v>0.03</v>
      </c>
    </row>
    <row r="12" spans="2:46 16384:16384">
      <c r="B12" t="s">
        <v>477</v>
      </c>
      <c r="C12" s="12">
        <v>33</v>
      </c>
      <c r="D12" s="12">
        <v>44</v>
      </c>
      <c r="E12" s="12">
        <v>49</v>
      </c>
      <c r="F12" s="12">
        <v>62</v>
      </c>
      <c r="G12" s="12">
        <v>79</v>
      </c>
      <c r="H12" s="12">
        <v>111</v>
      </c>
      <c r="I12" s="12">
        <v>123</v>
      </c>
      <c r="J12" s="12">
        <v>132</v>
      </c>
      <c r="K12" s="12">
        <v>145</v>
      </c>
      <c r="L12" s="12">
        <v>178</v>
      </c>
      <c r="M12" s="12">
        <v>196</v>
      </c>
      <c r="N12" s="12">
        <v>206</v>
      </c>
      <c r="O12" s="12">
        <v>228</v>
      </c>
      <c r="P12" s="12">
        <v>248</v>
      </c>
      <c r="Q12" s="12">
        <v>246</v>
      </c>
      <c r="R12" s="12">
        <v>268</v>
      </c>
      <c r="S12" s="12">
        <v>266</v>
      </c>
      <c r="U12" s="12">
        <f>(((1.25*990))-$S$12)/3</f>
        <v>323.83333333333331</v>
      </c>
      <c r="V12" s="12">
        <f>(((1.25*990))-$S$12)/3</f>
        <v>323.83333333333331</v>
      </c>
      <c r="W12" s="12">
        <f>(((1.25*990))-$S$12)/3</f>
        <v>323.83333333333331</v>
      </c>
      <c r="X12" s="12">
        <f>(1.25*SUM($S$12,$U$12:$W$12))/4</f>
        <v>386.71874999999994</v>
      </c>
      <c r="Y12" s="12">
        <f>(1.25*SUM($S$12,$U$12:$W$12))/4</f>
        <v>386.71874999999994</v>
      </c>
      <c r="Z12" s="12">
        <f>(1.25*SUM($S$12,$U$12:$W$12))/4</f>
        <v>386.71874999999994</v>
      </c>
      <c r="AA12" s="12">
        <f>(1.25*SUM($S$12,$U$12:$W$12))/4</f>
        <v>386.71874999999994</v>
      </c>
      <c r="AB12" s="12">
        <f>1.2*SUM($X$12:$AA$12)/4</f>
        <v>464.06249999999989</v>
      </c>
      <c r="AC12" s="12">
        <f>1.2*SUM($X$12:$AA$12)/4</f>
        <v>464.06249999999989</v>
      </c>
      <c r="AD12" s="12">
        <f>1.2*SUM($X$12:$AA$12)/4</f>
        <v>464.06249999999989</v>
      </c>
      <c r="AE12" s="12">
        <f>1.2*SUM($X$12:$AA$12)/4</f>
        <v>464.06249999999989</v>
      </c>
      <c r="AF12" s="12">
        <f>1.1*SUM($AB$12:$AE$12)/4</f>
        <v>510.46874999999994</v>
      </c>
      <c r="AG12" s="12">
        <f>1.1*SUM($AB$12:$AE$12)/4</f>
        <v>510.46874999999994</v>
      </c>
      <c r="AH12" s="12">
        <f>1.1*SUM($AB$12:$AE$12)/4</f>
        <v>510.46874999999994</v>
      </c>
      <c r="AI12" s="12">
        <f>1.1*SUM($AB$12:$AE$12)/4</f>
        <v>510.46874999999994</v>
      </c>
      <c r="AJ12" s="12">
        <f>1.05*SUM($AF$12:$AI$12)/4</f>
        <v>535.9921875</v>
      </c>
      <c r="AK12" s="12">
        <f>1.05*SUM($AF$12:$AI$12)/4</f>
        <v>535.9921875</v>
      </c>
      <c r="AL12" s="12">
        <f>1.05*SUM($AF$12:$AI$12)/4</f>
        <v>535.9921875</v>
      </c>
      <c r="AM12" s="12">
        <f>1.05*SUM($AF$12:$AI$12)/4</f>
        <v>535.9921875</v>
      </c>
      <c r="AN12" s="12">
        <f>1.05*SUM($AJ$12:$AM$12)/4</f>
        <v>562.79179687500005</v>
      </c>
      <c r="AO12" s="12">
        <f>1.05*SUM($AJ$12:$AM$12)/4</f>
        <v>562.79179687500005</v>
      </c>
      <c r="AP12" s="12">
        <f>1.05*SUM($AJ$12:$AM$12)/4</f>
        <v>562.79179687500005</v>
      </c>
      <c r="AQ12" s="12">
        <f>1.05*SUM($AJ$12:$AM$12)/4</f>
        <v>562.79179687500005</v>
      </c>
      <c r="AS12" s="58" t="s">
        <v>499</v>
      </c>
      <c r="AT12" s="95">
        <f>AQ92*(1+AT11)/(AT8-AT11)</f>
        <v>382961.23456407373</v>
      </c>
      <c r="XFD12" s="9"/>
    </row>
    <row r="13" spans="2:46 16384:16384">
      <c r="B13" t="s">
        <v>478</v>
      </c>
      <c r="C13" s="12">
        <v>0</v>
      </c>
      <c r="D13" s="12">
        <v>35</v>
      </c>
      <c r="E13" s="12">
        <v>43</v>
      </c>
      <c r="F13" s="12">
        <v>71</v>
      </c>
      <c r="G13" s="12">
        <v>74</v>
      </c>
      <c r="H13" s="12">
        <v>97</v>
      </c>
      <c r="I13" s="12">
        <v>109</v>
      </c>
      <c r="J13" s="12">
        <v>124</v>
      </c>
      <c r="K13" s="12">
        <v>128</v>
      </c>
      <c r="L13" s="12">
        <v>151</v>
      </c>
      <c r="M13" s="12">
        <v>142</v>
      </c>
      <c r="N13" s="12">
        <v>158</v>
      </c>
      <c r="O13" s="12">
        <v>130</v>
      </c>
      <c r="P13" s="12">
        <v>181</v>
      </c>
      <c r="Q13" s="12">
        <v>188</v>
      </c>
      <c r="R13" s="12">
        <v>206</v>
      </c>
      <c r="S13" s="12">
        <v>227</v>
      </c>
      <c r="U13" s="12">
        <f>(1.2*SUM($O$13:$R$13)-227)/3</f>
        <v>206.33333333333334</v>
      </c>
      <c r="V13" s="12">
        <f>(1.2*SUM($O$13:$R$13)-227)/3</f>
        <v>206.33333333333334</v>
      </c>
      <c r="W13" s="12">
        <f>(1.2*SUM($O$13:$R$13)-227)/3</f>
        <v>206.33333333333334</v>
      </c>
      <c r="X13" s="12">
        <f>(1.2*SUM($S$13,$U$13:$W$13))/4</f>
        <v>253.8</v>
      </c>
      <c r="Y13" s="12">
        <f>(1.2*SUM($S$13,$U$13:$W$13))/4</f>
        <v>253.8</v>
      </c>
      <c r="Z13" s="12">
        <f>(1.2*SUM($S$13,$U$13:$W$13))/4</f>
        <v>253.8</v>
      </c>
      <c r="AA13" s="12">
        <f>(1.2*SUM($S$13,$U$13:$W$13))/4</f>
        <v>253.8</v>
      </c>
      <c r="AB13" s="12">
        <f t="shared" ref="AB13:AQ13" si="5">(1.2*SUM($X$13:$AA$13))/4</f>
        <v>304.56</v>
      </c>
      <c r="AC13" s="12">
        <f t="shared" si="5"/>
        <v>304.56</v>
      </c>
      <c r="AD13" s="12">
        <f t="shared" si="5"/>
        <v>304.56</v>
      </c>
      <c r="AE13" s="12">
        <f t="shared" si="5"/>
        <v>304.56</v>
      </c>
      <c r="AF13" s="12">
        <f t="shared" si="5"/>
        <v>304.56</v>
      </c>
      <c r="AG13" s="12">
        <f t="shared" si="5"/>
        <v>304.56</v>
      </c>
      <c r="AH13" s="12">
        <f t="shared" si="5"/>
        <v>304.56</v>
      </c>
      <c r="AI13" s="12">
        <f t="shared" si="5"/>
        <v>304.56</v>
      </c>
      <c r="AJ13" s="12">
        <f t="shared" si="5"/>
        <v>304.56</v>
      </c>
      <c r="AK13" s="12">
        <f t="shared" si="5"/>
        <v>304.56</v>
      </c>
      <c r="AL13" s="12">
        <f t="shared" si="5"/>
        <v>304.56</v>
      </c>
      <c r="AM13" s="12">
        <f t="shared" si="5"/>
        <v>304.56</v>
      </c>
      <c r="AN13" s="12">
        <f t="shared" si="5"/>
        <v>304.56</v>
      </c>
      <c r="AO13" s="12">
        <f t="shared" si="5"/>
        <v>304.56</v>
      </c>
      <c r="AP13" s="12">
        <f t="shared" si="5"/>
        <v>304.56</v>
      </c>
      <c r="AQ13" s="12">
        <f t="shared" si="5"/>
        <v>304.56</v>
      </c>
      <c r="AS13" t="s">
        <v>500</v>
      </c>
      <c r="AT13" s="54">
        <f>AT12/(1+AT8)^23</f>
        <v>143823.01418792689</v>
      </c>
    </row>
    <row r="14" spans="2:46 16384:16384">
      <c r="B14" t="s">
        <v>63</v>
      </c>
      <c r="C14" s="12">
        <v>0</v>
      </c>
      <c r="D14" s="12">
        <v>0</v>
      </c>
      <c r="E14" s="12">
        <v>0</v>
      </c>
      <c r="F14" s="12">
        <v>0</v>
      </c>
      <c r="G14" s="12">
        <v>0</v>
      </c>
      <c r="H14" s="12">
        <v>0</v>
      </c>
      <c r="I14" s="12">
        <v>0</v>
      </c>
      <c r="J14" s="12">
        <v>0</v>
      </c>
      <c r="K14" s="12">
        <v>0</v>
      </c>
      <c r="L14" s="12">
        <v>0</v>
      </c>
      <c r="M14" s="12">
        <v>0</v>
      </c>
      <c r="N14" s="12">
        <v>0</v>
      </c>
      <c r="O14" s="12">
        <v>0</v>
      </c>
      <c r="P14" s="12">
        <v>0</v>
      </c>
      <c r="Q14" s="12">
        <v>0</v>
      </c>
      <c r="R14" s="12">
        <v>17</v>
      </c>
      <c r="S14" s="12">
        <v>52</v>
      </c>
      <c r="U14" s="12">
        <f>S14*2</f>
        <v>104</v>
      </c>
      <c r="V14" s="12">
        <f>1.5*U14</f>
        <v>156</v>
      </c>
      <c r="W14" s="12">
        <f>1.3*$V$14</f>
        <v>202.8</v>
      </c>
      <c r="X14" s="12">
        <f>1.3*$V$14</f>
        <v>202.8</v>
      </c>
      <c r="Y14" s="12">
        <f>1.3*$V$14</f>
        <v>202.8</v>
      </c>
      <c r="Z14" s="12">
        <f>1.3*V14</f>
        <v>202.8</v>
      </c>
      <c r="AA14" s="12">
        <f>1.3*W14</f>
        <v>263.64000000000004</v>
      </c>
      <c r="AB14" s="12">
        <f>1.3*X14</f>
        <v>263.64000000000004</v>
      </c>
      <c r="AC14" s="12">
        <f>1.3*Y14</f>
        <v>263.64000000000004</v>
      </c>
      <c r="AD14" s="12">
        <f>1.3*Z14</f>
        <v>263.64000000000004</v>
      </c>
      <c r="AE14" s="12">
        <f t="shared" ref="AE14:AQ14" si="6">1*$AD$14</f>
        <v>263.64000000000004</v>
      </c>
      <c r="AF14" s="12">
        <f t="shared" si="6"/>
        <v>263.64000000000004</v>
      </c>
      <c r="AG14" s="12">
        <f t="shared" si="6"/>
        <v>263.64000000000004</v>
      </c>
      <c r="AH14" s="12">
        <f t="shared" si="6"/>
        <v>263.64000000000004</v>
      </c>
      <c r="AI14" s="12">
        <f t="shared" si="6"/>
        <v>263.64000000000004</v>
      </c>
      <c r="AJ14" s="12">
        <f t="shared" si="6"/>
        <v>263.64000000000004</v>
      </c>
      <c r="AK14" s="12">
        <f t="shared" si="6"/>
        <v>263.64000000000004</v>
      </c>
      <c r="AL14" s="12">
        <f t="shared" si="6"/>
        <v>263.64000000000004</v>
      </c>
      <c r="AM14" s="12">
        <f t="shared" si="6"/>
        <v>263.64000000000004</v>
      </c>
      <c r="AN14" s="12">
        <f t="shared" si="6"/>
        <v>263.64000000000004</v>
      </c>
      <c r="AO14" s="12">
        <f t="shared" si="6"/>
        <v>263.64000000000004</v>
      </c>
      <c r="AP14" s="12">
        <f t="shared" si="6"/>
        <v>263.64000000000004</v>
      </c>
      <c r="AQ14" s="12">
        <f t="shared" si="6"/>
        <v>263.64000000000004</v>
      </c>
    </row>
    <row r="15" spans="2:46 16384:16384">
      <c r="B15" t="s">
        <v>83</v>
      </c>
      <c r="C15" s="12">
        <v>57</v>
      </c>
      <c r="D15" s="12">
        <v>56</v>
      </c>
      <c r="E15" s="12">
        <v>46</v>
      </c>
      <c r="F15" s="12">
        <v>56</v>
      </c>
      <c r="G15" s="12">
        <v>0</v>
      </c>
      <c r="H15" s="12">
        <v>0</v>
      </c>
      <c r="I15" s="12">
        <v>0</v>
      </c>
      <c r="J15" s="12">
        <v>0</v>
      </c>
      <c r="K15" s="12">
        <v>0</v>
      </c>
      <c r="L15" s="12">
        <v>0</v>
      </c>
      <c r="M15" s="12">
        <v>0</v>
      </c>
      <c r="N15" s="12">
        <v>0</v>
      </c>
      <c r="O15" s="12">
        <v>0</v>
      </c>
      <c r="P15" s="12">
        <v>0</v>
      </c>
      <c r="Q15" s="12">
        <v>0</v>
      </c>
      <c r="R15" s="12">
        <v>0</v>
      </c>
      <c r="S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S15" s="58" t="s">
        <v>501</v>
      </c>
      <c r="AT15" s="54">
        <f>AT9+AT13</f>
        <v>219253.62679999755</v>
      </c>
    </row>
    <row r="16" spans="2:46 16384:16384">
      <c r="B16" t="s">
        <v>82</v>
      </c>
      <c r="C16" s="12">
        <v>125</v>
      </c>
      <c r="D16" s="12">
        <v>148</v>
      </c>
      <c r="E16" s="12">
        <v>123</v>
      </c>
      <c r="F16" s="12">
        <v>126</v>
      </c>
      <c r="G16" s="12">
        <v>117</v>
      </c>
      <c r="H16" s="12">
        <v>121</v>
      </c>
      <c r="I16" s="12">
        <v>98</v>
      </c>
      <c r="J16" s="12">
        <v>53</v>
      </c>
      <c r="K16" s="12">
        <v>43</v>
      </c>
      <c r="L16" s="12">
        <v>33</v>
      </c>
      <c r="M16" s="12">
        <v>39</v>
      </c>
      <c r="N16" s="12">
        <v>31</v>
      </c>
      <c r="O16" s="12">
        <v>0</v>
      </c>
      <c r="P16" s="12">
        <v>0</v>
      </c>
      <c r="Q16" s="12">
        <v>0</v>
      </c>
      <c r="R16" s="12">
        <v>0</v>
      </c>
      <c r="S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S16" t="s">
        <v>502</v>
      </c>
      <c r="AT16" s="54">
        <f>'Balance Sheet'!S30-'Balance Sheet'!S9-'Balance Sheet'!S10-'Balance Sheet'!S15-'Balance Sheet'!S13</f>
        <v>14688</v>
      </c>
    </row>
    <row r="17" spans="1:49 16384:16384">
      <c r="A17" s="7"/>
      <c r="B17" s="7" t="s">
        <v>42</v>
      </c>
      <c r="C17" s="12"/>
      <c r="D17" s="12"/>
      <c r="E17" s="12"/>
      <c r="F17" s="12"/>
      <c r="G17" s="12"/>
      <c r="H17" s="12"/>
      <c r="I17" s="12"/>
      <c r="J17" s="12"/>
      <c r="K17" s="12"/>
      <c r="L17" s="12"/>
      <c r="M17" s="12"/>
      <c r="N17" s="12"/>
      <c r="O17" s="12"/>
      <c r="P17" s="12"/>
      <c r="Q17" s="12"/>
      <c r="R17" s="12"/>
      <c r="S17" s="12"/>
      <c r="AS17" t="s">
        <v>503</v>
      </c>
      <c r="AT17" s="54">
        <f>AT15-AT16</f>
        <v>204565.62679999755</v>
      </c>
    </row>
    <row r="18" spans="1:49 16384:16384">
      <c r="B18" t="s">
        <v>18</v>
      </c>
      <c r="C18" s="12">
        <v>660</v>
      </c>
      <c r="D18" s="12">
        <v>608</v>
      </c>
      <c r="E18" s="12">
        <v>1048</v>
      </c>
      <c r="F18" s="12">
        <v>835</v>
      </c>
      <c r="G18" s="12">
        <v>838</v>
      </c>
      <c r="H18" s="12">
        <v>886</v>
      </c>
      <c r="I18" s="12">
        <v>1320</v>
      </c>
      <c r="J18" s="12">
        <v>693</v>
      </c>
      <c r="K18" s="12">
        <v>1097</v>
      </c>
      <c r="L18" s="12">
        <v>656</v>
      </c>
      <c r="M18" s="12">
        <v>1187</v>
      </c>
      <c r="N18" s="12">
        <v>998</v>
      </c>
      <c r="O18" s="12">
        <v>917</v>
      </c>
      <c r="P18" s="12">
        <v>1234</v>
      </c>
      <c r="Q18" s="12">
        <v>1993</v>
      </c>
      <c r="R18" s="12">
        <v>1528</v>
      </c>
      <c r="S18" s="12">
        <v>1460</v>
      </c>
      <c r="U18" s="12">
        <f>((1.1*SUM($O$18:$R$18))-$S$18)/3</f>
        <v>1593.0666666666668</v>
      </c>
      <c r="V18" s="12">
        <f>((1.1*SUM($O$18:$R$18))-$S$18)/3</f>
        <v>1593.0666666666668</v>
      </c>
      <c r="W18" s="12">
        <f>((1.1*SUM($O$18:$R$18))-$S$18)/3</f>
        <v>1593.0666666666668</v>
      </c>
      <c r="X18" s="12">
        <f>((1.1*SUM($S$18,$U$18:$W$18)))/4</f>
        <v>1715.7800000000002</v>
      </c>
      <c r="Y18" s="12">
        <f>((1.1*SUM($S$18,$U$18:$W$18)))/4</f>
        <v>1715.7800000000002</v>
      </c>
      <c r="Z18" s="12">
        <f>((1.1*SUM($S$18,$U$18:$W$18)))/4</f>
        <v>1715.7800000000002</v>
      </c>
      <c r="AA18" s="12">
        <f>((1.1*SUM($S$18,$U$18:$W$18)))/4</f>
        <v>1715.7800000000002</v>
      </c>
      <c r="AB18" s="12">
        <f>(1.1*SUM($X$18:$AA$18))/4</f>
        <v>1887.3580000000004</v>
      </c>
      <c r="AC18" s="12">
        <f>(1.1*SUM($X$18:$AA$18))/4</f>
        <v>1887.3580000000004</v>
      </c>
      <c r="AD18" s="12">
        <f>(1.1*SUM($X$18:$AA$18))/4</f>
        <v>1887.3580000000004</v>
      </c>
      <c r="AE18" s="12">
        <f>(1.1*SUM($X$18:$AA$18))/4</f>
        <v>1887.3580000000004</v>
      </c>
      <c r="AF18" s="12">
        <f>(1.05*SUM($AB$18:$AE$18))/4</f>
        <v>1981.7259000000006</v>
      </c>
      <c r="AG18" s="12">
        <f>(1.05*SUM($AB$18:$AE$18))/4</f>
        <v>1981.7259000000006</v>
      </c>
      <c r="AH18" s="12">
        <f>(1.05*SUM($AB$18:$AE$18))/4</f>
        <v>1981.7259000000006</v>
      </c>
      <c r="AI18" s="12">
        <f>(1.05*SUM($AB$18:$AE$18))/4</f>
        <v>1981.7259000000006</v>
      </c>
      <c r="AJ18" s="12">
        <f>(1.05*SUM($AF$18:$AI$18))/4</f>
        <v>2080.8121950000009</v>
      </c>
      <c r="AK18" s="12">
        <f>(1.05*SUM($AF$18:$AI$18))/4</f>
        <v>2080.8121950000009</v>
      </c>
      <c r="AL18" s="12">
        <f>(1.05*SUM($AF$18:$AI$18))/4</f>
        <v>2080.8121950000009</v>
      </c>
      <c r="AM18" s="12">
        <f>(1.05*SUM($AF$18:$AI$18))/4</f>
        <v>2080.8121950000009</v>
      </c>
      <c r="AN18" s="12">
        <f>(1.02*SUM($AJ$18:$AM$18))/4</f>
        <v>2122.4284389000009</v>
      </c>
      <c r="AO18" s="12">
        <f>(1.02*SUM($AJ$18:$AM$18))/4</f>
        <v>2122.4284389000009</v>
      </c>
      <c r="AP18" s="12">
        <f>(1.02*SUM($AJ$18:$AM$18))/4</f>
        <v>2122.4284389000009</v>
      </c>
      <c r="AQ18" s="12">
        <f>(1.02*SUM($AJ$18:$AM$18))/4</f>
        <v>2122.4284389000009</v>
      </c>
    </row>
    <row r="19" spans="1:49 16384:16384">
      <c r="B19" t="s">
        <v>19</v>
      </c>
      <c r="C19" s="12">
        <v>392</v>
      </c>
      <c r="D19" s="12">
        <v>426</v>
      </c>
      <c r="E19" s="12">
        <v>525</v>
      </c>
      <c r="F19" s="12">
        <v>455</v>
      </c>
      <c r="G19" s="12">
        <v>496</v>
      </c>
      <c r="H19" s="12">
        <v>675</v>
      </c>
      <c r="I19" s="12">
        <v>623</v>
      </c>
      <c r="J19" s="12">
        <v>481</v>
      </c>
      <c r="K19" s="12">
        <v>435</v>
      </c>
      <c r="L19" s="12">
        <v>378</v>
      </c>
      <c r="M19" s="12">
        <v>576</v>
      </c>
      <c r="N19" s="12">
        <v>488</v>
      </c>
      <c r="O19" s="12">
        <v>449</v>
      </c>
      <c r="P19" s="12">
        <v>516</v>
      </c>
      <c r="Q19" s="12">
        <v>661</v>
      </c>
      <c r="R19" s="12">
        <v>509</v>
      </c>
      <c r="S19" s="12">
        <v>470</v>
      </c>
      <c r="U19" s="12">
        <f>((1.1375*SUM($O$19:$R$19))-$S$19)/3</f>
        <v>652.85416666666663</v>
      </c>
      <c r="V19" s="12">
        <f>((1.1375*SUM($O$19:$R$19))-$S$19)/3</f>
        <v>652.85416666666663</v>
      </c>
      <c r="W19" s="12">
        <f>((1.1375*SUM($O$19:$R$19))-$S$19)/3</f>
        <v>652.85416666666663</v>
      </c>
      <c r="X19" s="12">
        <f>((1.1*SUM($S$19,$U$19:$W$19)))/4</f>
        <v>667.85468749999995</v>
      </c>
      <c r="Y19" s="12">
        <f>((1.1*SUM($S$19,$U$19:$W$19)))/4</f>
        <v>667.85468749999995</v>
      </c>
      <c r="Z19" s="12">
        <f>((1.1*SUM($S$19,$U$19:$W$19)))/4</f>
        <v>667.85468749999995</v>
      </c>
      <c r="AA19" s="12">
        <f>((1.1*SUM($S$19,$U$19:$W$19)))/4</f>
        <v>667.85468749999995</v>
      </c>
      <c r="AB19" s="12">
        <f>((1.1*SUM($X$19:$AA$19)))/4</f>
        <v>734.64015625000002</v>
      </c>
      <c r="AC19" s="12">
        <f>((1.1*SUM($X$19:$AA$19)))/4</f>
        <v>734.64015625000002</v>
      </c>
      <c r="AD19" s="12">
        <f>((1.1*SUM($X$19:$AA$19)))/4</f>
        <v>734.64015625000002</v>
      </c>
      <c r="AE19" s="12">
        <f>((1.1*SUM($X$19:$AA$19)))/4</f>
        <v>734.64015625000002</v>
      </c>
      <c r="AF19" s="12">
        <f>((1.1*SUM($AB$19:$AE$19)))/4</f>
        <v>808.10417187500013</v>
      </c>
      <c r="AG19" s="12">
        <f>((1.1*SUM($AB$19:$AE$19)))/4</f>
        <v>808.10417187500013</v>
      </c>
      <c r="AH19" s="12">
        <f>((1.1*SUM($AB$19:$AE$19)))/4</f>
        <v>808.10417187500013</v>
      </c>
      <c r="AI19" s="12">
        <f>((1.1*SUM($AB$19:$AE$19)))/4</f>
        <v>808.10417187500013</v>
      </c>
      <c r="AJ19" s="12">
        <f>((1.05*SUM($AF$19:$AI$19)))/4</f>
        <v>848.50938046875012</v>
      </c>
      <c r="AK19" s="12">
        <f>((1.05*SUM($AF$19:$AI$19)))/4</f>
        <v>848.50938046875012</v>
      </c>
      <c r="AL19" s="12">
        <f>((1.05*SUM($AF$19:$AI$19)))/4</f>
        <v>848.50938046875012</v>
      </c>
      <c r="AM19" s="12">
        <f>((1.05*SUM($AF$19:$AI$19)))/4</f>
        <v>848.50938046875012</v>
      </c>
      <c r="AN19" s="12">
        <f>((1.02*SUM($AJ$19:$AM$19)))/4</f>
        <v>865.47956807812511</v>
      </c>
      <c r="AO19" s="12">
        <f>((1.02*SUM($AJ$19:$AM$19)))/4</f>
        <v>865.47956807812511</v>
      </c>
      <c r="AP19" s="12">
        <f>((1.02*SUM($AJ$19:$AM$19)))/4</f>
        <v>865.47956807812511</v>
      </c>
      <c r="AQ19" s="12">
        <f>((1.02*SUM($AJ$19:$AM$19)))/4</f>
        <v>865.47956807812511</v>
      </c>
      <c r="AS19" t="s">
        <v>515</v>
      </c>
      <c r="AT19">
        <v>2535</v>
      </c>
    </row>
    <row r="20" spans="1:49 16384:16384">
      <c r="B20" t="s">
        <v>39</v>
      </c>
      <c r="C20" s="12">
        <v>179</v>
      </c>
      <c r="D20" s="12">
        <v>193</v>
      </c>
      <c r="E20" s="12">
        <v>214</v>
      </c>
      <c r="F20" s="12">
        <v>322</v>
      </c>
      <c r="G20" s="12">
        <v>185</v>
      </c>
      <c r="H20" s="12">
        <v>170</v>
      </c>
      <c r="I20" s="12">
        <v>237</v>
      </c>
      <c r="J20" s="12">
        <v>334</v>
      </c>
      <c r="K20" s="12">
        <v>256</v>
      </c>
      <c r="L20" s="12">
        <v>117</v>
      </c>
      <c r="M20" s="12">
        <v>375</v>
      </c>
      <c r="N20" s="12">
        <v>339</v>
      </c>
      <c r="O20" s="12">
        <v>171</v>
      </c>
      <c r="P20" s="12">
        <v>152</v>
      </c>
      <c r="Q20" s="12">
        <v>277</v>
      </c>
      <c r="R20" s="12">
        <v>292</v>
      </c>
      <c r="S20" s="12">
        <v>173</v>
      </c>
      <c r="U20" s="12">
        <f>1.1*S20</f>
        <v>190.3</v>
      </c>
      <c r="V20" s="12">
        <f>1.1*U20</f>
        <v>209.33000000000004</v>
      </c>
      <c r="W20" s="12">
        <f>1.1*V20</f>
        <v>230.26300000000006</v>
      </c>
      <c r="X20" s="12">
        <f>0.8*W20</f>
        <v>184.21040000000005</v>
      </c>
      <c r="Y20" s="12">
        <f>1.1*X20</f>
        <v>202.63144000000008</v>
      </c>
      <c r="Z20" s="12">
        <f>1.1*Y20</f>
        <v>222.89458400000012</v>
      </c>
      <c r="AA20" s="12">
        <f>1.1*Z20</f>
        <v>245.18404240000015</v>
      </c>
      <c r="AB20" s="12">
        <f>0.8*AA20</f>
        <v>196.14723392000013</v>
      </c>
      <c r="AC20" s="12">
        <f>1.1*AB20</f>
        <v>215.76195731200016</v>
      </c>
      <c r="AD20" s="12">
        <f>1.1*AC20</f>
        <v>237.33815304320021</v>
      </c>
      <c r="AE20" s="12">
        <f>1.1*AD20</f>
        <v>261.07196834752023</v>
      </c>
      <c r="AF20" s="12">
        <f>0.8*AE20</f>
        <v>208.85757467801619</v>
      </c>
      <c r="AG20" s="12">
        <f>1.1*AF20</f>
        <v>229.74333214581782</v>
      </c>
      <c r="AH20" s="12">
        <f>1.1*AG20</f>
        <v>252.71766536039962</v>
      </c>
      <c r="AI20" s="12">
        <f>1.1*AH20</f>
        <v>277.98943189643961</v>
      </c>
      <c r="AJ20" s="12">
        <f>0.8*AI20</f>
        <v>222.39154551715171</v>
      </c>
      <c r="AK20" s="12">
        <f>1.1*AJ20</f>
        <v>244.6307000688669</v>
      </c>
      <c r="AL20" s="12">
        <f>1.1*AK20</f>
        <v>269.09377007575364</v>
      </c>
      <c r="AM20" s="12">
        <f>1.1*AL20</f>
        <v>296.00314708332905</v>
      </c>
      <c r="AN20" s="12">
        <f>0.8*AM20</f>
        <v>236.80251766666325</v>
      </c>
      <c r="AO20" s="12">
        <f>1.1*AN20</f>
        <v>260.48276943332962</v>
      </c>
      <c r="AP20" s="12">
        <f>1.1*AO20</f>
        <v>286.53104637666263</v>
      </c>
      <c r="AQ20" s="12">
        <f>1.1*AP20</f>
        <v>315.1841510143289</v>
      </c>
      <c r="AS20" t="s">
        <v>216</v>
      </c>
      <c r="AT20" s="11">
        <f>AT17/AT19</f>
        <v>80.696499723864918</v>
      </c>
    </row>
    <row r="21" spans="1:49 16384:16384">
      <c r="B21" t="s">
        <v>24</v>
      </c>
      <c r="C21" s="12">
        <v>193</v>
      </c>
      <c r="D21" s="12">
        <v>156</v>
      </c>
      <c r="E21" s="12">
        <v>191</v>
      </c>
      <c r="F21" s="12">
        <v>188</v>
      </c>
      <c r="G21" s="12">
        <v>211</v>
      </c>
      <c r="H21" s="12">
        <v>172</v>
      </c>
      <c r="I21" s="12">
        <v>180</v>
      </c>
      <c r="J21" s="12">
        <v>227</v>
      </c>
      <c r="K21" s="12">
        <v>222</v>
      </c>
      <c r="L21" s="12">
        <v>168</v>
      </c>
      <c r="M21" s="12">
        <v>210</v>
      </c>
      <c r="N21" s="12">
        <v>196</v>
      </c>
      <c r="O21" s="12">
        <v>158</v>
      </c>
      <c r="P21" s="12">
        <v>208</v>
      </c>
      <c r="Q21" s="12">
        <v>227</v>
      </c>
      <c r="R21" s="12">
        <v>213</v>
      </c>
      <c r="S21" s="12">
        <v>216</v>
      </c>
      <c r="U21" s="12">
        <f>(1.00671*SUM($O$21:$R$21)-$S$21)/3</f>
        <v>198.46942000000001</v>
      </c>
      <c r="V21" s="12">
        <f>(1.00671*SUM($O$21:$R$21)-$S$21)/3</f>
        <v>198.46942000000001</v>
      </c>
      <c r="W21" s="12">
        <f>(1.00671*SUM($O$21:$R$21)-$S$21)/3</f>
        <v>198.46942000000001</v>
      </c>
      <c r="X21" s="12">
        <f>(1.00671*SUM($S$21,$U$21:$W$21))/4</f>
        <v>204.21320235615002</v>
      </c>
      <c r="Y21" s="12">
        <f>(1.00671*SUM($S$21,$U$21:$W$21))/4</f>
        <v>204.21320235615002</v>
      </c>
      <c r="Z21" s="12">
        <f>(1.00671*SUM($S$21,$U$21:$W$21))/4</f>
        <v>204.21320235615002</v>
      </c>
      <c r="AA21" s="12">
        <f>(1.00671*SUM($S$21,$U$21:$W$21))/4</f>
        <v>204.21320235615002</v>
      </c>
      <c r="AB21" s="12">
        <f>(1.00671*SUM($X$21:$AA$21))/4</f>
        <v>205.58347294395978</v>
      </c>
      <c r="AC21" s="12">
        <f>(1.00671*SUM($X$21:$AA$21))/4</f>
        <v>205.58347294395978</v>
      </c>
      <c r="AD21" s="12">
        <f>(1.00671*SUM($X$21:$AA$21))/4</f>
        <v>205.58347294395978</v>
      </c>
      <c r="AE21" s="12">
        <f>(1.00671*SUM($X$21:$AA$21))/4</f>
        <v>205.58347294395978</v>
      </c>
      <c r="AF21" s="12">
        <f>(1.00671*SUM($AB$21:$AE$21))/4</f>
        <v>206.96293804741376</v>
      </c>
      <c r="AG21" s="12">
        <f>(1.00671*SUM($AB$21:$AE$21))/4</f>
        <v>206.96293804741376</v>
      </c>
      <c r="AH21" s="12">
        <f>(1.00671*SUM($AB$21:$AE$21))/4</f>
        <v>206.96293804741376</v>
      </c>
      <c r="AI21" s="12">
        <f>(1.00671*SUM($AB$21:$AE$21))/4</f>
        <v>206.96293804741376</v>
      </c>
      <c r="AJ21" s="12">
        <f>(1.00671*SUM($AF$21:$AI$21))/4</f>
        <v>208.35165936171191</v>
      </c>
      <c r="AK21" s="12">
        <f>(1.00671*SUM($AF$21:$AI$21))/4</f>
        <v>208.35165936171191</v>
      </c>
      <c r="AL21" s="12">
        <f>(1.00671*SUM($AF$21:$AI$21))/4</f>
        <v>208.35165936171191</v>
      </c>
      <c r="AM21" s="12">
        <f>(1.00671*SUM($AF$21:$AI$21))/4</f>
        <v>208.35165936171191</v>
      </c>
      <c r="AN21" s="12">
        <f>(1.00671*SUM($AJ$21:$AM$21))/4</f>
        <v>209.749698996029</v>
      </c>
      <c r="AO21" s="12">
        <f>(1.00671*SUM($AJ$21:$AM$21))/4</f>
        <v>209.749698996029</v>
      </c>
      <c r="AP21" s="12">
        <f>(1.00671*SUM($AJ$21:$AM$21))/4</f>
        <v>209.749698996029</v>
      </c>
      <c r="AQ21" s="12">
        <f>(1.00671*SUM($AJ$21:$AM$21))/4</f>
        <v>209.749698996029</v>
      </c>
    </row>
    <row r="22" spans="1:49 16384:16384">
      <c r="B22" t="s">
        <v>45</v>
      </c>
      <c r="C22" s="12">
        <v>0</v>
      </c>
      <c r="D22" s="12">
        <v>0</v>
      </c>
      <c r="E22" s="12">
        <v>0</v>
      </c>
      <c r="F22" s="12">
        <v>0</v>
      </c>
      <c r="G22" s="12">
        <v>47</v>
      </c>
      <c r="H22" s="12">
        <v>58</v>
      </c>
      <c r="I22" s="12">
        <v>62</v>
      </c>
      <c r="J22" s="12">
        <v>71</v>
      </c>
      <c r="K22" s="12">
        <v>60</v>
      </c>
      <c r="L22" s="12">
        <v>28</v>
      </c>
      <c r="M22" s="12">
        <v>51</v>
      </c>
      <c r="N22" s="12">
        <v>31</v>
      </c>
      <c r="O22" s="12">
        <v>34</v>
      </c>
      <c r="P22" s="12">
        <v>56</v>
      </c>
      <c r="Q22" s="12">
        <v>48</v>
      </c>
      <c r="R22" s="12">
        <v>41</v>
      </c>
      <c r="S22" s="12">
        <v>36</v>
      </c>
      <c r="U22" s="15">
        <f>1.2*S22</f>
        <v>43.199999999999996</v>
      </c>
      <c r="V22" s="12">
        <f>1.2*U22</f>
        <v>51.839999999999996</v>
      </c>
      <c r="W22" s="12">
        <f>1.2*V22</f>
        <v>62.207999999999991</v>
      </c>
      <c r="X22" s="12">
        <f>1.15*S22</f>
        <v>41.4</v>
      </c>
      <c r="Y22" s="12">
        <f>1.15*U22</f>
        <v>49.679999999999993</v>
      </c>
      <c r="Z22" s="12">
        <f>1.15*V22</f>
        <v>59.615999999999993</v>
      </c>
      <c r="AA22" s="12">
        <f>1.15*W22</f>
        <v>71.53919999999998</v>
      </c>
      <c r="AB22" s="12">
        <f t="shared" ref="AB22:AQ22" si="7">1.05*X22</f>
        <v>43.47</v>
      </c>
      <c r="AC22" s="12">
        <f t="shared" si="7"/>
        <v>52.163999999999994</v>
      </c>
      <c r="AD22" s="12">
        <f t="shared" si="7"/>
        <v>62.596799999999995</v>
      </c>
      <c r="AE22" s="12">
        <f t="shared" si="7"/>
        <v>75.116159999999979</v>
      </c>
      <c r="AF22" s="12">
        <f t="shared" si="7"/>
        <v>45.643500000000003</v>
      </c>
      <c r="AG22" s="12">
        <f t="shared" si="7"/>
        <v>54.772199999999998</v>
      </c>
      <c r="AH22" s="12">
        <f t="shared" si="7"/>
        <v>65.726640000000003</v>
      </c>
      <c r="AI22" s="12">
        <f t="shared" si="7"/>
        <v>78.871967999999981</v>
      </c>
      <c r="AJ22" s="12">
        <f t="shared" si="7"/>
        <v>47.925675000000005</v>
      </c>
      <c r="AK22" s="12">
        <f t="shared" si="7"/>
        <v>57.510809999999999</v>
      </c>
      <c r="AL22" s="12">
        <f t="shared" si="7"/>
        <v>69.012972000000005</v>
      </c>
      <c r="AM22" s="12">
        <f t="shared" si="7"/>
        <v>82.81556639999998</v>
      </c>
      <c r="AN22" s="12">
        <f t="shared" si="7"/>
        <v>50.321958750000007</v>
      </c>
      <c r="AO22" s="12">
        <f t="shared" si="7"/>
        <v>60.386350499999999</v>
      </c>
      <c r="AP22" s="12">
        <f t="shared" si="7"/>
        <v>72.463620600000013</v>
      </c>
      <c r="AQ22" s="12">
        <f t="shared" si="7"/>
        <v>86.95634471999999</v>
      </c>
      <c r="AR22" s="12"/>
    </row>
    <row r="23" spans="1:49 16384:16384">
      <c r="B23" t="s">
        <v>86</v>
      </c>
      <c r="C23" s="12">
        <v>65</v>
      </c>
      <c r="D23" s="12">
        <v>44</v>
      </c>
      <c r="E23" s="12">
        <v>54</v>
      </c>
      <c r="F23" s="12">
        <v>54</v>
      </c>
      <c r="G23" s="12">
        <v>0</v>
      </c>
      <c r="H23" s="12">
        <v>0</v>
      </c>
      <c r="I23" s="12">
        <v>0</v>
      </c>
      <c r="J23" s="12">
        <v>0</v>
      </c>
      <c r="K23" s="12">
        <v>0</v>
      </c>
      <c r="L23" s="12">
        <v>0</v>
      </c>
      <c r="M23" s="12">
        <v>0</v>
      </c>
      <c r="N23" s="12">
        <v>0</v>
      </c>
      <c r="O23" s="12">
        <v>0</v>
      </c>
      <c r="P23" s="12">
        <v>0</v>
      </c>
      <c r="Q23" s="12">
        <v>0</v>
      </c>
      <c r="R23" s="12">
        <v>0</v>
      </c>
      <c r="S23" s="12">
        <v>0</v>
      </c>
      <c r="T23" s="12"/>
      <c r="U23" s="12">
        <v>0</v>
      </c>
      <c r="V23" s="12">
        <v>0</v>
      </c>
      <c r="W23" s="12">
        <v>0</v>
      </c>
      <c r="X23" s="12">
        <v>0</v>
      </c>
      <c r="Y23" s="12">
        <v>0</v>
      </c>
      <c r="Z23" s="12">
        <v>0</v>
      </c>
      <c r="AA23" s="12">
        <v>0</v>
      </c>
      <c r="AB23" s="12">
        <v>0</v>
      </c>
      <c r="AC23" s="12">
        <v>0</v>
      </c>
      <c r="AD23" s="12">
        <v>0</v>
      </c>
      <c r="AE23" s="12">
        <v>0</v>
      </c>
      <c r="AF23" s="12">
        <v>0</v>
      </c>
      <c r="AG23" s="12">
        <v>0</v>
      </c>
      <c r="AH23" s="12">
        <v>0</v>
      </c>
      <c r="AI23" s="12">
        <v>0</v>
      </c>
      <c r="AJ23" s="12">
        <v>0</v>
      </c>
      <c r="AK23" s="12">
        <v>0</v>
      </c>
      <c r="AL23" s="12">
        <v>0</v>
      </c>
      <c r="AM23" s="12">
        <v>0</v>
      </c>
      <c r="AN23" s="12">
        <v>0</v>
      </c>
      <c r="AO23" s="12">
        <v>0</v>
      </c>
      <c r="AP23" s="12">
        <v>0</v>
      </c>
      <c r="AQ23" s="12">
        <v>0</v>
      </c>
      <c r="AS23" s="54">
        <f>AT15</f>
        <v>219253.62679999755</v>
      </c>
      <c r="AT23" s="99">
        <v>0.04</v>
      </c>
      <c r="AU23" s="114">
        <v>4.4999999999999998E-2</v>
      </c>
      <c r="AV23" s="99">
        <v>0.05</v>
      </c>
      <c r="AW23" s="114">
        <v>5.5E-2</v>
      </c>
      <c r="XFD23" s="12"/>
    </row>
    <row r="24" spans="1:49 16384:16384">
      <c r="B24" s="7" t="s">
        <v>44</v>
      </c>
      <c r="C24" s="12"/>
      <c r="D24" s="12"/>
      <c r="E24" s="12"/>
      <c r="F24" s="12"/>
      <c r="G24" s="12"/>
      <c r="H24" s="12"/>
      <c r="I24" s="12"/>
      <c r="J24" s="12"/>
      <c r="K24" s="12"/>
      <c r="L24" s="12"/>
      <c r="M24" s="12"/>
      <c r="N24" s="12"/>
      <c r="O24" s="12"/>
      <c r="P24" s="12"/>
      <c r="Q24" s="12"/>
      <c r="R24" s="12"/>
      <c r="S24" s="12"/>
      <c r="AS24" s="99">
        <v>0.01</v>
      </c>
      <c r="AT24" s="54">
        <f t="dataTable" ref="AT24:AW27" dt2D="1" dtr="1" r1="AT8" r2="AT11"/>
        <v>148541.62020735239</v>
      </c>
      <c r="AU24" s="54">
        <v>126223.15630627252</v>
      </c>
      <c r="AV24" s="54">
        <v>109177.28199110324</v>
      </c>
      <c r="AW24" s="54">
        <v>95733.077225944697</v>
      </c>
    </row>
    <row r="25" spans="1:49 16384:16384">
      <c r="B25" t="s">
        <v>21</v>
      </c>
      <c r="C25" s="12">
        <v>204</v>
      </c>
      <c r="D25" s="12">
        <v>240</v>
      </c>
      <c r="E25" s="12">
        <v>217</v>
      </c>
      <c r="F25" s="12">
        <v>256</v>
      </c>
      <c r="G25" s="12">
        <v>255</v>
      </c>
      <c r="H25" s="12">
        <v>278</v>
      </c>
      <c r="I25" s="12">
        <v>284</v>
      </c>
      <c r="J25" s="12">
        <v>313</v>
      </c>
      <c r="K25" s="12">
        <v>299</v>
      </c>
      <c r="L25" s="12">
        <v>224</v>
      </c>
      <c r="M25" s="12">
        <v>320</v>
      </c>
      <c r="N25" s="12">
        <v>355</v>
      </c>
      <c r="O25" s="12">
        <v>340</v>
      </c>
      <c r="P25" s="12">
        <v>387</v>
      </c>
      <c r="Q25" s="12">
        <v>369</v>
      </c>
      <c r="R25" s="12">
        <v>436</v>
      </c>
      <c r="S25" s="12">
        <v>395</v>
      </c>
      <c r="U25" s="12">
        <f>((1.125*SUM($O$25:$R$25))-$S$25)/3</f>
        <v>442.83333333333331</v>
      </c>
      <c r="V25" s="12">
        <f>((1.125*SUM($O$25:$R$25))-$S$25)/3</f>
        <v>442.83333333333331</v>
      </c>
      <c r="W25" s="12">
        <f>((1.125*SUM($O$25:$R$25))-$S$25)/3</f>
        <v>442.83333333333331</v>
      </c>
      <c r="X25" s="12">
        <f>((1.125*SUM($S$25,$U$25:$W$25)))/4</f>
        <v>484.73437499999994</v>
      </c>
      <c r="Y25" s="12">
        <f>((1.125*SUM($S$25,$U$25:$W$25)))/4</f>
        <v>484.73437499999994</v>
      </c>
      <c r="Z25" s="12">
        <f>((1.125*SUM($S$25,$U$25:$W$25)))/4</f>
        <v>484.73437499999994</v>
      </c>
      <c r="AA25" s="12">
        <f>((1.125*SUM($S$25,$U$25:$W$25)))/4</f>
        <v>484.73437499999994</v>
      </c>
      <c r="AB25" s="12">
        <f>((1.125*SUM($X$25:$AA$25)))/4</f>
        <v>545.32617187499989</v>
      </c>
      <c r="AC25" s="12">
        <f>((1.125*SUM($X$25:$AA$25)))/4</f>
        <v>545.32617187499989</v>
      </c>
      <c r="AD25" s="12">
        <f>((1.125*SUM($X$25:$AA$25)))/4</f>
        <v>545.32617187499989</v>
      </c>
      <c r="AE25" s="12">
        <f>((1.125*SUM($X$25:$AA$25)))/4</f>
        <v>545.32617187499989</v>
      </c>
      <c r="AF25" s="12">
        <f>((1.125*SUM($AB$25:$AE$25)))/4</f>
        <v>613.49194335937489</v>
      </c>
      <c r="AG25" s="12">
        <f>((1.125*SUM($AB$25:$AE$25)))/4</f>
        <v>613.49194335937489</v>
      </c>
      <c r="AH25" s="12">
        <f>((1.125*SUM($AB$25:$AE$25)))/4</f>
        <v>613.49194335937489</v>
      </c>
      <c r="AI25" s="12">
        <f>((1.125*SUM($AB$25:$AE$25)))/4</f>
        <v>613.49194335937489</v>
      </c>
      <c r="AJ25" s="12">
        <f>1.25*(((1.125*SUM($AB$25:$AE$25)))/4)</f>
        <v>766.86492919921864</v>
      </c>
      <c r="AK25" s="12">
        <f>1.25*(((1.125*SUM($AB$25:$AE$25)))/4)</f>
        <v>766.86492919921864</v>
      </c>
      <c r="AL25" s="12">
        <f>1.25*(((1.125*SUM($AB$25:$AE$25)))/4)</f>
        <v>766.86492919921864</v>
      </c>
      <c r="AM25" s="12">
        <f>1.25*(((1.125*SUM($AB$25:$AE$25)))/4)</f>
        <v>766.86492919921864</v>
      </c>
      <c r="AN25" s="23">
        <f>(1.25^2)*(((1.125*SUM($AB$25:$AE$25)))/4)</f>
        <v>958.58116149902321</v>
      </c>
      <c r="AO25" s="23">
        <f>(1.25^2)*(((1.125*SUM($AB$25:$AE$25)))/4)</f>
        <v>958.58116149902321</v>
      </c>
      <c r="AP25" s="23">
        <f>(1.25^2)*(((1.125*SUM($AB$25:$AE$25)))/4)</f>
        <v>958.58116149902321</v>
      </c>
      <c r="AQ25" s="23">
        <f>(1.25^2)*(((1.125*SUM($AB$25:$AE$25)))/4)</f>
        <v>958.58116149902321</v>
      </c>
      <c r="AS25" s="99">
        <v>0.02</v>
      </c>
      <c r="AT25" s="54">
        <v>183840.96492152917</v>
      </c>
      <c r="AU25" s="54">
        <v>148004.51241454537</v>
      </c>
      <c r="AV25" s="54">
        <v>123476.27759792507</v>
      </c>
      <c r="AW25" s="54">
        <v>105546.41366174974</v>
      </c>
    </row>
    <row r="26" spans="1:49 16384:16384">
      <c r="B26" t="s">
        <v>46</v>
      </c>
      <c r="C26" s="12">
        <v>176</v>
      </c>
      <c r="D26" s="12">
        <v>188</v>
      </c>
      <c r="E26" s="12">
        <v>188</v>
      </c>
      <c r="F26" s="12">
        <v>191</v>
      </c>
      <c r="G26" s="12">
        <v>190</v>
      </c>
      <c r="H26" s="12">
        <v>193</v>
      </c>
      <c r="I26" s="12">
        <v>177</v>
      </c>
      <c r="J26" s="12">
        <v>103</v>
      </c>
      <c r="K26" s="12">
        <v>94</v>
      </c>
      <c r="L26" s="12">
        <v>73</v>
      </c>
      <c r="M26" s="12">
        <v>79</v>
      </c>
      <c r="N26" s="12">
        <v>82</v>
      </c>
      <c r="O26" s="12">
        <v>67</v>
      </c>
      <c r="P26" s="12">
        <v>66</v>
      </c>
      <c r="Q26" s="12">
        <v>64</v>
      </c>
      <c r="R26" s="12">
        <v>62</v>
      </c>
      <c r="S26" s="12">
        <v>57</v>
      </c>
      <c r="U26" s="12">
        <f>((0.731*SUM($O$26:$R$26))-$S$26)/3</f>
        <v>44.109666666666669</v>
      </c>
      <c r="V26" s="12">
        <f>((0.731*SUM($O$26:$R$26))-$S$26)/3</f>
        <v>44.109666666666669</v>
      </c>
      <c r="W26" s="12">
        <f>((0.731*SUM($O$26:$R$26))-$S$26)/3</f>
        <v>44.109666666666669</v>
      </c>
      <c r="X26" s="11">
        <f>(0.8*SUM($S$26,$U$26:$W$26))/4</f>
        <v>37.8658</v>
      </c>
      <c r="Y26" s="11">
        <f>(0.8*SUM($S$26,$U$26:$W$26))/4</f>
        <v>37.8658</v>
      </c>
      <c r="Z26" s="11">
        <f>(0.8*SUM($S$26,$U$26:$W$26))/4</f>
        <v>37.8658</v>
      </c>
      <c r="AA26" s="11">
        <f>(0.8*SUM($S$26,$U$26:$W$26))/4</f>
        <v>37.8658</v>
      </c>
      <c r="AB26" s="11">
        <f t="shared" ref="AB26:AQ26" si="8">(0.9*SUM($X$26:$AA$26))/4</f>
        <v>34.079219999999999</v>
      </c>
      <c r="AC26" s="11">
        <f t="shared" si="8"/>
        <v>34.079219999999999</v>
      </c>
      <c r="AD26" s="11">
        <f t="shared" si="8"/>
        <v>34.079219999999999</v>
      </c>
      <c r="AE26" s="11">
        <f t="shared" si="8"/>
        <v>34.079219999999999</v>
      </c>
      <c r="AF26" s="11">
        <f t="shared" si="8"/>
        <v>34.079219999999999</v>
      </c>
      <c r="AG26" s="11">
        <f t="shared" si="8"/>
        <v>34.079219999999999</v>
      </c>
      <c r="AH26" s="11">
        <f t="shared" si="8"/>
        <v>34.079219999999999</v>
      </c>
      <c r="AI26" s="11">
        <f t="shared" si="8"/>
        <v>34.079219999999999</v>
      </c>
      <c r="AJ26" s="11">
        <f t="shared" si="8"/>
        <v>34.079219999999999</v>
      </c>
      <c r="AK26" s="11">
        <f t="shared" si="8"/>
        <v>34.079219999999999</v>
      </c>
      <c r="AL26" s="11">
        <f t="shared" si="8"/>
        <v>34.079219999999999</v>
      </c>
      <c r="AM26" s="11">
        <f t="shared" si="8"/>
        <v>34.079219999999999</v>
      </c>
      <c r="AN26" s="11">
        <f t="shared" si="8"/>
        <v>34.079219999999999</v>
      </c>
      <c r="AO26" s="11">
        <f t="shared" si="8"/>
        <v>34.079219999999999</v>
      </c>
      <c r="AP26" s="11">
        <f t="shared" si="8"/>
        <v>34.079219999999999</v>
      </c>
      <c r="AQ26" s="11">
        <f t="shared" si="8"/>
        <v>34.079219999999999</v>
      </c>
      <c r="AS26" s="99">
        <v>0.03</v>
      </c>
      <c r="AT26" s="54">
        <v>289738.99906405946</v>
      </c>
      <c r="AU26" s="54">
        <v>198827.67666718207</v>
      </c>
      <c r="AV26" s="54">
        <v>152074.26881156873</v>
      </c>
      <c r="AW26" s="54">
        <v>123210.41924619884</v>
      </c>
    </row>
    <row r="27" spans="1:49 16384:16384">
      <c r="B27" t="s">
        <v>49</v>
      </c>
      <c r="C27" s="12">
        <v>151</v>
      </c>
      <c r="D27" s="12">
        <v>149</v>
      </c>
      <c r="E27" s="12">
        <v>137</v>
      </c>
      <c r="F27" s="12">
        <v>59</v>
      </c>
      <c r="G27" s="12">
        <v>72</v>
      </c>
      <c r="H27" s="12">
        <v>78</v>
      </c>
      <c r="I27" s="12">
        <v>57</v>
      </c>
      <c r="J27" s="12">
        <v>57</v>
      </c>
      <c r="K27" s="12">
        <v>64</v>
      </c>
      <c r="L27" s="12">
        <v>43</v>
      </c>
      <c r="M27" s="12">
        <v>51</v>
      </c>
      <c r="N27" s="12">
        <v>53</v>
      </c>
      <c r="O27" s="12">
        <v>57</v>
      </c>
      <c r="P27" s="12">
        <v>48</v>
      </c>
      <c r="Q27" s="12">
        <v>53</v>
      </c>
      <c r="R27" s="12">
        <v>45</v>
      </c>
      <c r="S27" s="12">
        <v>52</v>
      </c>
      <c r="U27" s="12">
        <f>((0.916*SUM($O$27:$R$27))-$S$27)/3</f>
        <v>44.649333333333338</v>
      </c>
      <c r="V27" s="12">
        <f>((0.916*SUM($O$27:$R$27))-$S$27)/3</f>
        <v>44.649333333333338</v>
      </c>
      <c r="W27" s="12">
        <f>((0.916*SUM($O$27:$R$27))-$S$27)/3</f>
        <v>44.649333333333338</v>
      </c>
      <c r="X27" s="11">
        <f>(0.916*SUM($S$27,$U$27:$W$27))/4</f>
        <v>42.58209200000001</v>
      </c>
      <c r="Y27" s="11">
        <f>(0.916*SUM($S$27,$U$27:$W$27))/4</f>
        <v>42.58209200000001</v>
      </c>
      <c r="Z27" s="11">
        <f>(0.916*SUM($S$27,$U$27:$W$27))/4</f>
        <v>42.58209200000001</v>
      </c>
      <c r="AA27" s="11">
        <f>(0.916*SUM($S$27,$U$27:$W$27))/4</f>
        <v>42.58209200000001</v>
      </c>
      <c r="AB27" s="11">
        <f>(0.916*SUM($X$27:$AA$27))/4</f>
        <v>39.005196272000013</v>
      </c>
      <c r="AC27" s="11">
        <f>(0.916*SUM($X$27:$AA$27))/4</f>
        <v>39.005196272000013</v>
      </c>
      <c r="AD27" s="11">
        <f>(0.916*SUM($X$27:$AA$27))/4</f>
        <v>39.005196272000013</v>
      </c>
      <c r="AE27" s="11">
        <f>(0.916*SUM($X$27:$AA$27))/4</f>
        <v>39.005196272000013</v>
      </c>
      <c r="AF27" s="11">
        <f t="shared" ref="AF27:AQ27" si="9">(0.916*SUM($AB$27:$AE$27))/4</f>
        <v>35.728759785152015</v>
      </c>
      <c r="AG27" s="11">
        <f t="shared" si="9"/>
        <v>35.728759785152015</v>
      </c>
      <c r="AH27" s="11">
        <f t="shared" si="9"/>
        <v>35.728759785152015</v>
      </c>
      <c r="AI27" s="11">
        <f t="shared" si="9"/>
        <v>35.728759785152015</v>
      </c>
      <c r="AJ27" s="11">
        <f t="shared" si="9"/>
        <v>35.728759785152015</v>
      </c>
      <c r="AK27" s="11">
        <f t="shared" si="9"/>
        <v>35.728759785152015</v>
      </c>
      <c r="AL27" s="11">
        <f t="shared" si="9"/>
        <v>35.728759785152015</v>
      </c>
      <c r="AM27" s="11">
        <f t="shared" si="9"/>
        <v>35.728759785152015</v>
      </c>
      <c r="AN27" s="11">
        <f t="shared" si="9"/>
        <v>35.728759785152015</v>
      </c>
      <c r="AO27" s="11">
        <f t="shared" si="9"/>
        <v>35.728759785152015</v>
      </c>
      <c r="AP27" s="11">
        <f t="shared" si="9"/>
        <v>35.728759785152015</v>
      </c>
      <c r="AQ27" s="11">
        <f t="shared" si="9"/>
        <v>35.728759785152015</v>
      </c>
      <c r="AS27" s="99">
        <v>0.04</v>
      </c>
      <c r="AT27" s="54" t="e">
        <v>#DIV/0!</v>
      </c>
      <c r="AU27" s="54">
        <v>452943.49793036561</v>
      </c>
      <c r="AV27" s="54">
        <v>237868.24245249972</v>
      </c>
      <c r="AW27" s="54">
        <v>164426.43227658013</v>
      </c>
    </row>
    <row r="28" spans="1:49 16384:16384">
      <c r="B28" t="s">
        <v>43</v>
      </c>
      <c r="C28" s="12">
        <v>0</v>
      </c>
      <c r="D28" s="12">
        <v>0</v>
      </c>
      <c r="E28" s="12">
        <v>0</v>
      </c>
      <c r="F28" s="12">
        <v>0</v>
      </c>
      <c r="G28" s="12">
        <v>0</v>
      </c>
      <c r="H28" s="12">
        <v>0</v>
      </c>
      <c r="I28" s="12">
        <v>0</v>
      </c>
      <c r="J28" s="12">
        <v>0</v>
      </c>
      <c r="K28" s="12">
        <v>60</v>
      </c>
      <c r="L28" s="12">
        <v>63</v>
      </c>
      <c r="M28" s="12">
        <v>77</v>
      </c>
      <c r="N28" s="12">
        <v>80</v>
      </c>
      <c r="O28" s="12">
        <v>82</v>
      </c>
      <c r="P28" s="12">
        <v>93</v>
      </c>
      <c r="Q28" s="12">
        <v>96</v>
      </c>
      <c r="R28" s="12">
        <v>100</v>
      </c>
      <c r="S28" s="12">
        <v>94</v>
      </c>
      <c r="U28" s="12">
        <f>((1.25*SUM($O$28:$R$28))-$S$28)/3</f>
        <v>123.25</v>
      </c>
      <c r="V28" s="12">
        <f>((1.25*SUM($O$28:$R$28))-$S$28)/3</f>
        <v>123.25</v>
      </c>
      <c r="W28" s="12">
        <f>((1.25*SUM($O$28:$R$28))-$S$28)/3</f>
        <v>123.25</v>
      </c>
      <c r="X28" s="11">
        <f>(1.2*SUM($S$28,$U$28:$W$28))/4</f>
        <v>139.125</v>
      </c>
      <c r="Y28" s="11">
        <f>(1.2*SUM($S$28,$U$28:$W$28))/4</f>
        <v>139.125</v>
      </c>
      <c r="Z28" s="11">
        <f>(1.2*SUM($S$28,$U$28:$W$28))/4</f>
        <v>139.125</v>
      </c>
      <c r="AA28" s="11">
        <f>(1.2*SUM($S$28,$U$28:$W$28))/4</f>
        <v>139.125</v>
      </c>
      <c r="AB28" s="11">
        <f>(1.12*SUM($X$28:$AA$28))/4</f>
        <v>155.82000000000002</v>
      </c>
      <c r="AC28" s="11">
        <f>(1.12*SUM($X$28:$AA$28))/4</f>
        <v>155.82000000000002</v>
      </c>
      <c r="AD28" s="11">
        <f>(1.12*SUM($X$28:$AA$28))/4</f>
        <v>155.82000000000002</v>
      </c>
      <c r="AE28" s="11">
        <f>(1.12*SUM($X$28:$AA$28))/4</f>
        <v>155.82000000000002</v>
      </c>
      <c r="AF28" s="11">
        <f>(1.08*SUM($AB$28:$AE$28))/4</f>
        <v>168.28560000000004</v>
      </c>
      <c r="AG28" s="11">
        <f>(1.08*SUM($AB$28:$AE$28))/4</f>
        <v>168.28560000000004</v>
      </c>
      <c r="AH28" s="11">
        <f>(1.08*SUM($AB$28:$AE$28))/4</f>
        <v>168.28560000000004</v>
      </c>
      <c r="AI28" s="11">
        <f>(1.08*SUM($AB$28:$AE$28))/4</f>
        <v>168.28560000000004</v>
      </c>
      <c r="AJ28" s="11">
        <f t="shared" ref="AJ28:AQ28" si="10">(1.05*SUM($AF$28:$AI$28))/4</f>
        <v>176.69988000000006</v>
      </c>
      <c r="AK28" s="11">
        <f t="shared" si="10"/>
        <v>176.69988000000006</v>
      </c>
      <c r="AL28" s="11">
        <f t="shared" si="10"/>
        <v>176.69988000000006</v>
      </c>
      <c r="AM28" s="11">
        <f t="shared" si="10"/>
        <v>176.69988000000006</v>
      </c>
      <c r="AN28" s="11">
        <f t="shared" si="10"/>
        <v>176.69988000000006</v>
      </c>
      <c r="AO28" s="11">
        <f t="shared" si="10"/>
        <v>176.69988000000006</v>
      </c>
      <c r="AP28" s="11">
        <f t="shared" si="10"/>
        <v>176.69988000000006</v>
      </c>
      <c r="AQ28" s="11">
        <f t="shared" si="10"/>
        <v>176.69988000000006</v>
      </c>
    </row>
    <row r="29" spans="1:49 16384:16384">
      <c r="B29" t="s">
        <v>48</v>
      </c>
      <c r="C29" s="12">
        <v>91</v>
      </c>
      <c r="D29" s="12">
        <v>87</v>
      </c>
      <c r="E29" s="12">
        <v>79</v>
      </c>
      <c r="F29" s="12">
        <v>69</v>
      </c>
      <c r="G29" s="12">
        <v>61</v>
      </c>
      <c r="H29" s="12">
        <v>67</v>
      </c>
      <c r="I29" s="12">
        <v>62</v>
      </c>
      <c r="J29" s="12">
        <v>58</v>
      </c>
      <c r="K29" s="12">
        <v>55</v>
      </c>
      <c r="L29" s="12">
        <v>43</v>
      </c>
      <c r="M29" s="12">
        <v>50</v>
      </c>
      <c r="N29" s="12">
        <v>65</v>
      </c>
      <c r="O29" s="12">
        <v>57</v>
      </c>
      <c r="P29" s="12">
        <v>54</v>
      </c>
      <c r="Q29" s="12">
        <v>56</v>
      </c>
      <c r="R29" s="12">
        <v>45</v>
      </c>
      <c r="S29" s="12">
        <v>53</v>
      </c>
      <c r="U29" s="12">
        <f>((1.05*SUM($O$29:$R$29))-$S$29)/3</f>
        <v>56.533333333333339</v>
      </c>
      <c r="V29" s="12">
        <f>((1.05*SUM($O$29:$R$29))-$S$29)/3</f>
        <v>56.533333333333339</v>
      </c>
      <c r="W29" s="12">
        <f>((1.05*SUM($O$29:$R$29))-$S$29)/3</f>
        <v>56.533333333333339</v>
      </c>
      <c r="X29" s="11">
        <f t="shared" ref="X29:AF29" si="11">(1*SUM($S$29,$U$29:$W$29))/4</f>
        <v>55.65</v>
      </c>
      <c r="Y29" s="11">
        <f t="shared" si="11"/>
        <v>55.65</v>
      </c>
      <c r="Z29" s="11">
        <f t="shared" si="11"/>
        <v>55.65</v>
      </c>
      <c r="AA29" s="11">
        <f t="shared" si="11"/>
        <v>55.65</v>
      </c>
      <c r="AB29" s="11">
        <f t="shared" si="11"/>
        <v>55.65</v>
      </c>
      <c r="AC29" s="11">
        <f t="shared" si="11"/>
        <v>55.65</v>
      </c>
      <c r="AD29" s="11">
        <f t="shared" si="11"/>
        <v>55.65</v>
      </c>
      <c r="AE29" s="11">
        <f t="shared" si="11"/>
        <v>55.65</v>
      </c>
      <c r="AF29" s="11">
        <f t="shared" si="11"/>
        <v>55.65</v>
      </c>
      <c r="AG29" s="11">
        <f t="shared" ref="AG29:AQ29" si="12">(1*SUM($S$29,$U$29:$W$29))/4</f>
        <v>55.65</v>
      </c>
      <c r="AH29" s="11">
        <f t="shared" si="12"/>
        <v>55.65</v>
      </c>
      <c r="AI29" s="11">
        <f t="shared" si="12"/>
        <v>55.65</v>
      </c>
      <c r="AJ29" s="11">
        <f t="shared" si="12"/>
        <v>55.65</v>
      </c>
      <c r="AK29" s="11">
        <f t="shared" si="12"/>
        <v>55.65</v>
      </c>
      <c r="AL29" s="11">
        <f t="shared" si="12"/>
        <v>55.65</v>
      </c>
      <c r="AM29" s="11">
        <f t="shared" si="12"/>
        <v>55.65</v>
      </c>
      <c r="AN29" s="11">
        <f t="shared" si="12"/>
        <v>55.65</v>
      </c>
      <c r="AO29" s="11">
        <f t="shared" si="12"/>
        <v>55.65</v>
      </c>
      <c r="AP29" s="11">
        <f t="shared" si="12"/>
        <v>55.65</v>
      </c>
      <c r="AQ29" s="11">
        <f t="shared" si="12"/>
        <v>55.65</v>
      </c>
      <c r="XFD29" s="11"/>
    </row>
    <row r="30" spans="1:49 16384:16384">
      <c r="B30" t="s">
        <v>47</v>
      </c>
      <c r="C30" s="12">
        <v>72</v>
      </c>
      <c r="D30" s="12">
        <v>68</v>
      </c>
      <c r="E30" s="12">
        <v>72</v>
      </c>
      <c r="F30" s="12">
        <v>53</v>
      </c>
      <c r="G30" s="12">
        <v>59</v>
      </c>
      <c r="H30" s="12">
        <v>71</v>
      </c>
      <c r="I30" s="12">
        <v>77</v>
      </c>
      <c r="J30" s="12">
        <v>67</v>
      </c>
      <c r="K30" s="12">
        <v>51</v>
      </c>
      <c r="L30" s="12">
        <v>64</v>
      </c>
      <c r="M30" s="12">
        <v>74</v>
      </c>
      <c r="N30" s="12">
        <v>62</v>
      </c>
      <c r="O30" s="12">
        <v>65</v>
      </c>
      <c r="P30" s="12">
        <v>60</v>
      </c>
      <c r="Q30" s="12">
        <v>70</v>
      </c>
      <c r="R30" s="12">
        <v>65</v>
      </c>
      <c r="S30" s="12">
        <v>58</v>
      </c>
      <c r="U30" s="12">
        <f>((0.95*SUM($O$30:$R$30))-$S$30)/3</f>
        <v>63</v>
      </c>
      <c r="V30" s="12">
        <f>((0.95*SUM($O$30:$R$30))-$S$30)/3</f>
        <v>63</v>
      </c>
      <c r="W30" s="12">
        <f>((0.95*SUM($O$30:$R$30))-$S$30)/3</f>
        <v>63</v>
      </c>
      <c r="X30" s="11">
        <f>(0.95*SUM($S$30,$U$30:$W$30))/4</f>
        <v>58.662499999999994</v>
      </c>
      <c r="Y30" s="11">
        <f>(0.95*SUM($S$30,$U$30:$W$30))/4</f>
        <v>58.662499999999994</v>
      </c>
      <c r="Z30" s="11">
        <f>(0.95*SUM($S$30,$U$30:$W$30))/4</f>
        <v>58.662499999999994</v>
      </c>
      <c r="AA30" s="11">
        <f>(0.95*SUM($S$30,$U$30:$W$30))/4</f>
        <v>58.662499999999994</v>
      </c>
      <c r="AB30" s="11">
        <f>(0.95*SUM($X$30:$AA$30))/4</f>
        <v>55.72937499999999</v>
      </c>
      <c r="AC30" s="11">
        <f t="shared" ref="AC30:AQ30" si="13">(0.95*SUM($X$30:$AA$30))/4</f>
        <v>55.72937499999999</v>
      </c>
      <c r="AD30" s="11">
        <f t="shared" si="13"/>
        <v>55.72937499999999</v>
      </c>
      <c r="AE30" s="11">
        <f t="shared" si="13"/>
        <v>55.72937499999999</v>
      </c>
      <c r="AF30" s="11">
        <f t="shared" si="13"/>
        <v>55.72937499999999</v>
      </c>
      <c r="AG30" s="11">
        <f t="shared" si="13"/>
        <v>55.72937499999999</v>
      </c>
      <c r="AH30" s="11">
        <f t="shared" si="13"/>
        <v>55.72937499999999</v>
      </c>
      <c r="AI30" s="11">
        <f t="shared" si="13"/>
        <v>55.72937499999999</v>
      </c>
      <c r="AJ30" s="11">
        <f t="shared" si="13"/>
        <v>55.72937499999999</v>
      </c>
      <c r="AK30" s="11">
        <f t="shared" si="13"/>
        <v>55.72937499999999</v>
      </c>
      <c r="AL30" s="11">
        <f t="shared" si="13"/>
        <v>55.72937499999999</v>
      </c>
      <c r="AM30" s="11">
        <f t="shared" si="13"/>
        <v>55.72937499999999</v>
      </c>
      <c r="AN30" s="11">
        <f t="shared" si="13"/>
        <v>55.72937499999999</v>
      </c>
      <c r="AO30" s="11">
        <f t="shared" si="13"/>
        <v>55.72937499999999</v>
      </c>
      <c r="AP30" s="11">
        <f t="shared" si="13"/>
        <v>55.72937499999999</v>
      </c>
      <c r="AQ30" s="11">
        <f t="shared" si="13"/>
        <v>55.72937499999999</v>
      </c>
    </row>
    <row r="31" spans="1:49 16384:16384">
      <c r="B31" t="s">
        <v>80</v>
      </c>
      <c r="C31" s="12">
        <v>98</v>
      </c>
      <c r="D31" s="12">
        <v>94</v>
      </c>
      <c r="E31" s="12">
        <v>95</v>
      </c>
      <c r="F31" s="12">
        <v>80</v>
      </c>
      <c r="G31" s="12">
        <v>88</v>
      </c>
      <c r="H31" s="12">
        <v>67</v>
      </c>
      <c r="I31" s="12">
        <v>52</v>
      </c>
      <c r="J31" s="12">
        <v>50</v>
      </c>
      <c r="K31" s="12">
        <v>46</v>
      </c>
      <c r="L31" s="12">
        <v>32</v>
      </c>
      <c r="M31" s="12">
        <v>39</v>
      </c>
      <c r="N31" s="12">
        <v>36</v>
      </c>
      <c r="O31" s="12">
        <v>0</v>
      </c>
      <c r="P31" s="12">
        <v>0</v>
      </c>
      <c r="Q31" s="12">
        <v>0</v>
      </c>
      <c r="R31" s="12">
        <v>0</v>
      </c>
      <c r="S31" s="12">
        <v>0</v>
      </c>
      <c r="U31" s="12">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row>
    <row r="32" spans="1:49 16384:16384">
      <c r="B32" t="s">
        <v>50</v>
      </c>
      <c r="C32" s="12">
        <v>0</v>
      </c>
      <c r="D32" s="12">
        <v>0</v>
      </c>
      <c r="E32" s="12">
        <v>0</v>
      </c>
      <c r="F32" s="12">
        <v>0</v>
      </c>
      <c r="G32" s="12">
        <v>0</v>
      </c>
      <c r="H32" s="12">
        <v>0</v>
      </c>
      <c r="I32" s="12">
        <v>0</v>
      </c>
      <c r="J32" s="12">
        <v>0</v>
      </c>
      <c r="K32" s="12">
        <v>37</v>
      </c>
      <c r="L32" s="12">
        <v>32</v>
      </c>
      <c r="M32" s="12">
        <v>43</v>
      </c>
      <c r="N32" s="12">
        <v>19</v>
      </c>
      <c r="O32" s="12">
        <v>-8</v>
      </c>
      <c r="P32" s="12">
        <v>-1</v>
      </c>
      <c r="Q32" s="12">
        <v>-2</v>
      </c>
      <c r="R32" s="12">
        <v>10</v>
      </c>
      <c r="S32" s="12">
        <v>30</v>
      </c>
      <c r="U32" s="12">
        <v>35</v>
      </c>
      <c r="V32" s="12">
        <v>38</v>
      </c>
      <c r="W32" s="12">
        <v>40</v>
      </c>
      <c r="X32" s="12">
        <v>43</v>
      </c>
      <c r="Y32" s="12">
        <v>47</v>
      </c>
      <c r="Z32" s="12">
        <v>47</v>
      </c>
      <c r="AA32" s="12">
        <v>47</v>
      </c>
      <c r="AB32" s="12">
        <v>47</v>
      </c>
      <c r="AC32" s="12">
        <v>47</v>
      </c>
      <c r="AD32" s="12">
        <v>47</v>
      </c>
      <c r="AE32" s="12">
        <v>47</v>
      </c>
      <c r="AF32" s="12">
        <v>47</v>
      </c>
      <c r="AG32" s="12">
        <v>47</v>
      </c>
      <c r="AH32" s="12">
        <v>47</v>
      </c>
      <c r="AI32" s="12">
        <v>47</v>
      </c>
      <c r="AJ32" s="12">
        <v>47</v>
      </c>
      <c r="AK32" s="12">
        <v>47</v>
      </c>
      <c r="AL32" s="12">
        <v>47</v>
      </c>
      <c r="AM32" s="12">
        <v>47</v>
      </c>
      <c r="AN32" s="12">
        <v>47</v>
      </c>
      <c r="AO32" s="12">
        <v>47</v>
      </c>
      <c r="AP32" s="12">
        <v>47</v>
      </c>
      <c r="AQ32" s="12">
        <v>47</v>
      </c>
    </row>
    <row r="33" spans="1:44 16384:16384">
      <c r="B33" s="22" t="s">
        <v>64</v>
      </c>
      <c r="C33" s="12">
        <v>0</v>
      </c>
      <c r="D33" s="12">
        <v>0</v>
      </c>
      <c r="E33" s="12">
        <v>0</v>
      </c>
      <c r="F33" s="12">
        <v>0</v>
      </c>
      <c r="G33" s="12">
        <v>0</v>
      </c>
      <c r="H33" s="12">
        <v>0</v>
      </c>
      <c r="I33" s="12">
        <v>0</v>
      </c>
      <c r="J33" s="12">
        <v>0</v>
      </c>
      <c r="K33" s="12">
        <v>0</v>
      </c>
      <c r="L33" s="12">
        <v>0</v>
      </c>
      <c r="M33" s="12">
        <v>0</v>
      </c>
      <c r="N33" s="12">
        <v>0</v>
      </c>
      <c r="O33" s="23">
        <v>27</v>
      </c>
      <c r="P33" s="23">
        <v>34</v>
      </c>
      <c r="Q33" s="23">
        <v>54</v>
      </c>
      <c r="R33" s="12">
        <v>60</v>
      </c>
      <c r="S33" s="12">
        <v>52</v>
      </c>
      <c r="U33" s="12">
        <v>48</v>
      </c>
      <c r="V33" s="12">
        <v>44</v>
      </c>
      <c r="W33" s="12">
        <v>44</v>
      </c>
      <c r="X33" s="12">
        <v>44</v>
      </c>
      <c r="Y33" s="12">
        <v>44</v>
      </c>
      <c r="Z33" s="12">
        <v>44</v>
      </c>
      <c r="AA33" s="12">
        <v>44</v>
      </c>
      <c r="AB33" s="12">
        <v>44</v>
      </c>
      <c r="AC33" s="12">
        <v>44</v>
      </c>
      <c r="AD33" s="12">
        <v>44</v>
      </c>
      <c r="AE33" s="12">
        <v>44</v>
      </c>
      <c r="AF33" s="12">
        <v>44</v>
      </c>
      <c r="AG33" s="12">
        <v>44</v>
      </c>
      <c r="AH33" s="12">
        <v>44</v>
      </c>
      <c r="AI33" s="12">
        <v>44</v>
      </c>
      <c r="AJ33" s="12">
        <v>44</v>
      </c>
      <c r="AK33" s="12">
        <v>44</v>
      </c>
      <c r="AL33" s="12">
        <v>44</v>
      </c>
      <c r="AM33" s="89">
        <v>44</v>
      </c>
      <c r="AN33" s="89">
        <v>44</v>
      </c>
      <c r="AO33" s="89">
        <v>44</v>
      </c>
      <c r="AP33" s="89">
        <v>44</v>
      </c>
      <c r="AQ33" s="89">
        <v>44</v>
      </c>
      <c r="XFD33" s="89"/>
    </row>
    <row r="34" spans="1:44 16384:16384">
      <c r="A34" s="7"/>
      <c r="B34" s="7" t="s">
        <v>51</v>
      </c>
      <c r="C34" s="12"/>
      <c r="D34" s="12"/>
      <c r="E34" s="12"/>
      <c r="F34" s="12"/>
      <c r="G34" s="12"/>
      <c r="H34" s="12"/>
      <c r="I34" s="12"/>
      <c r="J34" s="12"/>
      <c r="K34" s="12"/>
      <c r="L34" s="12"/>
      <c r="M34" s="12"/>
      <c r="N34" s="12"/>
      <c r="O34" s="12"/>
      <c r="P34" s="12"/>
      <c r="Q34" s="12"/>
      <c r="R34" s="12"/>
      <c r="S34" s="12"/>
    </row>
    <row r="35" spans="1:44 16384:16384">
      <c r="B35" t="s">
        <v>25</v>
      </c>
      <c r="C35" s="12">
        <v>231</v>
      </c>
      <c r="D35" s="12">
        <v>233</v>
      </c>
      <c r="E35" s="12">
        <v>210</v>
      </c>
      <c r="F35" s="12">
        <v>220</v>
      </c>
      <c r="G35" s="12">
        <v>208</v>
      </c>
      <c r="H35" s="12">
        <v>214</v>
      </c>
      <c r="I35" s="12">
        <v>203</v>
      </c>
      <c r="J35" s="12">
        <v>205</v>
      </c>
      <c r="K35" s="12">
        <v>215</v>
      </c>
      <c r="L35" s="12">
        <v>191</v>
      </c>
      <c r="M35" s="12">
        <v>209</v>
      </c>
      <c r="N35" s="12">
        <v>223</v>
      </c>
      <c r="O35" s="12">
        <v>214</v>
      </c>
      <c r="P35" s="12">
        <v>202</v>
      </c>
      <c r="Q35" s="12">
        <v>203</v>
      </c>
      <c r="R35" s="12">
        <v>206</v>
      </c>
      <c r="S35" s="12">
        <v>186</v>
      </c>
      <c r="U35" s="12">
        <f t="shared" ref="U35:AQ35" si="14">AVERAGE(K35:S35)</f>
        <v>205.44444444444446</v>
      </c>
      <c r="V35" s="12">
        <f t="shared" si="14"/>
        <v>204.25</v>
      </c>
      <c r="W35" s="12">
        <f t="shared" si="14"/>
        <v>206.05555555555554</v>
      </c>
      <c r="X35" s="12">
        <f t="shared" si="14"/>
        <v>205.46180555555554</v>
      </c>
      <c r="Y35" s="12">
        <f t="shared" si="14"/>
        <v>203.34375</v>
      </c>
      <c r="Z35" s="12">
        <f t="shared" si="14"/>
        <v>202.27647569444446</v>
      </c>
      <c r="AA35" s="12">
        <f t="shared" si="14"/>
        <v>202.44444444444446</v>
      </c>
      <c r="AB35" s="12">
        <f t="shared" si="14"/>
        <v>202.35400390625</v>
      </c>
      <c r="AC35" s="12">
        <f t="shared" si="14"/>
        <v>201.90955946180554</v>
      </c>
      <c r="AD35" s="12">
        <f t="shared" si="14"/>
        <v>203.95380995008679</v>
      </c>
      <c r="AE35" s="12">
        <f t="shared" si="14"/>
        <v>203.72667100694446</v>
      </c>
      <c r="AF35" s="12">
        <f t="shared" si="14"/>
        <v>203.56104495201583</v>
      </c>
      <c r="AG35" s="12">
        <f t="shared" si="14"/>
        <v>203.50289728612077</v>
      </c>
      <c r="AH35" s="12">
        <f t="shared" si="14"/>
        <v>203.22572944128302</v>
      </c>
      <c r="AI35" s="12">
        <f t="shared" si="14"/>
        <v>203.00807296690135</v>
      </c>
      <c r="AJ35" s="12">
        <f t="shared" si="14"/>
        <v>202.99495957148835</v>
      </c>
      <c r="AK35" s="12">
        <f t="shared" si="14"/>
        <v>203.07624815731691</v>
      </c>
      <c r="AL35" s="12">
        <f t="shared" si="14"/>
        <v>203.13741650476624</v>
      </c>
      <c r="AM35" s="12">
        <f t="shared" si="14"/>
        <v>203.21766586599588</v>
      </c>
      <c r="AN35" s="12">
        <f t="shared" si="14"/>
        <v>203.35409442632488</v>
      </c>
      <c r="AO35" s="12">
        <f t="shared" si="14"/>
        <v>203.27230063920368</v>
      </c>
      <c r="AP35" s="12">
        <f t="shared" si="14"/>
        <v>203.23090324135703</v>
      </c>
      <c r="AQ35" s="12">
        <f t="shared" si="14"/>
        <v>203.19882053993345</v>
      </c>
      <c r="AR35" s="12"/>
    </row>
    <row r="36" spans="1:44 16384:16384">
      <c r="A36" s="7"/>
      <c r="B36" s="5" t="s">
        <v>52</v>
      </c>
      <c r="C36" s="12">
        <v>167</v>
      </c>
      <c r="D36" s="12">
        <v>157</v>
      </c>
      <c r="E36" s="12">
        <v>135</v>
      </c>
      <c r="F36" s="12">
        <v>123</v>
      </c>
      <c r="G36" s="12">
        <v>123</v>
      </c>
      <c r="H36" s="12">
        <v>98</v>
      </c>
      <c r="I36" s="12">
        <v>101</v>
      </c>
      <c r="J36" s="12">
        <v>89</v>
      </c>
      <c r="K36" s="12">
        <v>88</v>
      </c>
      <c r="L36" s="12">
        <v>73</v>
      </c>
      <c r="M36" s="12">
        <v>82</v>
      </c>
      <c r="N36" s="12">
        <v>88</v>
      </c>
      <c r="O36" s="12">
        <v>85</v>
      </c>
      <c r="P36" s="12">
        <v>75</v>
      </c>
      <c r="Q36" s="12">
        <v>73</v>
      </c>
      <c r="R36" s="12">
        <v>67</v>
      </c>
      <c r="S36" s="12">
        <v>61</v>
      </c>
      <c r="U36" s="12">
        <f>((0.995*SUM($O$36:$R$36))-$S$36)/3</f>
        <v>79.166666666666671</v>
      </c>
      <c r="V36" s="12">
        <f>((0.995*SUM($O$36:$R$36))-$S$36)/3</f>
        <v>79.166666666666671</v>
      </c>
      <c r="W36" s="12">
        <f>((0.995*SUM($O$36:$R$36))-$S$36)/3</f>
        <v>79.166666666666671</v>
      </c>
      <c r="X36" s="11">
        <f>(0.995*SUM($S$36,$U$36:$W$36))/4</f>
        <v>74.251875000000013</v>
      </c>
      <c r="Y36" s="11">
        <f>(0.995*SUM($S$36,$U$36:$W$36))/4</f>
        <v>74.251875000000013</v>
      </c>
      <c r="Z36" s="11">
        <f>(0.995*SUM($S$36,$U$36:$W$36))/4</f>
        <v>74.251875000000013</v>
      </c>
      <c r="AA36" s="11">
        <f>(0.995*SUM($S$36,$U$36:$W$36))/4</f>
        <v>74.251875000000013</v>
      </c>
      <c r="AB36" s="11">
        <f>(0.995*SUM($X$36:$AA$36))/4</f>
        <v>73.880615625000019</v>
      </c>
      <c r="AC36" s="11">
        <f>(0.995*SUM($X$36:$AA$36))/4</f>
        <v>73.880615625000019</v>
      </c>
      <c r="AD36" s="11">
        <f>(0.995*SUM($X$36:$AA$36))/4</f>
        <v>73.880615625000019</v>
      </c>
      <c r="AE36" s="11">
        <f>(0.995*SUM($X$36:$AA$36))/4</f>
        <v>73.880615625000019</v>
      </c>
      <c r="AF36" s="11">
        <f>(0.995*SUM($AB$36:$AE$36))/4</f>
        <v>73.511212546875015</v>
      </c>
      <c r="AG36" s="11">
        <f>(0.995*SUM($AB$36:$AE$36))/4</f>
        <v>73.511212546875015</v>
      </c>
      <c r="AH36" s="11">
        <f>(0.995*SUM($AB$36:$AE$36))/4</f>
        <v>73.511212546875015</v>
      </c>
      <c r="AI36" s="11">
        <f>(0.995*SUM($AB$36:$AE$36))/4</f>
        <v>73.511212546875015</v>
      </c>
      <c r="AJ36" s="11">
        <f>(0.995*SUM($AF$36:$AI$36))/4</f>
        <v>73.143656484140635</v>
      </c>
      <c r="AK36" s="11">
        <f>(0.995*SUM($AF$36:$AI$36))/4</f>
        <v>73.143656484140635</v>
      </c>
      <c r="AL36" s="11">
        <f>(0.995*SUM($AF$36:$AI$36))/4</f>
        <v>73.143656484140635</v>
      </c>
      <c r="AM36" s="11">
        <f>(0.995*SUM($AF$36:$AI$36))/4</f>
        <v>73.143656484140635</v>
      </c>
      <c r="AN36" s="11">
        <f>(0.995*SUM($AJ$36:$AM$36))/4</f>
        <v>72.777938201719934</v>
      </c>
      <c r="AO36" s="11">
        <f>(0.995*SUM($AJ$36:$AM$36))/4</f>
        <v>72.777938201719934</v>
      </c>
      <c r="AP36" s="11">
        <f>(0.995*SUM($AJ$36:$AM$36))/4</f>
        <v>72.777938201719934</v>
      </c>
      <c r="AQ36" s="11">
        <f>(0.995*SUM($AJ$36:$AM$36))/4</f>
        <v>72.777938201719934</v>
      </c>
    </row>
    <row r="37" spans="1:44 16384:16384">
      <c r="A37" s="7"/>
      <c r="B37" s="7" t="s">
        <v>53</v>
      </c>
      <c r="C37" s="12"/>
      <c r="D37" s="12"/>
      <c r="E37" s="12"/>
      <c r="F37" s="12"/>
      <c r="G37" s="12"/>
      <c r="H37" s="12"/>
      <c r="I37" s="12"/>
      <c r="J37" s="12"/>
      <c r="K37" s="12"/>
      <c r="L37" s="12"/>
      <c r="M37" s="12"/>
      <c r="N37" s="12"/>
      <c r="O37" s="12"/>
      <c r="P37" s="12"/>
      <c r="Q37" s="12"/>
      <c r="R37" s="12"/>
      <c r="S37" s="12"/>
      <c r="U37" s="12"/>
    </row>
    <row r="38" spans="1:44 16384:16384">
      <c r="A38" s="5"/>
      <c r="B38" s="5" t="s">
        <v>54</v>
      </c>
      <c r="C38" s="12">
        <v>54</v>
      </c>
      <c r="D38" s="12">
        <v>71</v>
      </c>
      <c r="E38" s="12">
        <v>66</v>
      </c>
      <c r="F38" s="12">
        <v>69</v>
      </c>
      <c r="G38" s="12">
        <v>67</v>
      </c>
      <c r="H38" s="12">
        <v>76</v>
      </c>
      <c r="I38" s="12">
        <v>80</v>
      </c>
      <c r="J38" s="12">
        <v>83</v>
      </c>
      <c r="K38" s="12">
        <v>79</v>
      </c>
      <c r="L38" s="12">
        <v>84</v>
      </c>
      <c r="M38" s="12">
        <v>81</v>
      </c>
      <c r="N38" s="12">
        <v>83</v>
      </c>
      <c r="O38" s="12">
        <v>79</v>
      </c>
      <c r="P38" s="12">
        <v>78</v>
      </c>
      <c r="Q38" s="12">
        <v>81</v>
      </c>
      <c r="R38" s="12">
        <v>80</v>
      </c>
      <c r="S38" s="12">
        <v>69</v>
      </c>
      <c r="U38" s="12">
        <f>AVERAGE(K38:S38)</f>
        <v>79.333333333333329</v>
      </c>
      <c r="V38" s="12">
        <v>70</v>
      </c>
      <c r="W38" s="12">
        <v>74</v>
      </c>
      <c r="X38" s="12">
        <v>75</v>
      </c>
      <c r="Y38" s="12">
        <v>75</v>
      </c>
      <c r="Z38" s="12">
        <v>75</v>
      </c>
      <c r="AA38" s="12">
        <v>75</v>
      </c>
      <c r="AB38" s="12">
        <v>75</v>
      </c>
      <c r="AC38" s="12">
        <v>75</v>
      </c>
      <c r="AD38" s="12">
        <v>75</v>
      </c>
      <c r="AE38" s="12">
        <v>75</v>
      </c>
      <c r="AF38" s="12">
        <v>75</v>
      </c>
      <c r="AG38" s="12">
        <v>75</v>
      </c>
      <c r="AH38" s="12">
        <v>75</v>
      </c>
      <c r="AI38" s="12">
        <v>75</v>
      </c>
      <c r="AJ38" s="12">
        <v>75</v>
      </c>
      <c r="AK38" s="12">
        <v>75</v>
      </c>
      <c r="AL38" s="12">
        <v>75</v>
      </c>
      <c r="AM38" s="12">
        <v>75</v>
      </c>
      <c r="AN38" s="12">
        <v>75</v>
      </c>
      <c r="AO38" s="12">
        <v>75</v>
      </c>
      <c r="AP38" s="12">
        <v>75</v>
      </c>
      <c r="AQ38" s="12">
        <v>75</v>
      </c>
      <c r="XFD38" s="12"/>
    </row>
    <row r="39" spans="1:44 16384:16384">
      <c r="A39" s="7"/>
      <c r="B39" s="7" t="s">
        <v>55</v>
      </c>
      <c r="C39" s="12"/>
      <c r="D39" s="12"/>
      <c r="E39" s="12"/>
      <c r="F39" s="12"/>
      <c r="G39" s="12"/>
      <c r="H39" s="12"/>
      <c r="I39" s="12"/>
      <c r="J39" s="12"/>
      <c r="K39" s="12"/>
      <c r="L39" s="12"/>
      <c r="M39" s="12"/>
      <c r="N39" s="12"/>
      <c r="O39" s="12"/>
      <c r="P39" s="12"/>
      <c r="Q39" s="12"/>
      <c r="R39" s="12"/>
      <c r="S39" s="12"/>
    </row>
    <row r="40" spans="1:44 16384:16384" ht="20" customHeight="1">
      <c r="B40" t="s">
        <v>40</v>
      </c>
      <c r="C40" s="12">
        <v>281</v>
      </c>
      <c r="D40" s="12">
        <v>305</v>
      </c>
      <c r="E40" s="12">
        <v>275</v>
      </c>
      <c r="F40" s="12">
        <v>280</v>
      </c>
      <c r="G40" s="12">
        <v>255</v>
      </c>
      <c r="H40" s="12">
        <v>247</v>
      </c>
      <c r="I40" s="12">
        <v>250</v>
      </c>
      <c r="J40" s="12">
        <v>223</v>
      </c>
      <c r="K40" s="12">
        <v>245</v>
      </c>
      <c r="L40" s="12">
        <v>196</v>
      </c>
      <c r="M40" s="12">
        <v>205</v>
      </c>
      <c r="N40" s="12">
        <v>211</v>
      </c>
      <c r="O40" s="12">
        <v>209</v>
      </c>
      <c r="P40" s="12">
        <v>192</v>
      </c>
      <c r="Q40" s="12">
        <v>189</v>
      </c>
      <c r="R40" s="12">
        <v>178</v>
      </c>
      <c r="S40" s="12">
        <v>158</v>
      </c>
      <c r="U40" s="12">
        <f>((1.125*SUM($O$40:$R$40))-$S$40)/3</f>
        <v>235.33333333333334</v>
      </c>
      <c r="V40" s="12">
        <f>((1.125*SUM($O$40:$R$40))-$S$40)/3</f>
        <v>235.33333333333334</v>
      </c>
      <c r="W40" s="12">
        <f>((1.125*SUM($O$40:$R$40))-$S$40)/3</f>
        <v>235.33333333333334</v>
      </c>
      <c r="X40" s="12">
        <f>((1.125*SUM($S$40,$U$40:$W$40)))/4</f>
        <v>243.00000000000003</v>
      </c>
      <c r="Y40" s="12">
        <f>((1.125*SUM($S$40,$U$40:$W$40)))/4</f>
        <v>243.00000000000003</v>
      </c>
      <c r="Z40" s="12">
        <f>((1.125*SUM($S$40,$U$40:$W$40)))/4</f>
        <v>243.00000000000003</v>
      </c>
      <c r="AA40" s="12">
        <f>((1.125*SUM($S$40,$U$40:$W$40)))/4</f>
        <v>243.00000000000003</v>
      </c>
      <c r="AB40" s="12">
        <f>((1.125*SUM($X$40:$AA$40)))/4</f>
        <v>273.37500000000006</v>
      </c>
      <c r="AC40" s="12">
        <f>((1.125*SUM($X$40:$AA$40)))/4</f>
        <v>273.37500000000006</v>
      </c>
      <c r="AD40" s="12">
        <f>((1.125*SUM($X$40:$AA$40)))/4</f>
        <v>273.37500000000006</v>
      </c>
      <c r="AE40" s="12">
        <f>((1.125*SUM($X$40:$AA$40)))/4</f>
        <v>273.37500000000006</v>
      </c>
      <c r="AF40" s="12">
        <f>((1.125*SUM($AB$40:$AE$40)))/4</f>
        <v>307.54687500000006</v>
      </c>
      <c r="AG40" s="12">
        <f>((1.125*SUM($AB$40:$AE$40)))/4</f>
        <v>307.54687500000006</v>
      </c>
      <c r="AH40" s="12">
        <f>((1.125*SUM($AB$40:$AE$40)))/4</f>
        <v>307.54687500000006</v>
      </c>
      <c r="AI40" s="12">
        <f>((1.125*SUM($AB$40:$AE$40)))/4</f>
        <v>307.54687500000006</v>
      </c>
      <c r="AJ40" s="12">
        <f>((1.125*SUM($AF$40:$AI$40)))/4</f>
        <v>345.99023437500006</v>
      </c>
      <c r="AK40" s="12">
        <f>((1.125*SUM($AF$40:$AI$40)))/4</f>
        <v>345.99023437500006</v>
      </c>
      <c r="AL40" s="12">
        <f>((1.125*SUM($AF$40:$AI$40)))/4</f>
        <v>345.99023437500006</v>
      </c>
      <c r="AM40" s="12">
        <f>((1.125*SUM($AF$40:$AI$40)))/4</f>
        <v>345.99023437500006</v>
      </c>
      <c r="AN40" s="12">
        <f>((1.125*SUM($AJ$40:$AM$40)))/4</f>
        <v>389.23901367187506</v>
      </c>
      <c r="AO40" s="12">
        <f>((1.125*SUM($AJ$40:$AM$40)))/4</f>
        <v>389.23901367187506</v>
      </c>
      <c r="AP40" s="12">
        <f>((1.125*SUM($AJ$40:$AM$40)))/4</f>
        <v>389.23901367187506</v>
      </c>
      <c r="AQ40" s="12">
        <f>((1.125*SUM($AJ$40:$AM$40)))/4</f>
        <v>389.23901367187506</v>
      </c>
    </row>
    <row r="41" spans="1:44 16384:16384">
      <c r="B41" t="s">
        <v>17</v>
      </c>
      <c r="C41" s="12">
        <v>0</v>
      </c>
      <c r="D41" s="12">
        <v>0</v>
      </c>
      <c r="E41" s="12">
        <v>0</v>
      </c>
      <c r="F41" s="12">
        <v>0</v>
      </c>
      <c r="G41" s="12">
        <v>0</v>
      </c>
      <c r="H41" s="12">
        <v>0</v>
      </c>
      <c r="I41" s="12">
        <v>0</v>
      </c>
      <c r="J41" s="12">
        <v>0</v>
      </c>
      <c r="K41" s="12">
        <v>0</v>
      </c>
      <c r="L41" s="12" t="s">
        <v>20</v>
      </c>
      <c r="M41" s="12">
        <v>0</v>
      </c>
      <c r="N41" s="12">
        <v>0</v>
      </c>
      <c r="O41" s="12">
        <v>0</v>
      </c>
      <c r="P41" s="12">
        <v>0</v>
      </c>
      <c r="Q41" s="12">
        <v>0</v>
      </c>
      <c r="R41" s="12"/>
      <c r="S41" s="12">
        <v>3247</v>
      </c>
      <c r="U41" s="12">
        <f>1.1*S41</f>
        <v>3571.7000000000003</v>
      </c>
      <c r="V41" s="12">
        <f>1.1*U41</f>
        <v>3928.8700000000008</v>
      </c>
      <c r="W41" s="12">
        <f>1.1*V41</f>
        <v>4321.7570000000014</v>
      </c>
      <c r="X41" s="12">
        <f>1.1*W41</f>
        <v>4753.9327000000021</v>
      </c>
      <c r="Y41" s="12">
        <f t="shared" ref="Y41:AQ41" si="15">1.05*X41</f>
        <v>4991.6293350000024</v>
      </c>
      <c r="Z41" s="12">
        <f t="shared" si="15"/>
        <v>5241.2108017500022</v>
      </c>
      <c r="AA41" s="12">
        <f t="shared" si="15"/>
        <v>5503.2713418375024</v>
      </c>
      <c r="AB41" s="12">
        <f t="shared" si="15"/>
        <v>5778.4349089293773</v>
      </c>
      <c r="AC41" s="12">
        <f t="shared" si="15"/>
        <v>6067.3566543758461</v>
      </c>
      <c r="AD41" s="12">
        <f t="shared" si="15"/>
        <v>6370.7244870946388</v>
      </c>
      <c r="AE41" s="12">
        <f t="shared" si="15"/>
        <v>6689.2607114493712</v>
      </c>
      <c r="AF41" s="12">
        <f t="shared" si="15"/>
        <v>7023.7237470218397</v>
      </c>
      <c r="AG41" s="12">
        <f t="shared" si="15"/>
        <v>7374.9099343729322</v>
      </c>
      <c r="AH41" s="12">
        <f t="shared" si="15"/>
        <v>7743.655431091579</v>
      </c>
      <c r="AI41" s="12">
        <f t="shared" si="15"/>
        <v>8130.8382026461586</v>
      </c>
      <c r="AJ41" s="12">
        <f t="shared" si="15"/>
        <v>8537.3801127784664</v>
      </c>
      <c r="AK41" s="12">
        <f t="shared" si="15"/>
        <v>8964.2491184173905</v>
      </c>
      <c r="AL41" s="12">
        <f t="shared" si="15"/>
        <v>9412.4615743382601</v>
      </c>
      <c r="AM41" s="12">
        <f t="shared" si="15"/>
        <v>9883.0846530551735</v>
      </c>
      <c r="AN41" s="12">
        <f t="shared" si="15"/>
        <v>10377.238885707933</v>
      </c>
      <c r="AO41" s="12">
        <f t="shared" si="15"/>
        <v>10896.100829993331</v>
      </c>
      <c r="AP41" s="12">
        <f t="shared" si="15"/>
        <v>11440.905871492998</v>
      </c>
      <c r="AQ41" s="12">
        <f t="shared" si="15"/>
        <v>12012.951165067649</v>
      </c>
    </row>
    <row r="42" spans="1:44 16384:16384">
      <c r="B42" t="s">
        <v>81</v>
      </c>
      <c r="C42" s="12">
        <v>131</v>
      </c>
      <c r="D42" s="12">
        <v>113</v>
      </c>
      <c r="E42" s="12">
        <v>104</v>
      </c>
      <c r="F42" s="12">
        <v>108</v>
      </c>
      <c r="G42" s="12">
        <v>114</v>
      </c>
      <c r="H42" s="12">
        <v>108</v>
      </c>
      <c r="I42" s="12">
        <v>83</v>
      </c>
      <c r="J42" s="12">
        <v>66</v>
      </c>
      <c r="K42" s="12">
        <v>55</v>
      </c>
      <c r="L42" s="12">
        <v>39</v>
      </c>
      <c r="M42" s="12">
        <v>28</v>
      </c>
      <c r="N42" s="12">
        <v>45</v>
      </c>
      <c r="O42" s="12">
        <v>0</v>
      </c>
      <c r="P42" s="12">
        <v>0</v>
      </c>
      <c r="Q42" s="12">
        <v>0</v>
      </c>
      <c r="R42" s="12">
        <v>0</v>
      </c>
      <c r="S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row>
    <row r="43" spans="1:44 16384:16384">
      <c r="B43" t="s">
        <v>38</v>
      </c>
      <c r="C43" s="12">
        <v>0</v>
      </c>
      <c r="D43" s="12">
        <v>0</v>
      </c>
      <c r="E43" s="12">
        <v>0</v>
      </c>
      <c r="F43" s="12">
        <v>0</v>
      </c>
      <c r="G43" s="12">
        <v>0</v>
      </c>
      <c r="H43" s="12">
        <v>0</v>
      </c>
      <c r="I43" s="12">
        <v>0</v>
      </c>
      <c r="J43" s="12">
        <v>0</v>
      </c>
      <c r="K43" s="12">
        <v>0</v>
      </c>
      <c r="L43" s="12">
        <v>0</v>
      </c>
      <c r="M43" s="12">
        <v>0</v>
      </c>
      <c r="N43" s="12">
        <v>0</v>
      </c>
      <c r="O43" s="12">
        <v>0</v>
      </c>
      <c r="P43" s="12">
        <v>0</v>
      </c>
      <c r="Q43" s="12">
        <v>0</v>
      </c>
      <c r="R43" s="12">
        <v>952</v>
      </c>
      <c r="S43" s="12">
        <v>0</v>
      </c>
      <c r="U43" s="12">
        <v>0</v>
      </c>
      <c r="V43" s="12">
        <v>0</v>
      </c>
      <c r="W43" s="12">
        <v>0</v>
      </c>
      <c r="X43" s="12">
        <v>0</v>
      </c>
      <c r="Y43" s="12">
        <v>0</v>
      </c>
      <c r="Z43" s="12">
        <v>0</v>
      </c>
      <c r="AA43" s="12">
        <v>0</v>
      </c>
      <c r="AB43" s="12">
        <v>0</v>
      </c>
      <c r="AC43" s="12">
        <v>0</v>
      </c>
      <c r="AD43" s="12">
        <v>0</v>
      </c>
      <c r="AE43" s="12">
        <v>0</v>
      </c>
      <c r="AF43" s="12">
        <v>0</v>
      </c>
      <c r="AG43" s="12">
        <v>0</v>
      </c>
      <c r="AH43" s="12">
        <v>0</v>
      </c>
      <c r="AI43" s="12">
        <v>0</v>
      </c>
      <c r="AJ43" s="12">
        <v>0</v>
      </c>
      <c r="AK43" s="12">
        <v>0</v>
      </c>
      <c r="AL43" s="12">
        <v>0</v>
      </c>
      <c r="AM43" s="12">
        <v>0</v>
      </c>
      <c r="AN43" s="12">
        <v>0</v>
      </c>
      <c r="AO43" s="12">
        <v>0</v>
      </c>
      <c r="AP43" s="12">
        <v>0</v>
      </c>
      <c r="AQ43" s="12">
        <v>0</v>
      </c>
    </row>
    <row r="44" spans="1:44 16384:16384">
      <c r="A44" s="7"/>
      <c r="B44" s="7" t="s">
        <v>56</v>
      </c>
      <c r="C44" s="12"/>
      <c r="D44" s="12"/>
      <c r="E44" s="12"/>
      <c r="F44" s="12"/>
      <c r="G44" s="12"/>
      <c r="H44" s="12"/>
      <c r="I44" s="12"/>
      <c r="J44" s="12"/>
      <c r="K44" s="12"/>
      <c r="L44" s="12"/>
      <c r="M44" s="12"/>
      <c r="N44" s="12"/>
      <c r="O44" s="12"/>
      <c r="P44" s="12"/>
      <c r="Q44" s="12"/>
      <c r="R44" s="12"/>
      <c r="S44" s="12"/>
    </row>
    <row r="45" spans="1:44 16384:16384">
      <c r="B45" t="s">
        <v>57</v>
      </c>
      <c r="C45" s="12">
        <v>0</v>
      </c>
      <c r="D45" s="12">
        <v>0</v>
      </c>
      <c r="E45" s="12">
        <v>0</v>
      </c>
      <c r="F45" s="12">
        <v>0</v>
      </c>
      <c r="G45" s="12">
        <v>0</v>
      </c>
      <c r="H45" s="12">
        <v>0</v>
      </c>
      <c r="I45" s="12">
        <v>0</v>
      </c>
      <c r="J45" s="12">
        <v>0</v>
      </c>
      <c r="K45" s="12">
        <v>53</v>
      </c>
      <c r="L45" s="12">
        <v>79</v>
      </c>
      <c r="M45" s="12">
        <v>83</v>
      </c>
      <c r="N45" s="12">
        <v>65</v>
      </c>
      <c r="O45" s="12">
        <v>74</v>
      </c>
      <c r="P45" s="12">
        <v>74</v>
      </c>
      <c r="Q45" s="12">
        <v>100</v>
      </c>
      <c r="R45" s="12">
        <v>94</v>
      </c>
      <c r="S45" s="12">
        <v>72</v>
      </c>
      <c r="T45" s="12"/>
      <c r="U45" s="12">
        <f>((1.15*SUM($O$45:$R$45))-$S$45)/3</f>
        <v>107.09999999999998</v>
      </c>
      <c r="V45" s="12">
        <f>((1.15*SUM($O$45:$R$45))-$S$45)/3</f>
        <v>107.09999999999998</v>
      </c>
      <c r="W45" s="12">
        <f>((1.15*SUM($O$45:$R$45))-$S$45)/3</f>
        <v>107.09999999999998</v>
      </c>
      <c r="X45" s="12">
        <f>((1.1*SUM($S$45,$U$45:$W$45)))/4</f>
        <v>108.15749999999998</v>
      </c>
      <c r="Y45" s="12">
        <f>((1.1*SUM($S$45,$U$45:$W$45)))/4</f>
        <v>108.15749999999998</v>
      </c>
      <c r="Z45" s="12">
        <f>((1.1*SUM($S$45,$U$45:$W$45)))/4</f>
        <v>108.15749999999998</v>
      </c>
      <c r="AA45" s="12">
        <f>((1.1*SUM($S$45,$U$45:$W$45)))/4</f>
        <v>108.15749999999998</v>
      </c>
      <c r="AB45" s="12">
        <f>((1.05*SUM($X$45:$AA$45)))/4</f>
        <v>113.56537499999999</v>
      </c>
      <c r="AC45" s="12">
        <f>((1.05*SUM($X$45:$AA$45)))/4</f>
        <v>113.56537499999999</v>
      </c>
      <c r="AD45" s="12">
        <f>((1.05*SUM($X$45:$AA$45)))/4</f>
        <v>113.56537499999999</v>
      </c>
      <c r="AE45" s="12">
        <f>((1.05*SUM($X$45:$AA$45)))/4</f>
        <v>113.56537499999999</v>
      </c>
      <c r="AF45" s="12">
        <f>((1.05*SUM($AB$45:$AE$45)))/4</f>
        <v>119.24364374999999</v>
      </c>
      <c r="AG45" s="12">
        <f>((1.05*SUM($AB$45:$AE$45)))/4</f>
        <v>119.24364374999999</v>
      </c>
      <c r="AH45" s="12">
        <f>((1.05*SUM($AB$45:$AE$45)))/4</f>
        <v>119.24364374999999</v>
      </c>
      <c r="AI45" s="12">
        <f>((1.05*SUM($AB$45:$AE$45)))/4</f>
        <v>119.24364374999999</v>
      </c>
      <c r="AJ45" s="12">
        <f>((1.05*SUM($AF$45:$AI$45)))/4</f>
        <v>125.20582593749999</v>
      </c>
      <c r="AK45" s="12">
        <f>((1.05*SUM($AF$45:$AI$45)))/4</f>
        <v>125.20582593749999</v>
      </c>
      <c r="AL45" s="12">
        <f>((1.05*SUM($AF$45:$AI$45)))/4</f>
        <v>125.20582593749999</v>
      </c>
      <c r="AM45" s="12">
        <f>((1.05*SUM($AF$45:$AI$45)))/4</f>
        <v>125.20582593749999</v>
      </c>
      <c r="AN45" s="12">
        <f>((1.05*SUM($AJ$45:$AM$45)))/4</f>
        <v>131.46611723437499</v>
      </c>
      <c r="AO45" s="12">
        <f>((1.05*SUM($AJ$45:$AM$45)))/4</f>
        <v>131.46611723437499</v>
      </c>
      <c r="AP45" s="12">
        <f>((1.05*SUM($AJ$45:$AM$45)))/4</f>
        <v>131.46611723437499</v>
      </c>
      <c r="AQ45" s="12">
        <f>((1.05*SUM($AJ$45:$AM$45)))/4</f>
        <v>131.46611723437499</v>
      </c>
    </row>
    <row r="46" spans="1:44 16384:16384">
      <c r="B46" t="s">
        <v>58</v>
      </c>
      <c r="C46" s="12">
        <v>68</v>
      </c>
      <c r="D46" s="12">
        <v>75</v>
      </c>
      <c r="E46" s="12">
        <v>94</v>
      </c>
      <c r="F46" s="12">
        <v>91</v>
      </c>
      <c r="G46" s="12">
        <v>90</v>
      </c>
      <c r="H46" s="12">
        <v>104</v>
      </c>
      <c r="I46" s="12">
        <v>107</v>
      </c>
      <c r="J46" s="12">
        <v>117</v>
      </c>
      <c r="K46" s="12">
        <v>56</v>
      </c>
      <c r="L46" s="12">
        <v>57</v>
      </c>
      <c r="M46" s="12">
        <v>55</v>
      </c>
      <c r="N46" s="12">
        <v>53</v>
      </c>
      <c r="O46" s="12">
        <v>55</v>
      </c>
      <c r="P46" s="12">
        <v>74</v>
      </c>
      <c r="Q46" s="12">
        <v>59</v>
      </c>
      <c r="R46" s="12">
        <v>63</v>
      </c>
      <c r="S46" s="12">
        <v>61</v>
      </c>
      <c r="T46" s="12"/>
      <c r="U46" s="12">
        <f>((1.1*SUM($O$46:$R$46))-$S$46)/3</f>
        <v>71.7</v>
      </c>
      <c r="V46" s="12">
        <f>((1.1*SUM($O$46:$R$46))-$S$46)/3</f>
        <v>71.7</v>
      </c>
      <c r="W46" s="12">
        <f>((1.1*SUM($O$46:$R$46))-$S$46)/3</f>
        <v>71.7</v>
      </c>
      <c r="X46" s="12">
        <f>((1.1*SUM($S$46,$U$46:$W$46)))/4</f>
        <v>75.927499999999995</v>
      </c>
      <c r="Y46" s="12">
        <f>((1.1*SUM($S$46,$U$46:$W$46)))/4</f>
        <v>75.927499999999995</v>
      </c>
      <c r="Z46" s="12">
        <f>((1.1*SUM($S$46,$U$46:$W$46)))/4</f>
        <v>75.927499999999995</v>
      </c>
      <c r="AA46" s="12">
        <f>((1.1*SUM($S$46,$U$46:$W$46)))/4</f>
        <v>75.927499999999995</v>
      </c>
      <c r="AB46" s="12">
        <f>((1.05*SUM($X$46:$AA$46)))/4</f>
        <v>79.723874999999992</v>
      </c>
      <c r="AC46" s="12">
        <f>((1.05*SUM($X$46:$AA$46)))/4</f>
        <v>79.723874999999992</v>
      </c>
      <c r="AD46" s="12">
        <f>((1.05*SUM($X$46:$AA$46)))/4</f>
        <v>79.723874999999992</v>
      </c>
      <c r="AE46" s="12">
        <f>((1.05*SUM($X$46:$AA$46)))/4</f>
        <v>79.723874999999992</v>
      </c>
      <c r="AF46" s="12">
        <f>((1.05*SUM($AB$46:$AE$46)))/4</f>
        <v>83.710068749999991</v>
      </c>
      <c r="AG46" s="12">
        <f>((1.05*SUM($AB$46:$AE$46)))/4</f>
        <v>83.710068749999991</v>
      </c>
      <c r="AH46" s="12">
        <f>((1.05*SUM($AB$46:$AE$46)))/4</f>
        <v>83.710068749999991</v>
      </c>
      <c r="AI46" s="12">
        <f>((1.05*SUM($AB$46:$AE$46)))/4</f>
        <v>83.710068749999991</v>
      </c>
      <c r="AJ46" s="12">
        <f t="shared" ref="AJ46:AQ46" si="16">((1.05*SUM($AF$46:$AI$46)))/4</f>
        <v>87.895572187499994</v>
      </c>
      <c r="AK46" s="12">
        <f t="shared" si="16"/>
        <v>87.895572187499994</v>
      </c>
      <c r="AL46" s="12">
        <f t="shared" si="16"/>
        <v>87.895572187499994</v>
      </c>
      <c r="AM46" s="12">
        <f t="shared" si="16"/>
        <v>87.895572187499994</v>
      </c>
      <c r="AN46" s="12">
        <f t="shared" si="16"/>
        <v>87.895572187499994</v>
      </c>
      <c r="AO46" s="12">
        <f t="shared" si="16"/>
        <v>87.895572187499994</v>
      </c>
      <c r="AP46" s="12">
        <f t="shared" si="16"/>
        <v>87.895572187499994</v>
      </c>
      <c r="AQ46" s="12">
        <f t="shared" si="16"/>
        <v>87.895572187499994</v>
      </c>
    </row>
    <row r="47" spans="1:44 16384:16384">
      <c r="B47" t="s">
        <v>68</v>
      </c>
      <c r="C47" s="12">
        <v>305</v>
      </c>
      <c r="D47" s="12">
        <v>226</v>
      </c>
      <c r="E47" s="12">
        <v>165</v>
      </c>
      <c r="F47" s="12">
        <v>162</v>
      </c>
      <c r="G47" s="12">
        <v>140</v>
      </c>
      <c r="H47" s="12">
        <v>156</v>
      </c>
      <c r="I47" s="12">
        <v>147</v>
      </c>
      <c r="J47" s="12">
        <v>146</v>
      </c>
      <c r="K47" s="12">
        <v>145</v>
      </c>
      <c r="L47" s="12">
        <v>137</v>
      </c>
      <c r="M47" s="12">
        <v>103</v>
      </c>
      <c r="N47" s="12">
        <v>98</v>
      </c>
      <c r="O47" s="12">
        <v>92</v>
      </c>
      <c r="P47" s="12">
        <v>0</v>
      </c>
      <c r="Q47" s="12">
        <v>0</v>
      </c>
      <c r="R47" s="12">
        <v>0</v>
      </c>
      <c r="S47" s="12">
        <v>0</v>
      </c>
      <c r="U47" s="12">
        <v>0</v>
      </c>
      <c r="V47" s="12">
        <v>0</v>
      </c>
      <c r="W47" s="12">
        <v>0</v>
      </c>
      <c r="X47" s="12">
        <v>0</v>
      </c>
      <c r="Y47" s="12">
        <v>0</v>
      </c>
      <c r="Z47" s="12">
        <v>0</v>
      </c>
      <c r="AA47" s="12">
        <v>0</v>
      </c>
      <c r="AB47" s="12">
        <v>0</v>
      </c>
      <c r="AC47" s="12">
        <v>0</v>
      </c>
      <c r="AD47" s="12">
        <v>0</v>
      </c>
      <c r="AE47" s="12">
        <v>0</v>
      </c>
      <c r="AF47" s="12">
        <v>0</v>
      </c>
      <c r="AG47" s="12">
        <v>0</v>
      </c>
      <c r="AH47" s="12">
        <v>0</v>
      </c>
      <c r="AI47" s="12">
        <v>0</v>
      </c>
      <c r="AJ47" s="12">
        <v>0</v>
      </c>
      <c r="AK47" s="12">
        <v>0</v>
      </c>
      <c r="AL47" s="12">
        <v>0</v>
      </c>
      <c r="AM47" s="12">
        <v>0</v>
      </c>
      <c r="AN47" s="12">
        <v>0</v>
      </c>
      <c r="AO47" s="12">
        <v>0</v>
      </c>
      <c r="AP47" s="12">
        <v>0</v>
      </c>
      <c r="AQ47" s="12">
        <v>0</v>
      </c>
    </row>
    <row r="48" spans="1:44 16384:16384">
      <c r="B48" t="s">
        <v>69</v>
      </c>
      <c r="C48" s="12">
        <v>167</v>
      </c>
      <c r="D48" s="12">
        <v>155</v>
      </c>
      <c r="E48" s="12">
        <v>92</v>
      </c>
      <c r="F48" s="12">
        <v>83</v>
      </c>
      <c r="G48" s="12">
        <v>97</v>
      </c>
      <c r="H48" s="12">
        <v>76</v>
      </c>
      <c r="I48" s="12">
        <v>57</v>
      </c>
      <c r="J48" s="12">
        <v>54</v>
      </c>
      <c r="K48" s="12">
        <v>53</v>
      </c>
      <c r="L48" s="12">
        <v>39</v>
      </c>
      <c r="M48" s="12">
        <v>47</v>
      </c>
      <c r="N48" s="12">
        <v>43</v>
      </c>
      <c r="O48" s="12">
        <v>41</v>
      </c>
      <c r="P48" s="12">
        <v>0</v>
      </c>
      <c r="Q48" s="12">
        <v>0</v>
      </c>
      <c r="R48" s="12">
        <v>0</v>
      </c>
      <c r="S48" s="12">
        <v>0</v>
      </c>
      <c r="U48" s="12">
        <v>0</v>
      </c>
      <c r="V48" s="12">
        <v>0</v>
      </c>
      <c r="W48" s="12">
        <v>0</v>
      </c>
      <c r="X48" s="12">
        <v>0</v>
      </c>
      <c r="Y48" s="12">
        <v>0</v>
      </c>
      <c r="Z48" s="12">
        <v>0</v>
      </c>
      <c r="AA48" s="12">
        <v>0</v>
      </c>
      <c r="AB48" s="12">
        <v>0</v>
      </c>
      <c r="AC48" s="12">
        <v>0</v>
      </c>
      <c r="AD48" s="12">
        <v>0</v>
      </c>
      <c r="AE48" s="12">
        <v>0</v>
      </c>
      <c r="AF48" s="12">
        <v>0</v>
      </c>
      <c r="AG48" s="12">
        <v>0</v>
      </c>
      <c r="AH48" s="12">
        <v>0</v>
      </c>
      <c r="AI48" s="12">
        <v>0</v>
      </c>
      <c r="AJ48" s="12">
        <v>0</v>
      </c>
      <c r="AK48" s="12">
        <v>0</v>
      </c>
      <c r="AL48" s="12">
        <v>0</v>
      </c>
      <c r="AM48" s="12">
        <v>0</v>
      </c>
      <c r="AN48" s="12">
        <v>0</v>
      </c>
      <c r="AO48" s="12">
        <v>0</v>
      </c>
      <c r="AP48" s="12">
        <v>0</v>
      </c>
      <c r="AQ48" s="12">
        <v>0</v>
      </c>
    </row>
    <row r="49" spans="2:44">
      <c r="B49" t="s">
        <v>70</v>
      </c>
      <c r="C49" s="12">
        <v>73</v>
      </c>
      <c r="D49" s="12">
        <v>101</v>
      </c>
      <c r="E49" s="12">
        <v>84</v>
      </c>
      <c r="F49" s="12">
        <v>89</v>
      </c>
      <c r="G49" s="12">
        <v>94</v>
      </c>
      <c r="H49" s="12">
        <v>92</v>
      </c>
      <c r="I49" s="12">
        <v>97</v>
      </c>
      <c r="J49" s="12">
        <v>108</v>
      </c>
      <c r="K49" s="12">
        <v>122</v>
      </c>
      <c r="L49" s="12">
        <v>115</v>
      </c>
      <c r="M49" s="12">
        <v>111</v>
      </c>
      <c r="N49" s="12">
        <v>105</v>
      </c>
      <c r="O49" s="12">
        <v>112</v>
      </c>
      <c r="P49" s="12">
        <v>0</v>
      </c>
      <c r="Q49" s="12">
        <v>0</v>
      </c>
      <c r="R49" s="12">
        <v>0</v>
      </c>
      <c r="S49" s="12">
        <v>0</v>
      </c>
      <c r="U49" s="12">
        <v>0</v>
      </c>
      <c r="V49" s="12">
        <v>0</v>
      </c>
      <c r="W49" s="12">
        <v>0</v>
      </c>
      <c r="X49" s="12">
        <v>0</v>
      </c>
      <c r="Y49" s="12">
        <v>0</v>
      </c>
      <c r="Z49" s="12">
        <v>0</v>
      </c>
      <c r="AA49" s="12">
        <v>0</v>
      </c>
      <c r="AB49" s="12">
        <v>0</v>
      </c>
      <c r="AC49" s="12">
        <v>0</v>
      </c>
      <c r="AD49" s="12">
        <v>0</v>
      </c>
      <c r="AE49" s="12">
        <v>0</v>
      </c>
      <c r="AF49" s="12">
        <v>0</v>
      </c>
      <c r="AG49" s="12">
        <v>0</v>
      </c>
      <c r="AH49" s="12">
        <v>0</v>
      </c>
      <c r="AI49" s="12">
        <v>0</v>
      </c>
      <c r="AJ49" s="12">
        <v>0</v>
      </c>
      <c r="AK49" s="12">
        <v>0</v>
      </c>
      <c r="AL49" s="12">
        <v>0</v>
      </c>
      <c r="AM49" s="12">
        <v>0</v>
      </c>
      <c r="AN49" s="12">
        <v>0</v>
      </c>
      <c r="AO49" s="12">
        <v>0</v>
      </c>
      <c r="AP49" s="12">
        <v>0</v>
      </c>
      <c r="AQ49" s="12">
        <v>0</v>
      </c>
    </row>
    <row r="50" spans="2:44" s="7" customFormat="1">
      <c r="B50" s="7" t="s">
        <v>59</v>
      </c>
      <c r="C50" s="18"/>
      <c r="D50" s="18"/>
      <c r="E50" s="18"/>
      <c r="F50" s="18"/>
      <c r="G50" s="18"/>
      <c r="H50" s="18"/>
      <c r="I50" s="18"/>
      <c r="J50" s="18"/>
      <c r="K50" s="18"/>
      <c r="L50" s="18"/>
      <c r="M50" s="18"/>
      <c r="N50" s="18"/>
      <c r="O50" s="18"/>
      <c r="P50" s="18"/>
      <c r="Q50" s="18"/>
      <c r="R50" s="18"/>
      <c r="S50" s="18"/>
    </row>
    <row r="51" spans="2:44">
      <c r="B51" t="s">
        <v>62</v>
      </c>
      <c r="C51" s="12">
        <v>880</v>
      </c>
      <c r="D51" s="12">
        <v>949</v>
      </c>
      <c r="E51" s="12">
        <v>927</v>
      </c>
      <c r="F51" s="12">
        <v>930</v>
      </c>
      <c r="G51" s="12">
        <v>824</v>
      </c>
      <c r="H51" s="12">
        <v>908</v>
      </c>
      <c r="I51" s="12">
        <v>807</v>
      </c>
      <c r="J51" s="12">
        <v>943</v>
      </c>
      <c r="K51" s="12">
        <v>774</v>
      </c>
      <c r="L51" s="12">
        <v>854</v>
      </c>
      <c r="M51" s="12">
        <v>821</v>
      </c>
      <c r="N51" s="12">
        <v>857</v>
      </c>
      <c r="O51" s="12">
        <v>809</v>
      </c>
      <c r="P51" s="12">
        <v>784</v>
      </c>
      <c r="Q51" s="12">
        <v>852</v>
      </c>
      <c r="R51" s="12">
        <v>878</v>
      </c>
      <c r="S51" s="12">
        <v>779</v>
      </c>
      <c r="T51" s="12"/>
      <c r="U51" s="12">
        <f>((1.005*SUM($O$51:$R$51))-$S$51)/3</f>
        <v>853.5383333333333</v>
      </c>
      <c r="V51" s="12">
        <f>((1.005*SUM($O$51:$R$51))-$S$51)/3</f>
        <v>853.5383333333333</v>
      </c>
      <c r="W51" s="12">
        <f>((1.005*SUM($O$51:$R$51))-$S$51)/3</f>
        <v>853.5383333333333</v>
      </c>
      <c r="X51" s="12">
        <f>((1.005*SUM($S$51,$U$51:$W$51)))/4</f>
        <v>839.07826875000001</v>
      </c>
      <c r="Y51" s="12">
        <f>((1.005*SUM($S$51,$U$51:$W$51)))/4</f>
        <v>839.07826875000001</v>
      </c>
      <c r="Z51" s="12">
        <f>((1.005*SUM($S$51,$U$51:$W$51)))/4</f>
        <v>839.07826875000001</v>
      </c>
      <c r="AA51" s="12">
        <f>((1.005*SUM($S$51,$U$51:$W$51)))/4</f>
        <v>839.07826875000001</v>
      </c>
      <c r="AB51" s="12">
        <f>((1.005*SUM($X$51:$AA$51)))/4</f>
        <v>843.27366009374987</v>
      </c>
      <c r="AC51" s="12">
        <f>((1.005*SUM($X$51:$AA$51)))/4</f>
        <v>843.27366009374987</v>
      </c>
      <c r="AD51" s="12">
        <f>((1.005*SUM($X$51:$AA$51)))/4</f>
        <v>843.27366009374987</v>
      </c>
      <c r="AE51" s="12">
        <f>((1.005*SUM($X$51:$AA$51)))/4</f>
        <v>843.27366009374987</v>
      </c>
      <c r="AF51" s="12">
        <f t="shared" ref="AF51:AQ51" si="17">((1*SUM($AB$51:$AE$51)))/4</f>
        <v>843.27366009374987</v>
      </c>
      <c r="AG51" s="12">
        <f t="shared" si="17"/>
        <v>843.27366009374987</v>
      </c>
      <c r="AH51" s="12">
        <f t="shared" si="17"/>
        <v>843.27366009374987</v>
      </c>
      <c r="AI51" s="12">
        <f t="shared" si="17"/>
        <v>843.27366009374987</v>
      </c>
      <c r="AJ51" s="12">
        <f t="shared" si="17"/>
        <v>843.27366009374987</v>
      </c>
      <c r="AK51" s="12">
        <f t="shared" si="17"/>
        <v>843.27366009374987</v>
      </c>
      <c r="AL51" s="12">
        <f t="shared" si="17"/>
        <v>843.27366009374987</v>
      </c>
      <c r="AM51" s="12">
        <f t="shared" si="17"/>
        <v>843.27366009374987</v>
      </c>
      <c r="AN51" s="12">
        <f t="shared" si="17"/>
        <v>843.27366009374987</v>
      </c>
      <c r="AO51" s="12">
        <f t="shared" si="17"/>
        <v>843.27366009374987</v>
      </c>
      <c r="AP51" s="12">
        <f t="shared" si="17"/>
        <v>843.27366009374987</v>
      </c>
      <c r="AQ51" s="12">
        <f t="shared" si="17"/>
        <v>843.27366009374987</v>
      </c>
      <c r="AR51" s="12"/>
    </row>
    <row r="52" spans="2:44">
      <c r="B52" t="s">
        <v>61</v>
      </c>
      <c r="C52" s="12">
        <v>544</v>
      </c>
      <c r="D52" s="12">
        <v>585</v>
      </c>
      <c r="E52" s="12">
        <v>563</v>
      </c>
      <c r="F52" s="12">
        <v>535</v>
      </c>
      <c r="G52" s="12">
        <v>530</v>
      </c>
      <c r="H52" s="12">
        <v>533</v>
      </c>
      <c r="I52" s="12">
        <v>503</v>
      </c>
      <c r="J52" s="12">
        <v>475</v>
      </c>
      <c r="K52" s="12">
        <v>503</v>
      </c>
      <c r="L52" s="12">
        <v>490</v>
      </c>
      <c r="M52" s="12">
        <v>506</v>
      </c>
      <c r="N52" s="12">
        <v>472</v>
      </c>
      <c r="O52" s="12">
        <v>486</v>
      </c>
      <c r="P52" s="12">
        <v>477</v>
      </c>
      <c r="Q52" s="12">
        <v>487</v>
      </c>
      <c r="R52">
        <v>514</v>
      </c>
      <c r="S52" s="12">
        <v>454</v>
      </c>
      <c r="T52" s="12"/>
      <c r="U52" s="12">
        <f>((0.998*SUM($O$52:$R$52))-$S$52)/3</f>
        <v>502.02399999999994</v>
      </c>
      <c r="V52" s="12">
        <f>((0.998*SUM($O$52:$R$52))-$S$52)/3</f>
        <v>502.02399999999994</v>
      </c>
      <c r="W52" s="12">
        <f>((0.998*SUM($O$52:$R$52))-$S$52)/3</f>
        <v>502.02399999999994</v>
      </c>
      <c r="X52" s="12">
        <f>((0.998*SUM($S$52,$U$52:$W$52)))/4</f>
        <v>489.03796399999993</v>
      </c>
      <c r="Y52" s="12">
        <f>((0.998*SUM($S$52,$U$52:$W$52)))/4</f>
        <v>489.03796399999993</v>
      </c>
      <c r="Z52" s="12">
        <f>((0.998*SUM($S$52,$U$52:$W$52)))/4</f>
        <v>489.03796399999993</v>
      </c>
      <c r="AA52" s="12">
        <f>((0.998*SUM($S$52,$U$52:$W$52)))/4</f>
        <v>489.03796399999993</v>
      </c>
      <c r="AB52" s="12">
        <f t="shared" ref="AB52:AQ52" si="18">((0.998*SUM($X$52:$AA$52)))/4</f>
        <v>488.05988807199992</v>
      </c>
      <c r="AC52" s="12">
        <f t="shared" si="18"/>
        <v>488.05988807199992</v>
      </c>
      <c r="AD52" s="12">
        <f t="shared" si="18"/>
        <v>488.05988807199992</v>
      </c>
      <c r="AE52" s="12">
        <f t="shared" si="18"/>
        <v>488.05988807199992</v>
      </c>
      <c r="AF52" s="12">
        <f t="shared" si="18"/>
        <v>488.05988807199992</v>
      </c>
      <c r="AG52" s="12">
        <f t="shared" si="18"/>
        <v>488.05988807199992</v>
      </c>
      <c r="AH52" s="12">
        <f t="shared" si="18"/>
        <v>488.05988807199992</v>
      </c>
      <c r="AI52" s="12">
        <f t="shared" si="18"/>
        <v>488.05988807199992</v>
      </c>
      <c r="AJ52" s="12">
        <f t="shared" si="18"/>
        <v>488.05988807199992</v>
      </c>
      <c r="AK52" s="12">
        <f t="shared" si="18"/>
        <v>488.05988807199992</v>
      </c>
      <c r="AL52" s="12">
        <f t="shared" si="18"/>
        <v>488.05988807199992</v>
      </c>
      <c r="AM52" s="12">
        <f t="shared" si="18"/>
        <v>488.05988807199992</v>
      </c>
      <c r="AN52" s="12">
        <f t="shared" si="18"/>
        <v>488.05988807199992</v>
      </c>
      <c r="AO52" s="12">
        <f t="shared" si="18"/>
        <v>488.05988807199992</v>
      </c>
      <c r="AP52" s="12">
        <f t="shared" si="18"/>
        <v>488.05988807199992</v>
      </c>
      <c r="AQ52" s="12">
        <f t="shared" si="18"/>
        <v>488.05988807199992</v>
      </c>
    </row>
    <row r="53" spans="2:44">
      <c r="B53" s="7" t="s">
        <v>71</v>
      </c>
      <c r="C53" s="12"/>
      <c r="D53" s="12"/>
      <c r="E53" s="12"/>
      <c r="F53" s="12"/>
      <c r="G53" s="12">
        <f>SUM(G55:G55)</f>
        <v>199</v>
      </c>
      <c r="H53" s="12">
        <f>SUM(H55:H55)</f>
        <v>183</v>
      </c>
      <c r="I53" s="12">
        <f>SUM(I55:I55)</f>
        <v>199</v>
      </c>
      <c r="J53" s="12">
        <f>SUM(J55:J55)</f>
        <v>206</v>
      </c>
      <c r="K53" s="12"/>
      <c r="L53" s="12"/>
      <c r="M53" s="12">
        <f>SUM(M55:M55)</f>
        <v>189</v>
      </c>
      <c r="N53" s="12"/>
      <c r="O53" s="12"/>
      <c r="P53" s="12"/>
      <c r="Q53" s="12"/>
      <c r="S53" s="12"/>
      <c r="T53" s="12"/>
      <c r="U53" s="12"/>
    </row>
    <row r="54" spans="2:44">
      <c r="B54" t="s">
        <v>73</v>
      </c>
      <c r="C54" s="12">
        <v>216</v>
      </c>
      <c r="D54" s="12">
        <v>236</v>
      </c>
      <c r="E54" s="12">
        <v>234</v>
      </c>
      <c r="F54" s="12">
        <v>216</v>
      </c>
      <c r="G54" s="12">
        <v>219</v>
      </c>
      <c r="H54" s="12">
        <v>240</v>
      </c>
      <c r="I54" s="12">
        <v>241</v>
      </c>
      <c r="J54" s="12">
        <v>179</v>
      </c>
      <c r="K54" s="12">
        <v>63</v>
      </c>
      <c r="L54" s="12">
        <v>63</v>
      </c>
      <c r="M54" s="12">
        <v>58</v>
      </c>
      <c r="N54" s="12">
        <v>53</v>
      </c>
      <c r="O54" s="12">
        <v>45</v>
      </c>
      <c r="P54" s="12">
        <v>0</v>
      </c>
      <c r="Q54" s="12">
        <v>0</v>
      </c>
      <c r="R54" s="12">
        <v>0</v>
      </c>
      <c r="S54" s="12">
        <v>0</v>
      </c>
      <c r="T54" s="12"/>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v>0</v>
      </c>
      <c r="AL54" s="12">
        <v>0</v>
      </c>
      <c r="AM54" s="12">
        <v>0</v>
      </c>
      <c r="AN54" s="12">
        <v>0</v>
      </c>
      <c r="AO54" s="12">
        <v>0</v>
      </c>
      <c r="AP54" s="12">
        <v>0</v>
      </c>
      <c r="AQ54" s="12">
        <v>0</v>
      </c>
    </row>
    <row r="55" spans="2:44">
      <c r="B55" t="s">
        <v>72</v>
      </c>
      <c r="C55" s="12">
        <v>174</v>
      </c>
      <c r="D55" s="12">
        <v>174</v>
      </c>
      <c r="E55" s="12">
        <v>186</v>
      </c>
      <c r="F55" s="12">
        <v>169</v>
      </c>
      <c r="G55" s="12">
        <v>199</v>
      </c>
      <c r="H55" s="12">
        <v>183</v>
      </c>
      <c r="I55" s="12">
        <v>199</v>
      </c>
      <c r="J55" s="12">
        <v>206</v>
      </c>
      <c r="K55" s="12">
        <v>195</v>
      </c>
      <c r="L55" s="12">
        <v>132</v>
      </c>
      <c r="M55" s="12">
        <v>189</v>
      </c>
      <c r="N55" s="12">
        <v>165</v>
      </c>
      <c r="O55" s="12">
        <v>183</v>
      </c>
      <c r="P55" s="12">
        <v>0</v>
      </c>
      <c r="Q55" s="12">
        <v>0</v>
      </c>
      <c r="R55" s="12">
        <v>0</v>
      </c>
      <c r="S55" s="12">
        <v>0</v>
      </c>
      <c r="T55" s="12"/>
      <c r="U55" s="12">
        <v>0</v>
      </c>
      <c r="V55" s="12">
        <v>0</v>
      </c>
      <c r="W55" s="12">
        <v>0</v>
      </c>
      <c r="X55" s="12">
        <v>0</v>
      </c>
      <c r="Y55" s="12">
        <v>0</v>
      </c>
      <c r="Z55" s="12">
        <v>0</v>
      </c>
      <c r="AA55" s="12">
        <v>0</v>
      </c>
      <c r="AB55" s="12">
        <v>0</v>
      </c>
      <c r="AC55" s="12">
        <v>0</v>
      </c>
      <c r="AD55" s="12">
        <v>0</v>
      </c>
      <c r="AE55" s="12">
        <v>0</v>
      </c>
      <c r="AF55" s="12">
        <v>0</v>
      </c>
      <c r="AG55" s="12">
        <v>0</v>
      </c>
      <c r="AH55" s="12">
        <v>0</v>
      </c>
      <c r="AI55" s="12">
        <v>0</v>
      </c>
      <c r="AJ55" s="12">
        <v>0</v>
      </c>
      <c r="AK55" s="12">
        <v>0</v>
      </c>
      <c r="AL55" s="12">
        <v>0</v>
      </c>
      <c r="AM55" s="12">
        <v>0</v>
      </c>
      <c r="AN55" s="12">
        <v>0</v>
      </c>
      <c r="AO55" s="12">
        <v>0</v>
      </c>
      <c r="AP55" s="12">
        <v>0</v>
      </c>
      <c r="AQ55" s="12">
        <v>0</v>
      </c>
    </row>
    <row r="56" spans="2:44">
      <c r="B56" s="7" t="s">
        <v>74</v>
      </c>
      <c r="C56" s="12"/>
      <c r="D56" s="12"/>
      <c r="E56" s="12"/>
      <c r="F56" s="12"/>
      <c r="G56" s="12"/>
      <c r="H56" s="12"/>
      <c r="I56" s="12"/>
      <c r="J56" s="12"/>
      <c r="K56" s="12"/>
      <c r="L56" s="12"/>
      <c r="M56" s="12">
        <f>SUM(M57:M61)</f>
        <v>332</v>
      </c>
      <c r="N56" s="12"/>
      <c r="O56" s="12"/>
      <c r="P56" s="12"/>
      <c r="Q56" s="12"/>
      <c r="S56" s="12"/>
      <c r="T56" s="12"/>
    </row>
    <row r="57" spans="2:44">
      <c r="B57" t="s">
        <v>75</v>
      </c>
      <c r="C57" s="12">
        <v>175</v>
      </c>
      <c r="D57" s="12">
        <v>185</v>
      </c>
      <c r="E57" s="12">
        <v>161</v>
      </c>
      <c r="F57" s="12">
        <v>187</v>
      </c>
      <c r="G57" s="12">
        <v>191</v>
      </c>
      <c r="H57" s="12">
        <v>160</v>
      </c>
      <c r="I57" s="12">
        <v>152</v>
      </c>
      <c r="J57" s="12">
        <v>195</v>
      </c>
      <c r="K57" s="12">
        <v>155</v>
      </c>
      <c r="L57" s="12">
        <v>100</v>
      </c>
      <c r="M57" s="12">
        <v>82</v>
      </c>
      <c r="N57" s="12">
        <v>124</v>
      </c>
      <c r="O57" s="12">
        <v>107</v>
      </c>
      <c r="P57" s="12">
        <v>0</v>
      </c>
      <c r="Q57" s="12">
        <v>0</v>
      </c>
      <c r="R57" s="12">
        <v>0</v>
      </c>
      <c r="S57" s="12">
        <v>0</v>
      </c>
      <c r="T57" s="12"/>
      <c r="U57" s="12">
        <v>0</v>
      </c>
      <c r="V57" s="12">
        <v>0</v>
      </c>
      <c r="W57" s="12">
        <v>0</v>
      </c>
      <c r="X57" s="12">
        <v>0</v>
      </c>
      <c r="Y57" s="12">
        <v>0</v>
      </c>
      <c r="Z57" s="12">
        <v>0</v>
      </c>
      <c r="AA57" s="12">
        <v>0</v>
      </c>
      <c r="AB57" s="12">
        <v>0</v>
      </c>
      <c r="AC57" s="12">
        <v>0</v>
      </c>
      <c r="AD57" s="12">
        <v>0</v>
      </c>
      <c r="AE57" s="12">
        <v>0</v>
      </c>
      <c r="AF57" s="12">
        <v>0</v>
      </c>
      <c r="AG57" s="12">
        <v>0</v>
      </c>
      <c r="AH57" s="12">
        <v>0</v>
      </c>
      <c r="AI57" s="12">
        <v>0</v>
      </c>
      <c r="AJ57" s="12">
        <v>0</v>
      </c>
      <c r="AK57" s="12">
        <v>0</v>
      </c>
      <c r="AL57" s="12">
        <v>0</v>
      </c>
      <c r="AM57" s="12">
        <v>0</v>
      </c>
      <c r="AN57" s="12">
        <v>0</v>
      </c>
      <c r="AO57" s="12">
        <v>0</v>
      </c>
      <c r="AP57" s="12">
        <v>0</v>
      </c>
      <c r="AQ57" s="12">
        <v>0</v>
      </c>
    </row>
    <row r="58" spans="2:44">
      <c r="B58" t="s">
        <v>76</v>
      </c>
      <c r="C58" s="12">
        <v>120</v>
      </c>
      <c r="D58" s="12">
        <v>125</v>
      </c>
      <c r="E58" s="12">
        <v>103</v>
      </c>
      <c r="F58" s="12">
        <v>105</v>
      </c>
      <c r="G58" s="12">
        <v>103</v>
      </c>
      <c r="H58" s="12">
        <v>109</v>
      </c>
      <c r="I58" s="12">
        <v>116</v>
      </c>
      <c r="J58" s="12">
        <v>113</v>
      </c>
      <c r="K58" s="12">
        <v>102</v>
      </c>
      <c r="L58" s="12">
        <v>98</v>
      </c>
      <c r="M58" s="12">
        <v>91</v>
      </c>
      <c r="N58" s="12">
        <v>94</v>
      </c>
      <c r="O58" s="12">
        <v>90</v>
      </c>
      <c r="P58" s="12">
        <v>0</v>
      </c>
      <c r="Q58" s="12">
        <v>0</v>
      </c>
      <c r="R58" s="12">
        <v>0</v>
      </c>
      <c r="S58" s="12">
        <v>0</v>
      </c>
      <c r="T58" s="12"/>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row>
    <row r="59" spans="2:44">
      <c r="B59" t="s">
        <v>77</v>
      </c>
      <c r="C59" s="12">
        <v>83</v>
      </c>
      <c r="D59" s="12">
        <v>84</v>
      </c>
      <c r="E59" s="12">
        <v>83</v>
      </c>
      <c r="F59" s="12">
        <v>86</v>
      </c>
      <c r="G59" s="12">
        <v>75</v>
      </c>
      <c r="H59" s="12">
        <v>72</v>
      </c>
      <c r="I59" s="12">
        <v>72</v>
      </c>
      <c r="J59" s="12">
        <v>67</v>
      </c>
      <c r="K59" s="12">
        <v>71</v>
      </c>
      <c r="L59" s="12">
        <v>65</v>
      </c>
      <c r="M59" s="12">
        <v>68</v>
      </c>
      <c r="N59" s="12">
        <v>54</v>
      </c>
      <c r="O59" s="12">
        <v>56</v>
      </c>
      <c r="P59" s="12">
        <v>0</v>
      </c>
      <c r="Q59" s="12">
        <v>0</v>
      </c>
      <c r="R59" s="12">
        <v>0</v>
      </c>
      <c r="S59" s="12">
        <v>0</v>
      </c>
      <c r="T59" s="12"/>
      <c r="U59" s="12">
        <v>0</v>
      </c>
      <c r="V59" s="12">
        <v>0</v>
      </c>
      <c r="W59" s="12">
        <v>0</v>
      </c>
      <c r="X59" s="12">
        <v>0</v>
      </c>
      <c r="Y59" s="12">
        <v>0</v>
      </c>
      <c r="Z59" s="12">
        <v>0</v>
      </c>
      <c r="AA59" s="12">
        <v>0</v>
      </c>
      <c r="AB59" s="12">
        <v>0</v>
      </c>
      <c r="AC59" s="12">
        <v>0</v>
      </c>
      <c r="AD59" s="12">
        <v>0</v>
      </c>
      <c r="AE59" s="12">
        <v>0</v>
      </c>
      <c r="AF59" s="12">
        <v>0</v>
      </c>
      <c r="AG59" s="12">
        <v>0</v>
      </c>
      <c r="AH59" s="12">
        <v>0</v>
      </c>
      <c r="AI59" s="12">
        <v>0</v>
      </c>
      <c r="AJ59" s="12">
        <v>0</v>
      </c>
      <c r="AK59" s="12">
        <v>0</v>
      </c>
      <c r="AL59" s="12">
        <v>0</v>
      </c>
      <c r="AM59" s="12">
        <v>0</v>
      </c>
      <c r="AN59" s="12">
        <v>0</v>
      </c>
      <c r="AO59" s="12">
        <v>0</v>
      </c>
      <c r="AP59" s="12">
        <v>0</v>
      </c>
      <c r="AQ59" s="12">
        <v>0</v>
      </c>
    </row>
    <row r="60" spans="2:44">
      <c r="B60" t="s">
        <v>78</v>
      </c>
      <c r="C60" s="12">
        <v>67</v>
      </c>
      <c r="D60" s="12">
        <v>70</v>
      </c>
      <c r="E60" s="12">
        <v>60</v>
      </c>
      <c r="F60" s="12">
        <v>70</v>
      </c>
      <c r="G60" s="12">
        <v>57</v>
      </c>
      <c r="H60" s="12">
        <v>75</v>
      </c>
      <c r="I60" s="12">
        <v>62</v>
      </c>
      <c r="J60" s="12">
        <v>58</v>
      </c>
      <c r="K60" s="12">
        <v>70</v>
      </c>
      <c r="L60" s="12">
        <v>44</v>
      </c>
      <c r="M60" s="12">
        <v>41</v>
      </c>
      <c r="N60" s="12">
        <v>57</v>
      </c>
      <c r="O60" s="12">
        <v>52</v>
      </c>
      <c r="P60" s="12">
        <v>0</v>
      </c>
      <c r="Q60" s="12">
        <v>0</v>
      </c>
      <c r="R60" s="12">
        <v>0</v>
      </c>
      <c r="S60" s="12">
        <v>0</v>
      </c>
      <c r="T60" s="12"/>
      <c r="U60" s="12">
        <v>0</v>
      </c>
      <c r="V60" s="12">
        <v>0</v>
      </c>
      <c r="W60" s="12">
        <v>0</v>
      </c>
      <c r="X60" s="12">
        <v>0</v>
      </c>
      <c r="Y60" s="12">
        <v>0</v>
      </c>
      <c r="Z60" s="12">
        <v>0</v>
      </c>
      <c r="AA60" s="12">
        <v>0</v>
      </c>
      <c r="AB60" s="12">
        <v>0</v>
      </c>
      <c r="AC60" s="12">
        <v>0</v>
      </c>
      <c r="AD60" s="12">
        <v>0</v>
      </c>
      <c r="AE60" s="12">
        <v>0</v>
      </c>
      <c r="AF60" s="12">
        <v>0</v>
      </c>
      <c r="AG60" s="12">
        <v>0</v>
      </c>
      <c r="AH60" s="12">
        <v>0</v>
      </c>
      <c r="AI60" s="12">
        <v>0</v>
      </c>
      <c r="AJ60" s="12">
        <v>0</v>
      </c>
      <c r="AK60" s="12">
        <v>0</v>
      </c>
      <c r="AL60" s="12">
        <v>0</v>
      </c>
      <c r="AM60" s="12">
        <v>0</v>
      </c>
      <c r="AN60" s="12">
        <v>0</v>
      </c>
      <c r="AO60" s="12">
        <v>0</v>
      </c>
      <c r="AP60" s="12">
        <v>0</v>
      </c>
      <c r="AQ60" s="12">
        <v>0</v>
      </c>
    </row>
    <row r="61" spans="2:44">
      <c r="B61" t="s">
        <v>79</v>
      </c>
      <c r="C61" s="12">
        <v>122</v>
      </c>
      <c r="D61" s="12">
        <v>81</v>
      </c>
      <c r="E61" s="12">
        <v>71</v>
      </c>
      <c r="F61" s="12">
        <v>102</v>
      </c>
      <c r="G61" s="12">
        <v>96</v>
      </c>
      <c r="H61" s="12">
        <v>63</v>
      </c>
      <c r="I61" s="12">
        <v>58</v>
      </c>
      <c r="J61" s="12">
        <v>67</v>
      </c>
      <c r="K61" s="12">
        <v>41</v>
      </c>
      <c r="L61" s="12">
        <v>49</v>
      </c>
      <c r="M61" s="12">
        <v>50</v>
      </c>
      <c r="N61" s="12">
        <v>57</v>
      </c>
      <c r="O61" s="12">
        <v>43</v>
      </c>
      <c r="P61" s="12">
        <v>0</v>
      </c>
      <c r="Q61" s="12">
        <v>0</v>
      </c>
      <c r="R61" s="12">
        <v>0</v>
      </c>
      <c r="S61" s="12">
        <v>0</v>
      </c>
      <c r="T61" s="12"/>
      <c r="U61" s="12">
        <v>0</v>
      </c>
      <c r="V61" s="12">
        <v>0</v>
      </c>
      <c r="W61" s="12">
        <v>0</v>
      </c>
      <c r="X61" s="12">
        <v>0</v>
      </c>
      <c r="Y61" s="12">
        <v>0</v>
      </c>
      <c r="Z61" s="12">
        <v>0</v>
      </c>
      <c r="AA61" s="12">
        <v>0</v>
      </c>
      <c r="AB61" s="12">
        <v>0</v>
      </c>
      <c r="AC61" s="12">
        <v>0</v>
      </c>
      <c r="AD61" s="12">
        <v>0</v>
      </c>
      <c r="AE61" s="12">
        <v>0</v>
      </c>
      <c r="AF61" s="12">
        <v>0</v>
      </c>
      <c r="AG61" s="12">
        <v>0</v>
      </c>
      <c r="AH61" s="12">
        <v>0</v>
      </c>
      <c r="AI61" s="12">
        <v>0</v>
      </c>
      <c r="AJ61" s="12">
        <v>0</v>
      </c>
      <c r="AK61" s="12">
        <v>0</v>
      </c>
      <c r="AL61" s="12">
        <v>0</v>
      </c>
      <c r="AM61" s="12">
        <v>0</v>
      </c>
      <c r="AN61" s="12">
        <v>0</v>
      </c>
      <c r="AO61" s="12">
        <v>0</v>
      </c>
      <c r="AP61" s="12">
        <v>0</v>
      </c>
      <c r="AQ61" s="12">
        <v>0</v>
      </c>
    </row>
    <row r="62" spans="2:44">
      <c r="B62" t="s">
        <v>84</v>
      </c>
      <c r="C62" s="12">
        <v>57</v>
      </c>
      <c r="D62" s="12">
        <v>42</v>
      </c>
      <c r="E62" s="12">
        <v>50</v>
      </c>
      <c r="F62" s="12">
        <v>65</v>
      </c>
      <c r="G62" s="12">
        <v>0</v>
      </c>
      <c r="H62" s="12">
        <v>0</v>
      </c>
      <c r="I62" s="12">
        <v>0</v>
      </c>
      <c r="J62" s="12">
        <v>0</v>
      </c>
      <c r="K62" s="12">
        <v>0</v>
      </c>
      <c r="L62" s="12">
        <v>0</v>
      </c>
      <c r="M62" s="12">
        <v>0</v>
      </c>
      <c r="N62" s="12">
        <v>0</v>
      </c>
      <c r="O62" s="12">
        <v>0</v>
      </c>
      <c r="P62" s="12">
        <v>0</v>
      </c>
      <c r="Q62" s="12">
        <v>0</v>
      </c>
      <c r="R62" s="12">
        <v>0</v>
      </c>
      <c r="S62" s="12">
        <v>0</v>
      </c>
      <c r="T62" s="12"/>
      <c r="U62" s="12">
        <v>0</v>
      </c>
      <c r="V62" s="12">
        <v>0</v>
      </c>
      <c r="W62" s="12">
        <v>0</v>
      </c>
      <c r="X62" s="12">
        <v>0</v>
      </c>
      <c r="Y62" s="12">
        <v>0</v>
      </c>
      <c r="Z62" s="12">
        <v>0</v>
      </c>
      <c r="AA62" s="12">
        <v>0</v>
      </c>
      <c r="AB62" s="12">
        <v>0</v>
      </c>
      <c r="AC62" s="12">
        <v>0</v>
      </c>
      <c r="AD62" s="12">
        <v>0</v>
      </c>
      <c r="AE62" s="12">
        <v>0</v>
      </c>
      <c r="AF62" s="12">
        <v>0</v>
      </c>
      <c r="AG62" s="12">
        <v>0</v>
      </c>
      <c r="AH62" s="12">
        <v>0</v>
      </c>
      <c r="AI62" s="12">
        <v>0</v>
      </c>
      <c r="AJ62" s="12">
        <v>0</v>
      </c>
      <c r="AK62" s="12">
        <v>0</v>
      </c>
      <c r="AL62" s="12">
        <v>0</v>
      </c>
      <c r="AM62" s="12">
        <v>0</v>
      </c>
      <c r="AN62" s="12">
        <v>0</v>
      </c>
      <c r="AO62" s="12">
        <v>0</v>
      </c>
      <c r="AP62" s="12">
        <v>0</v>
      </c>
      <c r="AQ62" s="12">
        <v>0</v>
      </c>
    </row>
    <row r="63" spans="2:44">
      <c r="B63" t="s">
        <v>85</v>
      </c>
      <c r="C63" s="12">
        <v>55</v>
      </c>
      <c r="D63" s="12">
        <v>59</v>
      </c>
      <c r="E63" s="12">
        <v>45</v>
      </c>
      <c r="F63" s="12">
        <v>50</v>
      </c>
      <c r="G63" s="12">
        <v>0</v>
      </c>
      <c r="H63" s="12">
        <v>0</v>
      </c>
      <c r="I63" s="12">
        <v>0</v>
      </c>
      <c r="J63" s="12">
        <v>0</v>
      </c>
      <c r="K63" s="12">
        <v>0</v>
      </c>
      <c r="L63" s="12">
        <v>0</v>
      </c>
      <c r="M63" s="12">
        <v>0</v>
      </c>
      <c r="N63" s="12">
        <v>0</v>
      </c>
      <c r="O63" s="12">
        <v>0</v>
      </c>
      <c r="P63" s="12">
        <v>0</v>
      </c>
      <c r="Q63" s="12">
        <v>0</v>
      </c>
      <c r="R63" s="12">
        <v>0</v>
      </c>
      <c r="S63" s="12">
        <v>0</v>
      </c>
      <c r="T63" s="12"/>
      <c r="U63" s="12">
        <v>0</v>
      </c>
      <c r="V63" s="12">
        <v>0</v>
      </c>
      <c r="W63" s="12">
        <v>0</v>
      </c>
      <c r="X63" s="12">
        <v>0</v>
      </c>
      <c r="Y63" s="12">
        <v>0</v>
      </c>
      <c r="Z63" s="12">
        <v>0</v>
      </c>
      <c r="AA63" s="12">
        <v>0</v>
      </c>
      <c r="AB63" s="12">
        <v>0</v>
      </c>
      <c r="AC63" s="12">
        <v>0</v>
      </c>
      <c r="AD63" s="12">
        <v>0</v>
      </c>
      <c r="AE63" s="12">
        <v>0</v>
      </c>
      <c r="AF63" s="12">
        <v>0</v>
      </c>
      <c r="AG63" s="12">
        <v>0</v>
      </c>
      <c r="AH63" s="12">
        <v>0</v>
      </c>
      <c r="AI63" s="12">
        <v>0</v>
      </c>
      <c r="AJ63" s="12">
        <v>0</v>
      </c>
      <c r="AK63" s="12">
        <v>0</v>
      </c>
      <c r="AL63" s="12">
        <v>0</v>
      </c>
      <c r="AM63" s="12">
        <v>0</v>
      </c>
      <c r="AN63" s="12">
        <v>0</v>
      </c>
      <c r="AO63" s="12">
        <v>0</v>
      </c>
      <c r="AP63" s="12">
        <v>0</v>
      </c>
      <c r="AQ63" s="12">
        <v>0</v>
      </c>
    </row>
    <row r="64" spans="2:44">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row>
    <row r="65" spans="1:44 16384:16384">
      <c r="A65" s="7"/>
      <c r="B65" s="7" t="s">
        <v>60</v>
      </c>
      <c r="C65" s="12">
        <v>989</v>
      </c>
      <c r="D65" s="12">
        <v>1053</v>
      </c>
      <c r="E65" s="12">
        <v>980</v>
      </c>
      <c r="F65" s="12">
        <v>1062</v>
      </c>
      <c r="G65">
        <v>1140</v>
      </c>
      <c r="H65">
        <v>1268</v>
      </c>
      <c r="I65">
        <v>1229</v>
      </c>
      <c r="J65" s="12">
        <v>1265</v>
      </c>
      <c r="K65" s="12">
        <v>1194</v>
      </c>
      <c r="L65" s="12">
        <v>1103</v>
      </c>
      <c r="M65" s="12">
        <v>1186</v>
      </c>
      <c r="N65" s="12">
        <v>1228</v>
      </c>
      <c r="O65" s="21">
        <v>1197</v>
      </c>
      <c r="P65">
        <v>546</v>
      </c>
      <c r="Q65">
        <v>572</v>
      </c>
      <c r="R65">
        <v>533</v>
      </c>
      <c r="S65">
        <v>520</v>
      </c>
      <c r="U65" s="54">
        <f t="shared" ref="U65:AQ65" si="19">AVERAGE(P65:S65)</f>
        <v>542.75</v>
      </c>
      <c r="V65" s="54">
        <f t="shared" si="19"/>
        <v>541.66666666666663</v>
      </c>
      <c r="W65" s="54">
        <f t="shared" si="19"/>
        <v>531.91666666666663</v>
      </c>
      <c r="X65" s="54">
        <f t="shared" si="19"/>
        <v>534.80555555555554</v>
      </c>
      <c r="Y65" s="54">
        <f t="shared" si="19"/>
        <v>538.77777777777771</v>
      </c>
      <c r="Z65" s="54">
        <f t="shared" si="19"/>
        <v>537.78472222222217</v>
      </c>
      <c r="AA65" s="54">
        <f t="shared" si="19"/>
        <v>536.79166666666663</v>
      </c>
      <c r="AB65" s="54">
        <f t="shared" si="19"/>
        <v>535.82118055555554</v>
      </c>
      <c r="AC65" s="54">
        <f t="shared" si="19"/>
        <v>537.03993055555554</v>
      </c>
      <c r="AD65" s="54">
        <f t="shared" si="19"/>
        <v>537.29383680555554</v>
      </c>
      <c r="AE65" s="54">
        <f t="shared" si="19"/>
        <v>536.859375</v>
      </c>
      <c r="AF65" s="54">
        <f t="shared" si="19"/>
        <v>536.73665364583337</v>
      </c>
      <c r="AG65" s="54">
        <f t="shared" si="19"/>
        <v>536.75358072916663</v>
      </c>
      <c r="AH65" s="54">
        <f t="shared" si="19"/>
        <v>536.98244900173609</v>
      </c>
      <c r="AI65" s="54">
        <f t="shared" si="19"/>
        <v>536.91086154513891</v>
      </c>
      <c r="AJ65" s="54">
        <f t="shared" si="19"/>
        <v>536.83301459418408</v>
      </c>
      <c r="AK65" s="54">
        <f t="shared" si="19"/>
        <v>536.84588623046875</v>
      </c>
      <c r="AL65" s="54">
        <f t="shared" si="19"/>
        <v>536.8699764675564</v>
      </c>
      <c r="AM65" s="54">
        <f t="shared" si="19"/>
        <v>536.89305284288196</v>
      </c>
      <c r="AN65" s="54">
        <f t="shared" si="19"/>
        <v>536.86493470933704</v>
      </c>
      <c r="AO65" s="54">
        <f t="shared" si="19"/>
        <v>536.86048253377282</v>
      </c>
      <c r="AP65" s="54">
        <f t="shared" si="19"/>
        <v>536.86846256256104</v>
      </c>
      <c r="AQ65" s="54">
        <f t="shared" si="19"/>
        <v>536.87211163838708</v>
      </c>
    </row>
    <row r="66" spans="1:44 16384:16384">
      <c r="B66" s="7" t="s">
        <v>26</v>
      </c>
      <c r="C66" s="12">
        <f t="shared" ref="C66:S66" si="20">SUM(C67:C68)</f>
        <v>1065</v>
      </c>
      <c r="D66" s="12">
        <f t="shared" si="20"/>
        <v>1090</v>
      </c>
      <c r="E66" s="12">
        <f t="shared" si="20"/>
        <v>1021</v>
      </c>
      <c r="F66" s="12">
        <f t="shared" si="20"/>
        <v>1036</v>
      </c>
      <c r="G66" s="12">
        <f t="shared" si="20"/>
        <v>1025</v>
      </c>
      <c r="H66" s="12">
        <f t="shared" si="20"/>
        <v>1124</v>
      </c>
      <c r="I66" s="12">
        <f t="shared" si="20"/>
        <v>1122</v>
      </c>
      <c r="J66" s="12">
        <f t="shared" si="20"/>
        <v>1122</v>
      </c>
      <c r="K66" s="12">
        <f t="shared" si="20"/>
        <v>1214</v>
      </c>
      <c r="L66" s="12">
        <f t="shared" si="20"/>
        <v>1101</v>
      </c>
      <c r="M66" s="12">
        <f t="shared" si="20"/>
        <v>1220</v>
      </c>
      <c r="N66" s="12">
        <f t="shared" si="20"/>
        <v>1348</v>
      </c>
      <c r="O66" s="12">
        <f t="shared" si="20"/>
        <v>1418</v>
      </c>
      <c r="P66" s="12">
        <f t="shared" si="20"/>
        <v>1472</v>
      </c>
      <c r="Q66" s="12">
        <f t="shared" si="20"/>
        <v>1417</v>
      </c>
      <c r="R66" s="12">
        <f t="shared" si="20"/>
        <v>1261</v>
      </c>
      <c r="S66" s="12">
        <f t="shared" si="20"/>
        <v>1482</v>
      </c>
      <c r="U66" s="12">
        <f t="shared" ref="U66:AQ66" si="21">SUM(U67:U68)</f>
        <v>1510.48</v>
      </c>
      <c r="V66" s="12">
        <f t="shared" si="21"/>
        <v>1510.48</v>
      </c>
      <c r="W66" s="12">
        <f t="shared" si="21"/>
        <v>1510.48</v>
      </c>
      <c r="X66" s="12">
        <f t="shared" si="21"/>
        <v>1623.6288</v>
      </c>
      <c r="Y66" s="12">
        <f t="shared" si="21"/>
        <v>1623.6288</v>
      </c>
      <c r="Z66" s="12">
        <f t="shared" si="21"/>
        <v>1623.6288</v>
      </c>
      <c r="AA66" s="12">
        <f t="shared" si="21"/>
        <v>1623.6288</v>
      </c>
      <c r="AB66" s="12">
        <f t="shared" si="21"/>
        <v>1753.5191040000002</v>
      </c>
      <c r="AC66" s="12">
        <f t="shared" si="21"/>
        <v>1753.5191040000002</v>
      </c>
      <c r="AD66" s="12">
        <f t="shared" si="21"/>
        <v>1753.5191040000002</v>
      </c>
      <c r="AE66" s="12">
        <f t="shared" si="21"/>
        <v>1753.5191040000002</v>
      </c>
      <c r="AF66" s="12">
        <f t="shared" si="21"/>
        <v>1893.8006323200002</v>
      </c>
      <c r="AG66" s="12">
        <f t="shared" si="21"/>
        <v>1893.8006323200002</v>
      </c>
      <c r="AH66" s="12">
        <f t="shared" si="21"/>
        <v>1893.8006323200002</v>
      </c>
      <c r="AI66" s="12">
        <f t="shared" si="21"/>
        <v>1893.8006323200002</v>
      </c>
      <c r="AJ66" s="12">
        <f t="shared" si="21"/>
        <v>2045.3046829056004</v>
      </c>
      <c r="AK66" s="12">
        <f t="shared" si="21"/>
        <v>2045.3046829056004</v>
      </c>
      <c r="AL66" s="12">
        <f t="shared" si="21"/>
        <v>2045.3046829056004</v>
      </c>
      <c r="AM66" s="12">
        <f t="shared" si="21"/>
        <v>2045.3046829056004</v>
      </c>
      <c r="AN66" s="12">
        <f t="shared" si="21"/>
        <v>2208.9290575380487</v>
      </c>
      <c r="AO66" s="12">
        <f t="shared" si="21"/>
        <v>2208.9290575380487</v>
      </c>
      <c r="AP66" s="12">
        <f t="shared" si="21"/>
        <v>2208.9290575380487</v>
      </c>
      <c r="AQ66" s="12">
        <f t="shared" si="21"/>
        <v>2208.9290575380487</v>
      </c>
      <c r="AR66" s="12"/>
    </row>
    <row r="67" spans="1:44 16384:16384">
      <c r="B67" t="s">
        <v>27</v>
      </c>
      <c r="C67" s="12">
        <v>652</v>
      </c>
      <c r="D67" s="12">
        <v>633</v>
      </c>
      <c r="E67" s="12">
        <v>660</v>
      </c>
      <c r="F67" s="12">
        <v>684</v>
      </c>
      <c r="G67" s="12">
        <v>611</v>
      </c>
      <c r="H67" s="12">
        <v>671</v>
      </c>
      <c r="I67" s="12">
        <v>726</v>
      </c>
      <c r="J67" s="12">
        <v>777</v>
      </c>
      <c r="K67" s="12">
        <v>739</v>
      </c>
      <c r="L67" s="12">
        <v>648</v>
      </c>
      <c r="M67" s="12">
        <v>758</v>
      </c>
      <c r="N67" s="12">
        <v>974</v>
      </c>
      <c r="O67" s="12">
        <v>819</v>
      </c>
      <c r="P67" s="12">
        <v>821</v>
      </c>
      <c r="Q67" s="12">
        <v>864</v>
      </c>
      <c r="R67" s="12">
        <v>791</v>
      </c>
      <c r="S67" s="12">
        <v>832</v>
      </c>
      <c r="U67" s="12">
        <f>((1.08*SUM($O$67:$R$67))-$S$67)/3</f>
        <v>908.86666666666679</v>
      </c>
      <c r="V67" s="12">
        <f>((1.08*SUM($O$67:$R$67))-$S$67)/3</f>
        <v>908.86666666666679</v>
      </c>
      <c r="W67" s="12">
        <f>((1.08*SUM($O$67:$R$67))-$S$67)/3</f>
        <v>908.86666666666679</v>
      </c>
      <c r="X67" s="12">
        <f>((1.08*SUM($S$67,$U$67:$W$67))/4)</f>
        <v>960.82200000000012</v>
      </c>
      <c r="Y67" s="12">
        <f>((1.08*SUM($S$67,$U$67:$W$67))/4)</f>
        <v>960.82200000000012</v>
      </c>
      <c r="Z67" s="12">
        <f>((1.08*SUM($S$67,$U$67:$W$67))/4)</f>
        <v>960.82200000000012</v>
      </c>
      <c r="AA67" s="12">
        <f>((1.08*SUM($S$67,$U$67:$W$67))/4)</f>
        <v>960.82200000000012</v>
      </c>
      <c r="AB67" s="12">
        <f>((1.08*SUM($X$67:$AA$67))/4)</f>
        <v>1037.6877600000003</v>
      </c>
      <c r="AC67" s="12">
        <f>((1.08*SUM($X$67:$AA$67))/4)</f>
        <v>1037.6877600000003</v>
      </c>
      <c r="AD67" s="12">
        <f>((1.08*SUM($X$67:$AA$67))/4)</f>
        <v>1037.6877600000003</v>
      </c>
      <c r="AE67" s="12">
        <f>((1.08*SUM($X$67:$AA$67))/4)</f>
        <v>1037.6877600000003</v>
      </c>
      <c r="AF67" s="12">
        <f>((1.08*SUM($AB$67:$AE$67))/4)</f>
        <v>1120.7027808000003</v>
      </c>
      <c r="AG67" s="12">
        <f>((1.08*SUM($AB$67:$AE$67))/4)</f>
        <v>1120.7027808000003</v>
      </c>
      <c r="AH67" s="12">
        <f>((1.08*SUM($AB$67:$AE$67))/4)</f>
        <v>1120.7027808000003</v>
      </c>
      <c r="AI67" s="12">
        <f>((1.08*SUM($AB$67:$AE$67))/4)</f>
        <v>1120.7027808000003</v>
      </c>
      <c r="AJ67" s="12">
        <f>((1.08*SUM($AF67:$AI$67))/4)</f>
        <v>1210.3590032640004</v>
      </c>
      <c r="AK67" s="12">
        <f>((1.08*SUM($AF67:$AI$67))/4)</f>
        <v>1210.3590032640004</v>
      </c>
      <c r="AL67" s="12">
        <f>((1.08*SUM($AF67:$AI$67))/4)</f>
        <v>1210.3590032640004</v>
      </c>
      <c r="AM67" s="12">
        <f>((1.08*SUM($AF67:$AI$67))/4)</f>
        <v>1210.3590032640004</v>
      </c>
      <c r="AN67" s="12">
        <f>((1.08*SUM($AJ$67:$AM$67))/4)</f>
        <v>1307.1877235251206</v>
      </c>
      <c r="AO67" s="12">
        <f>((1.08*SUM($AJ$67:$AM$67))/4)</f>
        <v>1307.1877235251206</v>
      </c>
      <c r="AP67" s="12">
        <f>((1.08*SUM($AJ$67:$AM$67))/4)</f>
        <v>1307.1877235251206</v>
      </c>
      <c r="AQ67" s="12">
        <f>((1.08*SUM($AJ$67:$AM$67))/4)</f>
        <v>1307.1877235251206</v>
      </c>
    </row>
    <row r="68" spans="1:44 16384:16384">
      <c r="B68" t="s">
        <v>28</v>
      </c>
      <c r="C68" s="12">
        <v>413</v>
      </c>
      <c r="D68" s="12">
        <v>457</v>
      </c>
      <c r="E68" s="12">
        <v>361</v>
      </c>
      <c r="F68" s="12">
        <v>352</v>
      </c>
      <c r="G68" s="12">
        <v>414</v>
      </c>
      <c r="H68" s="12">
        <v>453</v>
      </c>
      <c r="I68" s="12">
        <v>396</v>
      </c>
      <c r="J68" s="12">
        <v>345</v>
      </c>
      <c r="K68" s="12">
        <v>475</v>
      </c>
      <c r="L68" s="12">
        <v>453</v>
      </c>
      <c r="M68" s="12">
        <v>462</v>
      </c>
      <c r="N68" s="12">
        <v>374</v>
      </c>
      <c r="O68" s="12">
        <v>599</v>
      </c>
      <c r="P68" s="12">
        <v>651</v>
      </c>
      <c r="Q68" s="12">
        <v>553</v>
      </c>
      <c r="R68" s="12">
        <v>470</v>
      </c>
      <c r="S68" s="12">
        <v>650</v>
      </c>
      <c r="U68" s="12">
        <f>((1.08*SUM($O$68:$R$68))-$S$68)/3</f>
        <v>601.61333333333334</v>
      </c>
      <c r="V68" s="12">
        <f>((1.08*SUM($O$68:$R$68))-$S$68)/3</f>
        <v>601.61333333333334</v>
      </c>
      <c r="W68" s="12">
        <f>((1.08*SUM($O$68:$R$68))-$S$68)/3</f>
        <v>601.61333333333334</v>
      </c>
      <c r="X68" s="12">
        <f>((1.08*SUM($S$68,$U$68:$W$68)))/4</f>
        <v>662.80679999999995</v>
      </c>
      <c r="Y68" s="12">
        <f>((1.08*SUM($S$68,$U$68:$W$68)))/4</f>
        <v>662.80679999999995</v>
      </c>
      <c r="Z68" s="12">
        <f>((1.08*SUM($S$68,$U$68:$W$68)))/4</f>
        <v>662.80679999999995</v>
      </c>
      <c r="AA68" s="12">
        <f>((1.08*SUM($S$68,$U$68:$W$68)))/4</f>
        <v>662.80679999999995</v>
      </c>
      <c r="AB68" s="12">
        <f>((1.08*SUM($X$68:$AA$68)))/4</f>
        <v>715.83134399999994</v>
      </c>
      <c r="AC68" s="12">
        <f>((1.08*SUM($X$68:$AA$68)))/4</f>
        <v>715.83134399999994</v>
      </c>
      <c r="AD68" s="12">
        <f>((1.08*SUM($X$68:$AA$68)))/4</f>
        <v>715.83134399999994</v>
      </c>
      <c r="AE68" s="12">
        <f>((1.08*SUM($X$68:$AA$68)))/4</f>
        <v>715.83134399999994</v>
      </c>
      <c r="AF68" s="12">
        <f>((1.08*SUM($AB$68:$AE$68)))/4</f>
        <v>773.09785151999995</v>
      </c>
      <c r="AG68" s="12">
        <f>((1.08*SUM($AB$68:$AE$68)))/4</f>
        <v>773.09785151999995</v>
      </c>
      <c r="AH68" s="12">
        <f>((1.08*SUM($AB$68:$AE$68)))/4</f>
        <v>773.09785151999995</v>
      </c>
      <c r="AI68" s="12">
        <f>((1.08*SUM($AB$68:$AE$68)))/4</f>
        <v>773.09785151999995</v>
      </c>
      <c r="AJ68" s="12">
        <f>((1.08*SUM($AF$68:$AI$68)))/4</f>
        <v>834.94567964160001</v>
      </c>
      <c r="AK68" s="12">
        <f>((1.08*SUM($AF$68:$AI$68)))/4</f>
        <v>834.94567964160001</v>
      </c>
      <c r="AL68" s="12">
        <f>((1.08*SUM($AF$68:$AI$68)))/4</f>
        <v>834.94567964160001</v>
      </c>
      <c r="AM68" s="12">
        <f>((1.08*SUM($AF$68:$AI$68)))/4</f>
        <v>834.94567964160001</v>
      </c>
      <c r="AN68" s="12">
        <f>((1.08*SUM($AJ$68:$AM$68)))/4</f>
        <v>901.74133401292806</v>
      </c>
      <c r="AO68" s="12">
        <f>((1.08*SUM($AJ$68:$AM$68)))/4</f>
        <v>901.74133401292806</v>
      </c>
      <c r="AP68" s="12">
        <f>((1.08*SUM($AJ$68:$AM$68)))/4</f>
        <v>901.74133401292806</v>
      </c>
      <c r="AQ68" s="12">
        <f>((1.08*SUM($AJ$68:$AM$68)))/4</f>
        <v>901.74133401292806</v>
      </c>
    </row>
    <row r="69" spans="1:44 16384:16384" ht="17" thickBot="1">
      <c r="B69" s="25" t="s">
        <v>29</v>
      </c>
      <c r="C69" s="26">
        <v>53</v>
      </c>
      <c r="D69" s="26">
        <v>93</v>
      </c>
      <c r="E69" s="26">
        <v>115</v>
      </c>
      <c r="F69" s="26">
        <v>132</v>
      </c>
      <c r="G69" s="26">
        <v>128</v>
      </c>
      <c r="H69" s="26">
        <v>176</v>
      </c>
      <c r="I69" s="26">
        <v>180</v>
      </c>
      <c r="J69" s="26">
        <v>213</v>
      </c>
      <c r="K69" s="26">
        <v>188</v>
      </c>
      <c r="L69" s="26">
        <v>92</v>
      </c>
      <c r="M69" s="26">
        <v>11</v>
      </c>
      <c r="N69" s="26">
        <v>-21</v>
      </c>
      <c r="O69" s="26">
        <v>-13</v>
      </c>
      <c r="P69" s="26">
        <v>-50</v>
      </c>
      <c r="Q69" s="26">
        <v>241</v>
      </c>
      <c r="R69" s="26">
        <v>221</v>
      </c>
      <c r="S69" s="26">
        <v>312</v>
      </c>
      <c r="U69" s="26">
        <f t="shared" ref="U69:AQ69" si="22">U8-SUM(U11:U16,U18:U23,U25:U33,U35:U36,U38,U40:U43,U45:U49,U51:U52,U54:U55,U57:U63,U65,U67:U68)</f>
        <v>-195.90353111111472</v>
      </c>
      <c r="V69" s="26">
        <f t="shared" si="22"/>
        <v>-254.3100387500017</v>
      </c>
      <c r="W69" s="26">
        <f t="shared" si="22"/>
        <v>-349.30020947743469</v>
      </c>
      <c r="X69" s="26">
        <f t="shared" si="22"/>
        <v>-1122.6237736523799</v>
      </c>
      <c r="Y69" s="26">
        <f t="shared" si="22"/>
        <v>-1001.8004636475889</v>
      </c>
      <c r="Z69" s="26">
        <f t="shared" si="22"/>
        <v>-879.64640195241373</v>
      </c>
      <c r="AA69" s="26">
        <f t="shared" si="22"/>
        <v>-827.06299834214951</v>
      </c>
      <c r="AB69" s="26">
        <f t="shared" si="22"/>
        <v>-1557.4662009439926</v>
      </c>
      <c r="AC69" s="26">
        <f t="shared" si="22"/>
        <v>-1447.9932506530422</v>
      </c>
      <c r="AD69" s="26">
        <f t="shared" si="22"/>
        <v>-1348.5722623509282</v>
      </c>
      <c r="AE69" s="26">
        <f t="shared" si="22"/>
        <v>-1255.7694283673663</v>
      </c>
      <c r="AF69" s="26">
        <f t="shared" si="22"/>
        <v>-1896.4293266600616</v>
      </c>
      <c r="AG69" s="26">
        <f t="shared" si="22"/>
        <v>-1810.3199808893478</v>
      </c>
      <c r="AH69" s="26">
        <f t="shared" si="22"/>
        <v>-1735.163633918095</v>
      </c>
      <c r="AI69" s="26">
        <f t="shared" si="22"/>
        <v>-7248.026232619206</v>
      </c>
      <c r="AJ69" s="26">
        <f t="shared" si="22"/>
        <v>-8116.0174247841678</v>
      </c>
      <c r="AK69" s="26">
        <f t="shared" si="22"/>
        <v>-8192.3259739469177</v>
      </c>
      <c r="AL69" s="26">
        <f t="shared" si="22"/>
        <v>-8285.504238818583</v>
      </c>
      <c r="AM69" s="26">
        <f t="shared" si="22"/>
        <v>-8397.0585277020946</v>
      </c>
      <c r="AN69" s="26">
        <f t="shared" si="22"/>
        <v>-9303.837840309392</v>
      </c>
      <c r="AO69" s="26">
        <f t="shared" si="22"/>
        <v>-9438.2768699382068</v>
      </c>
      <c r="AP69" s="26">
        <f t="shared" si="22"/>
        <v>-9593.685899376851</v>
      </c>
      <c r="AQ69" s="26">
        <f t="shared" si="22"/>
        <v>-9771.7419631592275</v>
      </c>
      <c r="AR69" s="89"/>
    </row>
    <row r="70" spans="1:44 16384:16384">
      <c r="B70" s="90"/>
      <c r="C70" s="20"/>
      <c r="D70" s="20"/>
      <c r="E70" s="20"/>
      <c r="F70" s="20"/>
      <c r="G70" s="20"/>
      <c r="H70" s="20"/>
      <c r="I70" s="20"/>
      <c r="J70" s="20"/>
      <c r="K70" s="20"/>
      <c r="L70" s="20"/>
      <c r="M70" s="20"/>
      <c r="N70" s="20"/>
      <c r="O70" s="20"/>
      <c r="P70" s="20"/>
      <c r="Q70" s="20"/>
      <c r="R70" s="20"/>
      <c r="S70" s="20"/>
    </row>
    <row r="71" spans="1:44 16384:16384">
      <c r="B71" t="s">
        <v>4</v>
      </c>
      <c r="C71" s="29">
        <v>3184</v>
      </c>
      <c r="D71" s="29">
        <v>3417</v>
      </c>
      <c r="E71" s="29">
        <v>3619</v>
      </c>
      <c r="F71" s="29">
        <v>3289</v>
      </c>
      <c r="G71" s="29">
        <v>3052</v>
      </c>
      <c r="H71" s="29">
        <v>3401</v>
      </c>
      <c r="I71" s="29">
        <v>3990</v>
      </c>
      <c r="J71" s="29">
        <v>3669</v>
      </c>
      <c r="K71" s="29">
        <v>3312</v>
      </c>
      <c r="L71" s="29">
        <v>3159</v>
      </c>
      <c r="M71" s="48">
        <v>3481</v>
      </c>
      <c r="N71" s="48">
        <v>5532</v>
      </c>
      <c r="O71" s="14">
        <v>3670</v>
      </c>
      <c r="P71" s="12">
        <v>3104</v>
      </c>
      <c r="Q71" s="12">
        <v>3450</v>
      </c>
      <c r="R71" s="12">
        <v>3873</v>
      </c>
      <c r="S71" s="12">
        <v>5380</v>
      </c>
      <c r="U71" s="12">
        <f t="shared" ref="U71:AQ71" si="23">0.3*U8</f>
        <v>4877.6317499999996</v>
      </c>
      <c r="V71" s="12">
        <f t="shared" si="23"/>
        <v>4987.3784643749996</v>
      </c>
      <c r="W71" s="12">
        <f t="shared" si="23"/>
        <v>5099.5944798234368</v>
      </c>
      <c r="X71" s="12">
        <f t="shared" si="23"/>
        <v>5214.3353556194634</v>
      </c>
      <c r="Y71" s="12">
        <f t="shared" si="23"/>
        <v>5331.6579011209014</v>
      </c>
      <c r="Z71" s="12">
        <f t="shared" si="23"/>
        <v>5451.620203896121</v>
      </c>
      <c r="AA71" s="12">
        <f t="shared" si="23"/>
        <v>5574.2816584837838</v>
      </c>
      <c r="AB71" s="12">
        <f t="shared" si="23"/>
        <v>5699.7029957996683</v>
      </c>
      <c r="AC71" s="12">
        <f t="shared" si="23"/>
        <v>5827.9463132051605</v>
      </c>
      <c r="AD71" s="12">
        <f t="shared" si="23"/>
        <v>5959.0751052522764</v>
      </c>
      <c r="AE71" s="12">
        <f t="shared" si="23"/>
        <v>6093.1542951204528</v>
      </c>
      <c r="AF71" s="12">
        <f t="shared" si="23"/>
        <v>6230.2502667606623</v>
      </c>
      <c r="AG71" s="12">
        <f t="shared" si="23"/>
        <v>6370.430897762777</v>
      </c>
      <c r="AH71" s="12">
        <f t="shared" si="23"/>
        <v>6513.7655929624389</v>
      </c>
      <c r="AI71" s="12">
        <f t="shared" si="23"/>
        <v>4987.5</v>
      </c>
      <c r="AJ71" s="12">
        <f t="shared" si="23"/>
        <v>5099.71875</v>
      </c>
      <c r="AK71" s="12">
        <f t="shared" si="23"/>
        <v>5214.4624218749996</v>
      </c>
      <c r="AL71" s="12">
        <f t="shared" si="23"/>
        <v>5331.7878263671864</v>
      </c>
      <c r="AM71" s="12">
        <f t="shared" si="23"/>
        <v>5451.7530524604472</v>
      </c>
      <c r="AN71" s="12">
        <f t="shared" si="23"/>
        <v>5574.417496140808</v>
      </c>
      <c r="AO71" s="12">
        <f t="shared" si="23"/>
        <v>5699.8418898039763</v>
      </c>
      <c r="AP71" s="12">
        <f t="shared" si="23"/>
        <v>5828.0883323245662</v>
      </c>
      <c r="AQ71" s="12">
        <f t="shared" si="23"/>
        <v>5959.2203198018678</v>
      </c>
    </row>
    <row r="72" spans="1:44 16384:16384">
      <c r="B72" t="s">
        <v>163</v>
      </c>
      <c r="C72" s="29">
        <f t="shared" ref="C72:S72" si="24">C8-C71</f>
        <v>6853</v>
      </c>
      <c r="D72" s="29">
        <f t="shared" si="24"/>
        <v>7048</v>
      </c>
      <c r="E72" s="29">
        <f t="shared" si="24"/>
        <v>7175</v>
      </c>
      <c r="F72" s="29">
        <f t="shared" si="24"/>
        <v>7709</v>
      </c>
      <c r="G72" s="29">
        <f t="shared" si="24"/>
        <v>7764</v>
      </c>
      <c r="H72" s="29">
        <f t="shared" si="24"/>
        <v>8359</v>
      </c>
      <c r="I72" s="29">
        <f t="shared" si="24"/>
        <v>8407</v>
      </c>
      <c r="J72" s="29">
        <f t="shared" si="24"/>
        <v>8199</v>
      </c>
      <c r="K72" s="29">
        <f t="shared" si="24"/>
        <v>8745</v>
      </c>
      <c r="L72" s="29">
        <f t="shared" si="24"/>
        <v>7713</v>
      </c>
      <c r="M72" s="29">
        <f t="shared" si="24"/>
        <v>9070</v>
      </c>
      <c r="N72" s="29">
        <f t="shared" si="24"/>
        <v>6982</v>
      </c>
      <c r="O72" s="29">
        <f t="shared" si="24"/>
        <v>8410</v>
      </c>
      <c r="P72" s="29">
        <f t="shared" si="24"/>
        <v>8298</v>
      </c>
      <c r="Q72" s="29">
        <f t="shared" si="24"/>
        <v>9704</v>
      </c>
      <c r="R72" s="29">
        <f t="shared" si="24"/>
        <v>9648</v>
      </c>
      <c r="S72" s="29">
        <f t="shared" si="24"/>
        <v>10521</v>
      </c>
      <c r="U72" s="29">
        <f t="shared" ref="U72:AQ72" si="25">U8-U71</f>
        <v>11381.140749999999</v>
      </c>
      <c r="V72" s="29">
        <f t="shared" si="25"/>
        <v>11637.216416874999</v>
      </c>
      <c r="W72" s="29">
        <f t="shared" si="25"/>
        <v>11899.053786254684</v>
      </c>
      <c r="X72" s="29">
        <f t="shared" si="25"/>
        <v>12166.782496445416</v>
      </c>
      <c r="Y72" s="29">
        <f t="shared" si="25"/>
        <v>12440.535102615437</v>
      </c>
      <c r="Z72" s="29">
        <f t="shared" si="25"/>
        <v>12720.447142424284</v>
      </c>
      <c r="AA72" s="29">
        <f t="shared" si="25"/>
        <v>13006.657203128829</v>
      </c>
      <c r="AB72" s="29">
        <f t="shared" si="25"/>
        <v>13299.306990199228</v>
      </c>
      <c r="AC72" s="29">
        <f t="shared" si="25"/>
        <v>13598.541397478708</v>
      </c>
      <c r="AD72" s="29">
        <f t="shared" si="25"/>
        <v>13904.508578921981</v>
      </c>
      <c r="AE72" s="29">
        <f t="shared" si="25"/>
        <v>14217.360021947723</v>
      </c>
      <c r="AF72" s="29">
        <f t="shared" si="25"/>
        <v>14537.250622441547</v>
      </c>
      <c r="AG72" s="29">
        <f t="shared" si="25"/>
        <v>14864.338761446481</v>
      </c>
      <c r="AH72" s="29">
        <f t="shared" si="25"/>
        <v>15198.786383579027</v>
      </c>
      <c r="AI72" s="29">
        <f t="shared" si="25"/>
        <v>11637.5</v>
      </c>
      <c r="AJ72" s="29">
        <f t="shared" si="25"/>
        <v>11899.34375</v>
      </c>
      <c r="AK72" s="29">
        <f t="shared" si="25"/>
        <v>12167.078984374999</v>
      </c>
      <c r="AL72" s="29">
        <f t="shared" si="25"/>
        <v>12440.838261523435</v>
      </c>
      <c r="AM72" s="29">
        <f t="shared" si="25"/>
        <v>12720.757122407711</v>
      </c>
      <c r="AN72" s="29">
        <f t="shared" si="25"/>
        <v>13006.974157661885</v>
      </c>
      <c r="AO72" s="29">
        <f t="shared" si="25"/>
        <v>13299.631076209278</v>
      </c>
      <c r="AP72" s="29">
        <f t="shared" si="25"/>
        <v>13598.872775423988</v>
      </c>
      <c r="AQ72" s="29">
        <f t="shared" si="25"/>
        <v>13904.847412871026</v>
      </c>
      <c r="XFD72" s="29"/>
    </row>
    <row r="73" spans="1:44 16384:16384">
      <c r="B73" t="s">
        <v>2</v>
      </c>
      <c r="C73" s="29">
        <v>2508</v>
      </c>
      <c r="D73" s="29">
        <v>2508</v>
      </c>
      <c r="E73" s="29">
        <v>2443</v>
      </c>
      <c r="F73" s="29">
        <v>2643</v>
      </c>
      <c r="G73" s="29">
        <v>2425</v>
      </c>
      <c r="H73" s="29">
        <v>2712</v>
      </c>
      <c r="I73" s="29">
        <v>2589</v>
      </c>
      <c r="J73" s="29">
        <v>2888</v>
      </c>
      <c r="K73" s="29">
        <v>2555</v>
      </c>
      <c r="L73" s="29">
        <v>2378</v>
      </c>
      <c r="M73" s="48">
        <v>2450</v>
      </c>
      <c r="N73" s="48">
        <v>3086</v>
      </c>
      <c r="O73" s="14">
        <v>2633</v>
      </c>
      <c r="P73" s="12">
        <v>2281</v>
      </c>
      <c r="Q73" s="12">
        <v>2336</v>
      </c>
      <c r="R73">
        <v>2830</v>
      </c>
      <c r="S73" s="12">
        <v>2323</v>
      </c>
      <c r="U73" s="12">
        <f t="shared" ref="U73:AQ73" si="26">0.2*U8</f>
        <v>3251.7545</v>
      </c>
      <c r="V73" s="12">
        <f t="shared" si="26"/>
        <v>3324.91897625</v>
      </c>
      <c r="W73" s="12">
        <f t="shared" si="26"/>
        <v>3399.7296532156247</v>
      </c>
      <c r="X73" s="12">
        <f t="shared" si="26"/>
        <v>3476.2235704129762</v>
      </c>
      <c r="Y73" s="12">
        <f t="shared" si="26"/>
        <v>3554.4386007472676</v>
      </c>
      <c r="Z73" s="12">
        <f t="shared" si="26"/>
        <v>3634.413469264081</v>
      </c>
      <c r="AA73" s="12">
        <f t="shared" si="26"/>
        <v>3716.1877723225225</v>
      </c>
      <c r="AB73" s="12">
        <f t="shared" si="26"/>
        <v>3799.8019971997792</v>
      </c>
      <c r="AC73" s="12">
        <f t="shared" si="26"/>
        <v>3885.2975421367737</v>
      </c>
      <c r="AD73" s="12">
        <f t="shared" si="26"/>
        <v>3972.7167368348514</v>
      </c>
      <c r="AE73" s="12">
        <f t="shared" si="26"/>
        <v>4062.1028634136355</v>
      </c>
      <c r="AF73" s="12">
        <f t="shared" si="26"/>
        <v>4153.5001778404421</v>
      </c>
      <c r="AG73" s="12">
        <f t="shared" si="26"/>
        <v>4246.953931841852</v>
      </c>
      <c r="AH73" s="12">
        <f t="shared" si="26"/>
        <v>4342.5103953082935</v>
      </c>
      <c r="AI73" s="12">
        <f t="shared" si="26"/>
        <v>3325</v>
      </c>
      <c r="AJ73" s="12">
        <f t="shared" si="26"/>
        <v>3399.8125</v>
      </c>
      <c r="AK73" s="12">
        <f t="shared" si="26"/>
        <v>3476.3082812499997</v>
      </c>
      <c r="AL73" s="12">
        <f t="shared" si="26"/>
        <v>3554.5252175781243</v>
      </c>
      <c r="AM73" s="12">
        <f t="shared" si="26"/>
        <v>3634.5020349736319</v>
      </c>
      <c r="AN73" s="12">
        <f t="shared" si="26"/>
        <v>3716.2783307605387</v>
      </c>
      <c r="AO73" s="12">
        <f t="shared" si="26"/>
        <v>3799.8945932026509</v>
      </c>
      <c r="AP73" s="12">
        <f t="shared" si="26"/>
        <v>3885.3922215497109</v>
      </c>
      <c r="AQ73" s="12">
        <f t="shared" si="26"/>
        <v>3972.813546534579</v>
      </c>
    </row>
    <row r="74" spans="1:44 16384:16384">
      <c r="B74" t="s">
        <v>3</v>
      </c>
      <c r="C74" s="29">
        <v>3196</v>
      </c>
      <c r="D74" s="29">
        <v>2274</v>
      </c>
      <c r="E74" s="29">
        <v>2068</v>
      </c>
      <c r="F74" s="29">
        <v>2214</v>
      </c>
      <c r="G74" s="29">
        <v>1931</v>
      </c>
      <c r="H74" s="29">
        <v>2189</v>
      </c>
      <c r="I74" s="29">
        <v>3204</v>
      </c>
      <c r="J74" s="29">
        <v>2548</v>
      </c>
      <c r="K74" s="29">
        <v>2209</v>
      </c>
      <c r="L74" s="29">
        <v>2123</v>
      </c>
      <c r="M74" s="48">
        <v>3390</v>
      </c>
      <c r="N74" s="48">
        <v>5838</v>
      </c>
      <c r="O74" s="14">
        <v>2465</v>
      </c>
      <c r="P74" s="12">
        <v>4321</v>
      </c>
      <c r="Q74" s="12">
        <v>2445</v>
      </c>
      <c r="R74">
        <v>3068</v>
      </c>
      <c r="S74" s="12">
        <v>2576</v>
      </c>
      <c r="U74" s="12">
        <f t="shared" ref="U74:AQ74" si="27">0.22*U8</f>
        <v>3576.9299499999997</v>
      </c>
      <c r="V74" s="12">
        <f t="shared" si="27"/>
        <v>3657.4108738749997</v>
      </c>
      <c r="W74" s="12">
        <f t="shared" si="27"/>
        <v>3739.7026185371869</v>
      </c>
      <c r="X74" s="12">
        <f t="shared" si="27"/>
        <v>3823.8459274542734</v>
      </c>
      <c r="Y74" s="12">
        <f t="shared" si="27"/>
        <v>3909.8824608219943</v>
      </c>
      <c r="Z74" s="12">
        <f t="shared" si="27"/>
        <v>3997.8548161904887</v>
      </c>
      <c r="AA74" s="12">
        <f t="shared" si="27"/>
        <v>4087.8065495547748</v>
      </c>
      <c r="AB74" s="12">
        <f t="shared" si="27"/>
        <v>4179.7821969197566</v>
      </c>
      <c r="AC74" s="12">
        <f t="shared" si="27"/>
        <v>4273.8272963504514</v>
      </c>
      <c r="AD74" s="12">
        <f t="shared" si="27"/>
        <v>4369.9884105183364</v>
      </c>
      <c r="AE74" s="12">
        <f t="shared" si="27"/>
        <v>4468.3131497549994</v>
      </c>
      <c r="AF74" s="12">
        <f t="shared" si="27"/>
        <v>4568.8501956244863</v>
      </c>
      <c r="AG74" s="12">
        <f t="shared" si="27"/>
        <v>4671.6493250260364</v>
      </c>
      <c r="AH74" s="12">
        <f t="shared" si="27"/>
        <v>4776.7614348391226</v>
      </c>
      <c r="AI74" s="12">
        <f t="shared" si="27"/>
        <v>3657.5</v>
      </c>
      <c r="AJ74" s="12">
        <f t="shared" si="27"/>
        <v>3739.7937499999998</v>
      </c>
      <c r="AK74" s="12">
        <f t="shared" si="27"/>
        <v>3823.9391093749996</v>
      </c>
      <c r="AL74" s="12">
        <f t="shared" si="27"/>
        <v>3909.9777393359368</v>
      </c>
      <c r="AM74" s="12">
        <f t="shared" si="27"/>
        <v>3997.9522384709949</v>
      </c>
      <c r="AN74" s="12">
        <f t="shared" si="27"/>
        <v>4087.9061638365924</v>
      </c>
      <c r="AO74" s="12">
        <f t="shared" si="27"/>
        <v>4179.8840525229161</v>
      </c>
      <c r="AP74" s="12">
        <f t="shared" si="27"/>
        <v>4273.9314437046814</v>
      </c>
      <c r="AQ74" s="12">
        <f t="shared" si="27"/>
        <v>4370.0949011880366</v>
      </c>
    </row>
    <row r="75" spans="1:44 16384:16384">
      <c r="B75" t="s">
        <v>5</v>
      </c>
      <c r="C75" s="29">
        <v>95</v>
      </c>
      <c r="D75" s="29">
        <v>228</v>
      </c>
      <c r="E75" s="29">
        <v>171</v>
      </c>
      <c r="F75" s="29">
        <v>138</v>
      </c>
      <c r="G75" s="29">
        <v>153</v>
      </c>
      <c r="H75" s="29">
        <v>59</v>
      </c>
      <c r="I75" s="29">
        <v>232</v>
      </c>
      <c r="J75" s="29">
        <v>194</v>
      </c>
      <c r="K75" s="29">
        <v>72</v>
      </c>
      <c r="L75" s="29">
        <v>83</v>
      </c>
      <c r="M75" s="48">
        <v>114</v>
      </c>
      <c r="N75" s="48">
        <v>309</v>
      </c>
      <c r="O75" s="14">
        <v>298</v>
      </c>
      <c r="P75" s="12">
        <v>82</v>
      </c>
      <c r="Q75" s="12">
        <v>107</v>
      </c>
      <c r="R75">
        <v>174</v>
      </c>
      <c r="S75" s="12">
        <v>53</v>
      </c>
      <c r="U75" s="12">
        <f t="shared" ref="U75:AQ75" si="28">0.01*U8</f>
        <v>162.58772500000001</v>
      </c>
      <c r="V75" s="12">
        <f t="shared" si="28"/>
        <v>166.24594881249999</v>
      </c>
      <c r="W75" s="12">
        <f t="shared" si="28"/>
        <v>169.98648266078123</v>
      </c>
      <c r="X75" s="12">
        <f t="shared" si="28"/>
        <v>173.81117852064878</v>
      </c>
      <c r="Y75" s="12">
        <f t="shared" si="28"/>
        <v>177.72193003736339</v>
      </c>
      <c r="Z75" s="12">
        <f t="shared" si="28"/>
        <v>181.72067346320404</v>
      </c>
      <c r="AA75" s="12">
        <f t="shared" si="28"/>
        <v>185.80938861612614</v>
      </c>
      <c r="AB75" s="12">
        <f t="shared" si="28"/>
        <v>189.99009985998896</v>
      </c>
      <c r="AC75" s="12">
        <f t="shared" si="28"/>
        <v>194.2648771068387</v>
      </c>
      <c r="AD75" s="12">
        <f t="shared" si="28"/>
        <v>198.63583684174256</v>
      </c>
      <c r="AE75" s="12">
        <f t="shared" si="28"/>
        <v>203.10514317068177</v>
      </c>
      <c r="AF75" s="12">
        <f t="shared" si="28"/>
        <v>207.67500889202211</v>
      </c>
      <c r="AG75" s="12">
        <f t="shared" si="28"/>
        <v>212.34769659209257</v>
      </c>
      <c r="AH75" s="12">
        <f t="shared" si="28"/>
        <v>217.12551976541465</v>
      </c>
      <c r="AI75" s="12">
        <f t="shared" si="28"/>
        <v>166.25</v>
      </c>
      <c r="AJ75" s="12">
        <f t="shared" si="28"/>
        <v>169.99062499999999</v>
      </c>
      <c r="AK75" s="12">
        <f t="shared" si="28"/>
        <v>173.8154140625</v>
      </c>
      <c r="AL75" s="12">
        <f t="shared" si="28"/>
        <v>177.72626087890623</v>
      </c>
      <c r="AM75" s="12">
        <f t="shared" si="28"/>
        <v>181.7251017486816</v>
      </c>
      <c r="AN75" s="12">
        <f t="shared" si="28"/>
        <v>185.81391653802694</v>
      </c>
      <c r="AO75" s="12">
        <f t="shared" si="28"/>
        <v>189.99472966013255</v>
      </c>
      <c r="AP75" s="12">
        <f t="shared" si="28"/>
        <v>194.26961107748554</v>
      </c>
      <c r="AQ75" s="12">
        <f t="shared" si="28"/>
        <v>198.64067732672896</v>
      </c>
    </row>
    <row r="76" spans="1:44 16384:16384" ht="17" thickBot="1">
      <c r="A76" s="27"/>
      <c r="B76" s="26" t="s">
        <v>65</v>
      </c>
      <c r="C76" s="26">
        <f>SUM(C73:C75)</f>
        <v>5799</v>
      </c>
      <c r="D76" s="26">
        <f t="shared" ref="D76:V76" si="29">SUM(D73:D75)</f>
        <v>5010</v>
      </c>
      <c r="E76" s="26">
        <f t="shared" si="29"/>
        <v>4682</v>
      </c>
      <c r="F76" s="26">
        <f t="shared" si="29"/>
        <v>4995</v>
      </c>
      <c r="G76" s="26">
        <f t="shared" si="29"/>
        <v>4509</v>
      </c>
      <c r="H76" s="26">
        <f t="shared" si="29"/>
        <v>4960</v>
      </c>
      <c r="I76" s="26">
        <f t="shared" si="29"/>
        <v>6025</v>
      </c>
      <c r="J76" s="26">
        <f t="shared" si="29"/>
        <v>5630</v>
      </c>
      <c r="K76" s="26">
        <f t="shared" si="29"/>
        <v>4836</v>
      </c>
      <c r="L76" s="26">
        <f t="shared" si="29"/>
        <v>4584</v>
      </c>
      <c r="M76" s="26">
        <f t="shared" si="29"/>
        <v>5954</v>
      </c>
      <c r="N76" s="26">
        <f t="shared" si="29"/>
        <v>9233</v>
      </c>
      <c r="O76" s="26">
        <f t="shared" si="29"/>
        <v>5396</v>
      </c>
      <c r="P76" s="26">
        <f t="shared" si="29"/>
        <v>6684</v>
      </c>
      <c r="Q76" s="26">
        <f t="shared" si="29"/>
        <v>4888</v>
      </c>
      <c r="R76" s="26">
        <f t="shared" si="29"/>
        <v>6072</v>
      </c>
      <c r="S76" s="26">
        <f>SUM(S73:S75)</f>
        <v>4952</v>
      </c>
      <c r="T76" s="20"/>
      <c r="U76" s="26">
        <f t="shared" si="29"/>
        <v>6991.2721750000001</v>
      </c>
      <c r="V76" s="26">
        <f t="shared" si="29"/>
        <v>7148.5757989374988</v>
      </c>
      <c r="W76" s="26">
        <f t="shared" ref="W76:AQ76" si="30">SUM(W73:W75)</f>
        <v>7309.418754413593</v>
      </c>
      <c r="X76" s="26">
        <f t="shared" si="30"/>
        <v>7473.8806763878974</v>
      </c>
      <c r="Y76" s="26">
        <f t="shared" si="30"/>
        <v>7642.0429916066259</v>
      </c>
      <c r="Z76" s="26">
        <f t="shared" si="30"/>
        <v>7813.9889589177728</v>
      </c>
      <c r="AA76" s="26">
        <f t="shared" si="30"/>
        <v>7989.8037104934228</v>
      </c>
      <c r="AB76" s="26">
        <f t="shared" si="30"/>
        <v>8169.5742939795246</v>
      </c>
      <c r="AC76" s="26">
        <f t="shared" si="30"/>
        <v>8353.3897155940631</v>
      </c>
      <c r="AD76" s="26">
        <f t="shared" si="30"/>
        <v>8541.3409841949306</v>
      </c>
      <c r="AE76" s="26">
        <f t="shared" si="30"/>
        <v>8733.5211563393168</v>
      </c>
      <c r="AF76" s="26">
        <f t="shared" si="30"/>
        <v>8930.0253823569492</v>
      </c>
      <c r="AG76" s="26">
        <f t="shared" si="30"/>
        <v>9130.950953459982</v>
      </c>
      <c r="AH76" s="26">
        <f t="shared" si="30"/>
        <v>9336.3973499128315</v>
      </c>
      <c r="AI76" s="26">
        <f t="shared" si="30"/>
        <v>7148.75</v>
      </c>
      <c r="AJ76" s="26">
        <f t="shared" si="30"/>
        <v>7309.5968750000002</v>
      </c>
      <c r="AK76" s="26">
        <f t="shared" si="30"/>
        <v>7474.0628046874999</v>
      </c>
      <c r="AL76" s="26">
        <f t="shared" si="30"/>
        <v>7642.2292177929667</v>
      </c>
      <c r="AM76" s="26">
        <f t="shared" si="30"/>
        <v>7814.1793751933083</v>
      </c>
      <c r="AN76" s="26">
        <f t="shared" si="30"/>
        <v>7989.9984111351587</v>
      </c>
      <c r="AO76" s="26">
        <f t="shared" si="30"/>
        <v>8169.7733753856992</v>
      </c>
      <c r="AP76" s="26">
        <f t="shared" si="30"/>
        <v>8353.5932763318779</v>
      </c>
      <c r="AQ76" s="26">
        <f t="shared" si="30"/>
        <v>8541.5491250493433</v>
      </c>
    </row>
    <row r="77" spans="1:44 16384:16384">
      <c r="B77" t="s">
        <v>164</v>
      </c>
      <c r="C77" s="12">
        <f t="shared" ref="C77:S77" si="31">C72-C76</f>
        <v>1054</v>
      </c>
      <c r="D77" s="12">
        <f t="shared" si="31"/>
        <v>2038</v>
      </c>
      <c r="E77" s="12">
        <f t="shared" si="31"/>
        <v>2493</v>
      </c>
      <c r="F77" s="12">
        <f t="shared" si="31"/>
        <v>2714</v>
      </c>
      <c r="G77" s="12">
        <f t="shared" si="31"/>
        <v>3255</v>
      </c>
      <c r="H77" s="12">
        <f t="shared" si="31"/>
        <v>3399</v>
      </c>
      <c r="I77" s="12">
        <f t="shared" si="31"/>
        <v>2382</v>
      </c>
      <c r="J77" s="12">
        <f t="shared" si="31"/>
        <v>2569</v>
      </c>
      <c r="K77" s="12">
        <f t="shared" si="31"/>
        <v>3909</v>
      </c>
      <c r="L77" s="12">
        <f t="shared" si="31"/>
        <v>3129</v>
      </c>
      <c r="M77" s="12">
        <f t="shared" si="31"/>
        <v>3116</v>
      </c>
      <c r="N77" s="12">
        <f t="shared" si="31"/>
        <v>-2251</v>
      </c>
      <c r="O77" s="12">
        <f t="shared" si="31"/>
        <v>3014</v>
      </c>
      <c r="P77" s="12">
        <f t="shared" si="31"/>
        <v>1614</v>
      </c>
      <c r="Q77" s="12">
        <f t="shared" si="31"/>
        <v>4816</v>
      </c>
      <c r="R77" s="12">
        <f t="shared" si="31"/>
        <v>3576</v>
      </c>
      <c r="S77" s="12">
        <f t="shared" si="31"/>
        <v>5569</v>
      </c>
      <c r="U77" s="12">
        <f>U72-U76</f>
        <v>4389.8685749999986</v>
      </c>
      <c r="V77" s="12">
        <f t="shared" ref="V77:AD77" si="32">V72-V76</f>
        <v>4488.6406179374999</v>
      </c>
      <c r="W77" s="12">
        <f t="shared" si="32"/>
        <v>4589.6350318410914</v>
      </c>
      <c r="X77" s="12">
        <f t="shared" si="32"/>
        <v>4692.9018200575183</v>
      </c>
      <c r="Y77" s="12">
        <f t="shared" si="32"/>
        <v>4798.4921110088108</v>
      </c>
      <c r="Z77" s="12">
        <f t="shared" si="32"/>
        <v>4906.458183506511</v>
      </c>
      <c r="AA77" s="12">
        <f t="shared" si="32"/>
        <v>5016.8534926354059</v>
      </c>
      <c r="AB77" s="12">
        <f t="shared" si="32"/>
        <v>5129.732696219703</v>
      </c>
      <c r="AC77" s="12">
        <f t="shared" si="32"/>
        <v>5245.1516818846449</v>
      </c>
      <c r="AD77" s="12">
        <f t="shared" si="32"/>
        <v>5363.1675947270505</v>
      </c>
      <c r="AE77" s="12">
        <f t="shared" ref="AE77:AQ77" si="33">AE72-AE76</f>
        <v>5483.8388656084062</v>
      </c>
      <c r="AF77" s="12">
        <f t="shared" si="33"/>
        <v>5607.2252400845973</v>
      </c>
      <c r="AG77" s="12">
        <f t="shared" si="33"/>
        <v>5733.387807986499</v>
      </c>
      <c r="AH77" s="12">
        <f t="shared" si="33"/>
        <v>5862.3890336661952</v>
      </c>
      <c r="AI77" s="12">
        <f t="shared" si="33"/>
        <v>4488.75</v>
      </c>
      <c r="AJ77" s="12">
        <f t="shared" si="33"/>
        <v>4589.7468749999998</v>
      </c>
      <c r="AK77" s="12">
        <f t="shared" si="33"/>
        <v>4693.0161796874991</v>
      </c>
      <c r="AL77" s="12">
        <f t="shared" si="33"/>
        <v>4798.6090437304683</v>
      </c>
      <c r="AM77" s="12">
        <f t="shared" si="33"/>
        <v>4906.5777472144027</v>
      </c>
      <c r="AN77" s="12">
        <f t="shared" si="33"/>
        <v>5016.9757465267267</v>
      </c>
      <c r="AO77" s="12">
        <f t="shared" si="33"/>
        <v>5129.8577008235789</v>
      </c>
      <c r="AP77" s="12">
        <f t="shared" si="33"/>
        <v>5245.2794990921102</v>
      </c>
      <c r="AQ77" s="12">
        <f t="shared" si="33"/>
        <v>5363.2982878216826</v>
      </c>
    </row>
    <row r="78" spans="1:44 16384:16384">
      <c r="B78" t="s">
        <v>66</v>
      </c>
      <c r="C78" s="12" cm="1">
        <f t="array" ref="C78:S78">'CF Statement'!C13:S13</f>
        <v>1137</v>
      </c>
      <c r="D78" s="12">
        <v>2363</v>
      </c>
      <c r="E78" s="12">
        <v>3424</v>
      </c>
      <c r="F78" s="12">
        <v>4519</v>
      </c>
      <c r="G78" s="12">
        <v>898</v>
      </c>
      <c r="H78" s="12">
        <v>1871</v>
      </c>
      <c r="I78" s="12">
        <v>2716</v>
      </c>
      <c r="J78" s="12">
        <v>3652</v>
      </c>
      <c r="K78" s="12">
        <v>821</v>
      </c>
      <c r="L78" s="12">
        <v>1869</v>
      </c>
      <c r="M78" s="12">
        <v>2721</v>
      </c>
      <c r="N78" s="12">
        <v>3625</v>
      </c>
      <c r="O78" s="24">
        <v>930</v>
      </c>
      <c r="P78" s="12">
        <v>1620</v>
      </c>
      <c r="Q78" s="12">
        <v>2379</v>
      </c>
      <c r="R78" s="12">
        <v>3214</v>
      </c>
      <c r="S78" s="12">
        <v>1120</v>
      </c>
      <c r="U78" s="12" cm="1">
        <f t="array" ref="U78:AQ78">'D&amp;A_CapEx'!U11:AQ11</f>
        <v>2663.5516484019913</v>
      </c>
      <c r="V78" s="12">
        <v>3498.0965099754453</v>
      </c>
      <c r="W78" s="12">
        <v>4686.5182479014002</v>
      </c>
      <c r="X78" s="12">
        <v>1366.6048070774252</v>
      </c>
      <c r="Y78" s="12">
        <v>2911.4838756013264</v>
      </c>
      <c r="Z78" s="12">
        <v>3823.7109425683952</v>
      </c>
      <c r="AA78" s="12">
        <v>5122.7549199815649</v>
      </c>
      <c r="AB78" s="12">
        <v>1493.812917993278</v>
      </c>
      <c r="AC78" s="12">
        <v>3182.4944573431385</v>
      </c>
      <c r="AD78" s="12">
        <v>4179.6346471927154</v>
      </c>
      <c r="AE78" s="12">
        <v>5599.5979492764454</v>
      </c>
      <c r="AF78" s="12">
        <v>1632.861982050066</v>
      </c>
      <c r="AG78" s="12">
        <v>3478.7316034604341</v>
      </c>
      <c r="AH78" s="12">
        <v>4568.6889114791647</v>
      </c>
      <c r="AI78" s="12">
        <v>4583.5036205109218</v>
      </c>
      <c r="AJ78" s="12">
        <v>1336.5653881433034</v>
      </c>
      <c r="AK78" s="12">
        <v>2847.4863809297199</v>
      </c>
      <c r="AL78" s="12">
        <v>3739.6617322246689</v>
      </c>
      <c r="AM78" s="12">
        <v>5010.1513491897613</v>
      </c>
      <c r="AN78" s="12">
        <v>1460.9773302502731</v>
      </c>
      <c r="AO78" s="12">
        <v>3112.5398634733147</v>
      </c>
      <c r="AP78" s="12">
        <v>4087.7618574085955</v>
      </c>
      <c r="AQ78" s="12">
        <v>5476.5128644078432</v>
      </c>
    </row>
    <row r="79" spans="1:44 16384:16384" s="12" customFormat="1">
      <c r="A79"/>
      <c r="B79" t="s">
        <v>67</v>
      </c>
      <c r="C79" s="12">
        <f>C77+C78</f>
        <v>2191</v>
      </c>
      <c r="D79" s="12">
        <f t="shared" ref="D79:U79" si="34">D77+D78</f>
        <v>4401</v>
      </c>
      <c r="E79" s="12">
        <f t="shared" si="34"/>
        <v>5917</v>
      </c>
      <c r="F79" s="12">
        <f t="shared" si="34"/>
        <v>7233</v>
      </c>
      <c r="G79" s="12">
        <f t="shared" si="34"/>
        <v>4153</v>
      </c>
      <c r="H79" s="12">
        <f t="shared" si="34"/>
        <v>5270</v>
      </c>
      <c r="I79" s="12">
        <f t="shared" si="34"/>
        <v>5098</v>
      </c>
      <c r="J79" s="12">
        <f t="shared" si="34"/>
        <v>6221</v>
      </c>
      <c r="K79" s="12">
        <f t="shared" si="34"/>
        <v>4730</v>
      </c>
      <c r="L79" s="12">
        <f t="shared" si="34"/>
        <v>4998</v>
      </c>
      <c r="M79" s="12">
        <f t="shared" si="34"/>
        <v>5837</v>
      </c>
      <c r="N79" s="12">
        <f t="shared" si="34"/>
        <v>1374</v>
      </c>
      <c r="O79" s="12">
        <f t="shared" si="34"/>
        <v>3944</v>
      </c>
      <c r="P79" s="12">
        <f t="shared" si="34"/>
        <v>3234</v>
      </c>
      <c r="Q79" s="12">
        <f t="shared" si="34"/>
        <v>7195</v>
      </c>
      <c r="R79" s="12">
        <f t="shared" si="34"/>
        <v>6790</v>
      </c>
      <c r="S79" s="12">
        <f t="shared" si="34"/>
        <v>6689</v>
      </c>
      <c r="U79" s="12">
        <f t="shared" si="34"/>
        <v>7053.4202234019904</v>
      </c>
      <c r="V79" s="12">
        <f t="shared" ref="V79:AQ79" si="35">V77+V78</f>
        <v>7986.7371279129457</v>
      </c>
      <c r="W79" s="12">
        <f t="shared" si="35"/>
        <v>9276.1532797424916</v>
      </c>
      <c r="X79" s="12">
        <f t="shared" si="35"/>
        <v>6059.5066271349433</v>
      </c>
      <c r="Y79" s="12">
        <f t="shared" si="35"/>
        <v>7709.9759866101376</v>
      </c>
      <c r="Z79" s="12">
        <f t="shared" si="35"/>
        <v>8730.1691260749067</v>
      </c>
      <c r="AA79" s="12">
        <f t="shared" si="35"/>
        <v>10139.60841261697</v>
      </c>
      <c r="AB79" s="12">
        <f t="shared" si="35"/>
        <v>6623.5456142129806</v>
      </c>
      <c r="AC79" s="12">
        <f t="shared" si="35"/>
        <v>8427.6461392277834</v>
      </c>
      <c r="AD79" s="12">
        <f t="shared" si="35"/>
        <v>9542.8022419197659</v>
      </c>
      <c r="AE79" s="12">
        <f t="shared" si="35"/>
        <v>11083.436814884852</v>
      </c>
      <c r="AF79" s="12">
        <f t="shared" si="35"/>
        <v>7240.0872221346635</v>
      </c>
      <c r="AG79" s="12">
        <f t="shared" si="35"/>
        <v>9212.1194114469326</v>
      </c>
      <c r="AH79" s="12">
        <f t="shared" si="35"/>
        <v>10431.07794514536</v>
      </c>
      <c r="AI79" s="12">
        <f t="shared" si="35"/>
        <v>9072.2536205109209</v>
      </c>
      <c r="AJ79" s="12">
        <f t="shared" si="35"/>
        <v>5926.3122631433034</v>
      </c>
      <c r="AK79" s="12">
        <f t="shared" si="35"/>
        <v>7540.5025606172185</v>
      </c>
      <c r="AL79" s="12">
        <f t="shared" si="35"/>
        <v>8538.2707759551377</v>
      </c>
      <c r="AM79" s="12">
        <f t="shared" si="35"/>
        <v>9916.729096404164</v>
      </c>
      <c r="AN79" s="12">
        <f t="shared" si="35"/>
        <v>6477.9530767769993</v>
      </c>
      <c r="AO79" s="12">
        <f t="shared" si="35"/>
        <v>8242.3975642968944</v>
      </c>
      <c r="AP79" s="12">
        <f t="shared" si="35"/>
        <v>9333.0413565007057</v>
      </c>
      <c r="AQ79" s="12">
        <f t="shared" si="35"/>
        <v>10839.811152229526</v>
      </c>
    </row>
    <row r="80" spans="1:44 16384:16384">
      <c r="B80" s="19" t="s">
        <v>168</v>
      </c>
      <c r="C80" s="29">
        <v>-291</v>
      </c>
      <c r="D80" s="29">
        <v>-48</v>
      </c>
      <c r="E80" s="29">
        <v>-172</v>
      </c>
      <c r="F80" s="29">
        <v>110</v>
      </c>
      <c r="G80" s="29">
        <v>188</v>
      </c>
      <c r="H80" s="29">
        <v>140</v>
      </c>
      <c r="I80" s="29">
        <v>35</v>
      </c>
      <c r="J80" s="29">
        <v>-223</v>
      </c>
      <c r="K80" s="29">
        <v>71</v>
      </c>
      <c r="L80" s="29">
        <v>-390</v>
      </c>
      <c r="M80" s="28">
        <v>-312</v>
      </c>
      <c r="N80" s="28">
        <v>-258</v>
      </c>
      <c r="O80" s="14">
        <v>-448</v>
      </c>
      <c r="P80" s="20">
        <v>-103</v>
      </c>
      <c r="Q80" s="20">
        <v>-450</v>
      </c>
      <c r="R80" s="20">
        <v>-333</v>
      </c>
      <c r="S80" s="20">
        <v>708</v>
      </c>
      <c r="U80" s="29">
        <f>'Interest Financing'!U9</f>
        <v>955.30387181840968</v>
      </c>
      <c r="V80" s="29">
        <f>'Interest Financing'!V9</f>
        <v>1313.6167536197968</v>
      </c>
      <c r="W80" s="29">
        <f>'Interest Financing'!W9</f>
        <v>1595.9725169597486</v>
      </c>
      <c r="X80" s="29">
        <f>'Interest Financing'!X9</f>
        <v>1720.5706847570655</v>
      </c>
      <c r="Y80" s="29">
        <f>'Interest Financing'!Y9</f>
        <v>978.05851017584916</v>
      </c>
      <c r="Z80" s="29">
        <f>'Interest Financing'!Z9</f>
        <v>1031.7240137689018</v>
      </c>
      <c r="AA80" s="29">
        <f>'Interest Financing'!AA9</f>
        <v>963.40143519880212</v>
      </c>
      <c r="AB80" s="29">
        <f>'Interest Financing'!AB9</f>
        <v>1018.7791492774262</v>
      </c>
      <c r="AC80" s="29">
        <f>'Interest Financing'!AC9</f>
        <v>1078.4575983969642</v>
      </c>
      <c r="AD80" s="29">
        <f>'Interest Financing'!AD9</f>
        <v>990.00579835564793</v>
      </c>
      <c r="AE80" s="29">
        <f>'Interest Financing'!AE9</f>
        <v>1033.8660433486384</v>
      </c>
      <c r="AF80" s="29">
        <f>'Interest Financing'!AF9</f>
        <v>1086.8018713275039</v>
      </c>
      <c r="AG80" s="29">
        <f>'Interest Financing'!AG9</f>
        <v>980.7140915993848</v>
      </c>
      <c r="AH80" s="29">
        <f>'Interest Financing'!AH9</f>
        <v>1024.1520931477594</v>
      </c>
      <c r="AI80" s="29">
        <f>'Interest Financing'!AI9</f>
        <v>1021.6295571617637</v>
      </c>
      <c r="AJ80" s="29">
        <f>'Interest Financing'!AJ9</f>
        <v>1058.9744691223948</v>
      </c>
      <c r="AK80" s="29">
        <f>'Interest Financing'!AK9</f>
        <v>1098.6973028890707</v>
      </c>
      <c r="AL80" s="29">
        <f>'Interest Financing'!AL9</f>
        <v>1135.4566240127872</v>
      </c>
      <c r="AM80" s="29">
        <f>'Interest Financing'!AM9</f>
        <v>1169.9409925013276</v>
      </c>
      <c r="AN80" s="29">
        <f>'Interest Financing'!AN9</f>
        <v>1210.7711665300926</v>
      </c>
      <c r="AO80" s="29">
        <f>'Interest Financing'!AO9</f>
        <v>1253.7121251522749</v>
      </c>
      <c r="AP80" s="29">
        <f>'Interest Financing'!AP9</f>
        <v>1292.9163127849347</v>
      </c>
      <c r="AQ80" s="29">
        <f>'Interest Financing'!AQ9</f>
        <v>1330.5617739496072</v>
      </c>
    </row>
    <row r="81" spans="2:44">
      <c r="B81" s="33" t="s">
        <v>167</v>
      </c>
      <c r="C81" s="29">
        <f t="shared" ref="C81:S81" si="36">C77-C80</f>
        <v>1345</v>
      </c>
      <c r="D81" s="29">
        <f t="shared" si="36"/>
        <v>2086</v>
      </c>
      <c r="E81" s="29">
        <f t="shared" si="36"/>
        <v>2665</v>
      </c>
      <c r="F81" s="29">
        <f t="shared" si="36"/>
        <v>2604</v>
      </c>
      <c r="G81" s="29">
        <f t="shared" si="36"/>
        <v>3067</v>
      </c>
      <c r="H81" s="29">
        <f t="shared" si="36"/>
        <v>3259</v>
      </c>
      <c r="I81" s="29">
        <f t="shared" si="36"/>
        <v>2347</v>
      </c>
      <c r="J81" s="29">
        <f t="shared" si="36"/>
        <v>2792</v>
      </c>
      <c r="K81" s="29">
        <f t="shared" si="36"/>
        <v>3838</v>
      </c>
      <c r="L81" s="29">
        <f t="shared" si="36"/>
        <v>3519</v>
      </c>
      <c r="M81" s="29">
        <f t="shared" si="36"/>
        <v>3428</v>
      </c>
      <c r="N81" s="29">
        <f t="shared" si="36"/>
        <v>-1993</v>
      </c>
      <c r="O81" s="29">
        <f t="shared" si="36"/>
        <v>3462</v>
      </c>
      <c r="P81" s="29">
        <f t="shared" si="36"/>
        <v>1717</v>
      </c>
      <c r="Q81" s="29">
        <f t="shared" si="36"/>
        <v>5266</v>
      </c>
      <c r="R81" s="29">
        <f t="shared" si="36"/>
        <v>3909</v>
      </c>
      <c r="S81" s="29">
        <f t="shared" si="36"/>
        <v>4861</v>
      </c>
      <c r="U81" s="29">
        <f>U77-U80</f>
        <v>3434.5647031815888</v>
      </c>
      <c r="V81" s="29">
        <f t="shared" ref="V81:AQ81" si="37">V77-V80</f>
        <v>3175.0238643177031</v>
      </c>
      <c r="W81" s="29">
        <f t="shared" si="37"/>
        <v>2993.6625148813428</v>
      </c>
      <c r="X81" s="29">
        <f t="shared" si="37"/>
        <v>2972.3311353004528</v>
      </c>
      <c r="Y81" s="29">
        <f t="shared" si="37"/>
        <v>3820.4336008329615</v>
      </c>
      <c r="Z81" s="29">
        <f t="shared" si="37"/>
        <v>3874.7341697376091</v>
      </c>
      <c r="AA81" s="29">
        <f t="shared" si="37"/>
        <v>4053.4520574366038</v>
      </c>
      <c r="AB81" s="29">
        <f t="shared" si="37"/>
        <v>4110.9535469422772</v>
      </c>
      <c r="AC81" s="29">
        <f t="shared" si="37"/>
        <v>4166.6940834876805</v>
      </c>
      <c r="AD81" s="29">
        <f t="shared" si="37"/>
        <v>4373.1617963714025</v>
      </c>
      <c r="AE81" s="29">
        <f t="shared" si="37"/>
        <v>4449.9728222597678</v>
      </c>
      <c r="AF81" s="29">
        <f t="shared" si="37"/>
        <v>4520.4233687570932</v>
      </c>
      <c r="AG81" s="29">
        <f t="shared" si="37"/>
        <v>4752.6737163871139</v>
      </c>
      <c r="AH81" s="29">
        <f t="shared" si="37"/>
        <v>4838.2369405184363</v>
      </c>
      <c r="AI81" s="29">
        <f t="shared" si="37"/>
        <v>3467.1204428382362</v>
      </c>
      <c r="AJ81" s="29">
        <f t="shared" si="37"/>
        <v>3530.7724058776048</v>
      </c>
      <c r="AK81" s="29">
        <f t="shared" si="37"/>
        <v>3594.3188767984284</v>
      </c>
      <c r="AL81" s="29">
        <f t="shared" si="37"/>
        <v>3663.1524197176814</v>
      </c>
      <c r="AM81" s="29">
        <f t="shared" si="37"/>
        <v>3736.6367547130749</v>
      </c>
      <c r="AN81" s="29">
        <f t="shared" si="37"/>
        <v>3806.204579996634</v>
      </c>
      <c r="AO81" s="29">
        <f t="shared" si="37"/>
        <v>3876.145575671304</v>
      </c>
      <c r="AP81" s="29">
        <f t="shared" si="37"/>
        <v>3952.3631863071755</v>
      </c>
      <c r="AQ81" s="29">
        <f t="shared" si="37"/>
        <v>4032.7365138720752</v>
      </c>
    </row>
    <row r="82" spans="2:44">
      <c r="B82" t="s">
        <v>166</v>
      </c>
      <c r="C82" s="12">
        <v>604</v>
      </c>
      <c r="D82">
        <v>370</v>
      </c>
      <c r="E82">
        <v>707</v>
      </c>
      <c r="F82" s="12">
        <f>2508-E82-D82-C82</f>
        <v>827</v>
      </c>
      <c r="G82">
        <v>205</v>
      </c>
      <c r="H82">
        <v>615</v>
      </c>
      <c r="I82">
        <v>440</v>
      </c>
      <c r="J82">
        <f>1687-I82-H82-G82</f>
        <v>427</v>
      </c>
      <c r="K82">
        <v>619</v>
      </c>
      <c r="L82">
        <v>509</v>
      </c>
      <c r="M82">
        <v>483</v>
      </c>
      <c r="N82">
        <f>1709-M82-L82-K82</f>
        <v>98</v>
      </c>
      <c r="O82" s="5">
        <v>276</v>
      </c>
      <c r="P82">
        <v>503</v>
      </c>
      <c r="Q82">
        <v>695</v>
      </c>
      <c r="R82">
        <f>1521-Q82-P82-O82</f>
        <v>47</v>
      </c>
      <c r="S82">
        <v>554</v>
      </c>
      <c r="U82" s="12">
        <f>U81*U96</f>
        <v>772.77705821585755</v>
      </c>
      <c r="V82" s="12">
        <f t="shared" ref="V82:AQ82" si="38">V81*V96</f>
        <v>714.38036947148316</v>
      </c>
      <c r="W82" s="12">
        <f t="shared" si="38"/>
        <v>673.5740658483021</v>
      </c>
      <c r="X82" s="12">
        <f t="shared" si="38"/>
        <v>668.77450544260194</v>
      </c>
      <c r="Y82" s="12">
        <f t="shared" si="38"/>
        <v>859.59756018741632</v>
      </c>
      <c r="Z82" s="12">
        <f t="shared" si="38"/>
        <v>871.81518819096209</v>
      </c>
      <c r="AA82" s="12">
        <f t="shared" si="38"/>
        <v>912.02671292323589</v>
      </c>
      <c r="AB82" s="12">
        <f t="shared" si="38"/>
        <v>924.96454806201234</v>
      </c>
      <c r="AC82" s="12">
        <f t="shared" si="38"/>
        <v>937.50616878472817</v>
      </c>
      <c r="AD82" s="12">
        <f t="shared" si="38"/>
        <v>983.96140418356561</v>
      </c>
      <c r="AE82" s="12">
        <f t="shared" si="38"/>
        <v>1001.2438850084478</v>
      </c>
      <c r="AF82" s="12">
        <f t="shared" si="38"/>
        <v>1017.095257970346</v>
      </c>
      <c r="AG82" s="12">
        <f t="shared" si="38"/>
        <v>1069.3515861871006</v>
      </c>
      <c r="AH82" s="12">
        <f t="shared" si="38"/>
        <v>1088.6033116166482</v>
      </c>
      <c r="AI82" s="12">
        <f t="shared" si="38"/>
        <v>780.10209963860314</v>
      </c>
      <c r="AJ82" s="12">
        <f t="shared" si="38"/>
        <v>794.42379132246106</v>
      </c>
      <c r="AK82" s="12">
        <f t="shared" si="38"/>
        <v>808.72174727964637</v>
      </c>
      <c r="AL82" s="12">
        <f t="shared" si="38"/>
        <v>824.20929443647833</v>
      </c>
      <c r="AM82" s="12">
        <f t="shared" si="38"/>
        <v>840.74326981044192</v>
      </c>
      <c r="AN82" s="12">
        <f t="shared" si="38"/>
        <v>856.39603049924267</v>
      </c>
      <c r="AO82" s="12">
        <f t="shared" si="38"/>
        <v>872.13275452604341</v>
      </c>
      <c r="AP82" s="12">
        <f t="shared" si="38"/>
        <v>889.2817169191145</v>
      </c>
      <c r="AQ82" s="12">
        <f t="shared" si="38"/>
        <v>907.36571562121696</v>
      </c>
    </row>
    <row r="83" spans="2:44">
      <c r="B83" t="s">
        <v>217</v>
      </c>
      <c r="C83" s="12">
        <f t="shared" ref="C83:S83" si="39">C81-C82</f>
        <v>741</v>
      </c>
      <c r="D83" s="12">
        <f t="shared" si="39"/>
        <v>1716</v>
      </c>
      <c r="E83" s="12">
        <f t="shared" si="39"/>
        <v>1958</v>
      </c>
      <c r="F83" s="12">
        <f t="shared" si="39"/>
        <v>1777</v>
      </c>
      <c r="G83" s="12">
        <f t="shared" si="39"/>
        <v>2862</v>
      </c>
      <c r="H83" s="12">
        <f t="shared" si="39"/>
        <v>2644</v>
      </c>
      <c r="I83" s="12">
        <f t="shared" si="39"/>
        <v>1907</v>
      </c>
      <c r="J83" s="12">
        <f t="shared" si="39"/>
        <v>2365</v>
      </c>
      <c r="K83" s="12">
        <f t="shared" si="39"/>
        <v>3219</v>
      </c>
      <c r="L83" s="12">
        <f t="shared" si="39"/>
        <v>3010</v>
      </c>
      <c r="M83" s="12">
        <f t="shared" si="39"/>
        <v>2945</v>
      </c>
      <c r="N83" s="12">
        <f t="shared" si="39"/>
        <v>-2091</v>
      </c>
      <c r="O83" s="12">
        <f t="shared" si="39"/>
        <v>3186</v>
      </c>
      <c r="P83" s="12">
        <f t="shared" si="39"/>
        <v>1214</v>
      </c>
      <c r="Q83" s="12">
        <f t="shared" si="39"/>
        <v>4571</v>
      </c>
      <c r="R83" s="12">
        <f t="shared" si="39"/>
        <v>3862</v>
      </c>
      <c r="S83" s="12">
        <f t="shared" si="39"/>
        <v>4307</v>
      </c>
      <c r="T83" s="12"/>
      <c r="U83" s="12">
        <f>U81*(1-U96)</f>
        <v>2661.7876449657315</v>
      </c>
      <c r="V83" s="12">
        <f t="shared" ref="V83:AQ83" si="40">V81*(1-V96)</f>
        <v>2460.6434948462202</v>
      </c>
      <c r="W83" s="12">
        <f t="shared" si="40"/>
        <v>2320.0884490330409</v>
      </c>
      <c r="X83" s="12">
        <f t="shared" si="40"/>
        <v>2303.556629857851</v>
      </c>
      <c r="Y83" s="12">
        <f t="shared" si="40"/>
        <v>2960.8360406455454</v>
      </c>
      <c r="Z83" s="12">
        <f t="shared" si="40"/>
        <v>3002.918981546647</v>
      </c>
      <c r="AA83" s="12">
        <f t="shared" si="40"/>
        <v>3141.4253445133681</v>
      </c>
      <c r="AB83" s="12">
        <f t="shared" si="40"/>
        <v>3185.9889988802647</v>
      </c>
      <c r="AC83" s="12">
        <f t="shared" si="40"/>
        <v>3229.1879147029526</v>
      </c>
      <c r="AD83" s="12">
        <f t="shared" si="40"/>
        <v>3389.2003921878372</v>
      </c>
      <c r="AE83" s="12">
        <f t="shared" si="40"/>
        <v>3448.7289372513201</v>
      </c>
      <c r="AF83" s="12">
        <f t="shared" si="40"/>
        <v>3503.3281107867474</v>
      </c>
      <c r="AG83" s="12">
        <f t="shared" si="40"/>
        <v>3683.3221302000134</v>
      </c>
      <c r="AH83" s="12">
        <f t="shared" si="40"/>
        <v>3749.6336289017881</v>
      </c>
      <c r="AI83" s="12">
        <f t="shared" si="40"/>
        <v>2687.0183431996329</v>
      </c>
      <c r="AJ83" s="12">
        <f t="shared" si="40"/>
        <v>2736.3486145551437</v>
      </c>
      <c r="AK83" s="12">
        <f t="shared" si="40"/>
        <v>2785.5971295187819</v>
      </c>
      <c r="AL83" s="12">
        <f t="shared" si="40"/>
        <v>2838.9431252812033</v>
      </c>
      <c r="AM83" s="12">
        <f t="shared" si="40"/>
        <v>2895.8934849026332</v>
      </c>
      <c r="AN83" s="12">
        <f t="shared" si="40"/>
        <v>2949.8085494973916</v>
      </c>
      <c r="AO83" s="12">
        <f t="shared" si="40"/>
        <v>3004.0128211452607</v>
      </c>
      <c r="AP83" s="12">
        <f t="shared" si="40"/>
        <v>3063.0814693880611</v>
      </c>
      <c r="AQ83" s="12">
        <f t="shared" si="40"/>
        <v>3125.3707982508586</v>
      </c>
    </row>
    <row r="84" spans="2:44">
      <c r="B84" t="s">
        <v>218</v>
      </c>
      <c r="C84" s="12">
        <v>5</v>
      </c>
      <c r="D84" s="12">
        <v>9</v>
      </c>
      <c r="E84" s="12">
        <v>8</v>
      </c>
      <c r="F84" s="12">
        <f>-27-SUM(C84:E84)</f>
        <v>-49</v>
      </c>
      <c r="G84" s="12">
        <v>-53</v>
      </c>
      <c r="H84" s="12">
        <v>-26</v>
      </c>
      <c r="I84" s="12">
        <v>6</v>
      </c>
      <c r="J84" s="12">
        <f>-84-SUM(G84:I84)</f>
        <v>-11</v>
      </c>
      <c r="K84" s="12">
        <v>0</v>
      </c>
      <c r="L84" s="12">
        <v>4</v>
      </c>
      <c r="M84" s="12">
        <v>2</v>
      </c>
      <c r="N84" s="12">
        <v>-2</v>
      </c>
      <c r="O84" s="12">
        <v>7</v>
      </c>
      <c r="P84" s="12">
        <v>1</v>
      </c>
      <c r="Q84" s="12">
        <v>4</v>
      </c>
      <c r="R84" s="12">
        <v>1</v>
      </c>
      <c r="S84" s="12">
        <v>-3</v>
      </c>
      <c r="T84" s="12"/>
      <c r="U84" s="12">
        <v>0</v>
      </c>
      <c r="V84" s="12">
        <v>0</v>
      </c>
      <c r="W84" s="12">
        <v>0</v>
      </c>
      <c r="X84" s="12">
        <v>0</v>
      </c>
      <c r="Y84" s="12">
        <v>0</v>
      </c>
      <c r="Z84" s="12">
        <v>0</v>
      </c>
      <c r="AA84" s="12">
        <v>0</v>
      </c>
      <c r="AB84" s="12">
        <v>0</v>
      </c>
      <c r="AC84" s="12">
        <v>0</v>
      </c>
      <c r="AD84" s="12">
        <v>0</v>
      </c>
      <c r="AE84" s="12">
        <v>0</v>
      </c>
      <c r="AF84" s="12">
        <v>0</v>
      </c>
      <c r="AG84" s="12">
        <v>0</v>
      </c>
      <c r="AH84" s="12">
        <v>0</v>
      </c>
      <c r="AI84" s="12">
        <v>0</v>
      </c>
      <c r="AJ84" s="12">
        <v>0</v>
      </c>
      <c r="AK84" s="12">
        <v>0</v>
      </c>
      <c r="AL84" s="12">
        <v>0</v>
      </c>
      <c r="AM84" s="12">
        <v>0</v>
      </c>
      <c r="AN84" s="12">
        <v>0</v>
      </c>
      <c r="AO84" s="12">
        <v>0</v>
      </c>
      <c r="AP84" s="12">
        <v>0</v>
      </c>
      <c r="AQ84" s="12">
        <v>0</v>
      </c>
    </row>
    <row r="85" spans="2:44">
      <c r="B85" t="s">
        <v>219</v>
      </c>
      <c r="C85" s="12">
        <f t="shared" ref="C85:O85" si="41">C83-C84</f>
        <v>736</v>
      </c>
      <c r="D85" s="12">
        <f t="shared" si="41"/>
        <v>1707</v>
      </c>
      <c r="E85" s="12">
        <f t="shared" si="41"/>
        <v>1950</v>
      </c>
      <c r="F85" s="12">
        <f t="shared" si="41"/>
        <v>1826</v>
      </c>
      <c r="G85" s="12">
        <f t="shared" si="41"/>
        <v>2915</v>
      </c>
      <c r="H85" s="12">
        <f t="shared" si="41"/>
        <v>2670</v>
      </c>
      <c r="I85" s="12">
        <f t="shared" si="41"/>
        <v>1901</v>
      </c>
      <c r="J85" s="12">
        <f t="shared" si="41"/>
        <v>2376</v>
      </c>
      <c r="K85" s="12">
        <f t="shared" si="41"/>
        <v>3219</v>
      </c>
      <c r="L85" s="12">
        <f t="shared" si="41"/>
        <v>3006</v>
      </c>
      <c r="M85" s="12">
        <f t="shared" si="41"/>
        <v>2943</v>
      </c>
      <c r="N85" s="12">
        <f t="shared" si="41"/>
        <v>-2089</v>
      </c>
      <c r="O85" s="12">
        <f t="shared" si="41"/>
        <v>3179</v>
      </c>
      <c r="P85" s="12">
        <f>P83-P84</f>
        <v>1213</v>
      </c>
      <c r="Q85" s="12">
        <f>Q83-Q84</f>
        <v>4567</v>
      </c>
      <c r="R85" s="12">
        <f>R83-R84</f>
        <v>3861</v>
      </c>
      <c r="S85" s="12">
        <f>S83-S84</f>
        <v>4310</v>
      </c>
      <c r="T85" s="12"/>
      <c r="U85" s="12">
        <f>U83-U84</f>
        <v>2661.7876449657315</v>
      </c>
      <c r="V85" s="12">
        <f t="shared" ref="V85:AQ85" si="42">V83-V84</f>
        <v>2460.6434948462202</v>
      </c>
      <c r="W85" s="12">
        <f t="shared" si="42"/>
        <v>2320.0884490330409</v>
      </c>
      <c r="X85" s="12">
        <f t="shared" si="42"/>
        <v>2303.556629857851</v>
      </c>
      <c r="Y85" s="12">
        <f t="shared" si="42"/>
        <v>2960.8360406455454</v>
      </c>
      <c r="Z85" s="12">
        <f t="shared" si="42"/>
        <v>3002.918981546647</v>
      </c>
      <c r="AA85" s="12">
        <f t="shared" si="42"/>
        <v>3141.4253445133681</v>
      </c>
      <c r="AB85" s="12">
        <f t="shared" si="42"/>
        <v>3185.9889988802647</v>
      </c>
      <c r="AC85" s="12">
        <f t="shared" si="42"/>
        <v>3229.1879147029526</v>
      </c>
      <c r="AD85" s="12">
        <f t="shared" si="42"/>
        <v>3389.2003921878372</v>
      </c>
      <c r="AE85" s="12">
        <f t="shared" si="42"/>
        <v>3448.7289372513201</v>
      </c>
      <c r="AF85" s="12">
        <f t="shared" si="42"/>
        <v>3503.3281107867474</v>
      </c>
      <c r="AG85" s="12">
        <f t="shared" si="42"/>
        <v>3683.3221302000134</v>
      </c>
      <c r="AH85" s="12">
        <f t="shared" si="42"/>
        <v>3749.6336289017881</v>
      </c>
      <c r="AI85" s="12">
        <f t="shared" si="42"/>
        <v>2687.0183431996329</v>
      </c>
      <c r="AJ85" s="12">
        <f t="shared" si="42"/>
        <v>2736.3486145551437</v>
      </c>
      <c r="AK85" s="12">
        <f t="shared" si="42"/>
        <v>2785.5971295187819</v>
      </c>
      <c r="AL85" s="12">
        <f t="shared" si="42"/>
        <v>2838.9431252812033</v>
      </c>
      <c r="AM85" s="12">
        <f t="shared" si="42"/>
        <v>2895.8934849026332</v>
      </c>
      <c r="AN85" s="12">
        <f t="shared" si="42"/>
        <v>2949.8085494973916</v>
      </c>
      <c r="AO85" s="12">
        <f t="shared" si="42"/>
        <v>3004.0128211452607</v>
      </c>
      <c r="AP85" s="12">
        <f t="shared" si="42"/>
        <v>3063.0814693880611</v>
      </c>
      <c r="AQ85" s="12">
        <f t="shared" si="42"/>
        <v>3125.3707982508586</v>
      </c>
    </row>
    <row r="86" spans="2:44" ht="17" customHeight="1">
      <c r="B86" t="s">
        <v>174</v>
      </c>
      <c r="C86" s="54">
        <f t="shared" ref="C86:R86" si="43">C85/C87</f>
        <v>2725.9259259259256</v>
      </c>
      <c r="D86" s="54">
        <f t="shared" si="43"/>
        <v>2709.5238095238096</v>
      </c>
      <c r="E86" s="54">
        <f t="shared" si="43"/>
        <v>2671.232876712329</v>
      </c>
      <c r="F86" s="54">
        <f t="shared" si="43"/>
        <v>2646.376811594203</v>
      </c>
      <c r="G86" s="54">
        <f t="shared" si="43"/>
        <v>2602.6785714285711</v>
      </c>
      <c r="H86" s="54">
        <f t="shared" si="43"/>
        <v>2592.2330097087379</v>
      </c>
      <c r="I86" s="54">
        <f t="shared" si="43"/>
        <v>2568.9189189189187</v>
      </c>
      <c r="J86" s="54">
        <f t="shared" si="43"/>
        <v>2582.608695652174</v>
      </c>
      <c r="K86" s="54">
        <f t="shared" si="43"/>
        <v>2554.7619047619046</v>
      </c>
      <c r="L86" s="54">
        <f t="shared" si="43"/>
        <v>2526.0504201680674</v>
      </c>
      <c r="M86" s="54">
        <f t="shared" si="43"/>
        <v>2537.0689655172414</v>
      </c>
      <c r="N86" s="54">
        <f t="shared" si="43"/>
        <v>2516.867469879518</v>
      </c>
      <c r="O86" s="54">
        <f t="shared" si="43"/>
        <v>2543.1999999999998</v>
      </c>
      <c r="P86" s="54">
        <f t="shared" si="43"/>
        <v>1988.5245901639344</v>
      </c>
      <c r="Q86" s="54">
        <f t="shared" si="43"/>
        <v>2523.2044198895028</v>
      </c>
      <c r="R86" s="54">
        <f t="shared" si="43"/>
        <v>2591.2751677852348</v>
      </c>
      <c r="S86" s="54">
        <f>S85/S87</f>
        <v>2535.294117647059</v>
      </c>
      <c r="T86" s="12"/>
      <c r="U86" s="54">
        <v>2535.294117647059</v>
      </c>
      <c r="V86" s="54">
        <v>2535.294117647059</v>
      </c>
      <c r="W86" s="54">
        <v>2535.294117647059</v>
      </c>
      <c r="X86" s="54">
        <v>2535.294117647059</v>
      </c>
      <c r="Y86" s="54">
        <v>2535.294117647059</v>
      </c>
      <c r="Z86" s="54">
        <v>2535.294117647059</v>
      </c>
      <c r="AA86" s="54">
        <v>2535.294117647059</v>
      </c>
      <c r="AB86" s="54">
        <v>2535.294117647059</v>
      </c>
      <c r="AC86" s="54">
        <v>2535.294117647059</v>
      </c>
      <c r="AD86" s="54">
        <v>2535.294117647059</v>
      </c>
      <c r="AE86" s="54">
        <v>2535.294117647059</v>
      </c>
      <c r="AF86" s="54">
        <v>2535.294117647059</v>
      </c>
      <c r="AG86" s="54">
        <v>2535.294117647059</v>
      </c>
      <c r="AH86" s="54">
        <v>2535.294117647059</v>
      </c>
      <c r="AI86" s="54">
        <v>2535.294117647059</v>
      </c>
      <c r="AJ86" s="54">
        <v>2535.294117647059</v>
      </c>
      <c r="AK86" s="54">
        <v>2535.294117647059</v>
      </c>
      <c r="AL86" s="54">
        <v>2535.294117647059</v>
      </c>
      <c r="AM86" s="54">
        <v>2535.294117647059</v>
      </c>
      <c r="AN86" s="54">
        <v>2535.294117647059</v>
      </c>
      <c r="AO86" s="54">
        <v>2535.294117647059</v>
      </c>
      <c r="AP86" s="54">
        <v>2535.294117647059</v>
      </c>
      <c r="AQ86" s="54">
        <v>2535.294117647059</v>
      </c>
    </row>
    <row r="87" spans="2:44">
      <c r="B87" t="s">
        <v>216</v>
      </c>
      <c r="C87" s="10">
        <v>0.27</v>
      </c>
      <c r="D87" s="10">
        <v>0.63</v>
      </c>
      <c r="E87" s="10">
        <v>0.73</v>
      </c>
      <c r="F87" s="10">
        <v>0.69</v>
      </c>
      <c r="G87" s="10">
        <v>1.1200000000000001</v>
      </c>
      <c r="H87" s="10">
        <v>1.03</v>
      </c>
      <c r="I87" s="10">
        <v>0.74</v>
      </c>
      <c r="J87" s="10">
        <v>0.92</v>
      </c>
      <c r="K87" s="10">
        <v>1.26</v>
      </c>
      <c r="L87" s="10">
        <v>1.19</v>
      </c>
      <c r="M87" s="10">
        <v>1.1599999999999999</v>
      </c>
      <c r="N87" s="10">
        <v>-0.83</v>
      </c>
      <c r="O87" s="10">
        <v>1.25</v>
      </c>
      <c r="P87" s="10">
        <v>0.61</v>
      </c>
      <c r="Q87" s="10">
        <v>1.81</v>
      </c>
      <c r="R87" s="10">
        <v>1.49</v>
      </c>
      <c r="S87" s="10">
        <v>1.7</v>
      </c>
      <c r="T87" s="12"/>
      <c r="U87" s="60">
        <f>U85/U86</f>
        <v>1.0498930386175738</v>
      </c>
      <c r="V87" s="60">
        <f t="shared" ref="V87:AQ87" si="44">V85/V86</f>
        <v>0.97055543880245332</v>
      </c>
      <c r="W87" s="60">
        <f t="shared" si="44"/>
        <v>0.91511609358611812</v>
      </c>
      <c r="X87" s="60">
        <f t="shared" si="44"/>
        <v>0.90859542244973235</v>
      </c>
      <c r="Y87" s="60">
        <f t="shared" si="44"/>
        <v>1.1678471622035793</v>
      </c>
      <c r="Z87" s="60">
        <f t="shared" si="44"/>
        <v>1.1844460020021577</v>
      </c>
      <c r="AA87" s="60">
        <f t="shared" si="44"/>
        <v>1.2390772820586371</v>
      </c>
      <c r="AB87" s="60">
        <f t="shared" si="44"/>
        <v>1.2566545935258584</v>
      </c>
      <c r="AC87" s="60">
        <f t="shared" si="44"/>
        <v>1.2736936090475683</v>
      </c>
      <c r="AD87" s="60">
        <f t="shared" si="44"/>
        <v>1.3368075792852256</v>
      </c>
      <c r="AE87" s="60">
        <f t="shared" si="44"/>
        <v>1.3602875158531889</v>
      </c>
      <c r="AF87" s="60">
        <f t="shared" si="44"/>
        <v>1.3818231527465128</v>
      </c>
      <c r="AG87" s="60">
        <f t="shared" si="44"/>
        <v>1.4528184736287755</v>
      </c>
      <c r="AH87" s="60">
        <f t="shared" si="44"/>
        <v>1.4789738211445567</v>
      </c>
      <c r="AI87" s="60">
        <f t="shared" si="44"/>
        <v>1.0598448221437067</v>
      </c>
      <c r="AJ87" s="60">
        <f t="shared" si="44"/>
        <v>1.0793022377595693</v>
      </c>
      <c r="AK87" s="60">
        <f t="shared" si="44"/>
        <v>1.0987274060746934</v>
      </c>
      <c r="AL87" s="60">
        <f t="shared" si="44"/>
        <v>1.1197687501109153</v>
      </c>
      <c r="AM87" s="60">
        <f t="shared" si="44"/>
        <v>1.1422317689871173</v>
      </c>
      <c r="AN87" s="60">
        <f t="shared" si="44"/>
        <v>1.1634975717275093</v>
      </c>
      <c r="AO87" s="60">
        <f t="shared" si="44"/>
        <v>1.1848774468554391</v>
      </c>
      <c r="AP87" s="60">
        <f t="shared" si="44"/>
        <v>1.2081759856054997</v>
      </c>
      <c r="AQ87" s="60">
        <f t="shared" si="44"/>
        <v>1.2327448624191322</v>
      </c>
    </row>
    <row r="88" spans="2:44">
      <c r="C88" s="10"/>
      <c r="D88" s="10"/>
      <c r="E88" s="10"/>
      <c r="F88" s="10"/>
      <c r="G88" s="10"/>
      <c r="H88" s="10"/>
      <c r="I88" s="10"/>
      <c r="J88" s="10"/>
      <c r="K88" s="10"/>
      <c r="L88" s="10"/>
      <c r="M88" s="10"/>
      <c r="N88" s="10"/>
      <c r="O88" s="10"/>
      <c r="P88" s="10"/>
      <c r="Q88" s="10"/>
      <c r="R88" s="10"/>
      <c r="S88" s="10"/>
      <c r="T88" s="12"/>
    </row>
    <row r="89" spans="2:44">
      <c r="B89" s="44" t="s">
        <v>220</v>
      </c>
      <c r="C89" s="12">
        <f>'CF Statement'!C13</f>
        <v>1137</v>
      </c>
      <c r="D89" s="12">
        <f>'CF Statement'!D13</f>
        <v>2363</v>
      </c>
      <c r="E89" s="12">
        <f>'CF Statement'!E13</f>
        <v>3424</v>
      </c>
      <c r="F89" s="12">
        <f>'CF Statement'!F13</f>
        <v>4519</v>
      </c>
      <c r="G89" s="12">
        <f>'CF Statement'!G13</f>
        <v>898</v>
      </c>
      <c r="H89" s="12">
        <f>'CF Statement'!H13</f>
        <v>1871</v>
      </c>
      <c r="I89" s="12">
        <f>'CF Statement'!I13</f>
        <v>2716</v>
      </c>
      <c r="J89" s="12">
        <f>'CF Statement'!J13</f>
        <v>3652</v>
      </c>
      <c r="K89" s="12">
        <f>'CF Statement'!K13</f>
        <v>821</v>
      </c>
      <c r="L89" s="12">
        <f>'CF Statement'!L13</f>
        <v>1869</v>
      </c>
      <c r="M89" s="12">
        <f>'CF Statement'!M13</f>
        <v>2721</v>
      </c>
      <c r="N89" s="12">
        <f>'CF Statement'!N13</f>
        <v>3625</v>
      </c>
      <c r="O89" s="12">
        <f>'CF Statement'!O13</f>
        <v>930</v>
      </c>
      <c r="P89" s="12">
        <f>'CF Statement'!P13</f>
        <v>1620</v>
      </c>
      <c r="Q89" s="12">
        <f>'CF Statement'!Q13</f>
        <v>2379</v>
      </c>
      <c r="R89" s="12">
        <f>'CF Statement'!R13</f>
        <v>3214</v>
      </c>
      <c r="S89" s="12">
        <f>'CF Statement'!S13</f>
        <v>1120</v>
      </c>
      <c r="T89" s="12"/>
      <c r="U89" s="12">
        <f>U78</f>
        <v>2663.5516484019913</v>
      </c>
      <c r="V89" s="12">
        <f t="shared" ref="V89:AQ89" si="45">V78</f>
        <v>3498.0965099754453</v>
      </c>
      <c r="W89" s="12">
        <f t="shared" si="45"/>
        <v>4686.5182479014002</v>
      </c>
      <c r="X89" s="12">
        <f t="shared" si="45"/>
        <v>1366.6048070774252</v>
      </c>
      <c r="Y89" s="12">
        <f t="shared" si="45"/>
        <v>2911.4838756013264</v>
      </c>
      <c r="Z89" s="12">
        <f t="shared" si="45"/>
        <v>3823.7109425683952</v>
      </c>
      <c r="AA89" s="12">
        <f t="shared" si="45"/>
        <v>5122.7549199815649</v>
      </c>
      <c r="AB89" s="12">
        <f t="shared" si="45"/>
        <v>1493.812917993278</v>
      </c>
      <c r="AC89" s="12">
        <f t="shared" si="45"/>
        <v>3182.4944573431385</v>
      </c>
      <c r="AD89" s="12">
        <f t="shared" si="45"/>
        <v>4179.6346471927154</v>
      </c>
      <c r="AE89" s="12">
        <f t="shared" si="45"/>
        <v>5599.5979492764454</v>
      </c>
      <c r="AF89" s="12">
        <f t="shared" si="45"/>
        <v>1632.861982050066</v>
      </c>
      <c r="AG89" s="12">
        <f t="shared" si="45"/>
        <v>3478.7316034604341</v>
      </c>
      <c r="AH89" s="12">
        <f t="shared" si="45"/>
        <v>4568.6889114791647</v>
      </c>
      <c r="AI89" s="12">
        <f t="shared" si="45"/>
        <v>4583.5036205109218</v>
      </c>
      <c r="AJ89" s="12">
        <f t="shared" si="45"/>
        <v>1336.5653881433034</v>
      </c>
      <c r="AK89" s="12">
        <f t="shared" si="45"/>
        <v>2847.4863809297199</v>
      </c>
      <c r="AL89" s="12">
        <f t="shared" si="45"/>
        <v>3739.6617322246689</v>
      </c>
      <c r="AM89" s="12">
        <f t="shared" si="45"/>
        <v>5010.1513491897613</v>
      </c>
      <c r="AN89" s="12">
        <f t="shared" si="45"/>
        <v>1460.9773302502731</v>
      </c>
      <c r="AO89" s="12">
        <f t="shared" si="45"/>
        <v>3112.5398634733147</v>
      </c>
      <c r="AP89" s="12">
        <f t="shared" si="45"/>
        <v>4087.7618574085955</v>
      </c>
      <c r="AQ89" s="12">
        <f t="shared" si="45"/>
        <v>5476.5128644078432</v>
      </c>
    </row>
    <row r="90" spans="2:44">
      <c r="B90" s="44" t="s">
        <v>221</v>
      </c>
      <c r="C90" s="12">
        <f>'CF Statement'!C24</f>
        <v>-450</v>
      </c>
      <c r="D90" s="12">
        <f>'CF Statement'!D24</f>
        <v>-1033</v>
      </c>
      <c r="E90" s="12">
        <f>'CF Statement'!E24</f>
        <v>-1686</v>
      </c>
      <c r="F90" s="12">
        <f>'CF Statement'!F24</f>
        <v>-2615</v>
      </c>
      <c r="G90" s="12">
        <f>'CF Statement'!G24</f>
        <v>-595</v>
      </c>
      <c r="H90" s="12">
        <f>'CF Statement'!H24</f>
        <v>-1377</v>
      </c>
      <c r="I90" s="12">
        <f>'CF Statement'!I24</f>
        <v>-2336</v>
      </c>
      <c r="J90" s="12">
        <f>'CF Statement'!J24</f>
        <v>-3473</v>
      </c>
      <c r="K90" s="12">
        <f>'CF Statement'!K24</f>
        <v>-986</v>
      </c>
      <c r="L90" s="12">
        <f>'CF Statement'!L24</f>
        <v>-1654</v>
      </c>
      <c r="M90" s="12">
        <f>'CF Statement'!M24</f>
        <v>-3170</v>
      </c>
      <c r="N90" s="12">
        <f>'CF Statement'!N24</f>
        <v>-4684</v>
      </c>
      <c r="O90" s="12">
        <f>'CF Statement'!O24</f>
        <v>-1134</v>
      </c>
      <c r="P90" s="12">
        <f>'CF Statement'!P24</f>
        <v>-2068</v>
      </c>
      <c r="Q90" s="12">
        <f>'CF Statement'!Q24</f>
        <v>-3240</v>
      </c>
      <c r="R90" s="12">
        <f>'CF Statement'!R24</f>
        <v>-4448</v>
      </c>
      <c r="S90" s="12">
        <f>'CF Statement'!S24</f>
        <v>-984</v>
      </c>
      <c r="T90" s="12"/>
      <c r="U90" s="12">
        <f>'D&amp;A_CapEx'!U8</f>
        <v>-2442.0537982354135</v>
      </c>
      <c r="V90" s="12">
        <f>'D&amp;A_CapEx'!V8</f>
        <v>-3808.7784216174459</v>
      </c>
      <c r="W90" s="12">
        <f>'D&amp;A_CapEx'!W8</f>
        <v>-5283.2258596597358</v>
      </c>
      <c r="X90" s="12">
        <f>'D&amp;A_CapEx'!X8</f>
        <v>-1271.1958092686975</v>
      </c>
      <c r="Y90" s="12">
        <f>'D&amp;A_CapEx'!Y8</f>
        <v>-2669.3682704366011</v>
      </c>
      <c r="Z90" s="12">
        <f>'D&amp;A_CapEx'!Z8</f>
        <v>-4163.3121576337635</v>
      </c>
      <c r="AA90" s="12">
        <f>'D&amp;A_CapEx'!AA8</f>
        <v>-5775.0060565890608</v>
      </c>
      <c r="AB90" s="12">
        <f>'D&amp;A_CapEx'!AB8</f>
        <v>-1389.5229340261756</v>
      </c>
      <c r="AC90" s="12">
        <f>'D&amp;A_CapEx'!AC8</f>
        <v>-2917.8419281190586</v>
      </c>
      <c r="AD90" s="12">
        <f>'D&amp;A_CapEx'!AD8</f>
        <v>-4550.8470704211668</v>
      </c>
      <c r="AE90" s="12">
        <f>'D&amp;A_CapEx'!AE8</f>
        <v>-6312.5627863633053</v>
      </c>
      <c r="AF90" s="12">
        <f>'D&amp;A_CapEx'!AF8</f>
        <v>-1518.8643402588475</v>
      </c>
      <c r="AG90" s="12">
        <f>'D&amp;A_CapEx'!AG8</f>
        <v>-3189.4443384902575</v>
      </c>
      <c r="AH90" s="12">
        <f>'D&amp;A_CapEx'!AH8</f>
        <v>-4974.4550190374503</v>
      </c>
      <c r="AI90" s="12">
        <f>'D&amp;A_CapEx'!AI8</f>
        <v>-5167.0949679052228</v>
      </c>
      <c r="AJ90" s="12">
        <f>'D&amp;A_CapEx'!AJ8</f>
        <v>-1243.2535810077084</v>
      </c>
      <c r="AK90" s="12">
        <f>'D&amp;A_CapEx'!AK8</f>
        <v>-2610.6927328197085</v>
      </c>
      <c r="AL90" s="12">
        <f>'D&amp;A_CapEx'!AL8</f>
        <v>-4071.7981534322562</v>
      </c>
      <c r="AM90" s="12">
        <f>'D&amp;A_CapEx'!AM8</f>
        <v>-5648.0653160161037</v>
      </c>
      <c r="AN90" s="12">
        <f>'D&amp;A_CapEx'!AN8</f>
        <v>-1358.979750424292</v>
      </c>
      <c r="AO90" s="12">
        <f>'D&amp;A_CapEx'!AO8</f>
        <v>-2853.704676729054</v>
      </c>
      <c r="AP90" s="12">
        <f>'D&amp;A_CapEx'!AP8</f>
        <v>-4450.814638992907</v>
      </c>
      <c r="AQ90" s="12">
        <f>'D&amp;A_CapEx'!AQ8</f>
        <v>-6173.8059803682781</v>
      </c>
    </row>
    <row r="91" spans="2:44" ht="34">
      <c r="B91" s="45" t="s">
        <v>223</v>
      </c>
      <c r="C91" s="64"/>
      <c r="D91" s="12">
        <f t="shared" ref="D91:S91" si="46">D115-C115</f>
        <v>-1501</v>
      </c>
      <c r="E91" s="12">
        <f t="shared" si="46"/>
        <v>-284</v>
      </c>
      <c r="F91" s="12">
        <f t="shared" si="46"/>
        <v>-1794</v>
      </c>
      <c r="G91" s="12">
        <f t="shared" si="46"/>
        <v>2045</v>
      </c>
      <c r="H91" s="12">
        <f t="shared" si="46"/>
        <v>-1098</v>
      </c>
      <c r="I91" s="12">
        <f t="shared" si="46"/>
        <v>566</v>
      </c>
      <c r="J91" s="12">
        <f t="shared" si="46"/>
        <v>-2611</v>
      </c>
      <c r="K91" s="12">
        <f t="shared" si="46"/>
        <v>741</v>
      </c>
      <c r="L91" s="12">
        <f t="shared" si="46"/>
        <v>1015</v>
      </c>
      <c r="M91" s="12">
        <f t="shared" si="46"/>
        <v>2475</v>
      </c>
      <c r="N91" s="12">
        <f t="shared" si="46"/>
        <v>-5743</v>
      </c>
      <c r="O91" s="12">
        <f t="shared" si="46"/>
        <v>1108</v>
      </c>
      <c r="P91" s="12">
        <f t="shared" si="46"/>
        <v>4085</v>
      </c>
      <c r="Q91" s="12">
        <f t="shared" si="46"/>
        <v>-889</v>
      </c>
      <c r="R91" s="12">
        <f t="shared" si="46"/>
        <v>1362</v>
      </c>
      <c r="S91" s="12">
        <f t="shared" si="46"/>
        <v>1992</v>
      </c>
      <c r="T91" s="12"/>
      <c r="U91" s="12">
        <f>U115-S115</f>
        <v>10640.943320306187</v>
      </c>
      <c r="V91" s="12">
        <f>V115-U115</f>
        <v>235.68561714229872</v>
      </c>
      <c r="W91" s="12">
        <f t="shared" ref="W91:AQ91" si="47">W115-V115</f>
        <v>287.65274885994586</v>
      </c>
      <c r="X91" s="12">
        <f t="shared" si="47"/>
        <v>298.72795295446122</v>
      </c>
      <c r="Y91" s="12">
        <f t="shared" si="47"/>
        <v>346.60194201891682</v>
      </c>
      <c r="Z91" s="12">
        <f t="shared" si="47"/>
        <v>203.41001760799008</v>
      </c>
      <c r="AA91" s="12">
        <f t="shared" si="47"/>
        <v>266.73993994990269</v>
      </c>
      <c r="AB91" s="12">
        <f t="shared" si="47"/>
        <v>303.74872767561101</v>
      </c>
      <c r="AC91" s="12">
        <f t="shared" si="47"/>
        <v>458.04070084507111</v>
      </c>
      <c r="AD91" s="12">
        <f t="shared" si="47"/>
        <v>305.80480087902106</v>
      </c>
      <c r="AE91" s="12">
        <f t="shared" si="47"/>
        <v>241.72539924877856</v>
      </c>
      <c r="AF91" s="12">
        <f t="shared" si="47"/>
        <v>328.5860299945416</v>
      </c>
      <c r="AG91" s="12">
        <f t="shared" si="47"/>
        <v>533.27565524656529</v>
      </c>
      <c r="AH91" s="12">
        <f t="shared" si="47"/>
        <v>335.11061367537332</v>
      </c>
      <c r="AI91" s="12">
        <f t="shared" si="47"/>
        <v>-4241.4967840717982</v>
      </c>
      <c r="AJ91" s="12">
        <f t="shared" si="47"/>
        <v>296.26291261520237</v>
      </c>
      <c r="AK91" s="12">
        <f t="shared" si="47"/>
        <v>366.56800775926786</v>
      </c>
      <c r="AL91" s="12">
        <f t="shared" si="47"/>
        <v>434.77019397266304</v>
      </c>
      <c r="AM91" s="12">
        <f t="shared" si="47"/>
        <v>329.25201808399288</v>
      </c>
      <c r="AN91" s="12">
        <f t="shared" si="47"/>
        <v>325.04987748262647</v>
      </c>
      <c r="AO91" s="12">
        <f t="shared" si="47"/>
        <v>336.76826205647922</v>
      </c>
      <c r="AP91" s="12">
        <f t="shared" si="47"/>
        <v>344.99830018018656</v>
      </c>
      <c r="AQ91" s="12">
        <f t="shared" si="47"/>
        <v>353.38965009505773</v>
      </c>
    </row>
    <row r="92" spans="2:44" ht="34">
      <c r="B92" s="63" t="s">
        <v>222</v>
      </c>
      <c r="C92" s="65"/>
      <c r="D92" s="12">
        <f t="shared" ref="D92:S92" si="48">D77+SUM(D89:D91)</f>
        <v>1867</v>
      </c>
      <c r="E92" s="12">
        <f t="shared" si="48"/>
        <v>3947</v>
      </c>
      <c r="F92" s="12">
        <f t="shared" si="48"/>
        <v>2824</v>
      </c>
      <c r="G92" s="12">
        <f t="shared" si="48"/>
        <v>5603</v>
      </c>
      <c r="H92" s="12">
        <f t="shared" si="48"/>
        <v>2795</v>
      </c>
      <c r="I92" s="12">
        <f t="shared" si="48"/>
        <v>3328</v>
      </c>
      <c r="J92" s="12">
        <f t="shared" si="48"/>
        <v>137</v>
      </c>
      <c r="K92" s="12">
        <f t="shared" si="48"/>
        <v>4485</v>
      </c>
      <c r="L92" s="12">
        <f t="shared" si="48"/>
        <v>4359</v>
      </c>
      <c r="M92" s="12">
        <f t="shared" si="48"/>
        <v>5142</v>
      </c>
      <c r="N92" s="12">
        <f t="shared" si="48"/>
        <v>-9053</v>
      </c>
      <c r="O92" s="12">
        <f t="shared" si="48"/>
        <v>3918</v>
      </c>
      <c r="P92" s="12">
        <f t="shared" si="48"/>
        <v>5251</v>
      </c>
      <c r="Q92" s="12">
        <f t="shared" si="48"/>
        <v>3066</v>
      </c>
      <c r="R92" s="12">
        <f t="shared" si="48"/>
        <v>3704</v>
      </c>
      <c r="S92" s="12">
        <f t="shared" si="48"/>
        <v>7697</v>
      </c>
      <c r="U92" s="12">
        <f t="shared" ref="U92:AQ92" si="49">U77+SUM(U89:U91)</f>
        <v>15252.309745472763</v>
      </c>
      <c r="V92" s="12">
        <f t="shared" si="49"/>
        <v>4413.6443234377984</v>
      </c>
      <c r="W92" s="12">
        <f t="shared" si="49"/>
        <v>4280.5801689427017</v>
      </c>
      <c r="X92" s="12">
        <f t="shared" si="49"/>
        <v>5087.0387708207072</v>
      </c>
      <c r="Y92" s="12">
        <f t="shared" si="49"/>
        <v>5387.2096581924525</v>
      </c>
      <c r="Z92" s="12">
        <f t="shared" si="49"/>
        <v>4770.2669860491333</v>
      </c>
      <c r="AA92" s="12">
        <f t="shared" si="49"/>
        <v>4631.3422959778127</v>
      </c>
      <c r="AB92" s="12">
        <f t="shared" si="49"/>
        <v>5537.7714078624167</v>
      </c>
      <c r="AC92" s="12">
        <f t="shared" si="49"/>
        <v>5967.8449119537963</v>
      </c>
      <c r="AD92" s="12">
        <f t="shared" si="49"/>
        <v>5297.7599723776202</v>
      </c>
      <c r="AE92" s="12">
        <f t="shared" si="49"/>
        <v>5012.5994277703248</v>
      </c>
      <c r="AF92" s="12">
        <f t="shared" si="49"/>
        <v>6049.8089118703574</v>
      </c>
      <c r="AG92" s="12">
        <f t="shared" si="49"/>
        <v>6555.9507282032409</v>
      </c>
      <c r="AH92" s="12">
        <f t="shared" si="49"/>
        <v>5791.733539783283</v>
      </c>
      <c r="AI92" s="12">
        <f t="shared" si="49"/>
        <v>-336.33813146609918</v>
      </c>
      <c r="AJ92" s="12">
        <f t="shared" si="49"/>
        <v>4979.321594750797</v>
      </c>
      <c r="AK92" s="12">
        <f t="shared" si="49"/>
        <v>5296.3778355567783</v>
      </c>
      <c r="AL92" s="12">
        <f t="shared" si="49"/>
        <v>4901.2428164955436</v>
      </c>
      <c r="AM92" s="12">
        <f t="shared" si="49"/>
        <v>4597.9157984720532</v>
      </c>
      <c r="AN92" s="12">
        <f t="shared" si="49"/>
        <v>5444.0232038353342</v>
      </c>
      <c r="AO92" s="12">
        <f t="shared" si="49"/>
        <v>5725.4611496243188</v>
      </c>
      <c r="AP92" s="12">
        <f t="shared" si="49"/>
        <v>5227.2250176879852</v>
      </c>
      <c r="AQ92" s="12">
        <f t="shared" si="49"/>
        <v>5019.3948219563053</v>
      </c>
      <c r="AR92" s="12"/>
    </row>
    <row r="93" spans="2:44">
      <c r="B93" s="63"/>
      <c r="C93" s="65"/>
      <c r="D93" s="12"/>
      <c r="E93" s="12"/>
      <c r="F93" s="12"/>
      <c r="G93" s="12"/>
      <c r="H93" s="12"/>
      <c r="I93" s="12"/>
      <c r="J93" s="12"/>
      <c r="K93" s="12"/>
      <c r="L93" s="12"/>
      <c r="M93" s="12"/>
      <c r="N93" s="12"/>
      <c r="O93" s="12"/>
      <c r="P93" s="12"/>
      <c r="Q93" s="12"/>
      <c r="R93" s="12"/>
      <c r="S93" s="12"/>
    </row>
    <row r="94" spans="2:44">
      <c r="B94" s="63"/>
    </row>
    <row r="95" spans="2:44">
      <c r="B95" t="s">
        <v>169</v>
      </c>
      <c r="C95" s="47">
        <f t="shared" ref="C95:S95" si="50">C82/C81</f>
        <v>0.4490706319702602</v>
      </c>
      <c r="D95" s="47">
        <f t="shared" si="50"/>
        <v>0.17737296260786195</v>
      </c>
      <c r="E95" s="47">
        <f t="shared" si="50"/>
        <v>0.2652908067542214</v>
      </c>
      <c r="F95" s="47">
        <f t="shared" si="50"/>
        <v>0.31758832565284179</v>
      </c>
      <c r="G95" s="46">
        <f t="shared" si="50"/>
        <v>6.6840560808607757E-2</v>
      </c>
      <c r="H95" s="47">
        <f t="shared" si="50"/>
        <v>0.18870819269714637</v>
      </c>
      <c r="I95" s="47">
        <f t="shared" si="50"/>
        <v>0.18747337025990626</v>
      </c>
      <c r="J95" s="47">
        <f t="shared" si="50"/>
        <v>0.15293696275071633</v>
      </c>
      <c r="K95" s="47">
        <f t="shared" si="50"/>
        <v>0.16128191766545075</v>
      </c>
      <c r="L95" s="47">
        <f t="shared" si="50"/>
        <v>0.14464336459221369</v>
      </c>
      <c r="M95" s="47">
        <f t="shared" si="50"/>
        <v>0.14089848308051342</v>
      </c>
      <c r="N95" s="46">
        <f t="shared" si="50"/>
        <v>-4.9172102358253887E-2</v>
      </c>
      <c r="O95" s="47">
        <f t="shared" si="50"/>
        <v>7.9722703639514725E-2</v>
      </c>
      <c r="P95" s="47">
        <f t="shared" si="50"/>
        <v>0.29295282469423412</v>
      </c>
      <c r="Q95" s="47">
        <f t="shared" si="50"/>
        <v>0.13197873148499811</v>
      </c>
      <c r="R95" s="47">
        <f t="shared" si="50"/>
        <v>1.2023535431056536E-2</v>
      </c>
      <c r="S95" s="47">
        <f t="shared" si="50"/>
        <v>0.11396831927586916</v>
      </c>
      <c r="U95" s="50"/>
      <c r="V95" s="50"/>
      <c r="W95" s="50"/>
      <c r="X95" s="50"/>
      <c r="Y95" s="50"/>
      <c r="Z95" s="50"/>
      <c r="AA95" s="50"/>
      <c r="AB95" s="50"/>
      <c r="AC95" s="50"/>
      <c r="AD95" s="50"/>
      <c r="AE95" s="50"/>
      <c r="AF95" s="50"/>
      <c r="AG95" s="50"/>
      <c r="AH95" s="50"/>
      <c r="AI95" s="50"/>
      <c r="AJ95" s="50"/>
      <c r="AK95" s="50"/>
      <c r="AL95" s="50"/>
      <c r="AM95" s="50"/>
      <c r="AN95" s="50"/>
      <c r="AO95" s="50"/>
      <c r="AP95" s="50"/>
      <c r="AQ95" s="50"/>
    </row>
    <row r="96" spans="2:44" ht="17" outlineLevel="1">
      <c r="B96" s="63" t="s">
        <v>491</v>
      </c>
      <c r="C96" s="93"/>
      <c r="D96" s="93"/>
      <c r="E96" s="93"/>
      <c r="F96" s="93"/>
      <c r="G96" s="94"/>
      <c r="H96" s="93"/>
      <c r="I96" s="93"/>
      <c r="J96" s="93"/>
      <c r="K96" s="93"/>
      <c r="L96" s="93"/>
      <c r="M96" s="93"/>
      <c r="N96" s="94"/>
      <c r="O96" s="93"/>
      <c r="P96" s="93"/>
      <c r="Q96" s="93"/>
      <c r="R96" s="93"/>
      <c r="S96" s="93"/>
      <c r="U96" s="47">
        <v>0.22500000000000001</v>
      </c>
      <c r="V96" s="47">
        <v>0.22500000000000001</v>
      </c>
      <c r="W96" s="47">
        <v>0.22500000000000001</v>
      </c>
      <c r="X96" s="47">
        <v>0.22500000000000001</v>
      </c>
      <c r="Y96" s="47">
        <v>0.22500000000000001</v>
      </c>
      <c r="Z96" s="47">
        <v>0.22500000000000001</v>
      </c>
      <c r="AA96" s="47">
        <v>0.22500000000000001</v>
      </c>
      <c r="AB96" s="47">
        <v>0.22500000000000001</v>
      </c>
      <c r="AC96" s="47">
        <v>0.22500000000000001</v>
      </c>
      <c r="AD96" s="47">
        <v>0.22500000000000001</v>
      </c>
      <c r="AE96" s="47">
        <v>0.22500000000000001</v>
      </c>
      <c r="AF96" s="47">
        <v>0.22500000000000001</v>
      </c>
      <c r="AG96" s="47">
        <v>0.22500000000000001</v>
      </c>
      <c r="AH96" s="47">
        <v>0.22500000000000001</v>
      </c>
      <c r="AI96" s="47">
        <v>0.22500000000000001</v>
      </c>
      <c r="AJ96" s="47">
        <v>0.22500000000000001</v>
      </c>
      <c r="AK96" s="47">
        <v>0.22500000000000001</v>
      </c>
      <c r="AL96" s="47">
        <v>0.22500000000000001</v>
      </c>
      <c r="AM96" s="47">
        <v>0.22500000000000001</v>
      </c>
      <c r="AN96" s="47">
        <v>0.22500000000000001</v>
      </c>
      <c r="AO96" s="47">
        <v>0.22500000000000001</v>
      </c>
      <c r="AP96" s="47">
        <v>0.22500000000000001</v>
      </c>
      <c r="AQ96" s="47">
        <v>0.22500000000000001</v>
      </c>
    </row>
    <row r="97" spans="1:44 16384:16384">
      <c r="B97" t="s">
        <v>165</v>
      </c>
      <c r="C97" s="47">
        <f t="shared" ref="C97:S97" si="51">C72/C8</f>
        <v>0.68277373717246193</v>
      </c>
      <c r="D97" s="47">
        <f t="shared" si="51"/>
        <v>0.67348303870043003</v>
      </c>
      <c r="E97" s="47">
        <f t="shared" si="51"/>
        <v>0.66472114137483784</v>
      </c>
      <c r="F97" s="47">
        <f t="shared" si="51"/>
        <v>0.70094562647754133</v>
      </c>
      <c r="G97" s="47">
        <f t="shared" si="51"/>
        <v>0.71782544378698221</v>
      </c>
      <c r="H97" s="47">
        <f t="shared" si="51"/>
        <v>0.71079931972789112</v>
      </c>
      <c r="I97" s="47">
        <f t="shared" si="51"/>
        <v>0.67814793901750425</v>
      </c>
      <c r="J97" s="47">
        <f t="shared" si="51"/>
        <v>0.69084934277047527</v>
      </c>
      <c r="K97" s="47">
        <f t="shared" si="51"/>
        <v>0.72530480218959936</v>
      </c>
      <c r="L97" s="47">
        <f t="shared" si="51"/>
        <v>0.70943708609271527</v>
      </c>
      <c r="M97" s="47">
        <f t="shared" si="51"/>
        <v>0.72265158154728704</v>
      </c>
      <c r="N97" s="47">
        <f t="shared" si="51"/>
        <v>0.55793511267380536</v>
      </c>
      <c r="O97" s="47">
        <f t="shared" si="51"/>
        <v>0.69619205298013243</v>
      </c>
      <c r="P97" s="47">
        <f t="shared" si="51"/>
        <v>0.72776705841080513</v>
      </c>
      <c r="Q97" s="47">
        <f t="shared" si="51"/>
        <v>0.73772236582028283</v>
      </c>
      <c r="R97" s="47">
        <f t="shared" si="51"/>
        <v>0.7135566895939649</v>
      </c>
      <c r="S97" s="47">
        <f t="shared" si="51"/>
        <v>0.66165649959122064</v>
      </c>
      <c r="U97" s="47">
        <f t="shared" ref="U97:AQ97" si="52">U72/U8</f>
        <v>0.7</v>
      </c>
      <c r="V97" s="47">
        <f t="shared" si="52"/>
        <v>0.7</v>
      </c>
      <c r="W97" s="47">
        <f t="shared" si="52"/>
        <v>0.7</v>
      </c>
      <c r="X97" s="47">
        <f t="shared" si="52"/>
        <v>0.70000000000000007</v>
      </c>
      <c r="Y97" s="47">
        <f t="shared" si="52"/>
        <v>0.7</v>
      </c>
      <c r="Z97" s="47">
        <f t="shared" si="52"/>
        <v>0.70000000000000007</v>
      </c>
      <c r="AA97" s="47">
        <f t="shared" si="52"/>
        <v>0.7</v>
      </c>
      <c r="AB97" s="47">
        <f t="shared" si="52"/>
        <v>0.70000000000000007</v>
      </c>
      <c r="AC97" s="47">
        <f t="shared" si="52"/>
        <v>0.7</v>
      </c>
      <c r="AD97" s="47">
        <f t="shared" si="52"/>
        <v>0.70000000000000007</v>
      </c>
      <c r="AE97" s="47">
        <f t="shared" si="52"/>
        <v>0.7</v>
      </c>
      <c r="AF97" s="47">
        <f t="shared" si="52"/>
        <v>0.70000000000000007</v>
      </c>
      <c r="AG97" s="47">
        <f t="shared" si="52"/>
        <v>0.70000000000000007</v>
      </c>
      <c r="AH97" s="47">
        <f t="shared" si="52"/>
        <v>0.70000000000000007</v>
      </c>
      <c r="AI97" s="47">
        <f t="shared" si="52"/>
        <v>0.7</v>
      </c>
      <c r="AJ97" s="47">
        <f t="shared" si="52"/>
        <v>0.7</v>
      </c>
      <c r="AK97" s="47">
        <f t="shared" si="52"/>
        <v>0.7</v>
      </c>
      <c r="AL97" s="47">
        <f t="shared" si="52"/>
        <v>0.7</v>
      </c>
      <c r="AM97" s="47">
        <f t="shared" si="52"/>
        <v>0.7</v>
      </c>
      <c r="AN97" s="47">
        <f t="shared" si="52"/>
        <v>0.7</v>
      </c>
      <c r="AO97" s="47">
        <f t="shared" si="52"/>
        <v>0.7</v>
      </c>
      <c r="AP97" s="47">
        <f t="shared" si="52"/>
        <v>0.70000000000000007</v>
      </c>
      <c r="AQ97" s="47">
        <f t="shared" si="52"/>
        <v>0.7</v>
      </c>
      <c r="AR97" s="47"/>
    </row>
    <row r="98" spans="1:44 16384:16384">
      <c r="B98" t="s">
        <v>224</v>
      </c>
      <c r="C98" s="50"/>
      <c r="D98" s="46">
        <f t="shared" ref="D98:S98" si="53">(D8-C8)/C8</f>
        <v>4.2642223772043436E-2</v>
      </c>
      <c r="E98" s="46">
        <f t="shared" si="53"/>
        <v>3.1438127090301006E-2</v>
      </c>
      <c r="F98" s="46">
        <f t="shared" si="53"/>
        <v>1.8899388549193995E-2</v>
      </c>
      <c r="G98" s="46">
        <f t="shared" si="53"/>
        <v>-1.6548463356973995E-2</v>
      </c>
      <c r="H98" s="46">
        <f t="shared" si="53"/>
        <v>8.7278106508875741E-2</v>
      </c>
      <c r="I98" s="46">
        <f t="shared" si="53"/>
        <v>5.4166666666666669E-2</v>
      </c>
      <c r="J98" s="46">
        <f t="shared" si="53"/>
        <v>-4.267161410018553E-2</v>
      </c>
      <c r="K98" s="46">
        <f t="shared" si="53"/>
        <v>1.5925176946410515E-2</v>
      </c>
      <c r="L98" s="46">
        <f t="shared" si="53"/>
        <v>-9.8283155013684995E-2</v>
      </c>
      <c r="M98" s="46">
        <f t="shared" si="53"/>
        <v>0.15443340691685062</v>
      </c>
      <c r="N98" s="46">
        <f t="shared" si="53"/>
        <v>-2.9479722731256472E-3</v>
      </c>
      <c r="O98" s="46">
        <f t="shared" si="53"/>
        <v>-3.4681157104043472E-2</v>
      </c>
      <c r="P98" s="46">
        <f t="shared" si="53"/>
        <v>-5.6125827814569533E-2</v>
      </c>
      <c r="Q98" s="46">
        <f t="shared" si="53"/>
        <v>0.15365725311348885</v>
      </c>
      <c r="R98" s="46">
        <f t="shared" si="53"/>
        <v>2.7900258476509048E-2</v>
      </c>
      <c r="S98" s="47">
        <f t="shared" si="53"/>
        <v>0.17602248354411656</v>
      </c>
      <c r="T98" s="47"/>
      <c r="U98" s="47">
        <f>(U8-S8)/S8</f>
        <v>2.2499999999999944E-2</v>
      </c>
      <c r="V98" s="47">
        <f t="shared" ref="V98:AQ98" si="54">(V8-U8)/U8</f>
        <v>2.2500000000000003E-2</v>
      </c>
      <c r="W98" s="47">
        <f t="shared" si="54"/>
        <v>2.2499999999999878E-2</v>
      </c>
      <c r="X98" s="47">
        <f t="shared" si="54"/>
        <v>2.2499999999999958E-2</v>
      </c>
      <c r="Y98" s="47">
        <f t="shared" si="54"/>
        <v>2.2499999999999958E-2</v>
      </c>
      <c r="Z98" s="47">
        <f t="shared" si="54"/>
        <v>2.2499999999999895E-2</v>
      </c>
      <c r="AA98" s="47">
        <f t="shared" si="54"/>
        <v>2.2499999999999975E-2</v>
      </c>
      <c r="AB98" s="47">
        <f t="shared" si="54"/>
        <v>2.249999999999993E-2</v>
      </c>
      <c r="AC98" s="47">
        <f t="shared" si="54"/>
        <v>2.2499999999999916E-2</v>
      </c>
      <c r="AD98" s="47">
        <f t="shared" si="54"/>
        <v>2.2500000000000055E-2</v>
      </c>
      <c r="AE98" s="47">
        <f t="shared" si="54"/>
        <v>2.2499999999999968E-2</v>
      </c>
      <c r="AF98" s="47">
        <f t="shared" si="54"/>
        <v>2.2499999999999905E-2</v>
      </c>
      <c r="AG98" s="47">
        <f t="shared" si="54"/>
        <v>2.2499999999999975E-2</v>
      </c>
      <c r="AH98" s="47">
        <f t="shared" si="54"/>
        <v>2.2499999999999926E-2</v>
      </c>
      <c r="AI98" s="47">
        <f t="shared" si="54"/>
        <v>-0.23431386517983352</v>
      </c>
      <c r="AJ98" s="47">
        <f t="shared" si="54"/>
        <v>2.2499999999999999E-2</v>
      </c>
      <c r="AK98" s="47">
        <f t="shared" si="54"/>
        <v>2.2499999999999916E-2</v>
      </c>
      <c r="AL98" s="47">
        <f t="shared" si="54"/>
        <v>2.2499999999999881E-2</v>
      </c>
      <c r="AM98" s="47">
        <f t="shared" si="54"/>
        <v>2.2499999999999926E-2</v>
      </c>
      <c r="AN98" s="47">
        <f t="shared" si="54"/>
        <v>2.2500000000000037E-2</v>
      </c>
      <c r="AO98" s="47">
        <f t="shared" si="54"/>
        <v>2.2500000000000023E-2</v>
      </c>
      <c r="AP98" s="47">
        <f t="shared" si="54"/>
        <v>2.2500000000000041E-2</v>
      </c>
      <c r="AQ98" s="47">
        <f t="shared" si="54"/>
        <v>2.249999999999994E-2</v>
      </c>
    </row>
    <row r="99" spans="1:44 16384:16384">
      <c r="B99" t="s">
        <v>172</v>
      </c>
      <c r="C99" s="46">
        <f t="shared" ref="C99:S99" si="55">C83/C8</f>
        <v>7.3826840689449044E-2</v>
      </c>
      <c r="D99" s="46">
        <f t="shared" si="55"/>
        <v>0.1639751552795031</v>
      </c>
      <c r="E99" s="46">
        <f t="shared" si="55"/>
        <v>0.1813970724476561</v>
      </c>
      <c r="F99" s="46">
        <f t="shared" si="55"/>
        <v>0.16157483178759774</v>
      </c>
      <c r="G99" s="46">
        <f t="shared" si="55"/>
        <v>0.26460798816568049</v>
      </c>
      <c r="H99" s="46">
        <f t="shared" si="55"/>
        <v>0.22482993197278911</v>
      </c>
      <c r="I99" s="46">
        <f t="shared" si="55"/>
        <v>0.15382753892070664</v>
      </c>
      <c r="J99" s="46">
        <f t="shared" si="55"/>
        <v>0.19927536231884058</v>
      </c>
      <c r="K99" s="46">
        <f t="shared" si="55"/>
        <v>0.26698183627768102</v>
      </c>
      <c r="L99" s="46">
        <f t="shared" si="55"/>
        <v>0.27685798381162618</v>
      </c>
      <c r="M99" s="46">
        <f t="shared" si="55"/>
        <v>0.2346426579555414</v>
      </c>
      <c r="N99" s="46">
        <f t="shared" si="55"/>
        <v>-0.16709285600127857</v>
      </c>
      <c r="O99" s="46">
        <f t="shared" si="55"/>
        <v>0.26374172185430461</v>
      </c>
      <c r="P99" s="46">
        <f t="shared" si="55"/>
        <v>0.10647254867567094</v>
      </c>
      <c r="Q99" s="46">
        <f t="shared" si="55"/>
        <v>0.34749885966246008</v>
      </c>
      <c r="R99" s="46">
        <f t="shared" si="55"/>
        <v>0.28562976111234378</v>
      </c>
      <c r="S99" s="47">
        <f t="shared" si="55"/>
        <v>0.27086346770643355</v>
      </c>
      <c r="T99" s="46"/>
      <c r="U99" s="47">
        <f t="shared" ref="U99:AQ99" si="56">U83/U8</f>
        <v>0.16371393627444703</v>
      </c>
      <c r="V99" s="47">
        <f t="shared" si="56"/>
        <v>0.14801223803783933</v>
      </c>
      <c r="W99" s="47">
        <f t="shared" si="56"/>
        <v>0.13648664368583496</v>
      </c>
      <c r="X99" s="47">
        <f t="shared" si="56"/>
        <v>0.13253213340269643</v>
      </c>
      <c r="Y99" s="47">
        <f t="shared" si="56"/>
        <v>0.16659936340006401</v>
      </c>
      <c r="Z99" s="47">
        <f t="shared" si="56"/>
        <v>0.1652491664441634</v>
      </c>
      <c r="AA99" s="47">
        <f t="shared" si="56"/>
        <v>0.16906709439765782</v>
      </c>
      <c r="AB99" s="47">
        <f t="shared" si="56"/>
        <v>0.16769236929861836</v>
      </c>
      <c r="AC99" s="47">
        <f t="shared" si="56"/>
        <v>0.16622602926451885</v>
      </c>
      <c r="AD99" s="47">
        <f t="shared" si="56"/>
        <v>0.17062381320889675</v>
      </c>
      <c r="AE99" s="47">
        <f t="shared" si="56"/>
        <v>0.16980017755400417</v>
      </c>
      <c r="AF99" s="47">
        <f t="shared" si="56"/>
        <v>0.16869281140169626</v>
      </c>
      <c r="AG99" s="47">
        <f t="shared" si="56"/>
        <v>0.17345712665183546</v>
      </c>
      <c r="AH99" s="47">
        <f t="shared" si="56"/>
        <v>0.17269428452965563</v>
      </c>
      <c r="AI99" s="47">
        <f t="shared" si="56"/>
        <v>0.16162516350072981</v>
      </c>
      <c r="AJ99" s="47">
        <f t="shared" si="56"/>
        <v>0.16097056026208173</v>
      </c>
      <c r="AK99" s="47">
        <f t="shared" si="56"/>
        <v>0.16026180097681936</v>
      </c>
      <c r="AL99" s="47">
        <f t="shared" si="56"/>
        <v>0.15973683974680125</v>
      </c>
      <c r="AM99" s="47">
        <f t="shared" si="56"/>
        <v>0.15935572229903253</v>
      </c>
      <c r="AN99" s="47">
        <f t="shared" si="56"/>
        <v>0.15875067941392385</v>
      </c>
      <c r="AO99" s="47">
        <f t="shared" si="56"/>
        <v>0.15811032371892189</v>
      </c>
      <c r="AP99" s="47">
        <f t="shared" si="56"/>
        <v>0.15767167352624872</v>
      </c>
      <c r="AQ99" s="47">
        <f t="shared" si="56"/>
        <v>0.1573379048194733</v>
      </c>
    </row>
    <row r="100" spans="1:44 16384:16384">
      <c r="C100" s="46"/>
      <c r="D100" s="46"/>
      <c r="E100" s="46"/>
      <c r="F100" s="46"/>
      <c r="G100" s="46"/>
      <c r="H100" s="46"/>
      <c r="I100" s="46"/>
      <c r="J100" s="46"/>
      <c r="K100" s="46"/>
      <c r="L100" s="46"/>
      <c r="M100" s="46"/>
      <c r="N100" s="46"/>
      <c r="O100" s="46"/>
      <c r="P100" s="46"/>
      <c r="Q100" s="46"/>
      <c r="R100" s="46"/>
      <c r="S100" s="46"/>
      <c r="T100" s="46"/>
    </row>
    <row r="101" spans="1:44 16384:16384">
      <c r="C101" s="46"/>
      <c r="D101" s="46"/>
      <c r="E101" s="46"/>
      <c r="F101" s="46"/>
      <c r="G101" s="46"/>
      <c r="H101" s="46"/>
      <c r="I101" s="46"/>
      <c r="J101" s="46"/>
      <c r="K101" s="46"/>
      <c r="L101" s="46"/>
      <c r="M101" s="46"/>
      <c r="N101" s="46"/>
      <c r="O101" s="46"/>
      <c r="P101" s="46"/>
      <c r="Q101" s="46"/>
      <c r="R101" s="46"/>
      <c r="S101" s="46"/>
      <c r="T101" s="46"/>
    </row>
    <row r="102" spans="1:44 16384:16384">
      <c r="B102" t="s">
        <v>179</v>
      </c>
      <c r="C102" s="47">
        <f t="shared" ref="C102:S102" si="57">C71/C8</f>
        <v>0.31722626282753813</v>
      </c>
      <c r="D102" s="47">
        <f t="shared" si="57"/>
        <v>0.32651696129956997</v>
      </c>
      <c r="E102" s="47">
        <f t="shared" si="57"/>
        <v>0.3352788586251621</v>
      </c>
      <c r="F102" s="47">
        <f t="shared" si="57"/>
        <v>0.29905437352245862</v>
      </c>
      <c r="G102" s="47">
        <f t="shared" si="57"/>
        <v>0.28217455621301774</v>
      </c>
      <c r="H102" s="47">
        <f t="shared" si="57"/>
        <v>0.28920068027210882</v>
      </c>
      <c r="I102" s="47">
        <f t="shared" si="57"/>
        <v>0.32185206098249575</v>
      </c>
      <c r="J102" s="47">
        <f t="shared" si="57"/>
        <v>0.30915065722952478</v>
      </c>
      <c r="K102" s="47">
        <f t="shared" si="57"/>
        <v>0.27469519781040058</v>
      </c>
      <c r="L102" s="47">
        <f t="shared" si="57"/>
        <v>0.29056291390728478</v>
      </c>
      <c r="M102" s="47">
        <f t="shared" si="57"/>
        <v>0.27734841845271291</v>
      </c>
      <c r="N102" s="47">
        <f t="shared" si="57"/>
        <v>0.44206488732619464</v>
      </c>
      <c r="O102" s="47">
        <f t="shared" si="57"/>
        <v>0.30380794701986757</v>
      </c>
      <c r="P102" s="47">
        <f t="shared" si="57"/>
        <v>0.27223294158919487</v>
      </c>
      <c r="Q102" s="47">
        <f t="shared" si="57"/>
        <v>0.26227763417971722</v>
      </c>
      <c r="R102" s="47">
        <f t="shared" si="57"/>
        <v>0.28644331040603505</v>
      </c>
      <c r="S102" s="47">
        <f t="shared" si="57"/>
        <v>0.33834350040877931</v>
      </c>
      <c r="U102" s="46">
        <v>0.3</v>
      </c>
      <c r="V102" s="46">
        <v>0.3</v>
      </c>
      <c r="W102" s="46">
        <v>0.3</v>
      </c>
      <c r="X102" s="46">
        <v>0.3</v>
      </c>
      <c r="Y102" s="46">
        <v>0.3</v>
      </c>
      <c r="Z102" s="46">
        <v>0.3</v>
      </c>
      <c r="AA102" s="46">
        <v>0.3</v>
      </c>
      <c r="AB102" s="46">
        <v>0.3</v>
      </c>
      <c r="AC102" s="46">
        <v>0.3</v>
      </c>
      <c r="AD102" s="46">
        <v>0.3</v>
      </c>
      <c r="AE102" s="46">
        <v>0.3</v>
      </c>
      <c r="AF102" s="46">
        <v>0.3</v>
      </c>
      <c r="AG102" s="46">
        <v>0.3</v>
      </c>
      <c r="AH102" s="46">
        <v>0.3</v>
      </c>
      <c r="AI102" s="46">
        <v>0.3</v>
      </c>
      <c r="AJ102" s="46">
        <v>0.3</v>
      </c>
      <c r="AK102" s="46">
        <v>0.3</v>
      </c>
      <c r="AL102" s="46">
        <v>0.3</v>
      </c>
      <c r="AM102" s="46">
        <v>0.3</v>
      </c>
      <c r="AN102" s="46">
        <v>0.3</v>
      </c>
      <c r="AO102" s="46">
        <v>0.3</v>
      </c>
      <c r="AP102" s="46">
        <v>0.3</v>
      </c>
      <c r="AQ102" s="46">
        <v>0.3</v>
      </c>
    </row>
    <row r="103" spans="1:44 16384:16384">
      <c r="B103" t="s">
        <v>181</v>
      </c>
      <c r="C103" s="47">
        <f t="shared" ref="C103:S103" si="58">C73/C8</f>
        <v>0.24987546079505829</v>
      </c>
      <c r="D103" s="47">
        <f t="shared" si="58"/>
        <v>0.23965599617773531</v>
      </c>
      <c r="E103" s="47">
        <f t="shared" si="58"/>
        <v>0.22632944228274968</v>
      </c>
      <c r="F103" s="47">
        <f t="shared" si="58"/>
        <v>0.240316421167485</v>
      </c>
      <c r="G103" s="47">
        <f t="shared" si="58"/>
        <v>0.22420488165680474</v>
      </c>
      <c r="H103" s="47">
        <f t="shared" si="58"/>
        <v>0.23061224489795917</v>
      </c>
      <c r="I103" s="47">
        <f t="shared" si="58"/>
        <v>0.2088408485924014</v>
      </c>
      <c r="J103" s="47">
        <f t="shared" si="58"/>
        <v>0.24334344455679138</v>
      </c>
      <c r="K103" s="47">
        <f t="shared" si="58"/>
        <v>0.21191009372148958</v>
      </c>
      <c r="L103" s="47">
        <f t="shared" si="58"/>
        <v>0.2187270051508462</v>
      </c>
      <c r="M103" s="47">
        <f t="shared" si="58"/>
        <v>0.19520356943669828</v>
      </c>
      <c r="N103" s="47">
        <f t="shared" si="58"/>
        <v>0.24660380373981142</v>
      </c>
      <c r="O103" s="47">
        <f t="shared" si="58"/>
        <v>0.21796357615894041</v>
      </c>
      <c r="P103" s="47">
        <f t="shared" si="58"/>
        <v>0.20005262234695667</v>
      </c>
      <c r="Q103" s="47">
        <f t="shared" si="58"/>
        <v>0.17758856621559982</v>
      </c>
      <c r="R103" s="47">
        <f t="shared" si="58"/>
        <v>0.20930404555876045</v>
      </c>
      <c r="S103" s="47">
        <f t="shared" si="58"/>
        <v>0.14609144078988742</v>
      </c>
      <c r="U103" s="46">
        <v>0.2</v>
      </c>
      <c r="V103" s="46">
        <v>0.2</v>
      </c>
      <c r="W103" s="46">
        <v>0.2</v>
      </c>
      <c r="X103" s="46">
        <v>0.2</v>
      </c>
      <c r="Y103" s="46">
        <v>0.2</v>
      </c>
      <c r="Z103" s="46">
        <v>0.2</v>
      </c>
      <c r="AA103" s="46">
        <v>0.2</v>
      </c>
      <c r="AB103" s="46">
        <v>0.2</v>
      </c>
      <c r="AC103" s="46">
        <v>0.2</v>
      </c>
      <c r="AD103" s="46">
        <v>0.2</v>
      </c>
      <c r="AE103" s="46">
        <v>0.2</v>
      </c>
      <c r="AF103" s="46">
        <v>0.2</v>
      </c>
      <c r="AG103" s="46">
        <v>0.2</v>
      </c>
      <c r="AH103" s="46">
        <v>0.2</v>
      </c>
      <c r="AI103" s="46">
        <v>0.2</v>
      </c>
      <c r="AJ103" s="46">
        <v>0.2</v>
      </c>
      <c r="AK103" s="46">
        <v>0.2</v>
      </c>
      <c r="AL103" s="46">
        <v>0.2</v>
      </c>
      <c r="AM103" s="46">
        <v>0.2</v>
      </c>
      <c r="AN103" s="46">
        <v>0.2</v>
      </c>
      <c r="AO103" s="46">
        <v>0.2</v>
      </c>
      <c r="AP103" s="46">
        <v>0.2</v>
      </c>
      <c r="AQ103" s="46">
        <v>0.2</v>
      </c>
      <c r="XFD103" s="46"/>
    </row>
    <row r="104" spans="1:44 16384:16384" s="47" customFormat="1">
      <c r="A104"/>
      <c r="B104" t="s">
        <v>180</v>
      </c>
      <c r="C104" s="47">
        <f t="shared" ref="C104:S104" si="59">C74/C8</f>
        <v>0.31842183919497857</v>
      </c>
      <c r="D104" s="47">
        <f t="shared" si="59"/>
        <v>0.21729574773053034</v>
      </c>
      <c r="E104" s="47">
        <f t="shared" si="59"/>
        <v>0.19158791921437837</v>
      </c>
      <c r="F104" s="47">
        <f t="shared" si="59"/>
        <v>0.20130932896890344</v>
      </c>
      <c r="G104" s="47">
        <f t="shared" si="59"/>
        <v>0.17853180473372782</v>
      </c>
      <c r="H104" s="47">
        <f t="shared" si="59"/>
        <v>0.18613945578231292</v>
      </c>
      <c r="I104" s="47">
        <f t="shared" si="59"/>
        <v>0.25844962490925222</v>
      </c>
      <c r="J104" s="47">
        <f t="shared" si="59"/>
        <v>0.21469497809234916</v>
      </c>
      <c r="K104" s="47">
        <f t="shared" si="59"/>
        <v>0.18321307124491995</v>
      </c>
      <c r="L104" s="47">
        <f t="shared" si="59"/>
        <v>0.19527225901398088</v>
      </c>
      <c r="M104" s="47">
        <f t="shared" si="59"/>
        <v>0.27009800015934987</v>
      </c>
      <c r="N104" s="47">
        <f t="shared" si="59"/>
        <v>0.46651750039955248</v>
      </c>
      <c r="O104" s="47">
        <f t="shared" si="59"/>
        <v>0.20405629139072848</v>
      </c>
      <c r="P104" s="47">
        <f t="shared" si="59"/>
        <v>0.37896860199964916</v>
      </c>
      <c r="Q104" s="47">
        <f t="shared" si="59"/>
        <v>0.18587501900562567</v>
      </c>
      <c r="R104" s="47">
        <f t="shared" si="59"/>
        <v>0.2269062939131721</v>
      </c>
      <c r="S104" s="47">
        <f t="shared" si="59"/>
        <v>0.16200238978680587</v>
      </c>
      <c r="U104" s="47">
        <v>0.22</v>
      </c>
      <c r="V104" s="47">
        <v>0.22</v>
      </c>
      <c r="W104" s="47">
        <v>0.22</v>
      </c>
      <c r="X104" s="47">
        <v>0.22</v>
      </c>
      <c r="Y104" s="47">
        <v>0.22</v>
      </c>
      <c r="Z104" s="47">
        <v>0.22</v>
      </c>
      <c r="AA104" s="47">
        <v>0.22</v>
      </c>
      <c r="AB104" s="47">
        <v>0.22</v>
      </c>
      <c r="AC104" s="47">
        <v>0.22</v>
      </c>
      <c r="AD104" s="47">
        <v>0.22</v>
      </c>
      <c r="AE104" s="47">
        <v>0.22</v>
      </c>
      <c r="AF104" s="47">
        <v>0.22</v>
      </c>
      <c r="AG104" s="47">
        <v>0.22</v>
      </c>
      <c r="AH104" s="47">
        <v>0.22</v>
      </c>
      <c r="AI104" s="47">
        <v>0.22</v>
      </c>
      <c r="AJ104" s="47">
        <v>0.22</v>
      </c>
      <c r="AK104" s="47">
        <v>0.22</v>
      </c>
      <c r="AL104" s="47">
        <v>0.22</v>
      </c>
      <c r="AM104" s="47">
        <v>0.22</v>
      </c>
      <c r="AN104" s="47">
        <v>0.22</v>
      </c>
      <c r="AO104" s="47">
        <v>0.22</v>
      </c>
      <c r="AP104" s="47">
        <v>0.22</v>
      </c>
      <c r="AQ104" s="47">
        <v>0.22</v>
      </c>
    </row>
    <row r="105" spans="1:44 16384:16384" s="47" customFormat="1">
      <c r="A105"/>
      <c r="B105" t="s">
        <v>485</v>
      </c>
      <c r="C105" s="91">
        <f t="shared" ref="C105:S105" si="60">C75/C8</f>
        <v>9.4649795755703901E-3</v>
      </c>
      <c r="D105" s="91">
        <f t="shared" si="60"/>
        <v>2.1786908743430481E-2</v>
      </c>
      <c r="E105" s="91">
        <f t="shared" si="60"/>
        <v>1.584213451917732E-2</v>
      </c>
      <c r="F105" s="91">
        <f t="shared" si="60"/>
        <v>1.2547735951991271E-2</v>
      </c>
      <c r="G105" s="91">
        <f t="shared" si="60"/>
        <v>1.4145710059171597E-2</v>
      </c>
      <c r="H105" s="91">
        <f t="shared" si="60"/>
        <v>5.0170068027210885E-3</v>
      </c>
      <c r="I105" s="91">
        <f t="shared" si="60"/>
        <v>1.8714205049608777E-2</v>
      </c>
      <c r="J105" s="91">
        <f t="shared" si="60"/>
        <v>1.6346477923828782E-2</v>
      </c>
      <c r="K105" s="91">
        <f t="shared" si="60"/>
        <v>5.9716347350087084E-3</v>
      </c>
      <c r="L105" s="91">
        <f t="shared" si="60"/>
        <v>7.6342899190581306E-3</v>
      </c>
      <c r="M105" s="91">
        <f t="shared" si="60"/>
        <v>9.0829415982790224E-3</v>
      </c>
      <c r="N105" s="91">
        <f t="shared" si="60"/>
        <v>2.4692344574077034E-2</v>
      </c>
      <c r="O105" s="91">
        <f t="shared" si="60"/>
        <v>2.4668874172185429E-2</v>
      </c>
      <c r="P105" s="91">
        <f t="shared" si="60"/>
        <v>7.1917207507454835E-3</v>
      </c>
      <c r="Q105" s="91">
        <f t="shared" si="60"/>
        <v>8.1344077847042718E-3</v>
      </c>
      <c r="R105" s="91">
        <f t="shared" si="60"/>
        <v>1.2868870645662302E-2</v>
      </c>
      <c r="S105" s="91">
        <f t="shared" si="60"/>
        <v>3.3331237029117665E-3</v>
      </c>
      <c r="U105" s="46">
        <v>1E-4</v>
      </c>
      <c r="V105" s="46">
        <v>1E-4</v>
      </c>
      <c r="W105" s="46">
        <v>1E-4</v>
      </c>
      <c r="X105" s="46">
        <v>1E-4</v>
      </c>
      <c r="Y105" s="46">
        <v>1E-4</v>
      </c>
      <c r="Z105" s="46">
        <v>1E-4</v>
      </c>
      <c r="AA105" s="46">
        <v>1E-4</v>
      </c>
      <c r="AB105" s="46">
        <v>1E-4</v>
      </c>
      <c r="AC105" s="46">
        <v>1E-4</v>
      </c>
      <c r="AD105" s="46">
        <v>1E-4</v>
      </c>
      <c r="AE105" s="46">
        <v>1E-4</v>
      </c>
      <c r="AF105" s="46">
        <v>1E-4</v>
      </c>
      <c r="AG105" s="46">
        <v>1E-4</v>
      </c>
      <c r="AH105" s="46">
        <v>1E-4</v>
      </c>
      <c r="AI105" s="46">
        <v>1E-4</v>
      </c>
      <c r="AJ105" s="46">
        <v>1E-4</v>
      </c>
      <c r="AK105" s="46">
        <v>1E-4</v>
      </c>
      <c r="AL105" s="46">
        <v>1E-4</v>
      </c>
      <c r="AM105" s="46">
        <v>1E-4</v>
      </c>
      <c r="AN105" s="46">
        <v>1E-4</v>
      </c>
      <c r="AO105" s="46">
        <v>1E-4</v>
      </c>
      <c r="AP105" s="46">
        <v>1E-4</v>
      </c>
      <c r="AQ105" s="46">
        <v>1E-4</v>
      </c>
    </row>
    <row r="106" spans="1:44 16384:16384">
      <c r="B106" t="s">
        <v>182</v>
      </c>
      <c r="C106" s="46">
        <f t="shared" ref="C106:S106" si="61">C80/C8</f>
        <v>-2.8992726910431404E-2</v>
      </c>
      <c r="D106" s="46">
        <f t="shared" si="61"/>
        <v>-4.5867176301958908E-3</v>
      </c>
      <c r="E106" s="46">
        <f t="shared" si="61"/>
        <v>-1.5934778580692976E-2</v>
      </c>
      <c r="F106" s="46">
        <f t="shared" si="61"/>
        <v>1.000181851245681E-2</v>
      </c>
      <c r="G106" s="46">
        <f t="shared" si="61"/>
        <v>1.7381656804733726E-2</v>
      </c>
      <c r="H106" s="46">
        <f t="shared" si="61"/>
        <v>1.1904761904761904E-2</v>
      </c>
      <c r="I106" s="46">
        <f t="shared" si="61"/>
        <v>2.82326369282891E-3</v>
      </c>
      <c r="J106" s="46">
        <f t="shared" si="61"/>
        <v>-1.8790023592854737E-2</v>
      </c>
      <c r="K106" s="46">
        <f t="shared" si="61"/>
        <v>5.8886953636891433E-3</v>
      </c>
      <c r="L106" s="46">
        <f t="shared" si="61"/>
        <v>-3.5871964679911703E-2</v>
      </c>
      <c r="M106" s="46">
        <f t="shared" si="61"/>
        <v>-2.4858577005816271E-2</v>
      </c>
      <c r="N106" s="46">
        <f t="shared" si="61"/>
        <v>-2.0616909061850729E-2</v>
      </c>
      <c r="O106" s="46">
        <f t="shared" si="61"/>
        <v>-3.7086092715231792E-2</v>
      </c>
      <c r="P106" s="46">
        <f t="shared" si="61"/>
        <v>-9.033502894229082E-3</v>
      </c>
      <c r="Q106" s="46">
        <f t="shared" si="61"/>
        <v>-3.4210126197354418E-2</v>
      </c>
      <c r="R106" s="46">
        <f t="shared" si="61"/>
        <v>-2.4628355890836475E-2</v>
      </c>
      <c r="S106" s="46">
        <f t="shared" si="61"/>
        <v>4.4525501540783601E-2</v>
      </c>
      <c r="U106" s="46">
        <f t="shared" ref="U106:AQ106" si="62">U80/U8</f>
        <v>5.8756211258777974E-2</v>
      </c>
      <c r="V106" s="46">
        <f t="shared" si="62"/>
        <v>7.9016467047949276E-2</v>
      </c>
      <c r="W106" s="46">
        <f t="shared" si="62"/>
        <v>9.3888201695696755E-2</v>
      </c>
      <c r="X106" s="46">
        <f t="shared" si="62"/>
        <v>9.8990795609424018E-2</v>
      </c>
      <c r="Y106" s="46">
        <f t="shared" si="62"/>
        <v>5.5033079483788355E-2</v>
      </c>
      <c r="Z106" s="46">
        <f t="shared" si="62"/>
        <v>5.6775269104305401E-2</v>
      </c>
      <c r="AA106" s="46">
        <f t="shared" si="62"/>
        <v>5.1848910454635119E-2</v>
      </c>
      <c r="AB106" s="46">
        <f t="shared" si="62"/>
        <v>5.3622749292105427E-2</v>
      </c>
      <c r="AC106" s="46">
        <f t="shared" si="62"/>
        <v>5.5514800949007952E-2</v>
      </c>
      <c r="AD106" s="46">
        <f t="shared" si="62"/>
        <v>4.9840241020778484E-2</v>
      </c>
      <c r="AE106" s="46">
        <f t="shared" si="62"/>
        <v>5.0902996704510678E-2</v>
      </c>
      <c r="AF106" s="46">
        <f t="shared" si="62"/>
        <v>5.2331856255875851E-2</v>
      </c>
      <c r="AG106" s="46">
        <f t="shared" si="62"/>
        <v>4.6184352707309036E-2</v>
      </c>
      <c r="AH106" s="46">
        <f t="shared" si="62"/>
        <v>4.7168665123025019E-2</v>
      </c>
      <c r="AI106" s="46">
        <f t="shared" si="62"/>
        <v>6.1451401934542182E-2</v>
      </c>
      <c r="AJ106" s="46">
        <f t="shared" si="62"/>
        <v>6.2296051274733227E-2</v>
      </c>
      <c r="AK106" s="46">
        <f t="shared" si="62"/>
        <v>6.3210579384749194E-2</v>
      </c>
      <c r="AL106" s="46">
        <f t="shared" si="62"/>
        <v>6.3887948713804904E-2</v>
      </c>
      <c r="AM106" s="46">
        <f t="shared" si="62"/>
        <v>6.4379713162538682E-2</v>
      </c>
      <c r="AN106" s="46">
        <f t="shared" si="62"/>
        <v>6.516041365945309E-2</v>
      </c>
      <c r="AO106" s="46">
        <f t="shared" si="62"/>
        <v>6.5986679072358875E-2</v>
      </c>
      <c r="AP106" s="46">
        <f t="shared" si="62"/>
        <v>6.6552679320969435E-2</v>
      </c>
      <c r="AQ106" s="46">
        <f t="shared" si="62"/>
        <v>6.6983348620034522E-2</v>
      </c>
    </row>
    <row r="107" spans="1:44 16384:16384">
      <c r="C107" s="46"/>
      <c r="D107" s="46"/>
      <c r="E107" s="46"/>
      <c r="F107" s="46"/>
      <c r="G107" s="46"/>
      <c r="H107" s="46"/>
      <c r="I107" s="46"/>
      <c r="J107" s="46"/>
      <c r="K107" s="46"/>
      <c r="L107" s="46"/>
      <c r="M107" s="46"/>
      <c r="N107" s="46"/>
      <c r="O107" s="46"/>
      <c r="P107" s="46"/>
      <c r="Q107" s="46"/>
      <c r="R107" s="46"/>
      <c r="S107" s="46"/>
    </row>
    <row r="109" spans="1:44 16384:16384">
      <c r="B109" t="s">
        <v>160</v>
      </c>
      <c r="C109" s="12" cm="1">
        <f t="array" ref="C109:S109">'CF Statement'!C24:S24</f>
        <v>-450</v>
      </c>
      <c r="D109" s="12">
        <v>-1033</v>
      </c>
      <c r="E109" s="12">
        <v>-1686</v>
      </c>
      <c r="F109" s="12">
        <v>-2615</v>
      </c>
      <c r="G109" s="12">
        <v>-595</v>
      </c>
      <c r="H109" s="12">
        <v>-1377</v>
      </c>
      <c r="I109" s="12">
        <v>-2336</v>
      </c>
      <c r="J109" s="12">
        <v>-3473</v>
      </c>
      <c r="K109" s="12">
        <v>-986</v>
      </c>
      <c r="L109" s="12">
        <v>-1654</v>
      </c>
      <c r="M109" s="12">
        <v>-3170</v>
      </c>
      <c r="N109" s="12">
        <v>-4684</v>
      </c>
      <c r="O109" s="21">
        <v>-1134</v>
      </c>
      <c r="P109" s="12">
        <v>-2068</v>
      </c>
      <c r="Q109" s="12">
        <v>-3240</v>
      </c>
      <c r="R109" s="12">
        <v>-4448</v>
      </c>
      <c r="S109" s="12">
        <v>-984</v>
      </c>
      <c r="U109" s="12">
        <f ca="1">-(U110*'Income Statement'!U109)</f>
        <v>-2442.0537982354135</v>
      </c>
      <c r="V109" s="12">
        <f ca="1">-(V110*'Income Statement'!V109)</f>
        <v>-3808.7784216174459</v>
      </c>
      <c r="W109" s="12">
        <f ca="1">-(W110*'Income Statement'!W109)</f>
        <v>-5283.2258596597358</v>
      </c>
      <c r="X109" s="12">
        <f ca="1">-(X110*'Income Statement'!X109)</f>
        <v>-1271.1958092686975</v>
      </c>
      <c r="Y109" s="12">
        <f ca="1">-(Y110*'Income Statement'!Y109)</f>
        <v>-2669.3682704366011</v>
      </c>
      <c r="Z109" s="12">
        <f ca="1">-(Z110*'Income Statement'!Z109)</f>
        <v>-4163.3121576337635</v>
      </c>
      <c r="AA109" s="12">
        <f ca="1">-(AA110*'Income Statement'!AA109)</f>
        <v>-5775.0060565890608</v>
      </c>
      <c r="AB109" s="12">
        <f ca="1">-(AB110*'Income Statement'!AB109)</f>
        <v>-1389.5229340261756</v>
      </c>
      <c r="AC109" s="12">
        <f ca="1">-(AC110*'Income Statement'!AC109)</f>
        <v>-2917.8419281190586</v>
      </c>
      <c r="AD109" s="12">
        <f ca="1">-(AD110*'Income Statement'!AD109)</f>
        <v>-4550.8470704211668</v>
      </c>
      <c r="AE109" s="12">
        <f ca="1">-(AE110*'Income Statement'!AE109)</f>
        <v>-6312.5627863633053</v>
      </c>
      <c r="AF109" s="12">
        <f ca="1">-(AF110*'Income Statement'!AF109)</f>
        <v>-1518.8643402588475</v>
      </c>
      <c r="AG109" s="12">
        <f ca="1">-(AG110*'Income Statement'!AG109)</f>
        <v>-3189.4443384902575</v>
      </c>
      <c r="AH109" s="12">
        <f ca="1">-(AH110*'Income Statement'!AH109)</f>
        <v>-4974.4550190374503</v>
      </c>
      <c r="AI109" s="12">
        <f ca="1">-(AI110*'Income Statement'!AI109)</f>
        <v>-5167.0949679052228</v>
      </c>
      <c r="AJ109" s="12">
        <f ca="1">-(AJ110*'Income Statement'!AJ109)</f>
        <v>-1243.2535810077084</v>
      </c>
      <c r="AK109" s="12">
        <f ca="1">-(AK110*'Income Statement'!AK109)</f>
        <v>-2610.6927328197085</v>
      </c>
      <c r="AL109" s="12">
        <f ca="1">-(AL110*'Income Statement'!AL109)</f>
        <v>-4071.7981534322562</v>
      </c>
      <c r="AM109" s="12">
        <f ca="1">-(AM110*'Income Statement'!AM109)</f>
        <v>-5648.0653160161037</v>
      </c>
      <c r="AN109" s="12">
        <f ca="1">-(AN110*'Income Statement'!AN109)</f>
        <v>-1358.979750424292</v>
      </c>
      <c r="AO109" s="12">
        <f ca="1">-(AO110*'Income Statement'!AO109)</f>
        <v>-2853.704676729054</v>
      </c>
      <c r="AP109" s="12">
        <f ca="1">-(AP110*'Income Statement'!AP109)</f>
        <v>-4450.814638992907</v>
      </c>
      <c r="AQ109" s="12">
        <f ca="1">-(AQ110*'Income Statement'!AQ109)</f>
        <v>-6173.8059803682781</v>
      </c>
    </row>
    <row r="110" spans="1:44 16384:16384">
      <c r="B110" t="s">
        <v>161</v>
      </c>
      <c r="C110" s="47">
        <f t="shared" ref="C110:S110" si="63">C109/C8</f>
        <v>-4.4834113779017637E-2</v>
      </c>
      <c r="D110" s="47">
        <f t="shared" si="63"/>
        <v>-9.8709985666507405E-2</v>
      </c>
      <c r="E110" s="47">
        <f t="shared" si="63"/>
        <v>-0.15619788771539744</v>
      </c>
      <c r="F110" s="47">
        <f t="shared" si="63"/>
        <v>-0.23777050372795053</v>
      </c>
      <c r="G110" s="47">
        <f t="shared" si="63"/>
        <v>-5.5011094674556213E-2</v>
      </c>
      <c r="H110" s="47">
        <f t="shared" si="63"/>
        <v>-0.11709183673469388</v>
      </c>
      <c r="I110" s="47">
        <f t="shared" si="63"/>
        <v>-0.18843268532709526</v>
      </c>
      <c r="J110" s="47">
        <f t="shared" si="63"/>
        <v>-0.2926356589147287</v>
      </c>
      <c r="K110" s="47">
        <f t="shared" si="63"/>
        <v>-8.1778220121091483E-2</v>
      </c>
      <c r="L110" s="47">
        <f t="shared" si="63"/>
        <v>-0.15213392200147166</v>
      </c>
      <c r="M110" s="47">
        <f t="shared" si="63"/>
        <v>-0.25256951637319736</v>
      </c>
      <c r="N110" s="47">
        <f t="shared" si="63"/>
        <v>-0.37430078312290233</v>
      </c>
      <c r="O110" s="47">
        <f t="shared" si="63"/>
        <v>-9.3874172185430468E-2</v>
      </c>
      <c r="P110" s="47">
        <f t="shared" si="63"/>
        <v>-0.18137168917733731</v>
      </c>
      <c r="Q110" s="47">
        <f t="shared" si="63"/>
        <v>-0.24631290862095181</v>
      </c>
      <c r="R110" s="47">
        <f t="shared" si="63"/>
        <v>-0.32896975075808005</v>
      </c>
      <c r="S110" s="47">
        <f t="shared" si="63"/>
        <v>-6.1882900446512797E-2</v>
      </c>
      <c r="U110" s="46">
        <f>AVERAGE($P110,$L110,$H110)</f>
        <v>-0.15019914930450093</v>
      </c>
      <c r="V110" s="46">
        <f>AVERAGE($Q110,$M110,$I110)</f>
        <v>-0.22910503677374813</v>
      </c>
      <c r="W110" s="46">
        <f>AVERAGE($R110,$J110)</f>
        <v>-0.31080270483640438</v>
      </c>
      <c r="X110" s="46">
        <f>AVERAGE($O110,$K110,$G110,$S110)</f>
        <v>-7.3136596856897745E-2</v>
      </c>
      <c r="Y110" s="46">
        <f>AVERAGE($P110,$L110,$H110)</f>
        <v>-0.15019914930450093</v>
      </c>
      <c r="Z110" s="46">
        <f>AVERAGE($Q110,$M110,$I110)</f>
        <v>-0.22910503677374813</v>
      </c>
      <c r="AA110" s="46">
        <f>AVERAGE($R110,$J110)</f>
        <v>-0.31080270483640438</v>
      </c>
      <c r="AB110" s="46">
        <f>AVERAGE($O110,$K110,$G110,$S110)</f>
        <v>-7.3136596856897745E-2</v>
      </c>
      <c r="AC110" s="46">
        <f>AVERAGE($P110,$L110,$H110)</f>
        <v>-0.15019914930450093</v>
      </c>
      <c r="AD110" s="46">
        <f>AVERAGE($Q110,$M110,$I110)</f>
        <v>-0.22910503677374813</v>
      </c>
      <c r="AE110" s="46">
        <f>AVERAGE($R110,$J110)</f>
        <v>-0.31080270483640438</v>
      </c>
      <c r="AF110" s="46">
        <f>AVERAGE($O110,$K110,$G110,$S110)</f>
        <v>-7.3136596856897745E-2</v>
      </c>
      <c r="AG110" s="46">
        <f>AVERAGE($P110,$L110,$H110)</f>
        <v>-0.15019914930450093</v>
      </c>
      <c r="AH110" s="46">
        <f>AVERAGE($Q110,$M110,$I110)</f>
        <v>-0.22910503677374813</v>
      </c>
      <c r="AI110" s="46">
        <f>AVERAGE($R110,$J110)</f>
        <v>-0.31080270483640438</v>
      </c>
      <c r="AJ110" s="46">
        <f>AVERAGE($O110,$K110,$G110,$S110)</f>
        <v>-7.3136596856897745E-2</v>
      </c>
      <c r="AK110" s="46">
        <f>AVERAGE($P110,$L110,$H110)</f>
        <v>-0.15019914930450093</v>
      </c>
      <c r="AL110" s="46">
        <f>AVERAGE($Q110,$M110,$I110)</f>
        <v>-0.22910503677374813</v>
      </c>
      <c r="AM110" s="46">
        <f>AVERAGE($R110,$J110)</f>
        <v>-0.31080270483640438</v>
      </c>
      <c r="AN110" s="46">
        <f>AVERAGE($O110,$K110,$G110,$S110)</f>
        <v>-7.3136596856897745E-2</v>
      </c>
      <c r="AO110" s="46">
        <f>AVERAGE($P110,$L110,$H110)</f>
        <v>-0.15019914930450093</v>
      </c>
      <c r="AP110" s="46">
        <f>AVERAGE($Q110,$M110,$I110)</f>
        <v>-0.22910503677374813</v>
      </c>
      <c r="AQ110" s="46">
        <f>AVERAGE($R110,$J110)</f>
        <v>-0.31080270483640438</v>
      </c>
    </row>
    <row r="111" spans="1:44 16384:16384">
      <c r="C111" s="47"/>
      <c r="D111" s="47"/>
      <c r="E111" s="47"/>
      <c r="F111" s="47"/>
      <c r="G111" s="47"/>
      <c r="H111" s="47"/>
      <c r="I111" s="47"/>
      <c r="J111" s="47"/>
      <c r="K111" s="47"/>
      <c r="L111" s="47"/>
      <c r="M111" s="47"/>
      <c r="N111" s="47"/>
      <c r="O111" s="47"/>
      <c r="P111" s="47"/>
      <c r="Q111" s="47"/>
      <c r="R111" s="47"/>
      <c r="S111" s="47"/>
    </row>
    <row r="113" spans="2:43">
      <c r="B113" t="s">
        <v>87</v>
      </c>
      <c r="C113" s="12">
        <v>16739</v>
      </c>
      <c r="D113" s="12">
        <v>16470</v>
      </c>
      <c r="E113" s="12">
        <v>16551</v>
      </c>
      <c r="F113" s="12">
        <v>17011</v>
      </c>
      <c r="G113" s="12">
        <v>16553</v>
      </c>
      <c r="H113" s="12">
        <v>17193</v>
      </c>
      <c r="I113" s="12">
        <v>18124</v>
      </c>
      <c r="J113" s="12">
        <v>17033</v>
      </c>
      <c r="K113" s="12">
        <v>18742</v>
      </c>
      <c r="L113" s="12">
        <v>18240</v>
      </c>
      <c r="M113" s="12">
        <v>19221</v>
      </c>
      <c r="N113" s="12">
        <v>19702</v>
      </c>
      <c r="O113" s="12">
        <v>19928</v>
      </c>
      <c r="P113" s="12">
        <v>20090</v>
      </c>
      <c r="Q113" s="12">
        <v>21042</v>
      </c>
      <c r="R113" s="12">
        <v>22170</v>
      </c>
      <c r="S113" s="12">
        <v>22256</v>
      </c>
      <c r="U113" s="12" cm="1">
        <f t="array" ref="U113:AQ115">'WC (Days Evaluation)'!T29:AP31</f>
        <v>18731.961208471479</v>
      </c>
      <c r="V113" s="12">
        <v>19073.618656589031</v>
      </c>
      <c r="W113" s="12">
        <v>19504.032693044232</v>
      </c>
      <c r="X113" s="12">
        <v>19959.376994204285</v>
      </c>
      <c r="Y113" s="12">
        <v>20417.629809320199</v>
      </c>
      <c r="Z113" s="12">
        <v>20744.67309897524</v>
      </c>
      <c r="AA113" s="12">
        <v>21160.193193624662</v>
      </c>
      <c r="AB113" s="12">
        <v>21660.488591349989</v>
      </c>
      <c r="AC113" s="12">
        <v>22243.644264828778</v>
      </c>
      <c r="AD113" s="12">
        <v>22659.639237545423</v>
      </c>
      <c r="AE113" s="12">
        <v>23008.227900973288</v>
      </c>
      <c r="AF113" s="12">
        <v>23450.133149892332</v>
      </c>
      <c r="AG113" s="12">
        <v>24194.429152508827</v>
      </c>
      <c r="AH113" s="12">
        <v>24635.865937330782</v>
      </c>
      <c r="AI113" s="12">
        <v>18780.258252112551</v>
      </c>
      <c r="AJ113" s="12">
        <v>19198.384520458356</v>
      </c>
      <c r="AK113" s="12">
        <v>19615.011529208343</v>
      </c>
      <c r="AL113" s="12">
        <v>20266.659907998903</v>
      </c>
      <c r="AM113" s="12">
        <v>20710.010190733614</v>
      </c>
      <c r="AN113" s="12">
        <v>21163.105190185226</v>
      </c>
      <c r="AO113" s="12">
        <v>21630.69254198785</v>
      </c>
      <c r="AP113" s="12">
        <v>22107.730818374221</v>
      </c>
      <c r="AQ113" s="12">
        <v>22593.64797161246</v>
      </c>
    </row>
    <row r="114" spans="2:43" ht="17" thickBot="1">
      <c r="B114" s="27" t="s">
        <v>99</v>
      </c>
      <c r="C114" s="26">
        <v>14926</v>
      </c>
      <c r="D114" s="26">
        <v>16158</v>
      </c>
      <c r="E114" s="26">
        <v>16523</v>
      </c>
      <c r="F114" s="26">
        <v>18777</v>
      </c>
      <c r="G114" s="26">
        <v>16274</v>
      </c>
      <c r="H114" s="26">
        <v>18012</v>
      </c>
      <c r="I114" s="26">
        <v>18377</v>
      </c>
      <c r="J114" s="26">
        <v>19897</v>
      </c>
      <c r="K114" s="26">
        <v>20865</v>
      </c>
      <c r="L114" s="26">
        <v>19348</v>
      </c>
      <c r="M114" s="26">
        <v>17854</v>
      </c>
      <c r="N114" s="26">
        <v>24078</v>
      </c>
      <c r="O114" s="26">
        <v>23196</v>
      </c>
      <c r="P114" s="26">
        <v>19273</v>
      </c>
      <c r="Q114" s="26">
        <v>21114</v>
      </c>
      <c r="R114" s="26">
        <v>20880</v>
      </c>
      <c r="S114" s="26">
        <v>18974</v>
      </c>
      <c r="U114" s="26">
        <v>4809.0178881652919</v>
      </c>
      <c r="V114" s="26">
        <v>4914.9897191405453</v>
      </c>
      <c r="W114" s="26">
        <v>5057.7510067357998</v>
      </c>
      <c r="X114" s="26">
        <v>5214.3673549413925</v>
      </c>
      <c r="Y114" s="26">
        <v>5326.0182280383897</v>
      </c>
      <c r="Z114" s="26">
        <v>5449.6515000854397</v>
      </c>
      <c r="AA114" s="26">
        <v>5598.4316547849585</v>
      </c>
      <c r="AB114" s="26">
        <v>5794.9783248346757</v>
      </c>
      <c r="AC114" s="26">
        <v>5920.0932974683919</v>
      </c>
      <c r="AD114" s="26">
        <v>6030.2834693060167</v>
      </c>
      <c r="AE114" s="26">
        <v>6137.146733485105</v>
      </c>
      <c r="AF114" s="26">
        <v>6250.4659524096069</v>
      </c>
      <c r="AG114" s="26">
        <v>6461.4862997795344</v>
      </c>
      <c r="AH114" s="26">
        <v>6567.8124709261165</v>
      </c>
      <c r="AI114" s="26">
        <v>4953.7015697796842</v>
      </c>
      <c r="AJ114" s="26">
        <v>5075.5649255102871</v>
      </c>
      <c r="AK114" s="26">
        <v>5125.6239265010063</v>
      </c>
      <c r="AL114" s="26">
        <v>5342.5021113189032</v>
      </c>
      <c r="AM114" s="26">
        <v>5456.6003759696214</v>
      </c>
      <c r="AN114" s="26">
        <v>5584.6454979386071</v>
      </c>
      <c r="AO114" s="26">
        <v>5715.4645876847517</v>
      </c>
      <c r="AP114" s="26">
        <v>5847.5045638909351</v>
      </c>
      <c r="AQ114" s="26">
        <v>5980.0320670341171</v>
      </c>
    </row>
    <row r="115" spans="2:43" ht="17" thickBot="1">
      <c r="B115" s="27" t="s">
        <v>183</v>
      </c>
      <c r="C115" s="26">
        <v>1813</v>
      </c>
      <c r="D115" s="26">
        <v>312</v>
      </c>
      <c r="E115" s="26">
        <v>28</v>
      </c>
      <c r="F115" s="26">
        <v>-1766</v>
      </c>
      <c r="G115" s="26">
        <v>279</v>
      </c>
      <c r="H115" s="26">
        <v>-819</v>
      </c>
      <c r="I115" s="26">
        <v>-253</v>
      </c>
      <c r="J115" s="26">
        <v>-2864</v>
      </c>
      <c r="K115" s="26">
        <v>-2123</v>
      </c>
      <c r="L115" s="26">
        <v>-1108</v>
      </c>
      <c r="M115" s="26">
        <v>1367</v>
      </c>
      <c r="N115" s="26">
        <v>-4376</v>
      </c>
      <c r="O115" s="26">
        <v>-3268</v>
      </c>
      <c r="P115" s="26">
        <v>817</v>
      </c>
      <c r="Q115" s="26">
        <v>-72</v>
      </c>
      <c r="R115" s="26">
        <v>1290</v>
      </c>
      <c r="S115" s="26">
        <v>3282</v>
      </c>
      <c r="U115" s="26">
        <v>13922.943320306187</v>
      </c>
      <c r="V115" s="26">
        <v>14158.628937448486</v>
      </c>
      <c r="W115" s="26">
        <v>14446.281686308432</v>
      </c>
      <c r="X115" s="26">
        <v>14745.009639262893</v>
      </c>
      <c r="Y115" s="26">
        <v>15091.61158128181</v>
      </c>
      <c r="Z115" s="26">
        <v>15295.0215988898</v>
      </c>
      <c r="AA115" s="26">
        <v>15561.761538839703</v>
      </c>
      <c r="AB115" s="26">
        <v>15865.510266515314</v>
      </c>
      <c r="AC115" s="26">
        <v>16323.550967360385</v>
      </c>
      <c r="AD115" s="26">
        <v>16629.355768239406</v>
      </c>
      <c r="AE115" s="26">
        <v>16871.081167488184</v>
      </c>
      <c r="AF115" s="26">
        <v>17199.667197482726</v>
      </c>
      <c r="AG115" s="26">
        <v>17732.942852729291</v>
      </c>
      <c r="AH115" s="26">
        <v>18068.053466404665</v>
      </c>
      <c r="AI115" s="26">
        <v>13826.556682332866</v>
      </c>
      <c r="AJ115" s="26">
        <v>14122.819594948069</v>
      </c>
      <c r="AK115" s="26">
        <v>14489.387602707337</v>
      </c>
      <c r="AL115" s="26">
        <v>14924.15779668</v>
      </c>
      <c r="AM115" s="26">
        <v>15253.409814763992</v>
      </c>
      <c r="AN115" s="26">
        <v>15578.459692246619</v>
      </c>
      <c r="AO115" s="26">
        <v>15915.227954303098</v>
      </c>
      <c r="AP115" s="26">
        <v>16260.226254483285</v>
      </c>
      <c r="AQ115" s="26">
        <v>16613.615904578342</v>
      </c>
    </row>
    <row r="117" spans="2:43" s="35" customFormat="1">
      <c r="B117" s="66"/>
      <c r="C117" s="66"/>
      <c r="D117" s="67"/>
      <c r="E117" s="67"/>
      <c r="F117" s="67"/>
      <c r="G117" s="67"/>
      <c r="H117" s="67"/>
      <c r="I117" s="67"/>
      <c r="J117" s="66"/>
      <c r="K117" s="66"/>
      <c r="L117" s="66"/>
      <c r="M117" s="66"/>
      <c r="N117" s="66"/>
      <c r="O117" s="68"/>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row>
    <row r="118" spans="2:43">
      <c r="D118" s="54"/>
      <c r="E118" s="54"/>
      <c r="F118" s="54"/>
      <c r="G118" s="54"/>
      <c r="H118" s="54"/>
      <c r="I118" s="54"/>
    </row>
  </sheetData>
  <phoneticPr fontId="13" type="noConversion"/>
  <dataValidations disablePrompts="1" count="1">
    <dataValidation type="list" allowBlank="1" showInputMessage="1" showErrorMessage="1" sqref="C5" xr:uid="{6E5B06E5-A961-1244-A0B9-5075364DC1B4}">
      <formula1>"1,2,3"</formula1>
    </dataValidation>
  </dataValidations>
  <pageMargins left="0.7" right="0.7" top="0.75" bottom="0.75" header="0.3" footer="0.3"/>
  <ignoredErrors>
    <ignoredError sqref="O66:R66 S66 K66:M66 H66:I66 F66:G66 U65:V65"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AE4B-8B56-124B-8611-88BED4BEDD39}">
  <dimension ref="B1:AV62"/>
  <sheetViews>
    <sheetView zoomScale="114" workbookViewId="0">
      <pane xSplit="2" ySplit="7" topLeftCell="I8" activePane="bottomRight" state="frozen"/>
      <selection pane="topRight"/>
      <selection pane="bottomLeft"/>
      <selection pane="bottomRight" activeCell="Q38" sqref="Q38"/>
    </sheetView>
  </sheetViews>
  <sheetFormatPr baseColWidth="10" defaultRowHeight="16" outlineLevelRow="1"/>
  <cols>
    <col min="1" max="1" width="2" customWidth="1"/>
    <col min="2" max="2" width="35.33203125" bestFit="1" customWidth="1"/>
    <col min="3" max="17" width="11.83203125" bestFit="1" customWidth="1"/>
    <col min="18" max="19" width="12.83203125" bestFit="1" customWidth="1"/>
    <col min="20" max="20" width="2.33203125" customWidth="1"/>
    <col min="22" max="43" width="11.83203125" bestFit="1" customWidth="1"/>
  </cols>
  <sheetData>
    <row r="1" spans="2:43">
      <c r="B1" t="s">
        <v>0</v>
      </c>
    </row>
    <row r="2" spans="2:43">
      <c r="B2" t="e" vm="1">
        <v>#VALUE!</v>
      </c>
    </row>
    <row r="7" spans="2:43">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2:43" s="35" customFormat="1" outlineLevel="1">
      <c r="B8" s="37" t="s">
        <v>116</v>
      </c>
      <c r="S8" s="36"/>
    </row>
    <row r="9" spans="2:43">
      <c r="B9" t="s">
        <v>88</v>
      </c>
      <c r="C9" s="12">
        <v>4483</v>
      </c>
      <c r="D9" s="12">
        <v>5310</v>
      </c>
      <c r="E9" s="12">
        <v>7826</v>
      </c>
      <c r="F9" s="12">
        <v>7965</v>
      </c>
      <c r="G9" s="12">
        <v>8076</v>
      </c>
      <c r="H9" s="12">
        <v>6659</v>
      </c>
      <c r="I9" s="12">
        <v>7869</v>
      </c>
      <c r="J9" s="12">
        <v>9676</v>
      </c>
      <c r="K9" s="12">
        <v>7425</v>
      </c>
      <c r="L9" s="12">
        <v>11103</v>
      </c>
      <c r="M9" s="12">
        <v>7356</v>
      </c>
      <c r="N9" s="12">
        <v>8062</v>
      </c>
      <c r="O9" s="12">
        <v>6981</v>
      </c>
      <c r="P9" s="12">
        <v>8575</v>
      </c>
      <c r="Q9" s="12">
        <v>10016</v>
      </c>
      <c r="R9" s="12">
        <v>8096</v>
      </c>
      <c r="S9" s="12">
        <v>8556</v>
      </c>
      <c r="U9" s="12">
        <v>15082.341762367054</v>
      </c>
      <c r="V9" s="12">
        <v>17919.832622417234</v>
      </c>
      <c r="W9" s="12">
        <v>18663.365859850368</v>
      </c>
      <c r="X9" s="12">
        <v>17685.578966508634</v>
      </c>
      <c r="Y9" s="12">
        <v>16634.401757943735</v>
      </c>
      <c r="Z9" s="12">
        <v>17630.459523317055</v>
      </c>
      <c r="AA9" s="12">
        <v>18467.047542836808</v>
      </c>
      <c r="AB9" s="12">
        <v>19692.563608831464</v>
      </c>
      <c r="AC9" s="12">
        <v>20950.93298322153</v>
      </c>
      <c r="AD9" s="12">
        <v>21997.976759222787</v>
      </c>
      <c r="AE9" s="12">
        <v>22937.35895784125</v>
      </c>
      <c r="AF9" s="12">
        <v>24278.66844515354</v>
      </c>
      <c r="AG9" s="12">
        <v>25637.871514261118</v>
      </c>
      <c r="AH9" s="12">
        <v>26781.957356335624</v>
      </c>
      <c r="AI9" s="12">
        <v>45940.363771315024</v>
      </c>
      <c r="AJ9" s="12">
        <v>47024.630530539638</v>
      </c>
      <c r="AK9" s="12">
        <v>48172.164864698658</v>
      </c>
      <c r="AL9" s="12">
        <v>49028.412555156799</v>
      </c>
      <c r="AM9" s="12">
        <v>49812.423833205976</v>
      </c>
      <c r="AN9" s="12">
        <v>50997.01282596837</v>
      </c>
      <c r="AO9" s="12">
        <v>52283.324020588712</v>
      </c>
      <c r="AP9" s="12">
        <v>53284.394960959195</v>
      </c>
      <c r="AQ9" s="12">
        <v>54144.639730012306</v>
      </c>
    </row>
    <row r="10" spans="2:43">
      <c r="B10" t="s">
        <v>89</v>
      </c>
      <c r="C10" s="12">
        <v>2863</v>
      </c>
      <c r="D10" s="12">
        <v>2284</v>
      </c>
      <c r="E10" s="12">
        <v>2459</v>
      </c>
      <c r="F10" s="12">
        <v>899</v>
      </c>
      <c r="G10" s="12">
        <v>722</v>
      </c>
      <c r="H10" s="12">
        <v>446</v>
      </c>
      <c r="I10" s="12">
        <v>149</v>
      </c>
      <c r="J10" s="12">
        <v>774</v>
      </c>
      <c r="K10" s="12">
        <v>7</v>
      </c>
      <c r="L10" s="12">
        <v>0</v>
      </c>
      <c r="M10" s="12">
        <v>0</v>
      </c>
      <c r="N10" s="12">
        <v>0</v>
      </c>
      <c r="O10" s="12">
        <v>0</v>
      </c>
      <c r="P10" s="12">
        <v>0</v>
      </c>
      <c r="Q10" s="12">
        <v>0</v>
      </c>
      <c r="R10" s="12">
        <v>0</v>
      </c>
      <c r="S10" s="12">
        <v>372</v>
      </c>
      <c r="U10" s="12">
        <f>U48*'Income Statement'!U8</f>
        <v>380.37</v>
      </c>
      <c r="V10" s="12">
        <f>V48*'Income Statement'!V8</f>
        <v>388.92832499999997</v>
      </c>
      <c r="W10" s="12">
        <f>W48*'Income Statement'!W8</f>
        <v>397.67921231249994</v>
      </c>
      <c r="X10" s="12">
        <f>X48*'Income Statement'!X8</f>
        <v>406.62699458953119</v>
      </c>
      <c r="Y10" s="12">
        <f>Y48*'Income Statement'!Y8</f>
        <v>415.77610196779563</v>
      </c>
      <c r="Z10" s="12">
        <f>Z48*'Income Statement'!Z8</f>
        <v>425.13106426207099</v>
      </c>
      <c r="AA10" s="12">
        <f>AA48*'Income Statement'!AA8</f>
        <v>434.69651320796754</v>
      </c>
      <c r="AB10" s="12">
        <f>AB48*'Income Statement'!AB8</f>
        <v>444.47718475514682</v>
      </c>
      <c r="AC10" s="12">
        <f>AC48*'Income Statement'!AC8</f>
        <v>454.47792141213756</v>
      </c>
      <c r="AD10" s="12">
        <f>AD48*'Income Statement'!AD8</f>
        <v>464.70367464391069</v>
      </c>
      <c r="AE10" s="12">
        <f>AE48*'Income Statement'!AE8</f>
        <v>475.15950732339866</v>
      </c>
      <c r="AF10" s="12">
        <f>AF48*'Income Statement'!AF8</f>
        <v>485.85059623817506</v>
      </c>
      <c r="AG10" s="12">
        <f>AG48*'Income Statement'!AG8</f>
        <v>496.78223465353403</v>
      </c>
      <c r="AH10" s="12">
        <f>AH48*'Income Statement'!AH8</f>
        <v>507.95983493323848</v>
      </c>
      <c r="AI10" s="12">
        <f>AI48*'Income Statement'!AI8</f>
        <v>388.93780265392115</v>
      </c>
      <c r="AJ10" s="12">
        <f>AJ48*'Income Statement'!AJ8</f>
        <v>397.68890321363438</v>
      </c>
      <c r="AK10" s="12">
        <f>AK48*'Income Statement'!AK8</f>
        <v>406.63690353594114</v>
      </c>
      <c r="AL10" s="12">
        <f>AL48*'Income Statement'!AL8</f>
        <v>415.78623386549975</v>
      </c>
      <c r="AM10" s="12">
        <f>AM48*'Income Statement'!AM8</f>
        <v>425.14142412747344</v>
      </c>
      <c r="AN10" s="12">
        <f>AN48*'Income Statement'!AN8</f>
        <v>434.7071061703416</v>
      </c>
      <c r="AO10" s="12">
        <f>AO48*'Income Statement'!AO8</f>
        <v>444.4880160591743</v>
      </c>
      <c r="AP10" s="12">
        <f>AP48*'Income Statement'!AP8</f>
        <v>454.48899642050577</v>
      </c>
      <c r="AQ10" s="12">
        <f>AQ48*'Income Statement'!AQ8</f>
        <v>464.71499883996711</v>
      </c>
    </row>
    <row r="11" spans="2:43">
      <c r="B11" t="s">
        <v>90</v>
      </c>
      <c r="C11" s="12">
        <v>7245</v>
      </c>
      <c r="D11" s="12">
        <v>7287</v>
      </c>
      <c r="E11" s="12">
        <v>7374</v>
      </c>
      <c r="F11" s="12">
        <v>7071</v>
      </c>
      <c r="G11" s="12">
        <v>7608</v>
      </c>
      <c r="H11" s="12">
        <v>7964</v>
      </c>
      <c r="I11" s="12">
        <v>8442</v>
      </c>
      <c r="J11" s="12">
        <v>6778</v>
      </c>
      <c r="K11" s="12">
        <v>8182</v>
      </c>
      <c r="L11" s="12">
        <v>7577</v>
      </c>
      <c r="M11" s="12">
        <v>8422</v>
      </c>
      <c r="N11" s="12">
        <v>7851</v>
      </c>
      <c r="O11" s="12">
        <v>8235</v>
      </c>
      <c r="P11" s="12">
        <v>7843</v>
      </c>
      <c r="Q11" s="12">
        <v>8571</v>
      </c>
      <c r="R11" s="12">
        <v>9230</v>
      </c>
      <c r="S11" s="12">
        <v>9828</v>
      </c>
      <c r="U11" s="12">
        <v>10876.881844305162</v>
      </c>
      <c r="V11" s="12">
        <v>11066.705006613392</v>
      </c>
      <c r="W11" s="12">
        <v>11286.664056484929</v>
      </c>
      <c r="X11" s="12">
        <v>11521.63096909193</v>
      </c>
      <c r="Y11" s="12">
        <v>11804.23713451985</v>
      </c>
      <c r="Z11" s="12">
        <v>12023.811345431986</v>
      </c>
      <c r="AA11" s="12">
        <v>12279.233954580901</v>
      </c>
      <c r="AB11" s="12">
        <v>12532.591170433894</v>
      </c>
      <c r="AC11" s="12">
        <v>12923.527319458866</v>
      </c>
      <c r="AD11" s="12">
        <v>13190.761505522962</v>
      </c>
      <c r="AE11" s="12">
        <v>13447.345185287433</v>
      </c>
      <c r="AF11" s="12">
        <v>13740.883505239479</v>
      </c>
      <c r="AG11" s="12">
        <v>14096.120270882857</v>
      </c>
      <c r="AH11" s="12">
        <v>14386.071593818562</v>
      </c>
      <c r="AI11" s="12">
        <v>10990.237357848318</v>
      </c>
      <c r="AJ11" s="12">
        <v>11249.18382172808</v>
      </c>
      <c r="AK11" s="12">
        <v>11478.852635756582</v>
      </c>
      <c r="AL11" s="12">
        <v>11785.644816528118</v>
      </c>
      <c r="AM11" s="12">
        <v>12047.903610112498</v>
      </c>
      <c r="AN11" s="12">
        <v>12312.586447694088</v>
      </c>
      <c r="AO11" s="12">
        <v>12586.5924833637</v>
      </c>
      <c r="AP11" s="12">
        <v>12868.254633483059</v>
      </c>
      <c r="AQ11" s="12">
        <v>13157.309612189505</v>
      </c>
    </row>
    <row r="12" spans="2:43">
      <c r="B12" t="s">
        <v>91</v>
      </c>
      <c r="C12" s="12">
        <v>5382</v>
      </c>
      <c r="D12" s="12">
        <v>5178</v>
      </c>
      <c r="E12" s="12">
        <v>5416</v>
      </c>
      <c r="F12" s="12">
        <v>5440</v>
      </c>
      <c r="G12" s="12">
        <v>5712</v>
      </c>
      <c r="H12" s="12">
        <v>5847</v>
      </c>
      <c r="I12" s="12">
        <v>5855</v>
      </c>
      <c r="J12" s="12">
        <v>5978</v>
      </c>
      <c r="K12" s="12">
        <v>5846</v>
      </c>
      <c r="L12" s="12">
        <v>6056</v>
      </c>
      <c r="M12" s="12">
        <v>6128</v>
      </c>
      <c r="N12" s="12">
        <v>6310</v>
      </c>
      <c r="O12" s="12">
        <v>6402</v>
      </c>
      <c r="P12" s="12">
        <v>5499</v>
      </c>
      <c r="Q12" s="12">
        <v>5603</v>
      </c>
      <c r="R12" s="12">
        <v>5953</v>
      </c>
      <c r="S12" s="12">
        <v>5774</v>
      </c>
      <c r="U12" s="12">
        <v>7855.0793641663176</v>
      </c>
      <c r="V12" s="12">
        <v>8006.9136499756396</v>
      </c>
      <c r="W12" s="12">
        <v>8217.3686365593003</v>
      </c>
      <c r="X12" s="12">
        <v>8437.7460251123575</v>
      </c>
      <c r="Y12" s="12">
        <v>8613.3926748003469</v>
      </c>
      <c r="Z12" s="12">
        <v>8720.8617535432513</v>
      </c>
      <c r="AA12" s="12">
        <v>8880.9592390437629</v>
      </c>
      <c r="AB12" s="12">
        <v>9127.897420916097</v>
      </c>
      <c r="AC12" s="12">
        <v>9320.1169453699131</v>
      </c>
      <c r="AD12" s="12">
        <v>9468.8777320224599</v>
      </c>
      <c r="AE12" s="12">
        <v>9560.8827156858551</v>
      </c>
      <c r="AF12" s="12">
        <v>9709.249644652853</v>
      </c>
      <c r="AG12" s="12">
        <v>10098.30888162597</v>
      </c>
      <c r="AH12" s="12">
        <v>10249.794343512222</v>
      </c>
      <c r="AI12" s="12">
        <v>7790.020894264233</v>
      </c>
      <c r="AJ12" s="12">
        <v>7949.2006987302775</v>
      </c>
      <c r="AK12" s="12">
        <v>8136.1588934517595</v>
      </c>
      <c r="AL12" s="12">
        <v>8481.0150914707847</v>
      </c>
      <c r="AM12" s="12">
        <v>8662.1065806211136</v>
      </c>
      <c r="AN12" s="12">
        <v>8850.5187424911401</v>
      </c>
      <c r="AO12" s="12">
        <v>9044.1000586241498</v>
      </c>
      <c r="AP12" s="12">
        <v>9239.4761848911603</v>
      </c>
      <c r="AQ12" s="12">
        <v>9436.3383594229526</v>
      </c>
    </row>
    <row r="13" spans="2:43">
      <c r="B13" t="s">
        <v>92</v>
      </c>
      <c r="C13" s="12">
        <v>4112</v>
      </c>
      <c r="D13" s="12">
        <v>4005</v>
      </c>
      <c r="E13" s="12">
        <v>3761</v>
      </c>
      <c r="F13" s="12">
        <v>4500</v>
      </c>
      <c r="G13" s="12">
        <v>3233</v>
      </c>
      <c r="H13" s="12">
        <v>3382</v>
      </c>
      <c r="I13" s="12">
        <v>3827</v>
      </c>
      <c r="J13" s="12">
        <v>4277</v>
      </c>
      <c r="K13" s="12">
        <v>4714</v>
      </c>
      <c r="L13" s="12">
        <v>4607</v>
      </c>
      <c r="M13" s="12">
        <v>4671</v>
      </c>
      <c r="N13" s="12">
        <v>5541</v>
      </c>
      <c r="O13" s="12">
        <v>5291</v>
      </c>
      <c r="P13" s="12">
        <v>6748</v>
      </c>
      <c r="Q13" s="12">
        <v>6868</v>
      </c>
      <c r="R13" s="12">
        <v>6987</v>
      </c>
      <c r="S13" s="12">
        <v>6654</v>
      </c>
      <c r="U13" s="12">
        <f>U49*'Income Statement'!U8</f>
        <v>6503.509</v>
      </c>
      <c r="V13" s="12">
        <f>V49*'Income Statement'!V8</f>
        <v>6649.8379525</v>
      </c>
      <c r="W13" s="12">
        <f>W49*'Income Statement'!W8</f>
        <v>6799.4593064312494</v>
      </c>
      <c r="X13" s="12">
        <f>X49*'Income Statement'!X8</f>
        <v>6952.4471408259524</v>
      </c>
      <c r="Y13" s="12">
        <f>Y49*'Income Statement'!Y8</f>
        <v>7108.8772014945353</v>
      </c>
      <c r="Z13" s="12">
        <f>Z49*'Income Statement'!Z8</f>
        <v>7268.8269385281619</v>
      </c>
      <c r="AA13" s="12">
        <f>AA49*'Income Statement'!AA8</f>
        <v>7432.375544645045</v>
      </c>
      <c r="AB13" s="12">
        <f>AB49*'Income Statement'!AB8</f>
        <v>7599.6039943995584</v>
      </c>
      <c r="AC13" s="12">
        <f>AC49*'Income Statement'!AC8</f>
        <v>7770.5950842735474</v>
      </c>
      <c r="AD13" s="12">
        <f>AD49*'Income Statement'!AD8</f>
        <v>7945.4334736697028</v>
      </c>
      <c r="AE13" s="12">
        <f>AE49*'Income Statement'!AE8</f>
        <v>8124.2057268272711</v>
      </c>
      <c r="AF13" s="12">
        <f>AF49*'Income Statement'!AF8</f>
        <v>8307.0003556808842</v>
      </c>
      <c r="AG13" s="12">
        <f>AG49*'Income Statement'!AG8</f>
        <v>8493.9078636837039</v>
      </c>
      <c r="AH13" s="12">
        <f>AH49*'Income Statement'!AH8</f>
        <v>8685.020790616587</v>
      </c>
      <c r="AI13" s="12">
        <f>AI49*'Income Statement'!AI8</f>
        <v>6650</v>
      </c>
      <c r="AJ13" s="12">
        <f>AJ49*'Income Statement'!AJ8</f>
        <v>6799.625</v>
      </c>
      <c r="AK13" s="12">
        <f>AK49*'Income Statement'!AK8</f>
        <v>6952.6165624999994</v>
      </c>
      <c r="AL13" s="12">
        <f>AL49*'Income Statement'!AL8</f>
        <v>7109.0504351562486</v>
      </c>
      <c r="AM13" s="12">
        <f>AM49*'Income Statement'!AM8</f>
        <v>7269.0040699472638</v>
      </c>
      <c r="AN13" s="12">
        <f>AN49*'Income Statement'!AN8</f>
        <v>7432.5566615210773</v>
      </c>
      <c r="AO13" s="12">
        <f>AO49*'Income Statement'!AO8</f>
        <v>7599.7891864053017</v>
      </c>
      <c r="AP13" s="12">
        <f>AP49*'Income Statement'!AP8</f>
        <v>7770.7844430994219</v>
      </c>
      <c r="AQ13" s="12">
        <f>AQ49*'Income Statement'!AQ8</f>
        <v>7945.627093069158</v>
      </c>
    </row>
    <row r="14" spans="2:43" ht="17" thickBot="1">
      <c r="B14" s="27" t="s">
        <v>93</v>
      </c>
      <c r="C14" s="26">
        <f t="shared" ref="C14:S14" si="0">SUM(C9:C13)</f>
        <v>24085</v>
      </c>
      <c r="D14" s="26">
        <f t="shared" si="0"/>
        <v>24064</v>
      </c>
      <c r="E14" s="26">
        <f t="shared" si="0"/>
        <v>26836</v>
      </c>
      <c r="F14" s="26">
        <f t="shared" si="0"/>
        <v>25875</v>
      </c>
      <c r="G14" s="26">
        <f t="shared" si="0"/>
        <v>25351</v>
      </c>
      <c r="H14" s="26">
        <f t="shared" si="0"/>
        <v>24298</v>
      </c>
      <c r="I14" s="26">
        <f t="shared" si="0"/>
        <v>26142</v>
      </c>
      <c r="J14" s="26">
        <f t="shared" si="0"/>
        <v>27483</v>
      </c>
      <c r="K14" s="26">
        <f t="shared" si="0"/>
        <v>26174</v>
      </c>
      <c r="L14" s="26">
        <f t="shared" si="0"/>
        <v>29343</v>
      </c>
      <c r="M14" s="26">
        <f t="shared" si="0"/>
        <v>26577</v>
      </c>
      <c r="N14" s="26">
        <f t="shared" si="0"/>
        <v>27764</v>
      </c>
      <c r="O14" s="26">
        <f t="shared" si="0"/>
        <v>26909</v>
      </c>
      <c r="P14" s="26">
        <f t="shared" si="0"/>
        <v>28665</v>
      </c>
      <c r="Q14" s="26">
        <f t="shared" si="0"/>
        <v>31058</v>
      </c>
      <c r="R14" s="26">
        <f t="shared" si="0"/>
        <v>30266</v>
      </c>
      <c r="S14" s="26">
        <f t="shared" si="0"/>
        <v>31184</v>
      </c>
      <c r="U14" s="26">
        <f>SUM(U9:U13)</f>
        <v>40698.18197083853</v>
      </c>
      <c r="V14" s="26">
        <f t="shared" ref="V14:AQ14" si="1">SUM(V9:V13)</f>
        <v>44032.217556506264</v>
      </c>
      <c r="W14" s="26">
        <f t="shared" si="1"/>
        <v>45364.537071638348</v>
      </c>
      <c r="X14" s="26">
        <f t="shared" si="1"/>
        <v>45004.030096128408</v>
      </c>
      <c r="Y14" s="26">
        <f t="shared" si="1"/>
        <v>44576.684870726262</v>
      </c>
      <c r="Z14" s="26">
        <f t="shared" si="1"/>
        <v>46069.090625082521</v>
      </c>
      <c r="AA14" s="26">
        <f t="shared" si="1"/>
        <v>47494.312794314486</v>
      </c>
      <c r="AB14" s="26">
        <f t="shared" si="1"/>
        <v>49397.133379336155</v>
      </c>
      <c r="AC14" s="26">
        <f t="shared" si="1"/>
        <v>51419.650253735992</v>
      </c>
      <c r="AD14" s="26">
        <f t="shared" si="1"/>
        <v>53067.753145081828</v>
      </c>
      <c r="AE14" s="26">
        <f t="shared" si="1"/>
        <v>54544.952092965206</v>
      </c>
      <c r="AF14" s="26">
        <f t="shared" si="1"/>
        <v>56521.652546964935</v>
      </c>
      <c r="AG14" s="26">
        <f t="shared" si="1"/>
        <v>58822.990765107184</v>
      </c>
      <c r="AH14" s="26">
        <f t="shared" si="1"/>
        <v>60610.803919216232</v>
      </c>
      <c r="AI14" s="26">
        <f t="shared" si="1"/>
        <v>71759.559826081502</v>
      </c>
      <c r="AJ14" s="26">
        <f t="shared" si="1"/>
        <v>73420.328954211625</v>
      </c>
      <c r="AK14" s="26">
        <f t="shared" si="1"/>
        <v>75146.429859942946</v>
      </c>
      <c r="AL14" s="26">
        <f t="shared" si="1"/>
        <v>76819.909132177447</v>
      </c>
      <c r="AM14" s="26">
        <f t="shared" si="1"/>
        <v>78216.579518014318</v>
      </c>
      <c r="AN14" s="26">
        <f t="shared" si="1"/>
        <v>80027.38178384502</v>
      </c>
      <c r="AO14" s="26">
        <f t="shared" si="1"/>
        <v>81958.293765041046</v>
      </c>
      <c r="AP14" s="26">
        <f t="shared" si="1"/>
        <v>83617.39921885333</v>
      </c>
      <c r="AQ14" s="26">
        <f t="shared" si="1"/>
        <v>85148.629793533881</v>
      </c>
    </row>
    <row r="15" spans="2:43">
      <c r="B15" t="s">
        <v>94</v>
      </c>
      <c r="C15" s="12">
        <v>11033</v>
      </c>
      <c r="D15" s="12">
        <v>10033</v>
      </c>
      <c r="E15" s="12">
        <v>7606</v>
      </c>
      <c r="F15" s="12">
        <v>6233</v>
      </c>
      <c r="G15" s="12">
        <v>5621</v>
      </c>
      <c r="H15" s="12">
        <v>3779</v>
      </c>
      <c r="I15" s="12">
        <v>2111</v>
      </c>
      <c r="J15" s="12">
        <v>1469</v>
      </c>
      <c r="K15" s="12">
        <v>555</v>
      </c>
      <c r="L15" s="12">
        <v>1251</v>
      </c>
      <c r="M15" s="12">
        <v>1372</v>
      </c>
      <c r="N15" s="12">
        <v>785</v>
      </c>
      <c r="O15" s="12">
        <v>544</v>
      </c>
      <c r="P15" s="12">
        <v>411</v>
      </c>
      <c r="Q15" s="12">
        <v>435</v>
      </c>
      <c r="R15" s="12">
        <v>370</v>
      </c>
      <c r="S15" s="12">
        <v>316</v>
      </c>
      <c r="U15" s="12">
        <f>U51*'Income Statement'!U8</f>
        <v>323.10999999999996</v>
      </c>
      <c r="V15" s="12">
        <f>V51*'Income Statement'!V8</f>
        <v>330.379975</v>
      </c>
      <c r="W15" s="12">
        <f>W51*'Income Statement'!W8</f>
        <v>337.81352443749995</v>
      </c>
      <c r="X15" s="12">
        <f>X51*'Income Statement'!X8</f>
        <v>345.41432873734368</v>
      </c>
      <c r="Y15" s="12">
        <f>Y51*'Income Statement'!Y8</f>
        <v>353.18615113393389</v>
      </c>
      <c r="Z15" s="12">
        <f>Z51*'Income Statement'!Z8</f>
        <v>361.13283953444738</v>
      </c>
      <c r="AA15" s="12">
        <f>AA51*'Income Statement'!AA8</f>
        <v>369.25832842397244</v>
      </c>
      <c r="AB15" s="12">
        <f>AB51*'Income Statement'!AB8</f>
        <v>377.56664081351175</v>
      </c>
      <c r="AC15" s="12">
        <f>AC51*'Income Statement'!AC8</f>
        <v>386.06189023181577</v>
      </c>
      <c r="AD15" s="12">
        <f>AD51*'Income Statement'!AD8</f>
        <v>394.74828276203164</v>
      </c>
      <c r="AE15" s="12">
        <f>AE51*'Income Statement'!AE8</f>
        <v>403.63011912417733</v>
      </c>
      <c r="AF15" s="12">
        <f>AF51*'Income Statement'!AF8</f>
        <v>412.71179680447131</v>
      </c>
      <c r="AG15" s="12">
        <f>AG51*'Income Statement'!AG8</f>
        <v>421.9978122325719</v>
      </c>
      <c r="AH15" s="12">
        <f>AH51*'Income Statement'!AH8</f>
        <v>431.49276300780468</v>
      </c>
      <c r="AI15" s="12">
        <f>AI51*'Income Statement'!AI8</f>
        <v>330.3880259103201</v>
      </c>
      <c r="AJ15" s="12">
        <f>AJ51*'Income Statement'!AJ8</f>
        <v>337.8217564933023</v>
      </c>
      <c r="AK15" s="12">
        <f>AK51*'Income Statement'!AK8</f>
        <v>345.42274601440158</v>
      </c>
      <c r="AL15" s="12">
        <f>AL51*'Income Statement'!AL8</f>
        <v>353.19475779972555</v>
      </c>
      <c r="AM15" s="12">
        <f>AM51*'Income Statement'!AM8</f>
        <v>361.14163985021935</v>
      </c>
      <c r="AN15" s="12">
        <f>AN51*'Income Statement'!AN8</f>
        <v>369.26732674684933</v>
      </c>
      <c r="AO15" s="12">
        <f>AO51*'Income Statement'!AO8</f>
        <v>377.57584159865343</v>
      </c>
      <c r="AP15" s="12">
        <f>AP51*'Income Statement'!AP8</f>
        <v>386.07129803462317</v>
      </c>
      <c r="AQ15" s="12">
        <f>AQ51*'Income Statement'!AQ8</f>
        <v>394.75790224040213</v>
      </c>
    </row>
    <row r="16" spans="2:43">
      <c r="B16" t="s">
        <v>95</v>
      </c>
      <c r="C16" s="12">
        <v>12561</v>
      </c>
      <c r="D16" s="12">
        <v>12626</v>
      </c>
      <c r="E16" s="12">
        <v>12755</v>
      </c>
      <c r="F16" s="12">
        <f>333+11486+14441+3355-16324</f>
        <v>13291</v>
      </c>
      <c r="G16" s="12">
        <v>13506</v>
      </c>
      <c r="H16" s="12">
        <v>13862</v>
      </c>
      <c r="I16" s="12">
        <v>14287</v>
      </c>
      <c r="J16" s="12">
        <f>11989+15394+343+5013-17686</f>
        <v>15053</v>
      </c>
      <c r="K16" s="12">
        <v>15269</v>
      </c>
      <c r="L16" s="12">
        <v>15789</v>
      </c>
      <c r="M16" s="12">
        <v>16919</v>
      </c>
      <c r="N16" s="12">
        <f>350+12645+16649+7324-18982</f>
        <v>17986</v>
      </c>
      <c r="O16" s="12">
        <v>18295</v>
      </c>
      <c r="P16" s="12">
        <v>18064</v>
      </c>
      <c r="Q16" s="12">
        <v>18565</v>
      </c>
      <c r="R16" s="12">
        <f>326+12529+16303+8313-18192</f>
        <v>19279</v>
      </c>
      <c r="S16" s="12">
        <v>19747</v>
      </c>
      <c r="U16" s="12">
        <f>U52*'Income Statement'!U8</f>
        <v>20191.307499999999</v>
      </c>
      <c r="V16" s="12">
        <f>V52*'Income Statement'!V8</f>
        <v>20645.611918749997</v>
      </c>
      <c r="W16" s="12">
        <f>W52*'Income Statement'!W8</f>
        <v>21110.138186921871</v>
      </c>
      <c r="X16" s="12">
        <f>X52*'Income Statement'!X8</f>
        <v>21585.116296127613</v>
      </c>
      <c r="Y16" s="12">
        <f>Y52*'Income Statement'!Y8</f>
        <v>22070.781412790482</v>
      </c>
      <c r="Z16" s="12">
        <f>Z52*'Income Statement'!Z8</f>
        <v>22567.373994578265</v>
      </c>
      <c r="AA16" s="12">
        <f>AA52*'Income Statement'!AA8</f>
        <v>23075.139909456277</v>
      </c>
      <c r="AB16" s="12">
        <f>AB52*'Income Statement'!AB8</f>
        <v>23594.330557419042</v>
      </c>
      <c r="AC16" s="12">
        <f>AC52*'Income Statement'!AC8</f>
        <v>24125.202994960968</v>
      </c>
      <c r="AD16" s="12">
        <f>AD52*'Income Statement'!AD8</f>
        <v>24668.02006234759</v>
      </c>
      <c r="AE16" s="12">
        <f>AE52*'Income Statement'!AE8</f>
        <v>25223.050513750408</v>
      </c>
      <c r="AF16" s="12">
        <f>AF52*'Income Statement'!AF8</f>
        <v>25790.569150309791</v>
      </c>
      <c r="AG16" s="12">
        <f>AG52*'Income Statement'!AG8</f>
        <v>26370.856956191761</v>
      </c>
      <c r="AH16" s="12">
        <f>AH52*'Income Statement'!AH8</f>
        <v>26964.201237706075</v>
      </c>
      <c r="AI16" s="12">
        <f>AI52*'Income Statement'!AI8</f>
        <v>20646.115024212311</v>
      </c>
      <c r="AJ16" s="12">
        <f>AJ52*'Income Statement'!AJ8</f>
        <v>21110.65261225709</v>
      </c>
      <c r="AK16" s="12">
        <f>AK52*'Income Statement'!AK8</f>
        <v>21585.642296032871</v>
      </c>
      <c r="AL16" s="12">
        <f>AL52*'Income Statement'!AL8</f>
        <v>22071.319247693609</v>
      </c>
      <c r="AM16" s="12">
        <f>AM52*'Income Statement'!AM8</f>
        <v>22567.923930766712</v>
      </c>
      <c r="AN16" s="12">
        <f>AN52*'Income Statement'!AN8</f>
        <v>23075.702219208964</v>
      </c>
      <c r="AO16" s="12">
        <f>AO52*'Income Statement'!AO8</f>
        <v>23594.905519141168</v>
      </c>
      <c r="AP16" s="12">
        <f>AP52*'Income Statement'!AP8</f>
        <v>24125.790893321846</v>
      </c>
      <c r="AQ16" s="12">
        <f>AQ52*'Income Statement'!AQ8</f>
        <v>24668.621188421585</v>
      </c>
    </row>
    <row r="17" spans="2:48">
      <c r="B17" t="s">
        <v>96</v>
      </c>
      <c r="C17" s="12">
        <v>18304</v>
      </c>
      <c r="D17" s="12">
        <v>18274</v>
      </c>
      <c r="E17" s="12">
        <v>18258</v>
      </c>
      <c r="F17" s="12">
        <v>18253</v>
      </c>
      <c r="G17" s="12">
        <v>18170</v>
      </c>
      <c r="H17" s="12">
        <v>19490</v>
      </c>
      <c r="I17" s="12">
        <v>19480</v>
      </c>
      <c r="J17" s="12">
        <v>19425</v>
      </c>
      <c r="K17" s="12">
        <v>19767</v>
      </c>
      <c r="L17" s="12">
        <v>20067</v>
      </c>
      <c r="M17" s="12">
        <v>20248</v>
      </c>
      <c r="N17" s="12">
        <v>20238</v>
      </c>
      <c r="O17" s="12">
        <v>20212</v>
      </c>
      <c r="P17" s="12">
        <v>18873</v>
      </c>
      <c r="Q17" s="12">
        <v>18862</v>
      </c>
      <c r="R17" s="12">
        <v>21264</v>
      </c>
      <c r="S17" s="12">
        <v>21258</v>
      </c>
      <c r="U17" s="12">
        <f>U53*'Income Statement'!U8</f>
        <v>21736.305</v>
      </c>
      <c r="V17" s="12">
        <f>V53*'Income Statement'!V8</f>
        <v>22225.3718625</v>
      </c>
      <c r="W17" s="12">
        <f>W53*'Income Statement'!W8</f>
        <v>22725.442729406248</v>
      </c>
      <c r="X17" s="12">
        <f>X53*'Income Statement'!X8</f>
        <v>23236.765190817889</v>
      </c>
      <c r="Y17" s="12">
        <f>Y53*'Income Statement'!Y8</f>
        <v>23759.59240761129</v>
      </c>
      <c r="Z17" s="12">
        <f>Z53*'Income Statement'!Z8</f>
        <v>24294.183236782541</v>
      </c>
      <c r="AA17" s="12">
        <f>AA53*'Income Statement'!AA8</f>
        <v>24840.802359610148</v>
      </c>
      <c r="AB17" s="12">
        <f>AB53*'Income Statement'!AB8</f>
        <v>25399.720412701372</v>
      </c>
      <c r="AC17" s="12">
        <f>AC53*'Income Statement'!AC8</f>
        <v>25971.214121987152</v>
      </c>
      <c r="AD17" s="12">
        <f>AD53*'Income Statement'!AD8</f>
        <v>26555.566439731865</v>
      </c>
      <c r="AE17" s="12">
        <f>AE53*'Income Statement'!AE8</f>
        <v>27153.066684625832</v>
      </c>
      <c r="AF17" s="12">
        <f>AF53*'Income Statement'!AF8</f>
        <v>27764.010685029909</v>
      </c>
      <c r="AG17" s="12">
        <f>AG53*'Income Statement'!AG8</f>
        <v>28388.700925443081</v>
      </c>
      <c r="AH17" s="12">
        <f>AH53*'Income Statement'!AH8</f>
        <v>29027.44669626555</v>
      </c>
      <c r="AI17" s="12">
        <f>AI53*'Income Statement'!AI8</f>
        <v>22225.913464561978</v>
      </c>
      <c r="AJ17" s="12">
        <f>AJ53*'Income Statement'!AJ8</f>
        <v>22725.996517514624</v>
      </c>
      <c r="AK17" s="12">
        <f>AK53*'Income Statement'!AK8</f>
        <v>23237.331439158701</v>
      </c>
      <c r="AL17" s="12">
        <f>AL53*'Income Statement'!AL8</f>
        <v>23760.171396539768</v>
      </c>
      <c r="AM17" s="12">
        <f>AM53*'Income Statement'!AM8</f>
        <v>24294.77525296191</v>
      </c>
      <c r="AN17" s="12">
        <f>AN53*'Income Statement'!AN8</f>
        <v>24841.407696153554</v>
      </c>
      <c r="AO17" s="12">
        <f>AO53*'Income Statement'!AO8</f>
        <v>25400.339369317011</v>
      </c>
      <c r="AP17" s="12">
        <f>AP53*'Income Statement'!AP8</f>
        <v>25971.847005126645</v>
      </c>
      <c r="AQ17" s="12">
        <f>AQ53*'Income Statement'!AQ8</f>
        <v>26556.213562741992</v>
      </c>
    </row>
    <row r="18" spans="2:48">
      <c r="B18" t="s">
        <v>97</v>
      </c>
      <c r="C18" s="12">
        <v>13500</v>
      </c>
      <c r="D18" s="12">
        <v>12898</v>
      </c>
      <c r="E18" s="12">
        <v>12175</v>
      </c>
      <c r="F18" s="12">
        <v>11431</v>
      </c>
      <c r="G18" s="12">
        <v>10999</v>
      </c>
      <c r="H18" s="12">
        <v>13381</v>
      </c>
      <c r="I18" s="12">
        <v>12307</v>
      </c>
      <c r="J18" s="12">
        <v>14196</v>
      </c>
      <c r="K18" s="12">
        <v>16096</v>
      </c>
      <c r="L18" s="12">
        <v>16566</v>
      </c>
      <c r="M18" s="12">
        <v>16677</v>
      </c>
      <c r="N18" s="12">
        <v>14604</v>
      </c>
      <c r="O18" s="12">
        <v>14401</v>
      </c>
      <c r="P18" s="12">
        <v>13622</v>
      </c>
      <c r="Q18" s="12">
        <v>13384</v>
      </c>
      <c r="R18" s="12">
        <v>22933</v>
      </c>
      <c r="S18" s="12">
        <v>23022</v>
      </c>
      <c r="U18" s="12">
        <f>U54*'Income Statement'!U$8</f>
        <v>19424.399140063146</v>
      </c>
      <c r="V18" s="12">
        <f>V54*'Income Statement'!V$8</f>
        <v>19861.448120714565</v>
      </c>
      <c r="W18" s="12">
        <f>W54*'Income Statement'!W$8</f>
        <v>20308.330703430642</v>
      </c>
      <c r="X18" s="12">
        <f>X54*'Income Statement'!X$8</f>
        <v>20765.268144257832</v>
      </c>
      <c r="Y18" s="12">
        <f>Y54*'Income Statement'!Y$8</f>
        <v>21232.486677503632</v>
      </c>
      <c r="Z18" s="12">
        <f>Z54*'Income Statement'!Z$8</f>
        <v>21710.217627747461</v>
      </c>
      <c r="AA18" s="12">
        <f>AA54*'Income Statement'!AA$8</f>
        <v>22198.697524371779</v>
      </c>
      <c r="AB18" s="12">
        <f>AB54*'Income Statement'!AB$8</f>
        <v>22698.16821867014</v>
      </c>
      <c r="AC18" s="12">
        <f>AC54*'Income Statement'!AC$8</f>
        <v>23208.877003590216</v>
      </c>
      <c r="AD18" s="12">
        <f>AD54*'Income Statement'!AD$8</f>
        <v>23731.076736170999</v>
      </c>
      <c r="AE18" s="12">
        <f>AE54*'Income Statement'!AE$8</f>
        <v>24265.025962734846</v>
      </c>
      <c r="AF18" s="12">
        <f>AF54*'Income Statement'!AF$8</f>
        <v>24810.989046896379</v>
      </c>
      <c r="AG18" s="12">
        <f>AG54*'Income Statement'!AG$8</f>
        <v>25369.236300451546</v>
      </c>
      <c r="AH18" s="12">
        <f>AH54*'Income Statement'!AH$8</f>
        <v>25940.044117211703</v>
      </c>
      <c r="AI18" s="12">
        <f>AI54*'Income Statement'!AI$8</f>
        <v>19861.932117172426</v>
      </c>
      <c r="AJ18" s="12">
        <f>AJ54*'Income Statement'!AJ$8</f>
        <v>20308.825589808806</v>
      </c>
      <c r="AK18" s="12">
        <f>AK54*'Income Statement'!AK$8</f>
        <v>20765.774165579503</v>
      </c>
      <c r="AL18" s="12">
        <f>AL54*'Income Statement'!AL$8</f>
        <v>21233.004084305037</v>
      </c>
      <c r="AM18" s="12">
        <f>AM54*'Income Statement'!AM$8</f>
        <v>21710.746676201899</v>
      </c>
      <c r="AN18" s="12">
        <f>AN54*'Income Statement'!AN$8</f>
        <v>22199.238476416445</v>
      </c>
      <c r="AO18" s="12">
        <f>AO54*'Income Statement'!AO$8</f>
        <v>22698.721342135814</v>
      </c>
      <c r="AP18" s="12">
        <f>AP54*'Income Statement'!AP$8</f>
        <v>23209.442572333872</v>
      </c>
      <c r="AQ18" s="12">
        <f>AQ54*'Income Statement'!AQ$8</f>
        <v>23731.655030211383</v>
      </c>
    </row>
    <row r="19" spans="2:48" ht="17" thickBot="1">
      <c r="B19" s="27" t="s">
        <v>98</v>
      </c>
      <c r="C19" s="26">
        <v>6558</v>
      </c>
      <c r="D19" s="26">
        <v>7145</v>
      </c>
      <c r="E19" s="26">
        <v>7500</v>
      </c>
      <c r="F19" s="12">
        <v>7554</v>
      </c>
      <c r="G19" s="12">
        <v>8707</v>
      </c>
      <c r="H19" s="26">
        <v>9155</v>
      </c>
      <c r="I19" s="26">
        <v>9004</v>
      </c>
      <c r="J19" s="26">
        <v>6771</v>
      </c>
      <c r="K19" s="26">
        <v>7052</v>
      </c>
      <c r="L19" s="26">
        <v>7599</v>
      </c>
      <c r="M19" s="26">
        <v>8007</v>
      </c>
      <c r="N19" s="26">
        <v>10211</v>
      </c>
      <c r="O19" s="26">
        <v>10486</v>
      </c>
      <c r="P19" s="26">
        <v>11053</v>
      </c>
      <c r="Q19" s="12">
        <v>11190</v>
      </c>
      <c r="R19" s="26">
        <v>11582</v>
      </c>
      <c r="S19" s="26">
        <v>11141</v>
      </c>
      <c r="U19" s="12">
        <f>U55*'Income Statement'!U$8</f>
        <v>11391.672499999999</v>
      </c>
      <c r="V19" s="12">
        <f>V55*'Income Statement'!V$8</f>
        <v>11647.98513125</v>
      </c>
      <c r="W19" s="12">
        <f>W55*'Income Statement'!W$8</f>
        <v>11910.064796703124</v>
      </c>
      <c r="X19" s="12">
        <f>X55*'Income Statement'!X$8</f>
        <v>12178.041254628943</v>
      </c>
      <c r="Y19" s="12">
        <f>Y55*'Income Statement'!Y$8</f>
        <v>12452.047182858094</v>
      </c>
      <c r="Z19" s="12">
        <f>Z55*'Income Statement'!Z$8</f>
        <v>12732.218244472399</v>
      </c>
      <c r="AA19" s="12">
        <f>AA55*'Income Statement'!AA$8</f>
        <v>13018.693154973027</v>
      </c>
      <c r="AB19" s="12">
        <f>AB55*'Income Statement'!AB$8</f>
        <v>13311.613750959919</v>
      </c>
      <c r="AC19" s="12">
        <f>AC55*'Income Statement'!AC$8</f>
        <v>13611.125060356517</v>
      </c>
      <c r="AD19" s="12">
        <f>AD55*'Income Statement'!AD$8</f>
        <v>13917.37537421454</v>
      </c>
      <c r="AE19" s="12">
        <f>AE55*'Income Statement'!AE$8</f>
        <v>14230.516320134366</v>
      </c>
      <c r="AF19" s="12">
        <f>AF55*'Income Statement'!AF$8</f>
        <v>14550.702937337388</v>
      </c>
      <c r="AG19" s="12">
        <f>AG55*'Income Statement'!AG$8</f>
        <v>14878.093753427478</v>
      </c>
      <c r="AH19" s="12">
        <f>AH55*'Income Statement'!AH$8</f>
        <v>15212.850862879595</v>
      </c>
      <c r="AI19" s="12">
        <f>AI55*'Income Statement'!AI$8</f>
        <v>11648.268976793912</v>
      </c>
      <c r="AJ19" s="12">
        <f>AJ55*'Income Statement'!AJ$8</f>
        <v>11910.355028771775</v>
      </c>
      <c r="AK19" s="12">
        <f>AK55*'Income Statement'!AK$8</f>
        <v>12178.338016919139</v>
      </c>
      <c r="AL19" s="12">
        <f>AL55*'Income Statement'!AL$8</f>
        <v>12452.350622299818</v>
      </c>
      <c r="AM19" s="12">
        <f>AM55*'Income Statement'!AM$8</f>
        <v>12732.528511301563</v>
      </c>
      <c r="AN19" s="12">
        <f>AN55*'Income Statement'!AN$8</f>
        <v>13019.010402805849</v>
      </c>
      <c r="AO19" s="12">
        <f>AO55*'Income Statement'!AO$8</f>
        <v>13311.938136868981</v>
      </c>
      <c r="AP19" s="12">
        <f>AP55*'Income Statement'!AP$8</f>
        <v>13611.456744948533</v>
      </c>
      <c r="AQ19" s="12">
        <f>AQ55*'Income Statement'!AQ$8</f>
        <v>13917.714521709875</v>
      </c>
    </row>
    <row r="20" spans="2:48" ht="17" thickBot="1">
      <c r="B20" s="34" t="s">
        <v>117</v>
      </c>
      <c r="C20" s="31">
        <f t="shared" ref="C20:S20" si="2">SUM(C15:C19,C14)</f>
        <v>86041</v>
      </c>
      <c r="D20" s="31">
        <f t="shared" si="2"/>
        <v>85040</v>
      </c>
      <c r="E20" s="31">
        <f t="shared" si="2"/>
        <v>85130</v>
      </c>
      <c r="F20" s="31">
        <f t="shared" si="2"/>
        <v>82637</v>
      </c>
      <c r="G20" s="31">
        <f t="shared" si="2"/>
        <v>82354</v>
      </c>
      <c r="H20" s="31">
        <f t="shared" si="2"/>
        <v>83965</v>
      </c>
      <c r="I20" s="31">
        <f t="shared" si="2"/>
        <v>83331</v>
      </c>
      <c r="J20" s="31">
        <f t="shared" si="2"/>
        <v>84397</v>
      </c>
      <c r="K20" s="31">
        <f t="shared" si="2"/>
        <v>84913</v>
      </c>
      <c r="L20" s="31">
        <f t="shared" si="2"/>
        <v>90615</v>
      </c>
      <c r="M20" s="31">
        <f t="shared" si="2"/>
        <v>89800</v>
      </c>
      <c r="N20" s="31">
        <f t="shared" si="2"/>
        <v>91588</v>
      </c>
      <c r="O20" s="31">
        <f t="shared" si="2"/>
        <v>90847</v>
      </c>
      <c r="P20" s="31">
        <f t="shared" si="2"/>
        <v>90688</v>
      </c>
      <c r="Q20" s="31">
        <f t="shared" si="2"/>
        <v>93494</v>
      </c>
      <c r="R20" s="31">
        <f t="shared" si="2"/>
        <v>105694</v>
      </c>
      <c r="S20" s="31">
        <f t="shared" si="2"/>
        <v>106668</v>
      </c>
      <c r="U20" s="31">
        <f>SUM(U15:U19,U14)</f>
        <v>113764.97611090168</v>
      </c>
      <c r="V20" s="31">
        <f t="shared" ref="V20:AQ20" si="3">SUM(V15:V19,V14)</f>
        <v>118743.01456472083</v>
      </c>
      <c r="W20" s="31">
        <f t="shared" si="3"/>
        <v>121756.32701253773</v>
      </c>
      <c r="X20" s="31">
        <f t="shared" si="3"/>
        <v>123114.63531069804</v>
      </c>
      <c r="Y20" s="31">
        <f t="shared" si="3"/>
        <v>124444.77870262371</v>
      </c>
      <c r="Z20" s="31">
        <f t="shared" si="3"/>
        <v>127734.21656819763</v>
      </c>
      <c r="AA20" s="31">
        <f t="shared" si="3"/>
        <v>130996.90407114968</v>
      </c>
      <c r="AB20" s="31">
        <f t="shared" si="3"/>
        <v>134778.53295990016</v>
      </c>
      <c r="AC20" s="31">
        <f t="shared" si="3"/>
        <v>138722.13132486265</v>
      </c>
      <c r="AD20" s="31">
        <f t="shared" si="3"/>
        <v>142334.54004030884</v>
      </c>
      <c r="AE20" s="31">
        <f t="shared" si="3"/>
        <v>145820.24169333483</v>
      </c>
      <c r="AF20" s="31">
        <f t="shared" si="3"/>
        <v>149850.63616334289</v>
      </c>
      <c r="AG20" s="31">
        <f t="shared" si="3"/>
        <v>154251.87651285363</v>
      </c>
      <c r="AH20" s="31">
        <f t="shared" si="3"/>
        <v>158186.83959628697</v>
      </c>
      <c r="AI20" s="31">
        <f t="shared" si="3"/>
        <v>146472.17743473244</v>
      </c>
      <c r="AJ20" s="31">
        <f t="shared" si="3"/>
        <v>149813.98045905723</v>
      </c>
      <c r="AK20" s="31">
        <f t="shared" si="3"/>
        <v>153258.93852364755</v>
      </c>
      <c r="AL20" s="31">
        <f t="shared" si="3"/>
        <v>156689.94924081542</v>
      </c>
      <c r="AM20" s="31">
        <f t="shared" si="3"/>
        <v>159883.69552909664</v>
      </c>
      <c r="AN20" s="31">
        <f t="shared" si="3"/>
        <v>163532.00790517667</v>
      </c>
      <c r="AO20" s="31">
        <f t="shared" si="3"/>
        <v>167341.77397410269</v>
      </c>
      <c r="AP20" s="31">
        <f t="shared" si="3"/>
        <v>170922.00773261883</v>
      </c>
      <c r="AQ20" s="31">
        <f t="shared" si="3"/>
        <v>174417.59199885913</v>
      </c>
    </row>
    <row r="21" spans="2:48" ht="5" customHeight="1">
      <c r="B21" s="19"/>
      <c r="C21" s="19"/>
      <c r="D21" s="19"/>
      <c r="E21" s="19"/>
      <c r="F21" s="19"/>
      <c r="G21" s="19"/>
      <c r="H21" s="19"/>
      <c r="I21" s="19"/>
      <c r="J21" s="19"/>
      <c r="K21" s="19"/>
      <c r="L21" s="19"/>
      <c r="M21" s="19"/>
      <c r="N21" s="19"/>
      <c r="O21" s="19"/>
      <c r="P21" s="19"/>
      <c r="Q21" s="19"/>
      <c r="R21" s="19"/>
    </row>
    <row r="22" spans="2:48" ht="17" customHeight="1">
      <c r="B22" t="s">
        <v>118</v>
      </c>
      <c r="C22" s="12"/>
      <c r="D22" s="12"/>
      <c r="E22" s="12"/>
      <c r="F22" s="12"/>
      <c r="G22" s="12"/>
      <c r="H22" s="12"/>
      <c r="I22" s="12"/>
      <c r="J22" s="12"/>
      <c r="K22" s="12"/>
      <c r="L22" s="12"/>
      <c r="M22" s="12"/>
      <c r="N22" s="12"/>
      <c r="O22" s="12"/>
      <c r="P22" s="12"/>
      <c r="Q22" s="12"/>
      <c r="R22" s="12"/>
      <c r="S22" s="32"/>
      <c r="U22" s="12">
        <f>U44-U20</f>
        <v>0</v>
      </c>
      <c r="V22" s="12">
        <f t="shared" ref="V22:AQ22" si="4">V44-V20</f>
        <v>0</v>
      </c>
      <c r="W22" s="12">
        <f t="shared" si="4"/>
        <v>0</v>
      </c>
      <c r="X22" s="12">
        <f t="shared" si="4"/>
        <v>0</v>
      </c>
      <c r="Y22" s="12">
        <f t="shared" si="4"/>
        <v>0</v>
      </c>
      <c r="Z22" s="12">
        <f t="shared" si="4"/>
        <v>0</v>
      </c>
      <c r="AA22" s="12">
        <f t="shared" si="4"/>
        <v>0</v>
      </c>
      <c r="AB22" s="12">
        <f t="shared" si="4"/>
        <v>0</v>
      </c>
      <c r="AC22" s="12">
        <f t="shared" si="4"/>
        <v>0</v>
      </c>
      <c r="AD22" s="12">
        <f t="shared" si="4"/>
        <v>0</v>
      </c>
      <c r="AE22" s="12">
        <f t="shared" si="4"/>
        <v>0</v>
      </c>
      <c r="AF22" s="12">
        <f t="shared" si="4"/>
        <v>0</v>
      </c>
      <c r="AG22" s="12">
        <f t="shared" si="4"/>
        <v>0</v>
      </c>
      <c r="AH22" s="12">
        <f t="shared" si="4"/>
        <v>0</v>
      </c>
      <c r="AI22" s="12">
        <f t="shared" si="4"/>
        <v>0</v>
      </c>
      <c r="AJ22" s="12">
        <f t="shared" si="4"/>
        <v>0</v>
      </c>
      <c r="AK22" s="12">
        <f t="shared" si="4"/>
        <v>0</v>
      </c>
      <c r="AL22" s="12">
        <f t="shared" si="4"/>
        <v>0</v>
      </c>
      <c r="AM22" s="12">
        <f t="shared" si="4"/>
        <v>0</v>
      </c>
      <c r="AN22" s="12">
        <f t="shared" si="4"/>
        <v>0</v>
      </c>
      <c r="AO22" s="12">
        <f t="shared" si="4"/>
        <v>0</v>
      </c>
      <c r="AP22" s="12">
        <f t="shared" si="4"/>
        <v>0</v>
      </c>
      <c r="AQ22" s="12">
        <f t="shared" si="4"/>
        <v>0</v>
      </c>
    </row>
    <row r="23" spans="2:48">
      <c r="B23" t="s">
        <v>119</v>
      </c>
      <c r="C23" s="12"/>
      <c r="D23" s="12"/>
      <c r="E23" s="12"/>
      <c r="F23" s="12"/>
      <c r="G23" s="12"/>
      <c r="H23" s="12"/>
      <c r="I23" s="12"/>
      <c r="J23" s="12"/>
      <c r="K23" s="12"/>
      <c r="L23" s="12"/>
      <c r="M23" s="12"/>
      <c r="N23" s="12"/>
      <c r="O23" s="12"/>
      <c r="P23" s="12"/>
      <c r="Q23" s="12"/>
      <c r="R23" s="12"/>
      <c r="S23" s="12"/>
    </row>
    <row r="24" spans="2:48">
      <c r="B24" t="s">
        <v>100</v>
      </c>
      <c r="C24" s="12">
        <v>2055</v>
      </c>
      <c r="D24" s="12">
        <v>3379</v>
      </c>
      <c r="E24" s="12">
        <v>3656</v>
      </c>
      <c r="F24" s="12">
        <v>5308</v>
      </c>
      <c r="G24" s="12">
        <v>3175</v>
      </c>
      <c r="H24" s="12">
        <v>3816</v>
      </c>
      <c r="I24" s="12">
        <v>3411</v>
      </c>
      <c r="J24" s="12">
        <v>3610</v>
      </c>
      <c r="K24" s="12">
        <v>6361</v>
      </c>
      <c r="L24" s="12">
        <v>4718</v>
      </c>
      <c r="M24" s="12">
        <v>2420</v>
      </c>
      <c r="N24" s="12">
        <v>6431</v>
      </c>
      <c r="O24" s="12">
        <v>7251</v>
      </c>
      <c r="P24" s="12">
        <v>2488</v>
      </c>
      <c r="Q24" s="12">
        <v>3534</v>
      </c>
      <c r="R24" s="12">
        <v>2412</v>
      </c>
      <c r="S24" s="12">
        <v>1208</v>
      </c>
      <c r="U24" s="12">
        <f>U57*'Income Statement'!U$8</f>
        <v>1235.1799999999998</v>
      </c>
      <c r="V24" s="12">
        <f>V57*'Income Statement'!V$8</f>
        <v>1262.97155</v>
      </c>
      <c r="W24" s="12">
        <f>W57*'Income Statement'!W$8</f>
        <v>1291.3884098749998</v>
      </c>
      <c r="X24" s="12">
        <f>X57*'Income Statement'!X$8</f>
        <v>1320.4446490971873</v>
      </c>
      <c r="Y24" s="12">
        <f>Y57*'Income Statement'!Y$8</f>
        <v>1350.1546537018737</v>
      </c>
      <c r="Z24" s="12">
        <f>Z57*'Income Statement'!Z$8</f>
        <v>1380.5331334101659</v>
      </c>
      <c r="AA24" s="12">
        <f>AA57*'Income Statement'!AA$8</f>
        <v>1411.5951289118946</v>
      </c>
      <c r="AB24" s="12">
        <f>AB57*'Income Statement'!AB$8</f>
        <v>1443.3560193124122</v>
      </c>
      <c r="AC24" s="12">
        <f>AC57*'Income Statement'!AC$8</f>
        <v>1475.8315297469412</v>
      </c>
      <c r="AD24" s="12">
        <f>AD57*'Income Statement'!AD$8</f>
        <v>1509.0377391662475</v>
      </c>
      <c r="AE24" s="12">
        <f>AE57*'Income Statement'!AE$8</f>
        <v>1542.991088297488</v>
      </c>
      <c r="AF24" s="12">
        <f>AF57*'Income Statement'!AF$8</f>
        <v>1577.7083877841812</v>
      </c>
      <c r="AG24" s="12">
        <f>AG57*'Income Statement'!AG$8</f>
        <v>1613.2068265093253</v>
      </c>
      <c r="AH24" s="12">
        <f>AH57*'Income Statement'!AH$8</f>
        <v>1649.5039801057851</v>
      </c>
      <c r="AI24" s="12">
        <f>AI57*'Income Statement'!AI$8</f>
        <v>1263.0023268976793</v>
      </c>
      <c r="AJ24" s="12">
        <f>AJ57*'Income Statement'!AJ$8</f>
        <v>1291.4198792528771</v>
      </c>
      <c r="AK24" s="12">
        <f>AK57*'Income Statement'!AK$8</f>
        <v>1320.4768265360667</v>
      </c>
      <c r="AL24" s="12">
        <f>AL57*'Income Statement'!AL$8</f>
        <v>1350.1875551331282</v>
      </c>
      <c r="AM24" s="12">
        <f>AM57*'Income Statement'!AM$8</f>
        <v>1380.5667751236233</v>
      </c>
      <c r="AN24" s="12">
        <f>AN57*'Income Statement'!AN$8</f>
        <v>1411.629527563905</v>
      </c>
      <c r="AO24" s="12">
        <f>AO57*'Income Statement'!AO$8</f>
        <v>1443.3911919340928</v>
      </c>
      <c r="AP24" s="12">
        <f>AP57*'Income Statement'!AP$8</f>
        <v>1475.86749375261</v>
      </c>
      <c r="AQ24" s="12">
        <f>AQ57*'Income Statement'!AQ$8</f>
        <v>1509.0745123620436</v>
      </c>
    </row>
    <row r="25" spans="2:48">
      <c r="B25" t="s">
        <v>101</v>
      </c>
      <c r="C25" s="12">
        <v>3162</v>
      </c>
      <c r="D25" s="12">
        <v>3024</v>
      </c>
      <c r="E25" s="12">
        <v>3091</v>
      </c>
      <c r="F25" s="12">
        <v>3318</v>
      </c>
      <c r="G25" s="12">
        <v>3018</v>
      </c>
      <c r="H25" s="12">
        <v>3142</v>
      </c>
      <c r="I25" s="12">
        <v>3198</v>
      </c>
      <c r="J25" s="12">
        <v>3738</v>
      </c>
      <c r="K25" s="12">
        <v>3572</v>
      </c>
      <c r="L25" s="12">
        <v>3448</v>
      </c>
      <c r="M25" s="12">
        <v>3744</v>
      </c>
      <c r="N25" s="12">
        <v>4594</v>
      </c>
      <c r="O25" s="12">
        <v>4034</v>
      </c>
      <c r="P25" s="12">
        <v>3897</v>
      </c>
      <c r="Q25" s="12">
        <v>3366</v>
      </c>
      <c r="R25" s="12">
        <v>4609</v>
      </c>
      <c r="S25" s="12">
        <v>3715</v>
      </c>
      <c r="U25" s="13">
        <f>'WC (Days Evaluation)'!T10</f>
        <v>4809.0178881652919</v>
      </c>
      <c r="V25" s="13">
        <f>'WC (Days Evaluation)'!U10</f>
        <v>4914.9897191405453</v>
      </c>
      <c r="W25" s="13">
        <f>'WC (Days Evaluation)'!V10</f>
        <v>5057.7510067357998</v>
      </c>
      <c r="X25" s="13">
        <f>'WC (Days Evaluation)'!W10</f>
        <v>5214.3673549413925</v>
      </c>
      <c r="Y25" s="13">
        <f>'WC (Days Evaluation)'!X10</f>
        <v>5326.0182280383897</v>
      </c>
      <c r="Z25" s="13">
        <f>'WC (Days Evaluation)'!Y10</f>
        <v>5449.6515000854397</v>
      </c>
      <c r="AA25" s="13">
        <f>'WC (Days Evaluation)'!Z10</f>
        <v>5598.4316547849585</v>
      </c>
      <c r="AB25" s="13">
        <f>'WC (Days Evaluation)'!AA10</f>
        <v>5794.9783248346757</v>
      </c>
      <c r="AC25" s="13">
        <f>'WC (Days Evaluation)'!AB10</f>
        <v>5920.0932974683919</v>
      </c>
      <c r="AD25" s="13">
        <f>'WC (Days Evaluation)'!AC10</f>
        <v>6030.2834693060167</v>
      </c>
      <c r="AE25" s="13">
        <f>'WC (Days Evaluation)'!AD10</f>
        <v>6137.146733485105</v>
      </c>
      <c r="AF25" s="13">
        <f>'WC (Days Evaluation)'!AE10</f>
        <v>6250.4659524096069</v>
      </c>
      <c r="AG25" s="13">
        <f>'WC (Days Evaluation)'!AF10</f>
        <v>6461.4862997795344</v>
      </c>
      <c r="AH25" s="13">
        <f>'WC (Days Evaluation)'!AG10</f>
        <v>6567.8124709261165</v>
      </c>
      <c r="AI25" s="13">
        <f>'WC (Days Evaluation)'!AH10</f>
        <v>4953.7015697796842</v>
      </c>
      <c r="AJ25" s="13">
        <f>'WC (Days Evaluation)'!AI10</f>
        <v>5075.5649255102871</v>
      </c>
      <c r="AK25" s="13">
        <f>'WC (Days Evaluation)'!AJ10</f>
        <v>5125.6239265010063</v>
      </c>
      <c r="AL25" s="13">
        <f>'WC (Days Evaluation)'!AK10</f>
        <v>5342.5021113189032</v>
      </c>
      <c r="AM25" s="13">
        <f>'WC (Days Evaluation)'!AL10</f>
        <v>5456.6003759696214</v>
      </c>
      <c r="AN25" s="13">
        <f>'WC (Days Evaluation)'!AM10</f>
        <v>5584.6454979386071</v>
      </c>
      <c r="AO25" s="13">
        <f>'WC (Days Evaluation)'!AN10</f>
        <v>5715.4645876847517</v>
      </c>
      <c r="AP25" s="13">
        <f>'WC (Days Evaluation)'!AO10</f>
        <v>5847.5045638909351</v>
      </c>
      <c r="AQ25" s="13">
        <f>'WC (Days Evaluation)'!AP10</f>
        <v>5980.0320670341171</v>
      </c>
    </row>
    <row r="26" spans="2:48">
      <c r="B26" t="s">
        <v>102</v>
      </c>
      <c r="C26" s="12">
        <v>9709</v>
      </c>
      <c r="D26" s="12">
        <v>9755</v>
      </c>
      <c r="E26" s="12">
        <v>9776</v>
      </c>
      <c r="F26" s="12">
        <v>10151</v>
      </c>
      <c r="G26" s="12">
        <v>10081</v>
      </c>
      <c r="H26" s="12">
        <v>11054</v>
      </c>
      <c r="I26" s="12">
        <v>11768</v>
      </c>
      <c r="J26" s="12">
        <v>12549</v>
      </c>
      <c r="K26" s="12">
        <v>10932</v>
      </c>
      <c r="L26" s="12">
        <v>11182</v>
      </c>
      <c r="M26" s="12">
        <v>11690</v>
      </c>
      <c r="N26" s="12">
        <v>13053</v>
      </c>
      <c r="O26" s="12">
        <v>11911</v>
      </c>
      <c r="P26" s="12">
        <v>12888</v>
      </c>
      <c r="Q26" s="12">
        <v>14214</v>
      </c>
      <c r="R26" s="12">
        <v>13859</v>
      </c>
      <c r="S26" s="12">
        <v>14051</v>
      </c>
      <c r="U26" s="12">
        <f>U58*'Income Statement'!U$8</f>
        <v>14367.147499999999</v>
      </c>
      <c r="V26" s="12">
        <f>V58*'Income Statement'!V$8</f>
        <v>14690.40831875</v>
      </c>
      <c r="W26" s="12">
        <f>W58*'Income Statement'!W$8</f>
        <v>15020.942505921872</v>
      </c>
      <c r="X26" s="12">
        <f>X58*'Income Statement'!X$8</f>
        <v>15358.913712305113</v>
      </c>
      <c r="Y26" s="12">
        <f>Y58*'Income Statement'!Y$8</f>
        <v>15704.489270831979</v>
      </c>
      <c r="Z26" s="12">
        <f>Z58*'Income Statement'!Z$8</f>
        <v>16057.840279425696</v>
      </c>
      <c r="AA26" s="12">
        <f>AA58*'Income Statement'!AA$8</f>
        <v>16419.141685712773</v>
      </c>
      <c r="AB26" s="12">
        <f>AB58*'Income Statement'!AB$8</f>
        <v>16788.572373641309</v>
      </c>
      <c r="AC26" s="12">
        <f>AC58*'Income Statement'!AC$8</f>
        <v>17166.31525204824</v>
      </c>
      <c r="AD26" s="12">
        <f>AD58*'Income Statement'!AD$8</f>
        <v>17552.557345219324</v>
      </c>
      <c r="AE26" s="12">
        <f>AE58*'Income Statement'!AE$8</f>
        <v>17947.489885486757</v>
      </c>
      <c r="AF26" s="12">
        <f>AF58*'Income Statement'!AF$8</f>
        <v>18351.308407910208</v>
      </c>
      <c r="AG26" s="12">
        <f>AG58*'Income Statement'!AG$8</f>
        <v>18764.212847088187</v>
      </c>
      <c r="AH26" s="12">
        <f>AH58*'Income Statement'!AH$8</f>
        <v>19186.407636147673</v>
      </c>
      <c r="AI26" s="12">
        <f>AI58*'Income Statement'!AI$8</f>
        <v>14690.766304006038</v>
      </c>
      <c r="AJ26" s="12">
        <f>AJ58*'Income Statement'!AJ$8</f>
        <v>15021.308545846174</v>
      </c>
      <c r="AK26" s="12">
        <f>AK58*'Income Statement'!AK$8</f>
        <v>15359.287988127711</v>
      </c>
      <c r="AL26" s="12">
        <f>AL58*'Income Statement'!AL$8</f>
        <v>15704.871967860583</v>
      </c>
      <c r="AM26" s="12">
        <f>AM58*'Income Statement'!AM$8</f>
        <v>16058.231587137445</v>
      </c>
      <c r="AN26" s="12">
        <f>AN58*'Income Statement'!AN$8</f>
        <v>16419.541797848036</v>
      </c>
      <c r="AO26" s="12">
        <f>AO58*'Income Statement'!AO$8</f>
        <v>16788.981488299618</v>
      </c>
      <c r="AP26" s="12">
        <f>AP58*'Income Statement'!AP$8</f>
        <v>17166.733571786361</v>
      </c>
      <c r="AQ26" s="12">
        <f>AQ58*'Income Statement'!AQ$8</f>
        <v>17552.985077151552</v>
      </c>
    </row>
    <row r="27" spans="2:48">
      <c r="B27" t="s">
        <v>103</v>
      </c>
      <c r="C27" s="12">
        <v>717</v>
      </c>
      <c r="D27" s="12">
        <v>661</v>
      </c>
      <c r="E27" s="12">
        <v>759</v>
      </c>
      <c r="F27" s="12">
        <v>1971</v>
      </c>
      <c r="G27" s="12">
        <v>807</v>
      </c>
      <c r="H27" s="12">
        <v>634</v>
      </c>
      <c r="I27" s="12">
        <v>873</v>
      </c>
      <c r="J27" s="12">
        <v>736</v>
      </c>
      <c r="K27" s="12">
        <v>1033</v>
      </c>
      <c r="L27" s="12">
        <v>1266</v>
      </c>
      <c r="M27" s="12">
        <v>984</v>
      </c>
      <c r="N27" s="12">
        <v>1575</v>
      </c>
      <c r="O27" s="12">
        <v>1490</v>
      </c>
      <c r="P27" s="12">
        <v>971</v>
      </c>
      <c r="Q27" s="12">
        <v>954</v>
      </c>
      <c r="R27" s="12">
        <v>1224</v>
      </c>
      <c r="S27" s="12">
        <v>1571</v>
      </c>
      <c r="U27" s="12">
        <f>U59*'Income Statement'!U$8</f>
        <v>1788.4649749999999</v>
      </c>
      <c r="V27" s="12">
        <f>V59*'Income Statement'!V$8</f>
        <v>1828.7054369374998</v>
      </c>
      <c r="W27" s="12">
        <f>W59*'Income Statement'!W$8</f>
        <v>1869.8513092685935</v>
      </c>
      <c r="X27" s="12">
        <f>X59*'Income Statement'!X$8</f>
        <v>1911.9229637271367</v>
      </c>
      <c r="Y27" s="12">
        <f>Y59*'Income Statement'!Y$8</f>
        <v>1954.9412304109972</v>
      </c>
      <c r="Z27" s="12">
        <f>Z59*'Income Statement'!Z$8</f>
        <v>1998.9274080952443</v>
      </c>
      <c r="AA27" s="12">
        <f>AA59*'Income Statement'!AA$8</f>
        <v>2043.9032747773874</v>
      </c>
      <c r="AB27" s="12">
        <f>AB59*'Income Statement'!AB$8</f>
        <v>2089.8910984598783</v>
      </c>
      <c r="AC27" s="12">
        <f>AC59*'Income Statement'!AC$8</f>
        <v>2136.9136481752257</v>
      </c>
      <c r="AD27" s="12">
        <f>AD59*'Income Statement'!AD$8</f>
        <v>2184.9942052591682</v>
      </c>
      <c r="AE27" s="12">
        <f>AE59*'Income Statement'!AE$8</f>
        <v>2234.1565748774997</v>
      </c>
      <c r="AF27" s="12">
        <f>AF59*'Income Statement'!AF$8</f>
        <v>2284.4250978122432</v>
      </c>
      <c r="AG27" s="12">
        <f>AG59*'Income Statement'!AG$8</f>
        <v>2335.8246625130182</v>
      </c>
      <c r="AH27" s="12">
        <f>AH59*'Income Statement'!AH$8</f>
        <v>2388.3807174195613</v>
      </c>
      <c r="AI27" s="12">
        <f>AI59*'Income Statement'!AI$8</f>
        <v>1828.75</v>
      </c>
      <c r="AJ27" s="12">
        <f>AJ59*'Income Statement'!AJ$8</f>
        <v>1869.8968749999999</v>
      </c>
      <c r="AK27" s="12">
        <f>AK59*'Income Statement'!AK$8</f>
        <v>1911.9695546874998</v>
      </c>
      <c r="AL27" s="12">
        <f>AL59*'Income Statement'!AL$8</f>
        <v>1954.9888696679684</v>
      </c>
      <c r="AM27" s="12">
        <f>AM59*'Income Statement'!AM$8</f>
        <v>1998.9761192354974</v>
      </c>
      <c r="AN27" s="12">
        <f>AN59*'Income Statement'!AN$8</f>
        <v>2043.9530819182962</v>
      </c>
      <c r="AO27" s="12">
        <f>AO59*'Income Statement'!AO$8</f>
        <v>2089.9420262614581</v>
      </c>
      <c r="AP27" s="12">
        <f>AP59*'Income Statement'!AP$8</f>
        <v>2136.9657218523407</v>
      </c>
      <c r="AQ27" s="12">
        <f>AQ59*'Income Statement'!AQ$8</f>
        <v>2185.0474505940183</v>
      </c>
      <c r="AR27" s="12"/>
      <c r="AS27" s="12"/>
      <c r="AT27" s="12"/>
      <c r="AU27" s="12"/>
      <c r="AV27" s="12"/>
    </row>
    <row r="28" spans="2:48">
      <c r="B28" t="s">
        <v>104</v>
      </c>
      <c r="C28" s="12">
        <v>1317</v>
      </c>
      <c r="D28" s="12">
        <v>1309</v>
      </c>
      <c r="E28" s="12">
        <v>1304</v>
      </c>
      <c r="F28" s="12">
        <v>1458</v>
      </c>
      <c r="G28" s="12">
        <v>1462</v>
      </c>
      <c r="H28" s="12">
        <v>1439</v>
      </c>
      <c r="I28" s="12">
        <v>1434</v>
      </c>
      <c r="J28" s="12">
        <v>1587</v>
      </c>
      <c r="K28" s="12">
        <v>1585</v>
      </c>
      <c r="L28" s="12">
        <v>1564</v>
      </c>
      <c r="M28" s="12">
        <v>1567</v>
      </c>
      <c r="N28" s="12">
        <v>1674</v>
      </c>
      <c r="O28" s="12">
        <v>1675</v>
      </c>
      <c r="P28" s="12">
        <v>1662</v>
      </c>
      <c r="Q28" s="12">
        <v>1660</v>
      </c>
      <c r="R28" s="12">
        <v>1768</v>
      </c>
      <c r="S28" s="12">
        <v>1771</v>
      </c>
      <c r="U28" s="12">
        <f>U60*'Income Statement'!U$8</f>
        <v>1951.0526999999997</v>
      </c>
      <c r="V28" s="12">
        <f>V60*'Income Statement'!V$8</f>
        <v>1994.9513857499999</v>
      </c>
      <c r="W28" s="12">
        <f>W60*'Income Statement'!W$8</f>
        <v>2039.8377919293746</v>
      </c>
      <c r="X28" s="12">
        <f>X60*'Income Statement'!X$8</f>
        <v>2085.7341422477853</v>
      </c>
      <c r="Y28" s="12">
        <f>Y60*'Income Statement'!Y$8</f>
        <v>2132.6631604483605</v>
      </c>
      <c r="Z28" s="12">
        <f>Z60*'Income Statement'!Z$8</f>
        <v>2180.6480815584482</v>
      </c>
      <c r="AA28" s="12">
        <f>AA60*'Income Statement'!AA$8</f>
        <v>2229.7126633935136</v>
      </c>
      <c r="AB28" s="12">
        <f>AB60*'Income Statement'!AB$8</f>
        <v>2279.8811983198675</v>
      </c>
      <c r="AC28" s="12">
        <f>AC60*'Income Statement'!AC$8</f>
        <v>2331.1785252820641</v>
      </c>
      <c r="AD28" s="12">
        <f>AD60*'Income Statement'!AD$8</f>
        <v>2383.6300421009105</v>
      </c>
      <c r="AE28" s="12">
        <f>AE60*'Income Statement'!AE$8</f>
        <v>2437.2617180481811</v>
      </c>
      <c r="AF28" s="12">
        <f>AF60*'Income Statement'!AF$8</f>
        <v>2492.1001067042648</v>
      </c>
      <c r="AG28" s="12">
        <f>AG60*'Income Statement'!AG$8</f>
        <v>2548.1723591051109</v>
      </c>
      <c r="AH28" s="12">
        <f>AH60*'Income Statement'!AH$8</f>
        <v>2605.5062371849758</v>
      </c>
      <c r="AI28" s="12">
        <f>AI60*'Income Statement'!AI$8</f>
        <v>1995</v>
      </c>
      <c r="AJ28" s="12">
        <f>AJ60*'Income Statement'!AJ$8</f>
        <v>2039.8874999999998</v>
      </c>
      <c r="AK28" s="12">
        <f>AK60*'Income Statement'!AK$8</f>
        <v>2085.7849687499997</v>
      </c>
      <c r="AL28" s="12">
        <f>AL60*'Income Statement'!AL$8</f>
        <v>2132.7151305468747</v>
      </c>
      <c r="AM28" s="12">
        <f>AM60*'Income Statement'!AM$8</f>
        <v>2180.7012209841791</v>
      </c>
      <c r="AN28" s="12">
        <f>AN60*'Income Statement'!AN$8</f>
        <v>2229.7669984563231</v>
      </c>
      <c r="AO28" s="12">
        <f>AO60*'Income Statement'!AO$8</f>
        <v>2279.9367559215902</v>
      </c>
      <c r="AP28" s="12">
        <f>AP60*'Income Statement'!AP$8</f>
        <v>2331.2353329298262</v>
      </c>
      <c r="AQ28" s="12">
        <f>AQ60*'Income Statement'!AQ$8</f>
        <v>2383.6881279207473</v>
      </c>
    </row>
    <row r="29" spans="2:48" ht="17" thickBot="1">
      <c r="B29" s="27" t="s">
        <v>105</v>
      </c>
      <c r="C29" s="26">
        <f t="shared" ref="C29:S29" si="5">SUM(C24:C28)</f>
        <v>16960</v>
      </c>
      <c r="D29" s="26">
        <f t="shared" si="5"/>
        <v>18128</v>
      </c>
      <c r="E29" s="26">
        <f t="shared" si="5"/>
        <v>18586</v>
      </c>
      <c r="F29" s="26">
        <f t="shared" si="5"/>
        <v>22206</v>
      </c>
      <c r="G29" s="26">
        <f t="shared" si="5"/>
        <v>18543</v>
      </c>
      <c r="H29" s="26">
        <f t="shared" si="5"/>
        <v>20085</v>
      </c>
      <c r="I29" s="26">
        <f t="shared" si="5"/>
        <v>20684</v>
      </c>
      <c r="J29" s="26">
        <f t="shared" si="5"/>
        <v>22220</v>
      </c>
      <c r="K29" s="26">
        <f t="shared" si="5"/>
        <v>23483</v>
      </c>
      <c r="L29" s="26">
        <f t="shared" si="5"/>
        <v>22178</v>
      </c>
      <c r="M29" s="26">
        <f t="shared" si="5"/>
        <v>20405</v>
      </c>
      <c r="N29" s="26">
        <f t="shared" si="5"/>
        <v>27327</v>
      </c>
      <c r="O29" s="26">
        <f t="shared" si="5"/>
        <v>26361</v>
      </c>
      <c r="P29" s="26">
        <f t="shared" si="5"/>
        <v>21906</v>
      </c>
      <c r="Q29" s="26">
        <f t="shared" si="5"/>
        <v>23728</v>
      </c>
      <c r="R29" s="26">
        <f t="shared" si="5"/>
        <v>23872</v>
      </c>
      <c r="S29" s="26">
        <f t="shared" si="5"/>
        <v>22316</v>
      </c>
      <c r="U29" s="26">
        <f>SUM(U24:U27)</f>
        <v>22199.810363165288</v>
      </c>
      <c r="V29" s="26">
        <f t="shared" ref="V29:AQ29" si="6">SUM(V24:V28)</f>
        <v>24692.026410578044</v>
      </c>
      <c r="W29" s="26">
        <f t="shared" si="6"/>
        <v>25279.771023730638</v>
      </c>
      <c r="X29" s="26">
        <f t="shared" si="6"/>
        <v>25891.382822318617</v>
      </c>
      <c r="Y29" s="26">
        <f t="shared" si="6"/>
        <v>26468.2665434316</v>
      </c>
      <c r="Z29" s="26">
        <f t="shared" si="6"/>
        <v>27067.600402574993</v>
      </c>
      <c r="AA29" s="26">
        <f t="shared" si="6"/>
        <v>27702.78440758053</v>
      </c>
      <c r="AB29" s="26">
        <f t="shared" si="6"/>
        <v>28396.679014568144</v>
      </c>
      <c r="AC29" s="26">
        <f t="shared" si="6"/>
        <v>29030.332252720862</v>
      </c>
      <c r="AD29" s="26">
        <f t="shared" si="6"/>
        <v>29660.502801051669</v>
      </c>
      <c r="AE29" s="26">
        <f t="shared" si="6"/>
        <v>30299.046000195027</v>
      </c>
      <c r="AF29" s="26">
        <f t="shared" si="6"/>
        <v>30956.007952620505</v>
      </c>
      <c r="AG29" s="26">
        <f t="shared" si="6"/>
        <v>31722.90299499518</v>
      </c>
      <c r="AH29" s="26">
        <f t="shared" si="6"/>
        <v>32397.611041784108</v>
      </c>
      <c r="AI29" s="26">
        <f t="shared" si="6"/>
        <v>24731.220200683401</v>
      </c>
      <c r="AJ29" s="26">
        <f t="shared" si="6"/>
        <v>25298.077725609339</v>
      </c>
      <c r="AK29" s="26">
        <f t="shared" si="6"/>
        <v>25803.143264602284</v>
      </c>
      <c r="AL29" s="26">
        <f t="shared" si="6"/>
        <v>26485.265634527463</v>
      </c>
      <c r="AM29" s="26">
        <f t="shared" si="6"/>
        <v>27075.076078450362</v>
      </c>
      <c r="AN29" s="26">
        <f t="shared" si="6"/>
        <v>27689.536903725166</v>
      </c>
      <c r="AO29" s="26">
        <f t="shared" si="6"/>
        <v>28317.71605010151</v>
      </c>
      <c r="AP29" s="26">
        <f t="shared" si="6"/>
        <v>28958.306684212075</v>
      </c>
      <c r="AQ29" s="26">
        <f t="shared" si="6"/>
        <v>29610.827235062479</v>
      </c>
    </row>
    <row r="30" spans="2:48">
      <c r="B30" t="s">
        <v>106</v>
      </c>
      <c r="C30" s="12">
        <v>21501</v>
      </c>
      <c r="D30" s="12">
        <v>19959</v>
      </c>
      <c r="E30" s="12">
        <v>19936</v>
      </c>
      <c r="F30" s="12">
        <v>19806</v>
      </c>
      <c r="G30" s="12">
        <v>22721</v>
      </c>
      <c r="H30" s="12">
        <v>22771</v>
      </c>
      <c r="I30" s="12">
        <v>22677</v>
      </c>
      <c r="J30" s="12">
        <v>22736</v>
      </c>
      <c r="K30" s="12">
        <v>21637</v>
      </c>
      <c r="L30" s="12">
        <v>26156</v>
      </c>
      <c r="M30" s="12">
        <v>26321</v>
      </c>
      <c r="N30" s="12">
        <v>25360</v>
      </c>
      <c r="O30" s="12">
        <v>24002</v>
      </c>
      <c r="P30" s="12">
        <v>24033</v>
      </c>
      <c r="Q30" s="12">
        <v>22907</v>
      </c>
      <c r="R30" s="12">
        <v>30690</v>
      </c>
      <c r="S30" s="12">
        <v>30586</v>
      </c>
      <c r="U30" s="12">
        <f>'Interest Financing'!U8</f>
        <v>38212.154872736384</v>
      </c>
      <c r="V30" s="12">
        <f>'Interest Financing'!V8</f>
        <v>40418.977034455282</v>
      </c>
      <c r="W30" s="12">
        <f>'Interest Financing'!W8</f>
        <v>42559.267118926633</v>
      </c>
      <c r="X30" s="12">
        <f>'Interest Financing'!X8</f>
        <v>43014.267118926633</v>
      </c>
      <c r="Y30" s="12">
        <f>'Interest Financing'!Y8</f>
        <v>43469.267118926633</v>
      </c>
      <c r="Z30" s="12">
        <f>'Interest Financing'!Z8</f>
        <v>45854.400611951198</v>
      </c>
      <c r="AA30" s="12">
        <f>'Interest Financing'!AA8</f>
        <v>48170.071759940103</v>
      </c>
      <c r="AB30" s="12">
        <f>'Interest Financing'!AB8</f>
        <v>50938.957463871309</v>
      </c>
      <c r="AC30" s="12">
        <f>'Interest Financing'!AC8</f>
        <v>53922.879919848208</v>
      </c>
      <c r="AD30" s="12">
        <f>'Interest Financing'!AD8</f>
        <v>56571.759906037019</v>
      </c>
      <c r="AE30" s="12">
        <f>'Interest Financing'!AE8</f>
        <v>59078.059619922184</v>
      </c>
      <c r="AF30" s="12">
        <f>'Interest Financing'!AF8</f>
        <v>62102.964075857366</v>
      </c>
      <c r="AG30" s="12">
        <f>'Interest Financing'!AG8</f>
        <v>65380.939439958987</v>
      </c>
      <c r="AH30" s="12">
        <f>'Interest Financing'!AH8</f>
        <v>68276.806209850634</v>
      </c>
      <c r="AI30" s="12">
        <f>'Interest Financing'!AI8</f>
        <v>68108.637144117587</v>
      </c>
      <c r="AJ30" s="12">
        <f>'Interest Financing'!AJ8</f>
        <v>70598.297941492987</v>
      </c>
      <c r="AK30" s="12">
        <f>'Interest Financing'!AK8</f>
        <v>73246.486859271376</v>
      </c>
      <c r="AL30" s="12">
        <f>'Interest Financing'!AL8</f>
        <v>75697.108267519143</v>
      </c>
      <c r="AM30" s="12">
        <f>'Interest Financing'!AM8</f>
        <v>77996.066166755176</v>
      </c>
      <c r="AN30" s="12">
        <f>'Interest Financing'!AN8</f>
        <v>80718.07776867284</v>
      </c>
      <c r="AO30" s="12">
        <f>'Interest Financing'!AO8</f>
        <v>83580.808343484998</v>
      </c>
      <c r="AP30" s="12">
        <f>'Interest Financing'!AP8</f>
        <v>86194.420852328985</v>
      </c>
      <c r="AQ30" s="12">
        <f>'Interest Financing'!AQ8</f>
        <v>88704.118263307144</v>
      </c>
    </row>
    <row r="31" spans="2:48">
      <c r="B31" t="s">
        <v>107</v>
      </c>
      <c r="C31" s="12">
        <v>2206</v>
      </c>
      <c r="D31" s="12">
        <v>2159</v>
      </c>
      <c r="E31" s="12">
        <v>2065</v>
      </c>
      <c r="F31" s="12">
        <v>1702</v>
      </c>
      <c r="G31" s="12">
        <v>1835</v>
      </c>
      <c r="H31" s="12">
        <v>2089</v>
      </c>
      <c r="I31" s="12">
        <v>1960</v>
      </c>
      <c r="J31" s="12">
        <v>1470</v>
      </c>
      <c r="K31" s="12">
        <v>1943</v>
      </c>
      <c r="L31" s="12">
        <v>2091</v>
      </c>
      <c r="M31" s="12">
        <v>1777</v>
      </c>
      <c r="N31" s="12">
        <v>1015</v>
      </c>
      <c r="O31" s="12">
        <v>1204</v>
      </c>
      <c r="P31" s="12">
        <v>1489</v>
      </c>
      <c r="Q31" s="12">
        <v>1527</v>
      </c>
      <c r="R31" s="12">
        <v>3441</v>
      </c>
      <c r="S31" s="12">
        <v>3071</v>
      </c>
      <c r="U31" s="12">
        <f>U61*'Income Statement'!U$8</f>
        <v>2438.8158749999998</v>
      </c>
      <c r="V31" s="12">
        <f>V61*'Income Statement'!V$8</f>
        <v>2493.6892321874998</v>
      </c>
      <c r="W31" s="12">
        <f>W61*'Income Statement'!W$8</f>
        <v>2549.7972399117184</v>
      </c>
      <c r="X31" s="12">
        <f>X61*'Income Statement'!X$8</f>
        <v>2607.1676778097317</v>
      </c>
      <c r="Y31" s="12">
        <f>Y61*'Income Statement'!Y$8</f>
        <v>2665.8289505604507</v>
      </c>
      <c r="Z31" s="12">
        <f>Z61*'Income Statement'!Z$8</f>
        <v>2725.8101019480605</v>
      </c>
      <c r="AA31" s="12">
        <f>AA61*'Income Statement'!AA$8</f>
        <v>2787.1408292418919</v>
      </c>
      <c r="AB31" s="12">
        <f>AB61*'Income Statement'!AB$8</f>
        <v>2849.8514978998342</v>
      </c>
      <c r="AC31" s="12">
        <f>AC61*'Income Statement'!AC$8</f>
        <v>2913.9731566025803</v>
      </c>
      <c r="AD31" s="12">
        <f>AD61*'Income Statement'!AD$8</f>
        <v>2979.5375526261382</v>
      </c>
      <c r="AE31" s="12">
        <f>AE61*'Income Statement'!AE$8</f>
        <v>3046.5771475602264</v>
      </c>
      <c r="AF31" s="12">
        <f>AF61*'Income Statement'!AF$8</f>
        <v>3115.1251333803311</v>
      </c>
      <c r="AG31" s="12">
        <f>AG61*'Income Statement'!AG$8</f>
        <v>3185.2154488813885</v>
      </c>
      <c r="AH31" s="12">
        <f>AH61*'Income Statement'!AH$8</f>
        <v>3256.8827964812194</v>
      </c>
      <c r="AI31" s="12">
        <f>AI61*'Income Statement'!AI$8</f>
        <v>2493.75</v>
      </c>
      <c r="AJ31" s="12">
        <f>AJ61*'Income Statement'!AJ$8</f>
        <v>2549.859375</v>
      </c>
      <c r="AK31" s="12">
        <f>AK61*'Income Statement'!AK$8</f>
        <v>2607.2312109374998</v>
      </c>
      <c r="AL31" s="12">
        <f>AL61*'Income Statement'!AL$8</f>
        <v>2665.8939131835932</v>
      </c>
      <c r="AM31" s="12">
        <f>AM61*'Income Statement'!AM$8</f>
        <v>2725.8765262302236</v>
      </c>
      <c r="AN31" s="12">
        <f>AN61*'Income Statement'!AN$8</f>
        <v>2787.208748070404</v>
      </c>
      <c r="AO31" s="12">
        <f>AO61*'Income Statement'!AO$8</f>
        <v>2849.9209449019882</v>
      </c>
      <c r="AP31" s="12">
        <f>AP61*'Income Statement'!AP$8</f>
        <v>2914.0441661622831</v>
      </c>
      <c r="AQ31" s="12">
        <f>AQ61*'Income Statement'!AQ$8</f>
        <v>2979.6101599009339</v>
      </c>
    </row>
    <row r="32" spans="2:48" ht="17" thickBot="1">
      <c r="B32" s="27" t="s">
        <v>108</v>
      </c>
      <c r="C32" s="26">
        <v>11473</v>
      </c>
      <c r="D32" s="26">
        <v>12028</v>
      </c>
      <c r="E32" s="26">
        <v>11887</v>
      </c>
      <c r="F32" s="26">
        <v>12041</v>
      </c>
      <c r="G32" s="26">
        <v>11585</v>
      </c>
      <c r="H32" s="26">
        <v>11283</v>
      </c>
      <c r="I32" s="26">
        <v>11085</v>
      </c>
      <c r="J32" s="26">
        <v>11970</v>
      </c>
      <c r="K32" s="26">
        <v>11550</v>
      </c>
      <c r="L32" s="26">
        <v>12446</v>
      </c>
      <c r="M32" s="26">
        <v>12027</v>
      </c>
      <c r="N32" s="26">
        <v>12482</v>
      </c>
      <c r="O32" s="26">
        <v>12241</v>
      </c>
      <c r="P32" s="26">
        <v>9872</v>
      </c>
      <c r="Q32" s="26">
        <v>9469</v>
      </c>
      <c r="R32" s="26">
        <v>9434</v>
      </c>
      <c r="S32" s="26">
        <v>9742</v>
      </c>
      <c r="U32" s="12">
        <f>U62*'Income Statement'!U$8</f>
        <v>9961.1949999999997</v>
      </c>
      <c r="V32" s="12">
        <f>V62*'Income Statement'!V$8</f>
        <v>10185.3218875</v>
      </c>
      <c r="W32" s="12">
        <f>W62*'Income Statement'!W$8</f>
        <v>10414.491629968748</v>
      </c>
      <c r="X32" s="12">
        <f>X62*'Income Statement'!X$8</f>
        <v>10648.817691643046</v>
      </c>
      <c r="Y32" s="12">
        <f>Y62*'Income Statement'!Y$8</f>
        <v>10888.416089705013</v>
      </c>
      <c r="Z32" s="12">
        <f>Z62*'Income Statement'!Z$8</f>
        <v>11133.405451723374</v>
      </c>
      <c r="AA32" s="12">
        <f>AA62*'Income Statement'!AA$8</f>
        <v>11383.907074387151</v>
      </c>
      <c r="AB32" s="12">
        <f>AB62*'Income Statement'!AB$8</f>
        <v>11640.044983560862</v>
      </c>
      <c r="AC32" s="12">
        <f>AC62*'Income Statement'!AC$8</f>
        <v>11901.94599569098</v>
      </c>
      <c r="AD32" s="12">
        <f>AD62*'Income Statement'!AD$8</f>
        <v>12169.739780594027</v>
      </c>
      <c r="AE32" s="12">
        <f>AE62*'Income Statement'!AE$8</f>
        <v>12443.558925657393</v>
      </c>
      <c r="AF32" s="12">
        <f>AF62*'Income Statement'!AF$8</f>
        <v>12723.539001484682</v>
      </c>
      <c r="AG32" s="12">
        <f>AG62*'Income Statement'!AG$8</f>
        <v>13009.818629018087</v>
      </c>
      <c r="AH32" s="12">
        <f>AH62*'Income Statement'!AH$8</f>
        <v>13302.539548170993</v>
      </c>
      <c r="AI32" s="12">
        <f>AI62*'Income Statement'!AI$8</f>
        <v>10185.570089931452</v>
      </c>
      <c r="AJ32" s="12">
        <f>AJ62*'Income Statement'!AJ$8</f>
        <v>10414.745416954909</v>
      </c>
      <c r="AK32" s="12">
        <f>AK62*'Income Statement'!AK$8</f>
        <v>10649.077188836394</v>
      </c>
      <c r="AL32" s="12">
        <f>AL62*'Income Statement'!AL$8</f>
        <v>10888.681425585211</v>
      </c>
      <c r="AM32" s="12">
        <f>AM62*'Income Statement'!AM$8</f>
        <v>11133.676757660878</v>
      </c>
      <c r="AN32" s="12">
        <f>AN62*'Income Statement'!AN$8</f>
        <v>11384.184484708248</v>
      </c>
      <c r="AO32" s="12">
        <f>AO62*'Income Statement'!AO$8</f>
        <v>11640.328635614183</v>
      </c>
      <c r="AP32" s="12">
        <f>AP62*'Income Statement'!AP$8</f>
        <v>11902.236029915504</v>
      </c>
      <c r="AQ32" s="12">
        <f>AQ62*'Income Statement'!AQ$8</f>
        <v>12170.036340588602</v>
      </c>
    </row>
    <row r="33" spans="2:43" ht="17" thickBot="1">
      <c r="B33" s="39" t="s">
        <v>121</v>
      </c>
      <c r="C33" s="41">
        <f t="shared" ref="C33:S33" si="7">SUM(C29:C32)</f>
        <v>52140</v>
      </c>
      <c r="D33" s="41">
        <f t="shared" si="7"/>
        <v>52274</v>
      </c>
      <c r="E33" s="41">
        <f t="shared" si="7"/>
        <v>52474</v>
      </c>
      <c r="F33" s="41">
        <f t="shared" si="7"/>
        <v>55755</v>
      </c>
      <c r="G33" s="41">
        <f t="shared" si="7"/>
        <v>54684</v>
      </c>
      <c r="H33" s="41">
        <f t="shared" si="7"/>
        <v>56228</v>
      </c>
      <c r="I33" s="41">
        <f t="shared" si="7"/>
        <v>56406</v>
      </c>
      <c r="J33" s="41">
        <f t="shared" si="7"/>
        <v>58396</v>
      </c>
      <c r="K33" s="41">
        <f t="shared" si="7"/>
        <v>58613</v>
      </c>
      <c r="L33" s="41">
        <f t="shared" si="7"/>
        <v>62871</v>
      </c>
      <c r="M33" s="41">
        <f t="shared" si="7"/>
        <v>60530</v>
      </c>
      <c r="N33" s="41">
        <f t="shared" si="7"/>
        <v>66184</v>
      </c>
      <c r="O33" s="41">
        <f t="shared" si="7"/>
        <v>63808</v>
      </c>
      <c r="P33" s="41">
        <f t="shared" si="7"/>
        <v>57300</v>
      </c>
      <c r="Q33" s="41">
        <f t="shared" si="7"/>
        <v>57631</v>
      </c>
      <c r="R33" s="41">
        <f t="shared" si="7"/>
        <v>67437</v>
      </c>
      <c r="S33" s="41">
        <f t="shared" si="7"/>
        <v>65715</v>
      </c>
      <c r="U33" s="41">
        <f>SUM(U29:U32)</f>
        <v>72811.976110901684</v>
      </c>
      <c r="V33" s="41">
        <f t="shared" ref="V33:AQ33" si="8">SUM(V29:V32)</f>
        <v>77790.014564720826</v>
      </c>
      <c r="W33" s="41">
        <f t="shared" si="8"/>
        <v>80803.327012537731</v>
      </c>
      <c r="X33" s="41">
        <f t="shared" si="8"/>
        <v>82161.635310698039</v>
      </c>
      <c r="Y33" s="41">
        <f t="shared" si="8"/>
        <v>83491.778702623706</v>
      </c>
      <c r="Z33" s="41">
        <f t="shared" si="8"/>
        <v>86781.216568197633</v>
      </c>
      <c r="AA33" s="41">
        <f t="shared" si="8"/>
        <v>90043.904071149678</v>
      </c>
      <c r="AB33" s="41">
        <f t="shared" si="8"/>
        <v>93825.532959900142</v>
      </c>
      <c r="AC33" s="41">
        <f t="shared" si="8"/>
        <v>97769.131324862639</v>
      </c>
      <c r="AD33" s="41">
        <f t="shared" si="8"/>
        <v>101381.54004030886</v>
      </c>
      <c r="AE33" s="41">
        <f t="shared" si="8"/>
        <v>104867.24169333483</v>
      </c>
      <c r="AF33" s="41">
        <f t="shared" si="8"/>
        <v>108897.63616334289</v>
      </c>
      <c r="AG33" s="41">
        <f t="shared" si="8"/>
        <v>113298.87651285363</v>
      </c>
      <c r="AH33" s="41">
        <f t="shared" si="8"/>
        <v>117233.83959628697</v>
      </c>
      <c r="AI33" s="41">
        <f t="shared" si="8"/>
        <v>105519.17743473244</v>
      </c>
      <c r="AJ33" s="41">
        <f t="shared" si="8"/>
        <v>108860.98045905723</v>
      </c>
      <c r="AK33" s="41">
        <f t="shared" si="8"/>
        <v>112305.93852364756</v>
      </c>
      <c r="AL33" s="41">
        <f t="shared" si="8"/>
        <v>115736.9492408154</v>
      </c>
      <c r="AM33" s="41">
        <f t="shared" si="8"/>
        <v>118930.69552909664</v>
      </c>
      <c r="AN33" s="41">
        <f t="shared" si="8"/>
        <v>122579.00790517667</v>
      </c>
      <c r="AO33" s="41">
        <f t="shared" si="8"/>
        <v>126388.77397410266</v>
      </c>
      <c r="AP33" s="41">
        <f t="shared" si="8"/>
        <v>129969.00773261886</v>
      </c>
      <c r="AQ33" s="41">
        <f t="shared" si="8"/>
        <v>133464.59199885913</v>
      </c>
    </row>
    <row r="34" spans="2:43">
      <c r="C34" s="12"/>
      <c r="D34" s="12"/>
      <c r="E34" s="12"/>
      <c r="F34" s="12"/>
      <c r="G34" s="12"/>
      <c r="H34" s="12"/>
      <c r="I34" s="12"/>
      <c r="J34" s="12"/>
      <c r="K34" s="12"/>
      <c r="L34" s="12"/>
      <c r="M34" s="12"/>
      <c r="N34" s="12"/>
      <c r="O34" s="12"/>
      <c r="P34" s="12"/>
      <c r="Q34" s="12"/>
      <c r="R34" s="12"/>
      <c r="S34" s="12"/>
    </row>
    <row r="35" spans="2:43">
      <c r="B35" t="s">
        <v>109</v>
      </c>
      <c r="C35" s="12">
        <v>1788</v>
      </c>
      <c r="D35" s="12">
        <v>1788</v>
      </c>
      <c r="E35" s="12">
        <v>1788</v>
      </c>
      <c r="F35" s="12">
        <v>1788</v>
      </c>
      <c r="G35" s="12">
        <v>1788</v>
      </c>
      <c r="H35" s="12">
        <v>1788</v>
      </c>
      <c r="I35" s="12">
        <v>1788</v>
      </c>
      <c r="J35" s="12">
        <v>1788</v>
      </c>
      <c r="K35" s="12">
        <v>1788</v>
      </c>
      <c r="L35" s="12">
        <v>1788</v>
      </c>
      <c r="M35" s="12">
        <v>1788</v>
      </c>
      <c r="N35" s="12">
        <v>1788</v>
      </c>
      <c r="O35" s="12">
        <v>1788</v>
      </c>
      <c r="P35" s="12">
        <v>1788</v>
      </c>
      <c r="Q35" s="12">
        <v>1788</v>
      </c>
      <c r="R35" s="12">
        <v>1788</v>
      </c>
      <c r="S35" s="12">
        <v>1788</v>
      </c>
      <c r="U35" s="12">
        <v>1788</v>
      </c>
      <c r="V35" s="12">
        <v>1788</v>
      </c>
      <c r="W35" s="12">
        <v>1788</v>
      </c>
      <c r="X35" s="12">
        <v>1788</v>
      </c>
      <c r="Y35" s="12">
        <v>1788</v>
      </c>
      <c r="Z35" s="12">
        <v>1788</v>
      </c>
      <c r="AA35" s="12">
        <v>1788</v>
      </c>
      <c r="AB35" s="12">
        <v>1788</v>
      </c>
      <c r="AC35" s="12">
        <v>1788</v>
      </c>
      <c r="AD35" s="12">
        <v>1788</v>
      </c>
      <c r="AE35" s="12">
        <v>1788</v>
      </c>
      <c r="AF35" s="12">
        <v>1788</v>
      </c>
      <c r="AG35" s="12">
        <v>1788</v>
      </c>
      <c r="AH35" s="12">
        <v>1788</v>
      </c>
      <c r="AI35" s="12">
        <v>1788</v>
      </c>
      <c r="AJ35" s="12">
        <v>1788</v>
      </c>
      <c r="AK35" s="12">
        <v>1788</v>
      </c>
      <c r="AL35" s="12">
        <v>1788</v>
      </c>
      <c r="AM35" s="12">
        <v>1788</v>
      </c>
      <c r="AN35" s="12">
        <v>1788</v>
      </c>
      <c r="AO35" s="12">
        <v>1788</v>
      </c>
      <c r="AP35" s="12">
        <v>1788</v>
      </c>
      <c r="AQ35" s="12">
        <v>1788</v>
      </c>
    </row>
    <row r="36" spans="2:43">
      <c r="B36" t="s">
        <v>110</v>
      </c>
      <c r="C36" s="12">
        <v>39874</v>
      </c>
      <c r="D36" s="12">
        <v>39741</v>
      </c>
      <c r="E36" s="12">
        <v>44238</v>
      </c>
      <c r="F36" s="12">
        <v>38808</v>
      </c>
      <c r="G36" s="12">
        <v>38768</v>
      </c>
      <c r="H36" s="12">
        <v>39484</v>
      </c>
      <c r="I36" s="12">
        <v>39561</v>
      </c>
      <c r="J36" s="12">
        <v>39660</v>
      </c>
      <c r="K36" s="12">
        <v>39697</v>
      </c>
      <c r="L36" s="12">
        <v>39373</v>
      </c>
      <c r="M36" s="12">
        <v>39489</v>
      </c>
      <c r="N36" s="12">
        <v>39588</v>
      </c>
      <c r="O36" s="12">
        <v>39613</v>
      </c>
      <c r="P36" s="12">
        <v>44039</v>
      </c>
      <c r="Q36" s="12">
        <v>44149</v>
      </c>
      <c r="R36" s="12">
        <v>44238</v>
      </c>
      <c r="S36" s="12">
        <v>44275</v>
      </c>
      <c r="U36" s="12">
        <v>44275</v>
      </c>
      <c r="V36" s="12">
        <v>44275</v>
      </c>
      <c r="W36" s="12">
        <v>44275</v>
      </c>
      <c r="X36" s="12">
        <v>44275</v>
      </c>
      <c r="Y36" s="12">
        <v>44275</v>
      </c>
      <c r="Z36" s="12">
        <v>44275</v>
      </c>
      <c r="AA36" s="12">
        <v>44275</v>
      </c>
      <c r="AB36" s="12">
        <v>44275</v>
      </c>
      <c r="AC36" s="12">
        <v>44275</v>
      </c>
      <c r="AD36" s="12">
        <v>44275</v>
      </c>
      <c r="AE36" s="12">
        <v>44275</v>
      </c>
      <c r="AF36" s="12">
        <v>44275</v>
      </c>
      <c r="AG36" s="12">
        <v>44275</v>
      </c>
      <c r="AH36" s="12">
        <v>44275</v>
      </c>
      <c r="AI36" s="12">
        <v>44275</v>
      </c>
      <c r="AJ36" s="12">
        <v>44275</v>
      </c>
      <c r="AK36" s="12">
        <v>44275</v>
      </c>
      <c r="AL36" s="12">
        <v>44275</v>
      </c>
      <c r="AM36" s="12">
        <v>44275</v>
      </c>
      <c r="AN36" s="12">
        <v>44275</v>
      </c>
      <c r="AO36" s="12">
        <v>44275</v>
      </c>
      <c r="AP36" s="12">
        <v>44275</v>
      </c>
      <c r="AQ36" s="12">
        <v>44275</v>
      </c>
    </row>
    <row r="37" spans="2:43">
      <c r="B37" t="s">
        <v>111</v>
      </c>
      <c r="C37" s="12">
        <v>41107</v>
      </c>
      <c r="D37" s="12">
        <v>41523</v>
      </c>
      <c r="E37" s="12">
        <v>53696</v>
      </c>
      <c r="F37" s="12">
        <v>42579</v>
      </c>
      <c r="G37" s="12">
        <v>44065</v>
      </c>
      <c r="H37" s="12">
        <v>45295</v>
      </c>
      <c r="I37" s="12">
        <v>45804</v>
      </c>
      <c r="J37" s="12">
        <v>46602</v>
      </c>
      <c r="K37" s="12">
        <v>48272</v>
      </c>
      <c r="L37" s="12">
        <v>49724</v>
      </c>
      <c r="M37" s="12">
        <v>51107</v>
      </c>
      <c r="N37" s="12">
        <v>47362</v>
      </c>
      <c r="O37" s="12">
        <v>48888</v>
      </c>
      <c r="P37" s="12">
        <v>48777</v>
      </c>
      <c r="Q37" s="12">
        <v>51691</v>
      </c>
      <c r="R37" s="12">
        <v>53696</v>
      </c>
      <c r="S37" s="12">
        <v>56252</v>
      </c>
      <c r="U37" s="12">
        <v>56252</v>
      </c>
      <c r="V37" s="12">
        <v>56252</v>
      </c>
      <c r="W37" s="12">
        <v>56252</v>
      </c>
      <c r="X37" s="12">
        <v>56252</v>
      </c>
      <c r="Y37" s="12">
        <v>56252</v>
      </c>
      <c r="Z37" s="12">
        <v>56252</v>
      </c>
      <c r="AA37" s="12">
        <v>56252</v>
      </c>
      <c r="AB37" s="12">
        <v>56252</v>
      </c>
      <c r="AC37" s="12">
        <v>56252</v>
      </c>
      <c r="AD37" s="12">
        <v>56252</v>
      </c>
      <c r="AE37" s="12">
        <v>56252</v>
      </c>
      <c r="AF37" s="12">
        <v>56252</v>
      </c>
      <c r="AG37" s="12">
        <v>56252</v>
      </c>
      <c r="AH37" s="12">
        <v>56252</v>
      </c>
      <c r="AI37" s="12">
        <v>56252</v>
      </c>
      <c r="AJ37" s="12">
        <v>56252</v>
      </c>
      <c r="AK37" s="12">
        <v>56252</v>
      </c>
      <c r="AL37" s="12">
        <v>56252</v>
      </c>
      <c r="AM37" s="12">
        <v>56252</v>
      </c>
      <c r="AN37" s="12">
        <v>56252</v>
      </c>
      <c r="AO37" s="12">
        <v>56252</v>
      </c>
      <c r="AP37" s="12">
        <v>56252</v>
      </c>
      <c r="AQ37" s="12">
        <v>56252</v>
      </c>
    </row>
    <row r="38" spans="2:43">
      <c r="B38" t="s">
        <v>112</v>
      </c>
      <c r="C38" s="12">
        <v>-5060</v>
      </c>
      <c r="D38" s="12">
        <v>-5122</v>
      </c>
      <c r="E38" s="12">
        <v>-4429</v>
      </c>
      <c r="F38" s="12">
        <v>-5545</v>
      </c>
      <c r="G38" s="12">
        <v>-5346</v>
      </c>
      <c r="H38" s="12">
        <v>-5362</v>
      </c>
      <c r="I38" s="12">
        <v>-5390</v>
      </c>
      <c r="J38" s="12">
        <v>-6193</v>
      </c>
      <c r="K38" s="12">
        <v>-6391</v>
      </c>
      <c r="L38" s="12">
        <v>-6393</v>
      </c>
      <c r="M38" s="12">
        <v>-6383</v>
      </c>
      <c r="N38" s="12">
        <v>-6634</v>
      </c>
      <c r="O38" s="12">
        <v>-6622</v>
      </c>
      <c r="P38" s="12">
        <v>-4628</v>
      </c>
      <c r="Q38" s="12">
        <v>-4590</v>
      </c>
      <c r="R38" s="12">
        <v>-4429</v>
      </c>
      <c r="S38" s="12">
        <v>-4369</v>
      </c>
      <c r="U38" s="12">
        <v>-4369</v>
      </c>
      <c r="V38" s="12">
        <v>-4369</v>
      </c>
      <c r="W38" s="12">
        <v>-4369</v>
      </c>
      <c r="X38" s="12">
        <v>-4369</v>
      </c>
      <c r="Y38" s="12">
        <v>-4369</v>
      </c>
      <c r="Z38" s="12">
        <v>-4369</v>
      </c>
      <c r="AA38" s="12">
        <v>-4369</v>
      </c>
      <c r="AB38" s="12">
        <v>-4369</v>
      </c>
      <c r="AC38" s="12">
        <v>-4369</v>
      </c>
      <c r="AD38" s="12">
        <v>-4369</v>
      </c>
      <c r="AE38" s="12">
        <v>-4369</v>
      </c>
      <c r="AF38" s="12">
        <v>-4369</v>
      </c>
      <c r="AG38" s="12">
        <v>-4369</v>
      </c>
      <c r="AH38" s="12">
        <v>-4369</v>
      </c>
      <c r="AI38" s="12">
        <v>-4369</v>
      </c>
      <c r="AJ38" s="12">
        <v>-4369</v>
      </c>
      <c r="AK38" s="12">
        <v>-4369</v>
      </c>
      <c r="AL38" s="12">
        <v>-4369</v>
      </c>
      <c r="AM38" s="12">
        <v>-4369</v>
      </c>
      <c r="AN38" s="12">
        <v>-4369</v>
      </c>
      <c r="AO38" s="12">
        <v>-4369</v>
      </c>
      <c r="AP38" s="12">
        <v>-4369</v>
      </c>
      <c r="AQ38" s="12">
        <v>-4369</v>
      </c>
    </row>
    <row r="39" spans="2:43" ht="17" thickBot="1">
      <c r="B39" s="27"/>
      <c r="C39" s="26">
        <f t="shared" ref="C39:S39" si="9">SUM(C35:C38)</f>
        <v>77709</v>
      </c>
      <c r="D39" s="26">
        <f t="shared" si="9"/>
        <v>77930</v>
      </c>
      <c r="E39" s="26">
        <f t="shared" si="9"/>
        <v>95293</v>
      </c>
      <c r="F39" s="26">
        <f t="shared" si="9"/>
        <v>77630</v>
      </c>
      <c r="G39" s="26">
        <f t="shared" si="9"/>
        <v>79275</v>
      </c>
      <c r="H39" s="26">
        <f t="shared" si="9"/>
        <v>81205</v>
      </c>
      <c r="I39" s="26">
        <f t="shared" si="9"/>
        <v>81763</v>
      </c>
      <c r="J39" s="26">
        <f t="shared" si="9"/>
        <v>81857</v>
      </c>
      <c r="K39" s="26">
        <f t="shared" si="9"/>
        <v>83366</v>
      </c>
      <c r="L39" s="26">
        <f t="shared" si="9"/>
        <v>84492</v>
      </c>
      <c r="M39" s="26">
        <f t="shared" si="9"/>
        <v>86001</v>
      </c>
      <c r="N39" s="26">
        <f t="shared" si="9"/>
        <v>82104</v>
      </c>
      <c r="O39" s="26">
        <f t="shared" si="9"/>
        <v>83667</v>
      </c>
      <c r="P39" s="26">
        <f t="shared" si="9"/>
        <v>89976</v>
      </c>
      <c r="Q39" s="26">
        <f t="shared" si="9"/>
        <v>93038</v>
      </c>
      <c r="R39" s="26">
        <f t="shared" si="9"/>
        <v>95293</v>
      </c>
      <c r="S39" s="26">
        <f t="shared" si="9"/>
        <v>97946</v>
      </c>
      <c r="U39" s="26">
        <f>SUM(U35:U38)</f>
        <v>97946</v>
      </c>
      <c r="V39" s="26">
        <f>SUM(V35:V38)</f>
        <v>97946</v>
      </c>
      <c r="W39" s="26">
        <f t="shared" ref="W39:AQ39" si="10">SUM(W35:W38)</f>
        <v>97946</v>
      </c>
      <c r="X39" s="26">
        <f t="shared" si="10"/>
        <v>97946</v>
      </c>
      <c r="Y39" s="26">
        <f t="shared" si="10"/>
        <v>97946</v>
      </c>
      <c r="Z39" s="26">
        <f t="shared" si="10"/>
        <v>97946</v>
      </c>
      <c r="AA39" s="26">
        <f t="shared" si="10"/>
        <v>97946</v>
      </c>
      <c r="AB39" s="26">
        <f t="shared" si="10"/>
        <v>97946</v>
      </c>
      <c r="AC39" s="26">
        <f t="shared" si="10"/>
        <v>97946</v>
      </c>
      <c r="AD39" s="26">
        <f t="shared" si="10"/>
        <v>97946</v>
      </c>
      <c r="AE39" s="26">
        <f t="shared" si="10"/>
        <v>97946</v>
      </c>
      <c r="AF39" s="26">
        <f t="shared" si="10"/>
        <v>97946</v>
      </c>
      <c r="AG39" s="26">
        <f t="shared" si="10"/>
        <v>97946</v>
      </c>
      <c r="AH39" s="26">
        <f t="shared" si="10"/>
        <v>97946</v>
      </c>
      <c r="AI39" s="26">
        <f t="shared" si="10"/>
        <v>97946</v>
      </c>
      <c r="AJ39" s="26">
        <f t="shared" si="10"/>
        <v>97946</v>
      </c>
      <c r="AK39" s="26">
        <f t="shared" si="10"/>
        <v>97946</v>
      </c>
      <c r="AL39" s="26">
        <f t="shared" si="10"/>
        <v>97946</v>
      </c>
      <c r="AM39" s="26">
        <f t="shared" si="10"/>
        <v>97946</v>
      </c>
      <c r="AN39" s="26">
        <f t="shared" si="10"/>
        <v>97946</v>
      </c>
      <c r="AO39" s="26">
        <f t="shared" si="10"/>
        <v>97946</v>
      </c>
      <c r="AP39" s="26">
        <f t="shared" si="10"/>
        <v>97946</v>
      </c>
      <c r="AQ39" s="26">
        <f t="shared" si="10"/>
        <v>97946</v>
      </c>
    </row>
    <row r="40" spans="2:43">
      <c r="B40" t="s">
        <v>113</v>
      </c>
      <c r="C40" s="12">
        <v>44041</v>
      </c>
      <c r="D40" s="12">
        <v>45401</v>
      </c>
      <c r="E40" s="12">
        <v>57109</v>
      </c>
      <c r="F40" s="12">
        <v>50929</v>
      </c>
      <c r="G40" s="12">
        <v>51736</v>
      </c>
      <c r="H40" s="12">
        <v>53570</v>
      </c>
      <c r="I40" s="12">
        <v>54925</v>
      </c>
      <c r="J40" s="12">
        <v>55950</v>
      </c>
      <c r="K40" s="12">
        <v>57161</v>
      </c>
      <c r="L40" s="12">
        <v>56850</v>
      </c>
      <c r="M40" s="12">
        <v>56815</v>
      </c>
      <c r="N40" s="12">
        <v>56787</v>
      </c>
      <c r="O40" s="12">
        <v>56722</v>
      </c>
      <c r="P40" s="12">
        <v>56682</v>
      </c>
      <c r="Q40" s="12">
        <v>57244</v>
      </c>
      <c r="R40" s="12">
        <v>57109</v>
      </c>
      <c r="S40" s="12">
        <v>57063</v>
      </c>
      <c r="U40" s="12">
        <v>57063</v>
      </c>
      <c r="V40" s="12">
        <v>57063</v>
      </c>
      <c r="W40" s="12">
        <v>57063</v>
      </c>
      <c r="X40" s="12">
        <v>57063</v>
      </c>
      <c r="Y40" s="12">
        <v>57063</v>
      </c>
      <c r="Z40" s="12">
        <v>57063</v>
      </c>
      <c r="AA40" s="12">
        <v>57063</v>
      </c>
      <c r="AB40" s="12">
        <v>57063</v>
      </c>
      <c r="AC40" s="12">
        <v>57063</v>
      </c>
      <c r="AD40" s="12">
        <v>57063</v>
      </c>
      <c r="AE40" s="12">
        <v>57063</v>
      </c>
      <c r="AF40" s="12">
        <v>57063</v>
      </c>
      <c r="AG40" s="12">
        <v>57063</v>
      </c>
      <c r="AH40" s="12">
        <v>57063</v>
      </c>
      <c r="AI40" s="12">
        <v>57063</v>
      </c>
      <c r="AJ40" s="12">
        <v>57063</v>
      </c>
      <c r="AK40" s="12">
        <v>57063</v>
      </c>
      <c r="AL40" s="12">
        <v>57063</v>
      </c>
      <c r="AM40" s="12">
        <v>57063</v>
      </c>
      <c r="AN40" s="12">
        <v>57063</v>
      </c>
      <c r="AO40" s="12">
        <v>57063</v>
      </c>
      <c r="AP40" s="12">
        <v>57063</v>
      </c>
      <c r="AQ40" s="12">
        <v>57063</v>
      </c>
    </row>
    <row r="41" spans="2:43" ht="17" thickBot="1">
      <c r="B41" s="27" t="s">
        <v>120</v>
      </c>
      <c r="C41" s="26">
        <v>33668</v>
      </c>
      <c r="D41" s="26">
        <v>32529</v>
      </c>
      <c r="E41" s="26">
        <f t="shared" ref="E41:S41" si="11">E39-E40</f>
        <v>38184</v>
      </c>
      <c r="F41" s="26">
        <f t="shared" si="11"/>
        <v>26701</v>
      </c>
      <c r="G41" s="26">
        <f t="shared" si="11"/>
        <v>27539</v>
      </c>
      <c r="H41" s="26">
        <f t="shared" si="11"/>
        <v>27635</v>
      </c>
      <c r="I41" s="26">
        <f t="shared" si="11"/>
        <v>26838</v>
      </c>
      <c r="J41" s="26">
        <f t="shared" si="11"/>
        <v>25907</v>
      </c>
      <c r="K41" s="26">
        <f t="shared" si="11"/>
        <v>26205</v>
      </c>
      <c r="L41" s="26">
        <f t="shared" si="11"/>
        <v>27642</v>
      </c>
      <c r="M41" s="26">
        <f t="shared" si="11"/>
        <v>29186</v>
      </c>
      <c r="N41" s="26">
        <f t="shared" si="11"/>
        <v>25317</v>
      </c>
      <c r="O41" s="26">
        <f t="shared" si="11"/>
        <v>26945</v>
      </c>
      <c r="P41" s="26">
        <f t="shared" si="11"/>
        <v>33294</v>
      </c>
      <c r="Q41" s="26">
        <f t="shared" si="11"/>
        <v>35794</v>
      </c>
      <c r="R41" s="26">
        <f t="shared" si="11"/>
        <v>38184</v>
      </c>
      <c r="S41" s="26">
        <f t="shared" si="11"/>
        <v>40883</v>
      </c>
      <c r="U41" s="26">
        <f>U39-U40</f>
        <v>40883</v>
      </c>
      <c r="V41" s="26">
        <f t="shared" ref="V41:AQ41" si="12">V39-V40</f>
        <v>40883</v>
      </c>
      <c r="W41" s="26">
        <f t="shared" si="12"/>
        <v>40883</v>
      </c>
      <c r="X41" s="26">
        <f t="shared" si="12"/>
        <v>40883</v>
      </c>
      <c r="Y41" s="26">
        <f t="shared" si="12"/>
        <v>40883</v>
      </c>
      <c r="Z41" s="26">
        <f t="shared" si="12"/>
        <v>40883</v>
      </c>
      <c r="AA41" s="26">
        <f t="shared" si="12"/>
        <v>40883</v>
      </c>
      <c r="AB41" s="26">
        <f t="shared" si="12"/>
        <v>40883</v>
      </c>
      <c r="AC41" s="26">
        <f t="shared" si="12"/>
        <v>40883</v>
      </c>
      <c r="AD41" s="26">
        <f t="shared" si="12"/>
        <v>40883</v>
      </c>
      <c r="AE41" s="26">
        <f t="shared" si="12"/>
        <v>40883</v>
      </c>
      <c r="AF41" s="26">
        <f t="shared" si="12"/>
        <v>40883</v>
      </c>
      <c r="AG41" s="26">
        <f t="shared" si="12"/>
        <v>40883</v>
      </c>
      <c r="AH41" s="26">
        <f t="shared" si="12"/>
        <v>40883</v>
      </c>
      <c r="AI41" s="26">
        <f t="shared" si="12"/>
        <v>40883</v>
      </c>
      <c r="AJ41" s="26">
        <f t="shared" si="12"/>
        <v>40883</v>
      </c>
      <c r="AK41" s="26">
        <f t="shared" si="12"/>
        <v>40883</v>
      </c>
      <c r="AL41" s="26">
        <f t="shared" si="12"/>
        <v>40883</v>
      </c>
      <c r="AM41" s="26">
        <f t="shared" si="12"/>
        <v>40883</v>
      </c>
      <c r="AN41" s="26">
        <f t="shared" si="12"/>
        <v>40883</v>
      </c>
      <c r="AO41" s="26">
        <f t="shared" si="12"/>
        <v>40883</v>
      </c>
      <c r="AP41" s="26">
        <f t="shared" si="12"/>
        <v>40883</v>
      </c>
      <c r="AQ41" s="26">
        <f t="shared" si="12"/>
        <v>40883</v>
      </c>
    </row>
    <row r="42" spans="2:43">
      <c r="B42" t="s">
        <v>114</v>
      </c>
      <c r="C42" s="29">
        <v>233</v>
      </c>
      <c r="D42" s="29">
        <v>237</v>
      </c>
      <c r="E42" s="29">
        <v>73</v>
      </c>
      <c r="F42" s="29">
        <v>181</v>
      </c>
      <c r="G42" s="29">
        <v>131</v>
      </c>
      <c r="H42" s="29">
        <v>102</v>
      </c>
      <c r="I42" s="29">
        <v>87</v>
      </c>
      <c r="J42" s="29">
        <v>73</v>
      </c>
      <c r="K42" s="29">
        <v>95</v>
      </c>
      <c r="L42" s="29">
        <v>102</v>
      </c>
      <c r="M42" s="29">
        <v>84</v>
      </c>
      <c r="N42" s="42">
        <v>87</v>
      </c>
      <c r="O42" s="29">
        <v>94</v>
      </c>
      <c r="P42" s="29">
        <v>94</v>
      </c>
      <c r="Q42" s="29">
        <v>69</v>
      </c>
      <c r="R42" s="29">
        <v>73</v>
      </c>
      <c r="S42" s="12">
        <v>70</v>
      </c>
      <c r="U42" s="12">
        <v>70</v>
      </c>
      <c r="V42" s="12">
        <v>70</v>
      </c>
      <c r="W42" s="12">
        <v>70</v>
      </c>
      <c r="X42" s="12">
        <v>70</v>
      </c>
      <c r="Y42" s="12">
        <v>70</v>
      </c>
      <c r="Z42" s="12">
        <v>70</v>
      </c>
      <c r="AA42" s="12">
        <v>70</v>
      </c>
      <c r="AB42" s="12">
        <v>70</v>
      </c>
      <c r="AC42" s="12">
        <v>70</v>
      </c>
      <c r="AD42" s="12">
        <v>70</v>
      </c>
      <c r="AE42" s="12">
        <v>70</v>
      </c>
      <c r="AF42" s="12">
        <v>70</v>
      </c>
      <c r="AG42" s="12">
        <v>70</v>
      </c>
      <c r="AH42" s="12">
        <v>70</v>
      </c>
      <c r="AI42" s="12">
        <v>70</v>
      </c>
      <c r="AJ42" s="12">
        <v>70</v>
      </c>
      <c r="AK42" s="12">
        <v>70</v>
      </c>
      <c r="AL42" s="12">
        <v>70</v>
      </c>
      <c r="AM42" s="12">
        <v>70</v>
      </c>
      <c r="AN42" s="12">
        <v>70</v>
      </c>
      <c r="AO42" s="12">
        <v>70</v>
      </c>
      <c r="AP42" s="12">
        <v>70</v>
      </c>
      <c r="AQ42" s="12">
        <v>70</v>
      </c>
    </row>
    <row r="43" spans="2:43" ht="17" thickBot="1">
      <c r="B43" s="27" t="s">
        <v>115</v>
      </c>
      <c r="C43" s="26">
        <f t="shared" ref="C43:S43" si="13">C41+C42</f>
        <v>33901</v>
      </c>
      <c r="D43" s="26">
        <f t="shared" si="13"/>
        <v>32766</v>
      </c>
      <c r="E43" s="26">
        <f t="shared" si="13"/>
        <v>38257</v>
      </c>
      <c r="F43" s="26">
        <f t="shared" si="13"/>
        <v>26882</v>
      </c>
      <c r="G43" s="26">
        <f t="shared" si="13"/>
        <v>27670</v>
      </c>
      <c r="H43" s="26">
        <f t="shared" si="13"/>
        <v>27737</v>
      </c>
      <c r="I43" s="26">
        <f t="shared" si="13"/>
        <v>26925</v>
      </c>
      <c r="J43" s="26">
        <f t="shared" si="13"/>
        <v>25980</v>
      </c>
      <c r="K43" s="26">
        <f t="shared" si="13"/>
        <v>26300</v>
      </c>
      <c r="L43" s="26">
        <f t="shared" si="13"/>
        <v>27744</v>
      </c>
      <c r="M43" s="26">
        <f t="shared" si="13"/>
        <v>29270</v>
      </c>
      <c r="N43" s="26">
        <f t="shared" si="13"/>
        <v>25404</v>
      </c>
      <c r="O43" s="26">
        <f t="shared" si="13"/>
        <v>27039</v>
      </c>
      <c r="P43" s="26">
        <f t="shared" si="13"/>
        <v>33388</v>
      </c>
      <c r="Q43" s="26">
        <f t="shared" si="13"/>
        <v>35863</v>
      </c>
      <c r="R43" s="26">
        <f t="shared" si="13"/>
        <v>38257</v>
      </c>
      <c r="S43" s="26">
        <f t="shared" si="13"/>
        <v>40953</v>
      </c>
      <c r="U43" s="26">
        <f>U41+U42</f>
        <v>40953</v>
      </c>
      <c r="V43" s="26">
        <f t="shared" ref="V43:AQ43" si="14">V41+V42</f>
        <v>40953</v>
      </c>
      <c r="W43" s="26">
        <f t="shared" si="14"/>
        <v>40953</v>
      </c>
      <c r="X43" s="26">
        <f t="shared" si="14"/>
        <v>40953</v>
      </c>
      <c r="Y43" s="26">
        <f t="shared" si="14"/>
        <v>40953</v>
      </c>
      <c r="Z43" s="26">
        <f t="shared" si="14"/>
        <v>40953</v>
      </c>
      <c r="AA43" s="26">
        <f t="shared" si="14"/>
        <v>40953</v>
      </c>
      <c r="AB43" s="26">
        <f t="shared" si="14"/>
        <v>40953</v>
      </c>
      <c r="AC43" s="26">
        <f t="shared" si="14"/>
        <v>40953</v>
      </c>
      <c r="AD43" s="26">
        <f t="shared" si="14"/>
        <v>40953</v>
      </c>
      <c r="AE43" s="26">
        <f t="shared" si="14"/>
        <v>40953</v>
      </c>
      <c r="AF43" s="26">
        <f t="shared" si="14"/>
        <v>40953</v>
      </c>
      <c r="AG43" s="26">
        <f t="shared" si="14"/>
        <v>40953</v>
      </c>
      <c r="AH43" s="26">
        <f t="shared" si="14"/>
        <v>40953</v>
      </c>
      <c r="AI43" s="26">
        <f t="shared" si="14"/>
        <v>40953</v>
      </c>
      <c r="AJ43" s="26">
        <f t="shared" si="14"/>
        <v>40953</v>
      </c>
      <c r="AK43" s="26">
        <f t="shared" si="14"/>
        <v>40953</v>
      </c>
      <c r="AL43" s="26">
        <f t="shared" si="14"/>
        <v>40953</v>
      </c>
      <c r="AM43" s="26">
        <f t="shared" si="14"/>
        <v>40953</v>
      </c>
      <c r="AN43" s="26">
        <f t="shared" si="14"/>
        <v>40953</v>
      </c>
      <c r="AO43" s="26">
        <f t="shared" si="14"/>
        <v>40953</v>
      </c>
      <c r="AP43" s="26">
        <f t="shared" si="14"/>
        <v>40953</v>
      </c>
      <c r="AQ43" s="26">
        <f t="shared" si="14"/>
        <v>40953</v>
      </c>
    </row>
    <row r="44" spans="2:43" ht="17" thickBot="1">
      <c r="B44" s="34" t="s">
        <v>122</v>
      </c>
      <c r="C44" s="31">
        <f t="shared" ref="C44:S44" si="15">C43+C33</f>
        <v>86041</v>
      </c>
      <c r="D44" s="31">
        <f t="shared" si="15"/>
        <v>85040</v>
      </c>
      <c r="E44" s="31">
        <f t="shared" si="15"/>
        <v>90731</v>
      </c>
      <c r="F44" s="31">
        <f t="shared" si="15"/>
        <v>82637</v>
      </c>
      <c r="G44" s="31">
        <f t="shared" si="15"/>
        <v>82354</v>
      </c>
      <c r="H44" s="31">
        <f t="shared" si="15"/>
        <v>83965</v>
      </c>
      <c r="I44" s="31">
        <f t="shared" si="15"/>
        <v>83331</v>
      </c>
      <c r="J44" s="31">
        <f t="shared" si="15"/>
        <v>84376</v>
      </c>
      <c r="K44" s="31">
        <f t="shared" si="15"/>
        <v>84913</v>
      </c>
      <c r="L44" s="31">
        <f t="shared" si="15"/>
        <v>90615</v>
      </c>
      <c r="M44" s="31">
        <f t="shared" si="15"/>
        <v>89800</v>
      </c>
      <c r="N44" s="41">
        <f t="shared" si="15"/>
        <v>91588</v>
      </c>
      <c r="O44" s="31">
        <f t="shared" si="15"/>
        <v>90847</v>
      </c>
      <c r="P44" s="31">
        <f t="shared" si="15"/>
        <v>90688</v>
      </c>
      <c r="Q44" s="31">
        <f t="shared" si="15"/>
        <v>93494</v>
      </c>
      <c r="R44" s="31">
        <f t="shared" si="15"/>
        <v>105694</v>
      </c>
      <c r="S44" s="31">
        <f t="shared" si="15"/>
        <v>106668</v>
      </c>
      <c r="U44" s="31">
        <f>U43+U33</f>
        <v>113764.97611090168</v>
      </c>
      <c r="V44" s="31">
        <f t="shared" ref="V44:AQ44" si="16">V43+V33</f>
        <v>118743.01456472083</v>
      </c>
      <c r="W44" s="31">
        <f t="shared" si="16"/>
        <v>121756.32701253773</v>
      </c>
      <c r="X44" s="31">
        <f t="shared" si="16"/>
        <v>123114.63531069804</v>
      </c>
      <c r="Y44" s="31">
        <f t="shared" si="16"/>
        <v>124444.77870262371</v>
      </c>
      <c r="Z44" s="31">
        <f t="shared" si="16"/>
        <v>127734.21656819763</v>
      </c>
      <c r="AA44" s="31">
        <f t="shared" si="16"/>
        <v>130996.90407114968</v>
      </c>
      <c r="AB44" s="31">
        <f t="shared" si="16"/>
        <v>134778.53295990016</v>
      </c>
      <c r="AC44" s="31">
        <f t="shared" si="16"/>
        <v>138722.13132486265</v>
      </c>
      <c r="AD44" s="31">
        <f t="shared" si="16"/>
        <v>142334.54004030884</v>
      </c>
      <c r="AE44" s="31">
        <f t="shared" si="16"/>
        <v>145820.24169333483</v>
      </c>
      <c r="AF44" s="31">
        <f t="shared" si="16"/>
        <v>149850.63616334289</v>
      </c>
      <c r="AG44" s="31">
        <f t="shared" si="16"/>
        <v>154251.87651285363</v>
      </c>
      <c r="AH44" s="31">
        <f t="shared" si="16"/>
        <v>158186.83959628697</v>
      </c>
      <c r="AI44" s="31">
        <f t="shared" si="16"/>
        <v>146472.17743473244</v>
      </c>
      <c r="AJ44" s="31">
        <f t="shared" si="16"/>
        <v>149813.98045905723</v>
      </c>
      <c r="AK44" s="31">
        <f t="shared" si="16"/>
        <v>153258.93852364755</v>
      </c>
      <c r="AL44" s="31">
        <f t="shared" si="16"/>
        <v>156689.94924081542</v>
      </c>
      <c r="AM44" s="31">
        <f t="shared" si="16"/>
        <v>159883.69552909664</v>
      </c>
      <c r="AN44" s="31">
        <f t="shared" si="16"/>
        <v>163532.00790517667</v>
      </c>
      <c r="AO44" s="31">
        <f t="shared" si="16"/>
        <v>167341.77397410266</v>
      </c>
      <c r="AP44" s="31">
        <f t="shared" si="16"/>
        <v>170922.00773261886</v>
      </c>
      <c r="AQ44" s="31">
        <f t="shared" si="16"/>
        <v>174417.59199885913</v>
      </c>
    </row>
    <row r="48" spans="2:43">
      <c r="B48" t="s">
        <v>89</v>
      </c>
      <c r="C48" s="47">
        <f>C10/'Income Statement'!$C8</f>
        <v>0.28524459499850552</v>
      </c>
      <c r="D48" s="47">
        <f>D10/'Income Statement'!D8</f>
        <v>0.21825131390348781</v>
      </c>
      <c r="E48" s="47">
        <f>E10/'Income Statement'!E8</f>
        <v>0.22781174726700018</v>
      </c>
      <c r="F48" s="47">
        <f>F10/'Income Statement'!F8</f>
        <v>8.1742134933624297E-2</v>
      </c>
      <c r="G48" s="47">
        <f>G10/'Income Statement'!G8</f>
        <v>6.6752958579881658E-2</v>
      </c>
      <c r="H48" s="47">
        <f>H10/'Income Statement'!H8</f>
        <v>3.792517006802721E-2</v>
      </c>
      <c r="I48" s="47">
        <f>I10/'Income Statement'!I8</f>
        <v>1.2019036863757361E-2</v>
      </c>
      <c r="J48" s="47">
        <f>J10/'Income Statement'!J8</f>
        <v>6.5217391304347824E-2</v>
      </c>
      <c r="K48" s="47">
        <f>K10/'Income Statement'!K8</f>
        <v>5.8057559923695775E-4</v>
      </c>
      <c r="L48" s="47">
        <f>L10/'Income Statement'!L8</f>
        <v>0</v>
      </c>
      <c r="M48" s="47">
        <f>M10/'Income Statement'!M8</f>
        <v>0</v>
      </c>
      <c r="N48" s="47">
        <f>N10/'Income Statement'!N8</f>
        <v>0</v>
      </c>
      <c r="O48" s="47">
        <f>O10/'Income Statement'!O8</f>
        <v>0</v>
      </c>
      <c r="P48" s="47">
        <f>P10/'Income Statement'!P8</f>
        <v>0</v>
      </c>
      <c r="Q48" s="47">
        <f>Q10/'Income Statement'!Q8</f>
        <v>0</v>
      </c>
      <c r="R48" s="47">
        <f>R10/'Income Statement'!R8</f>
        <v>0</v>
      </c>
      <c r="S48" s="47">
        <f>$S$10/'Income Statement'!$S$8</f>
        <v>2.33947550468524E-2</v>
      </c>
      <c r="U48" s="47">
        <f>$S$10/'Income Statement'!$S$8</f>
        <v>2.33947550468524E-2</v>
      </c>
      <c r="V48" s="47">
        <f>$S$10/'Income Statement'!$S$8</f>
        <v>2.33947550468524E-2</v>
      </c>
      <c r="W48" s="47">
        <f>$S$10/'Income Statement'!$S$8</f>
        <v>2.33947550468524E-2</v>
      </c>
      <c r="X48" s="47">
        <f>$S$10/'Income Statement'!$S$8</f>
        <v>2.33947550468524E-2</v>
      </c>
      <c r="Y48" s="47">
        <f>$S$10/'Income Statement'!$S$8</f>
        <v>2.33947550468524E-2</v>
      </c>
      <c r="Z48" s="47">
        <f>$S$10/'Income Statement'!$S$8</f>
        <v>2.33947550468524E-2</v>
      </c>
      <c r="AA48" s="47">
        <f>$S$10/'Income Statement'!$S$8</f>
        <v>2.33947550468524E-2</v>
      </c>
      <c r="AB48" s="47">
        <f>$S$10/'Income Statement'!$S$8</f>
        <v>2.33947550468524E-2</v>
      </c>
      <c r="AC48" s="47">
        <f>$S$10/'Income Statement'!$S$8</f>
        <v>2.33947550468524E-2</v>
      </c>
      <c r="AD48" s="47">
        <f>$S$10/'Income Statement'!$S$8</f>
        <v>2.33947550468524E-2</v>
      </c>
      <c r="AE48" s="47">
        <f>$S$10/'Income Statement'!$S$8</f>
        <v>2.33947550468524E-2</v>
      </c>
      <c r="AF48" s="47">
        <f>$S$10/'Income Statement'!$S$8</f>
        <v>2.33947550468524E-2</v>
      </c>
      <c r="AG48" s="47">
        <f>$S$10/'Income Statement'!$S$8</f>
        <v>2.33947550468524E-2</v>
      </c>
      <c r="AH48" s="47">
        <f>$S$10/'Income Statement'!$S$8</f>
        <v>2.33947550468524E-2</v>
      </c>
      <c r="AI48" s="47">
        <f>$S$10/'Income Statement'!$S$8</f>
        <v>2.33947550468524E-2</v>
      </c>
      <c r="AJ48" s="47">
        <f>$S$10/'Income Statement'!$S$8</f>
        <v>2.33947550468524E-2</v>
      </c>
      <c r="AK48" s="47">
        <f>$S$10/'Income Statement'!$S$8</f>
        <v>2.33947550468524E-2</v>
      </c>
      <c r="AL48" s="47">
        <f>$S$10/'Income Statement'!$S$8</f>
        <v>2.33947550468524E-2</v>
      </c>
      <c r="AM48" s="47">
        <f>$S$10/'Income Statement'!$S$8</f>
        <v>2.33947550468524E-2</v>
      </c>
      <c r="AN48" s="47">
        <f>$S$10/'Income Statement'!$S$8</f>
        <v>2.33947550468524E-2</v>
      </c>
      <c r="AO48" s="47">
        <f>$S$10/'Income Statement'!$S$8</f>
        <v>2.33947550468524E-2</v>
      </c>
      <c r="AP48" s="47">
        <f>$S$10/'Income Statement'!$S$8</f>
        <v>2.33947550468524E-2</v>
      </c>
      <c r="AQ48" s="47">
        <f>$S$10/'Income Statement'!$S$8</f>
        <v>2.33947550468524E-2</v>
      </c>
    </row>
    <row r="49" spans="2:43">
      <c r="B49" t="s">
        <v>92</v>
      </c>
      <c r="C49" s="47">
        <f>C13/'Income Statement'!C$8</f>
        <v>0.40968416857626783</v>
      </c>
      <c r="D49" s="47">
        <f>D13/'Income Statement'!D$8</f>
        <v>0.38270425226946964</v>
      </c>
      <c r="E49" s="47">
        <f>E13/'Income Statement'!E$8</f>
        <v>0.34843431536038538</v>
      </c>
      <c r="F49" s="47">
        <f>F13/'Income Statement'!F$8</f>
        <v>0.40916530278232405</v>
      </c>
      <c r="G49" s="47">
        <f>G13/'Income Statement'!G$8</f>
        <v>0.29890902366863903</v>
      </c>
      <c r="H49" s="47">
        <f>H13/'Income Statement'!H$8</f>
        <v>0.28758503401360547</v>
      </c>
      <c r="I49" s="47">
        <f>I13/'Income Statement'!I$8</f>
        <v>0.30870371864160684</v>
      </c>
      <c r="J49" s="47">
        <f>J13/'Income Statement'!J$8</f>
        <v>0.36038085608358611</v>
      </c>
      <c r="K49" s="47">
        <f>K13/'Income Statement'!K$8</f>
        <v>0.3909761964004313</v>
      </c>
      <c r="L49" s="47">
        <f>L13/'Income Statement'!L$8</f>
        <v>0.42374908020603386</v>
      </c>
      <c r="M49" s="47">
        <f>M13/'Income Statement'!M$8</f>
        <v>0.37216158075053779</v>
      </c>
      <c r="N49" s="47">
        <f>N13/'Income Statement'!N$8</f>
        <v>0.44278408182835227</v>
      </c>
      <c r="O49" s="47">
        <f>O13/'Income Statement'!O$8</f>
        <v>0.43799668874172187</v>
      </c>
      <c r="P49" s="47">
        <f>P13/'Income Statement'!P$8</f>
        <v>0.59182599543939662</v>
      </c>
      <c r="Q49" s="47">
        <f>Q13/'Income Statement'!Q$8</f>
        <v>0.52212254827428917</v>
      </c>
      <c r="R49" s="47">
        <f>R13/'Income Statement'!R$8</f>
        <v>0.51675171954737076</v>
      </c>
      <c r="S49" s="47">
        <f>S13/'Income Statement'!S$8</f>
        <v>0.41846424753160177</v>
      </c>
      <c r="U49" s="47">
        <f>40%</f>
        <v>0.4</v>
      </c>
      <c r="V49" s="47">
        <f>40%</f>
        <v>0.4</v>
      </c>
      <c r="W49" s="47">
        <f>40%</f>
        <v>0.4</v>
      </c>
      <c r="X49" s="47">
        <f>40%</f>
        <v>0.4</v>
      </c>
      <c r="Y49" s="47">
        <f>40%</f>
        <v>0.4</v>
      </c>
      <c r="Z49" s="47">
        <f>40%</f>
        <v>0.4</v>
      </c>
      <c r="AA49" s="47">
        <f>40%</f>
        <v>0.4</v>
      </c>
      <c r="AB49" s="47">
        <f>40%</f>
        <v>0.4</v>
      </c>
      <c r="AC49" s="47">
        <f>40%</f>
        <v>0.4</v>
      </c>
      <c r="AD49" s="47">
        <f>40%</f>
        <v>0.4</v>
      </c>
      <c r="AE49" s="47">
        <f>40%</f>
        <v>0.4</v>
      </c>
      <c r="AF49" s="47">
        <f>40%</f>
        <v>0.4</v>
      </c>
      <c r="AG49" s="47">
        <f>40%</f>
        <v>0.4</v>
      </c>
      <c r="AH49" s="47">
        <f>40%</f>
        <v>0.4</v>
      </c>
      <c r="AI49" s="47">
        <f>40%</f>
        <v>0.4</v>
      </c>
      <c r="AJ49" s="47">
        <f>40%</f>
        <v>0.4</v>
      </c>
      <c r="AK49" s="47">
        <f>40%</f>
        <v>0.4</v>
      </c>
      <c r="AL49" s="47">
        <f>40%</f>
        <v>0.4</v>
      </c>
      <c r="AM49" s="47">
        <f>40%</f>
        <v>0.4</v>
      </c>
      <c r="AN49" s="47">
        <f>40%</f>
        <v>0.4</v>
      </c>
      <c r="AO49" s="47">
        <f>40%</f>
        <v>0.4</v>
      </c>
      <c r="AP49" s="47">
        <f>40%</f>
        <v>0.4</v>
      </c>
      <c r="AQ49" s="47">
        <f>40%</f>
        <v>0.4</v>
      </c>
    </row>
    <row r="51" spans="2:43">
      <c r="B51" t="s">
        <v>94</v>
      </c>
      <c r="C51" s="99">
        <f>C15/'Income Statement'!C$8</f>
        <v>1.0992328384975589</v>
      </c>
      <c r="D51" s="99">
        <f>D15/'Income Statement'!D$8</f>
        <v>0.958719541328237</v>
      </c>
      <c r="E51" s="99">
        <f>E15/'Income Statement'!E$8</f>
        <v>0.70465073188808602</v>
      </c>
      <c r="F51" s="99">
        <f>F15/'Income Statement'!F$8</f>
        <v>0.56673940716493909</v>
      </c>
      <c r="G51" s="99">
        <f>G15/'Income Statement'!G$8</f>
        <v>0.51969304733727806</v>
      </c>
      <c r="H51" s="99">
        <f>H15/'Income Statement'!H$8</f>
        <v>0.32134353741496596</v>
      </c>
      <c r="I51" s="99">
        <f>I15/'Income Statement'!I$8</f>
        <v>0.17028313301605227</v>
      </c>
      <c r="J51" s="99">
        <f>J15/'Income Statement'!J$8</f>
        <v>0.12377822716548702</v>
      </c>
      <c r="K51" s="99">
        <f>K15/'Income Statement'!K$8</f>
        <v>4.6031351082358798E-2</v>
      </c>
      <c r="L51" s="99">
        <f>L15/'Income Statement'!L$8</f>
        <v>0.11506622516556292</v>
      </c>
      <c r="M51" s="99">
        <f>M15/'Income Statement'!M$8</f>
        <v>0.10931399888455103</v>
      </c>
      <c r="N51" s="99">
        <f>N15/'Income Statement'!N$8</f>
        <v>6.2729742688189233E-2</v>
      </c>
      <c r="O51" s="99">
        <f>O15/'Income Statement'!O$8</f>
        <v>4.5033112582781455E-2</v>
      </c>
      <c r="P51" s="99">
        <f>P15/'Income Statement'!P$8</f>
        <v>3.6046307665321874E-2</v>
      </c>
      <c r="Q51" s="99">
        <f>Q15/'Income Statement'!Q$8</f>
        <v>3.3069788657442603E-2</v>
      </c>
      <c r="R51" s="99">
        <f>R15/'Income Statement'!R$8</f>
        <v>2.7364839878707196E-2</v>
      </c>
      <c r="S51" s="99">
        <f>S15/'Income Statement'!S$8</f>
        <v>1.9872963964530532E-2</v>
      </c>
      <c r="U51" s="99">
        <v>1.9872963964530532E-2</v>
      </c>
      <c r="V51" s="99">
        <v>1.9872963964530532E-2</v>
      </c>
      <c r="W51" s="99">
        <v>1.9872963964530532E-2</v>
      </c>
      <c r="X51" s="99">
        <v>1.9872963964530532E-2</v>
      </c>
      <c r="Y51" s="99">
        <v>1.9872963964530532E-2</v>
      </c>
      <c r="Z51" s="99">
        <v>1.9872963964530532E-2</v>
      </c>
      <c r="AA51" s="99">
        <v>1.9872963964530532E-2</v>
      </c>
      <c r="AB51" s="99">
        <v>1.9872963964530532E-2</v>
      </c>
      <c r="AC51" s="99">
        <v>1.9872963964530532E-2</v>
      </c>
      <c r="AD51" s="99">
        <v>1.9872963964530532E-2</v>
      </c>
      <c r="AE51" s="99">
        <v>1.9872963964530532E-2</v>
      </c>
      <c r="AF51" s="99">
        <v>1.9872963964530532E-2</v>
      </c>
      <c r="AG51" s="99">
        <v>1.9872963964530532E-2</v>
      </c>
      <c r="AH51" s="99">
        <v>1.9872963964530532E-2</v>
      </c>
      <c r="AI51" s="99">
        <v>1.9872963964530532E-2</v>
      </c>
      <c r="AJ51" s="99">
        <v>1.9872963964530532E-2</v>
      </c>
      <c r="AK51" s="99">
        <v>1.9872963964530532E-2</v>
      </c>
      <c r="AL51" s="99">
        <v>1.9872963964530532E-2</v>
      </c>
      <c r="AM51" s="99">
        <v>1.9872963964530532E-2</v>
      </c>
      <c r="AN51" s="99">
        <v>1.9872963964530532E-2</v>
      </c>
      <c r="AO51" s="99">
        <v>1.9872963964530532E-2</v>
      </c>
      <c r="AP51" s="99">
        <v>1.9872963964530532E-2</v>
      </c>
      <c r="AQ51" s="99">
        <v>1.9872963964530532E-2</v>
      </c>
    </row>
    <row r="52" spans="2:43">
      <c r="B52" t="s">
        <v>95</v>
      </c>
      <c r="C52" s="99">
        <f>C16/'Income Statement'!C$8</f>
        <v>1.2514695626183123</v>
      </c>
      <c r="D52" s="99">
        <f>D16/'Income Statement'!D$8</f>
        <v>1.2064978499761108</v>
      </c>
      <c r="E52" s="99">
        <f>E16/'Income Statement'!E$8</f>
        <v>1.1816750046322031</v>
      </c>
      <c r="F52" s="99">
        <f>F16/'Income Statement'!F$8</f>
        <v>1.2084924531733043</v>
      </c>
      <c r="G52" s="99">
        <f>G16/'Income Statement'!G$8</f>
        <v>1.2487056213017751</v>
      </c>
      <c r="H52" s="99">
        <f>H16/'Income Statement'!H$8</f>
        <v>1.1787414965986394</v>
      </c>
      <c r="I52" s="99">
        <f>I16/'Income Statement'!I$8</f>
        <v>1.1524562394127611</v>
      </c>
      <c r="J52" s="99">
        <f>J16/'Income Statement'!J$8</f>
        <v>1.2683687226154365</v>
      </c>
      <c r="K52" s="99">
        <f>K16/'Income Statement'!K$8</f>
        <v>1.2664012606784441</v>
      </c>
      <c r="L52" s="99">
        <f>L16/'Income Statement'!L$8</f>
        <v>1.4522626931567328</v>
      </c>
      <c r="M52" s="99">
        <f>M16/'Income Statement'!M$8</f>
        <v>1.3480200780814278</v>
      </c>
      <c r="N52" s="99">
        <f>N16/'Income Statement'!N$8</f>
        <v>1.4372702573118108</v>
      </c>
      <c r="O52" s="99">
        <f>O16/'Income Statement'!O$8</f>
        <v>1.5144867549668874</v>
      </c>
      <c r="P52" s="99">
        <f>P16/'Income Statement'!P$8</f>
        <v>1.5842834590422732</v>
      </c>
      <c r="Q52" s="99">
        <f>Q16/'Income Statement'!Q$8</f>
        <v>1.4113577618975217</v>
      </c>
      <c r="R52" s="99">
        <f>R16/'Income Statement'!R$8</f>
        <v>1.4258560757340433</v>
      </c>
      <c r="S52" s="99">
        <f>S16/'Income Statement'!S$8</f>
        <v>1.2418715804037481</v>
      </c>
      <c r="U52" s="99">
        <v>1.2418715804037481</v>
      </c>
      <c r="V52" s="99">
        <v>1.2418715804037481</v>
      </c>
      <c r="W52" s="99">
        <v>1.2418715804037481</v>
      </c>
      <c r="X52" s="99">
        <v>1.2418715804037481</v>
      </c>
      <c r="Y52" s="99">
        <v>1.2418715804037481</v>
      </c>
      <c r="Z52" s="99">
        <v>1.2418715804037481</v>
      </c>
      <c r="AA52" s="99">
        <v>1.2418715804037481</v>
      </c>
      <c r="AB52" s="99">
        <v>1.2418715804037481</v>
      </c>
      <c r="AC52" s="99">
        <v>1.2418715804037481</v>
      </c>
      <c r="AD52" s="99">
        <v>1.2418715804037481</v>
      </c>
      <c r="AE52" s="99">
        <v>1.2418715804037481</v>
      </c>
      <c r="AF52" s="99">
        <v>1.2418715804037481</v>
      </c>
      <c r="AG52" s="99">
        <v>1.2418715804037481</v>
      </c>
      <c r="AH52" s="99">
        <v>1.2418715804037481</v>
      </c>
      <c r="AI52" s="99">
        <v>1.2418715804037481</v>
      </c>
      <c r="AJ52" s="99">
        <v>1.2418715804037481</v>
      </c>
      <c r="AK52" s="99">
        <v>1.2418715804037481</v>
      </c>
      <c r="AL52" s="99">
        <v>1.2418715804037481</v>
      </c>
      <c r="AM52" s="99">
        <v>1.2418715804037481</v>
      </c>
      <c r="AN52" s="99">
        <v>1.2418715804037481</v>
      </c>
      <c r="AO52" s="99">
        <v>1.2418715804037481</v>
      </c>
      <c r="AP52" s="99">
        <v>1.2418715804037481</v>
      </c>
      <c r="AQ52" s="99">
        <v>1.2418715804037481</v>
      </c>
    </row>
    <row r="53" spans="2:43">
      <c r="B53" t="s">
        <v>96</v>
      </c>
      <c r="C53" s="99">
        <f>C17/'Income Statement'!C$8</f>
        <v>1.8236524858025307</v>
      </c>
      <c r="D53" s="99">
        <f>D17/'Income Statement'!D$8</f>
        <v>1.7462016244624941</v>
      </c>
      <c r="E53" s="99">
        <f>E17/'Income Statement'!E$8</f>
        <v>1.6914952751528627</v>
      </c>
      <c r="F53" s="99">
        <f>F17/'Income Statement'!F$8</f>
        <v>1.6596653937079469</v>
      </c>
      <c r="G53" s="99">
        <f>G17/'Income Statement'!G$8</f>
        <v>1.6799186390532543</v>
      </c>
      <c r="H53" s="99">
        <f>H17/'Income Statement'!H$8</f>
        <v>1.657312925170068</v>
      </c>
      <c r="I53" s="99">
        <f>I17/'Income Statement'!I$8</f>
        <v>1.5713479067516334</v>
      </c>
      <c r="J53" s="99">
        <f>J17/'Income Statement'!J$8</f>
        <v>1.6367542972699696</v>
      </c>
      <c r="K53" s="99">
        <f>K17/'Income Statement'!K$8</f>
        <v>1.6394625528738491</v>
      </c>
      <c r="L53" s="99">
        <f>L17/'Income Statement'!L$8</f>
        <v>1.8457505518763797</v>
      </c>
      <c r="M53" s="99">
        <f>M17/'Income Statement'!M$8</f>
        <v>1.6132579077364353</v>
      </c>
      <c r="N53" s="99">
        <f>N17/'Income Statement'!N$8</f>
        <v>1.6172287038516862</v>
      </c>
      <c r="O53" s="99">
        <f>O17/'Income Statement'!O$8</f>
        <v>1.6731788079470198</v>
      </c>
      <c r="P53" s="99">
        <f>P17/'Income Statement'!P$8</f>
        <v>1.6552359235221892</v>
      </c>
      <c r="Q53" s="99">
        <f>Q17/'Income Statement'!Q$8</f>
        <v>1.4339364451877756</v>
      </c>
      <c r="R53" s="99">
        <f>R17/'Income Statement'!R$8</f>
        <v>1.5726647437319725</v>
      </c>
      <c r="S53" s="99">
        <f>S17/'Income Statement'!S$8</f>
        <v>1.3368970504999687</v>
      </c>
      <c r="U53" s="99">
        <v>1.3368970504999687</v>
      </c>
      <c r="V53" s="99">
        <v>1.3368970504999687</v>
      </c>
      <c r="W53" s="99">
        <v>1.3368970504999687</v>
      </c>
      <c r="X53" s="99">
        <v>1.3368970504999687</v>
      </c>
      <c r="Y53" s="99">
        <v>1.3368970504999687</v>
      </c>
      <c r="Z53" s="99">
        <v>1.3368970504999687</v>
      </c>
      <c r="AA53" s="99">
        <v>1.3368970504999687</v>
      </c>
      <c r="AB53" s="99">
        <v>1.3368970504999687</v>
      </c>
      <c r="AC53" s="99">
        <v>1.3368970504999687</v>
      </c>
      <c r="AD53" s="99">
        <v>1.3368970504999687</v>
      </c>
      <c r="AE53" s="99">
        <v>1.3368970504999687</v>
      </c>
      <c r="AF53" s="99">
        <v>1.3368970504999687</v>
      </c>
      <c r="AG53" s="99">
        <v>1.3368970504999687</v>
      </c>
      <c r="AH53" s="99">
        <v>1.3368970504999687</v>
      </c>
      <c r="AI53" s="99">
        <v>1.3368970504999687</v>
      </c>
      <c r="AJ53" s="99">
        <v>1.3368970504999687</v>
      </c>
      <c r="AK53" s="99">
        <v>1.3368970504999687</v>
      </c>
      <c r="AL53" s="99">
        <v>1.3368970504999687</v>
      </c>
      <c r="AM53" s="99">
        <v>1.3368970504999687</v>
      </c>
      <c r="AN53" s="99">
        <v>1.3368970504999687</v>
      </c>
      <c r="AO53" s="99">
        <v>1.3368970504999687</v>
      </c>
      <c r="AP53" s="99">
        <v>1.3368970504999687</v>
      </c>
      <c r="AQ53" s="99">
        <v>1.3368970504999687</v>
      </c>
    </row>
    <row r="54" spans="2:43">
      <c r="B54" t="s">
        <v>97</v>
      </c>
      <c r="C54" s="99">
        <f>C18/'Income Statement'!C$8</f>
        <v>1.345023413370529</v>
      </c>
      <c r="D54" s="99">
        <f>D18/'Income Statement'!D$8</f>
        <v>1.2324892498805542</v>
      </c>
      <c r="E54" s="99">
        <f>E18/'Income Statement'!E$8</f>
        <v>1.1279414489531221</v>
      </c>
      <c r="F54" s="99">
        <f>F18/'Income Statement'!F$8</f>
        <v>1.0393707946899435</v>
      </c>
      <c r="G54" s="99">
        <f>G18/'Income Statement'!G$8</f>
        <v>1.0169193786982249</v>
      </c>
      <c r="H54" s="99">
        <f>H18/'Income Statement'!H$8</f>
        <v>1.1378401360544217</v>
      </c>
      <c r="I54" s="99">
        <f>I18/'Income Statement'!I$8</f>
        <v>0.99274017907558276</v>
      </c>
      <c r="J54" s="99">
        <f>J18/'Income Statement'!J$8</f>
        <v>1.1961577350859454</v>
      </c>
      <c r="K54" s="99">
        <f>K18/'Income Statement'!K$8</f>
        <v>1.3349921207597246</v>
      </c>
      <c r="L54" s="99">
        <f>L18/'Income Statement'!L$8</f>
        <v>1.5237306843267109</v>
      </c>
      <c r="M54" s="99">
        <f>M18/'Income Statement'!M$8</f>
        <v>1.32873874591666</v>
      </c>
      <c r="N54" s="99">
        <f>N18/'Income Statement'!N$8</f>
        <v>1.1670129455010387</v>
      </c>
      <c r="O54" s="99">
        <f>O18/'Income Statement'!O$8</f>
        <v>1.1921357615894039</v>
      </c>
      <c r="P54" s="99">
        <f>P18/'Income Statement'!P$8</f>
        <v>1.1947026837396948</v>
      </c>
      <c r="Q54" s="99">
        <f>Q18/'Income Statement'!Q$8</f>
        <v>1.0174851756119812</v>
      </c>
      <c r="R54" s="99">
        <f>R18/'Income Statement'!R$8</f>
        <v>1.6961023592929516</v>
      </c>
      <c r="S54" s="99">
        <f>S18/'Income Statement'!S$8</f>
        <v>1.4478334695931074</v>
      </c>
      <c r="U54" s="99">
        <v>1.1947026837396948</v>
      </c>
      <c r="V54" s="99">
        <v>1.1947026837396948</v>
      </c>
      <c r="W54" s="99">
        <v>1.1947026837396948</v>
      </c>
      <c r="X54" s="99">
        <v>1.1947026837396948</v>
      </c>
      <c r="Y54" s="99">
        <v>1.1947026837396948</v>
      </c>
      <c r="Z54" s="99">
        <v>1.1947026837396948</v>
      </c>
      <c r="AA54" s="99">
        <v>1.1947026837396948</v>
      </c>
      <c r="AB54" s="99">
        <v>1.1947026837396948</v>
      </c>
      <c r="AC54" s="99">
        <v>1.1947026837396948</v>
      </c>
      <c r="AD54" s="99">
        <v>1.1947026837396948</v>
      </c>
      <c r="AE54" s="99">
        <v>1.1947026837396948</v>
      </c>
      <c r="AF54" s="99">
        <v>1.1947026837396948</v>
      </c>
      <c r="AG54" s="99">
        <v>1.1947026837396948</v>
      </c>
      <c r="AH54" s="99">
        <v>1.1947026837396948</v>
      </c>
      <c r="AI54" s="99">
        <v>1.1947026837396948</v>
      </c>
      <c r="AJ54" s="99">
        <v>1.1947026837396948</v>
      </c>
      <c r="AK54" s="99">
        <v>1.1947026837396948</v>
      </c>
      <c r="AL54" s="99">
        <v>1.1947026837396948</v>
      </c>
      <c r="AM54" s="99">
        <v>1.1947026837396948</v>
      </c>
      <c r="AN54" s="99">
        <v>1.1947026837396948</v>
      </c>
      <c r="AO54" s="99">
        <v>1.1947026837396948</v>
      </c>
      <c r="AP54" s="99">
        <v>1.1947026837396948</v>
      </c>
      <c r="AQ54" s="99">
        <v>1.1947026837396948</v>
      </c>
    </row>
    <row r="55" spans="2:43" ht="17" thickBot="1">
      <c r="B55" s="27" t="s">
        <v>98</v>
      </c>
      <c r="C55" s="99">
        <f>C19/'Income Statement'!C$8</f>
        <v>0.65338248480621697</v>
      </c>
      <c r="D55" s="99">
        <f>D19/'Income Statement'!D$8</f>
        <v>0.68275203057811751</v>
      </c>
      <c r="E55" s="99">
        <f>E19/'Income Statement'!E$8</f>
        <v>0.69483046136742632</v>
      </c>
      <c r="F55" s="99">
        <f>F19/'Income Statement'!F$8</f>
        <v>0.68685215493726137</v>
      </c>
      <c r="G55" s="99">
        <f>G19/'Income Statement'!G$8</f>
        <v>0.80501109467455623</v>
      </c>
      <c r="H55" s="99">
        <f>H19/'Income Statement'!H$8</f>
        <v>0.77848639455782309</v>
      </c>
      <c r="I55" s="99">
        <f>I19/'Income Statement'!I$8</f>
        <v>0.72630475114947168</v>
      </c>
      <c r="J55" s="99">
        <f>J19/'Income Statement'!J$8</f>
        <v>0.57052578361981798</v>
      </c>
      <c r="K55" s="99">
        <f>K19/'Income Statement'!K$8</f>
        <v>0.58488844654557515</v>
      </c>
      <c r="L55" s="99">
        <f>L19/'Income Statement'!L$8</f>
        <v>0.69895143487858724</v>
      </c>
      <c r="M55" s="99">
        <f>M19/'Income Statement'!M$8</f>
        <v>0.63795713488965022</v>
      </c>
      <c r="N55" s="99">
        <f>N19/'Income Statement'!N$8</f>
        <v>0.81596611794789831</v>
      </c>
      <c r="O55" s="99">
        <f>O19/'Income Statement'!O$8</f>
        <v>0.86804635761589399</v>
      </c>
      <c r="P55" s="99">
        <f>P19/'Income Statement'!P$8</f>
        <v>0.96939133485353446</v>
      </c>
      <c r="Q55" s="99">
        <f>Q19/'Income Statement'!Q$8</f>
        <v>0.85069180477421313</v>
      </c>
      <c r="R55" s="99">
        <f>R19/'Income Statement'!R$8</f>
        <v>0.85659344723023445</v>
      </c>
      <c r="S55" s="99">
        <f>S19/'Income Statement'!S$8</f>
        <v>0.70064775800264134</v>
      </c>
      <c r="U55" s="99">
        <v>0.70064775800264134</v>
      </c>
      <c r="V55" s="99">
        <v>0.70064775800264134</v>
      </c>
      <c r="W55" s="99">
        <v>0.70064775800264134</v>
      </c>
      <c r="X55" s="99">
        <v>0.70064775800264134</v>
      </c>
      <c r="Y55" s="99">
        <v>0.70064775800264134</v>
      </c>
      <c r="Z55" s="99">
        <v>0.70064775800264134</v>
      </c>
      <c r="AA55" s="99">
        <v>0.70064775800264134</v>
      </c>
      <c r="AB55" s="99">
        <v>0.70064775800264134</v>
      </c>
      <c r="AC55" s="99">
        <v>0.70064775800264134</v>
      </c>
      <c r="AD55" s="99">
        <v>0.70064775800264134</v>
      </c>
      <c r="AE55" s="99">
        <v>0.70064775800264134</v>
      </c>
      <c r="AF55" s="99">
        <v>0.70064775800264134</v>
      </c>
      <c r="AG55" s="99">
        <v>0.70064775800264134</v>
      </c>
      <c r="AH55" s="99">
        <v>0.70064775800264134</v>
      </c>
      <c r="AI55" s="99">
        <v>0.70064775800264134</v>
      </c>
      <c r="AJ55" s="99">
        <v>0.70064775800264134</v>
      </c>
      <c r="AK55" s="99">
        <v>0.70064775800264134</v>
      </c>
      <c r="AL55" s="99">
        <v>0.70064775800264134</v>
      </c>
      <c r="AM55" s="99">
        <v>0.70064775800264134</v>
      </c>
      <c r="AN55" s="99">
        <v>0.70064775800264134</v>
      </c>
      <c r="AO55" s="99">
        <v>0.70064775800264134</v>
      </c>
      <c r="AP55" s="99">
        <v>0.70064775800264134</v>
      </c>
      <c r="AQ55" s="99">
        <v>0.70064775800264134</v>
      </c>
    </row>
    <row r="57" spans="2:43">
      <c r="B57" t="s">
        <v>100</v>
      </c>
      <c r="C57" s="99">
        <f>C24/'Income Statement'!C$8</f>
        <v>0.20474245292418053</v>
      </c>
      <c r="D57" s="99">
        <f>D24/'Income Statement'!D$8</f>
        <v>0.32288580984233156</v>
      </c>
      <c r="E57" s="99">
        <f>E24/'Income Statement'!E$8</f>
        <v>0.33870668890124145</v>
      </c>
      <c r="F57" s="99">
        <f>F24/'Income Statement'!F$8</f>
        <v>0.48263320603746135</v>
      </c>
      <c r="G57" s="99">
        <f>G24/'Income Statement'!G$8</f>
        <v>0.29354659763313612</v>
      </c>
      <c r="H57" s="99">
        <f>H24/'Income Statement'!H$8</f>
        <v>0.32448979591836735</v>
      </c>
      <c r="I57" s="99">
        <f>I24/'Income Statement'!I$8</f>
        <v>0.27514721303541179</v>
      </c>
      <c r="J57" s="99">
        <f>J24/'Income Statement'!J$8</f>
        <v>0.30417930569598922</v>
      </c>
      <c r="K57" s="99">
        <f>K24/'Income Statement'!K$8</f>
        <v>0.52757734096375553</v>
      </c>
      <c r="L57" s="99">
        <f>L24/'Income Statement'!L$8</f>
        <v>0.43395879323031639</v>
      </c>
      <c r="M57" s="99">
        <f>M24/'Income Statement'!M$8</f>
        <v>0.19281332164767748</v>
      </c>
      <c r="N57" s="99">
        <f>N24/'Income Statement'!N$8</f>
        <v>0.51390442704171324</v>
      </c>
      <c r="O57" s="99">
        <f>O24/'Income Statement'!O$8</f>
        <v>0.60024834437086094</v>
      </c>
      <c r="P57" s="99">
        <f>P24/'Income Statement'!P$8</f>
        <v>0.21820733204700929</v>
      </c>
      <c r="Q57" s="99">
        <f>Q24/'Income Statement'!Q$8</f>
        <v>0.26866352440322333</v>
      </c>
      <c r="R57" s="99">
        <f>R24/'Income Statement'!R$8</f>
        <v>0.17838917239849122</v>
      </c>
      <c r="S57" s="99">
        <f>S24/'Income Statement'!S$8</f>
        <v>7.5970064775800261E-2</v>
      </c>
      <c r="U57" s="99">
        <v>7.5970064775800261E-2</v>
      </c>
      <c r="V57" s="99">
        <v>7.5970064775800261E-2</v>
      </c>
      <c r="W57" s="99">
        <v>7.5970064775800261E-2</v>
      </c>
      <c r="X57" s="99">
        <v>7.5970064775800261E-2</v>
      </c>
      <c r="Y57" s="99">
        <v>7.5970064775800261E-2</v>
      </c>
      <c r="Z57" s="99">
        <v>7.5970064775800261E-2</v>
      </c>
      <c r="AA57" s="99">
        <v>7.5970064775800261E-2</v>
      </c>
      <c r="AB57" s="99">
        <v>7.5970064775800261E-2</v>
      </c>
      <c r="AC57" s="99">
        <v>7.5970064775800261E-2</v>
      </c>
      <c r="AD57" s="99">
        <v>7.5970064775800261E-2</v>
      </c>
      <c r="AE57" s="99">
        <v>7.5970064775800261E-2</v>
      </c>
      <c r="AF57" s="99">
        <v>7.5970064775800261E-2</v>
      </c>
      <c r="AG57" s="99">
        <v>7.5970064775800261E-2</v>
      </c>
      <c r="AH57" s="99">
        <v>7.5970064775800261E-2</v>
      </c>
      <c r="AI57" s="99">
        <v>7.5970064775800261E-2</v>
      </c>
      <c r="AJ57" s="99">
        <v>7.5970064775800261E-2</v>
      </c>
      <c r="AK57" s="99">
        <v>7.5970064775800261E-2</v>
      </c>
      <c r="AL57" s="99">
        <v>7.5970064775800261E-2</v>
      </c>
      <c r="AM57" s="99">
        <v>7.5970064775800261E-2</v>
      </c>
      <c r="AN57" s="99">
        <v>7.5970064775800261E-2</v>
      </c>
      <c r="AO57" s="99">
        <v>7.5970064775800261E-2</v>
      </c>
      <c r="AP57" s="99">
        <v>7.5970064775800261E-2</v>
      </c>
      <c r="AQ57" s="99">
        <v>7.5970064775800261E-2</v>
      </c>
    </row>
    <row r="58" spans="2:43">
      <c r="B58" t="s">
        <v>102</v>
      </c>
      <c r="C58" s="99">
        <f>C26/'Income Statement'!C$8</f>
        <v>0.96732091262329378</v>
      </c>
      <c r="D58" s="99">
        <f>D26/'Income Statement'!D$8</f>
        <v>0.93215480172001908</v>
      </c>
      <c r="E58" s="99">
        <f>E26/'Income Statement'!E$8</f>
        <v>0.90568834537706133</v>
      </c>
      <c r="F58" s="99">
        <f>F26/'Income Statement'!F$8</f>
        <v>0.92298599745408261</v>
      </c>
      <c r="G58" s="99">
        <f>G26/'Income Statement'!G$8</f>
        <v>0.93204511834319526</v>
      </c>
      <c r="H58" s="99">
        <f>H26/'Income Statement'!H$8</f>
        <v>0.93996598639455786</v>
      </c>
      <c r="I58" s="99">
        <f>I26/'Income Statement'!I$8</f>
        <v>0.94926191820601757</v>
      </c>
      <c r="J58" s="99">
        <f>J26/'Income Statement'!J$8</f>
        <v>1.057381193124368</v>
      </c>
      <c r="K58" s="99">
        <f>K26/'Income Statement'!K$8</f>
        <v>0.90669320726548897</v>
      </c>
      <c r="L58" s="99">
        <f>L26/'Income Statement'!L$8</f>
        <v>1.0285136129506991</v>
      </c>
      <c r="M58" s="99">
        <f>M26/'Income Statement'!M$8</f>
        <v>0.93139988845510313</v>
      </c>
      <c r="N58" s="99">
        <f>N26/'Income Statement'!N$8</f>
        <v>1.0430717596292154</v>
      </c>
      <c r="O58" s="99">
        <f>O26/'Income Statement'!O$8</f>
        <v>0.98600993377483448</v>
      </c>
      <c r="P58" s="99">
        <f>P26/'Income Statement'!P$8</f>
        <v>1.1303280126293633</v>
      </c>
      <c r="Q58" s="99">
        <f>Q26/'Income Statement'!Q$8</f>
        <v>1.0805838528204348</v>
      </c>
      <c r="R58" s="99">
        <f>R26/'Income Statement'!R$8</f>
        <v>1.0249981510243324</v>
      </c>
      <c r="S58" s="99">
        <f>S26/'Income Statement'!S$8</f>
        <v>0.88365511603043834</v>
      </c>
      <c r="U58" s="99">
        <v>0.88365511603043834</v>
      </c>
      <c r="V58" s="99">
        <v>0.88365511603043834</v>
      </c>
      <c r="W58" s="99">
        <v>0.88365511603043834</v>
      </c>
      <c r="X58" s="99">
        <v>0.88365511603043834</v>
      </c>
      <c r="Y58" s="99">
        <v>0.88365511603043834</v>
      </c>
      <c r="Z58" s="99">
        <v>0.88365511603043834</v>
      </c>
      <c r="AA58" s="99">
        <v>0.88365511603043834</v>
      </c>
      <c r="AB58" s="99">
        <v>0.88365511603043834</v>
      </c>
      <c r="AC58" s="99">
        <v>0.88365511603043834</v>
      </c>
      <c r="AD58" s="99">
        <v>0.88365511603043834</v>
      </c>
      <c r="AE58" s="99">
        <v>0.88365511603043834</v>
      </c>
      <c r="AF58" s="99">
        <v>0.88365511603043834</v>
      </c>
      <c r="AG58" s="99">
        <v>0.88365511603043834</v>
      </c>
      <c r="AH58" s="99">
        <v>0.88365511603043834</v>
      </c>
      <c r="AI58" s="99">
        <v>0.88365511603043834</v>
      </c>
      <c r="AJ58" s="99">
        <v>0.88365511603043834</v>
      </c>
      <c r="AK58" s="99">
        <v>0.88365511603043834</v>
      </c>
      <c r="AL58" s="99">
        <v>0.88365511603043834</v>
      </c>
      <c r="AM58" s="99">
        <v>0.88365511603043834</v>
      </c>
      <c r="AN58" s="99">
        <v>0.88365511603043834</v>
      </c>
      <c r="AO58" s="99">
        <v>0.88365511603043834</v>
      </c>
      <c r="AP58" s="99">
        <v>0.88365511603043834</v>
      </c>
      <c r="AQ58" s="99">
        <v>0.88365511603043834</v>
      </c>
    </row>
    <row r="59" spans="2:43">
      <c r="B59" t="s">
        <v>103</v>
      </c>
      <c r="C59" s="99">
        <f>C27/'Income Statement'!C$8</f>
        <v>7.1435687954568103E-2</v>
      </c>
      <c r="D59" s="99">
        <f>D27/'Income Statement'!D$8</f>
        <v>6.3162924032489257E-2</v>
      </c>
      <c r="E59" s="99">
        <f>E27/'Income Statement'!E$8</f>
        <v>7.0316842690383546E-2</v>
      </c>
      <c r="F59" s="99">
        <f>F27/'Income Statement'!F$8</f>
        <v>0.17921440261865793</v>
      </c>
      <c r="G59" s="99">
        <f>G27/'Income Statement'!G$8</f>
        <v>7.4611686390532547E-2</v>
      </c>
      <c r="H59" s="99">
        <f>H27/'Income Statement'!H$8</f>
        <v>5.3911564625850339E-2</v>
      </c>
      <c r="I59" s="99">
        <f>I27/'Income Statement'!I$8</f>
        <v>7.0420262966846822E-2</v>
      </c>
      <c r="J59" s="99">
        <f>J27/'Income Statement'!J$8</f>
        <v>6.2015503875968991E-2</v>
      </c>
      <c r="K59" s="99">
        <f>K27/'Income Statement'!K$8</f>
        <v>8.567637057311106E-2</v>
      </c>
      <c r="L59" s="99">
        <f>L27/'Income Statement'!L$8</f>
        <v>0.11644591611479028</v>
      </c>
      <c r="M59" s="99">
        <f>M27/'Income Statement'!M$8</f>
        <v>7.8400127479882079E-2</v>
      </c>
      <c r="N59" s="99">
        <f>N27/'Income Statement'!N$8</f>
        <v>0.1258590378775771</v>
      </c>
      <c r="O59" s="99">
        <f>O27/'Income Statement'!O$8</f>
        <v>0.12334437086092716</v>
      </c>
      <c r="P59" s="99">
        <f>P27/'Income Statement'!P$8</f>
        <v>8.5160498158217857E-2</v>
      </c>
      <c r="Q59" s="99">
        <f>Q27/'Income Statement'!Q$8</f>
        <v>7.2525467538391369E-2</v>
      </c>
      <c r="R59" s="99">
        <f>R27/'Income Statement'!R$8</f>
        <v>9.0525848679831378E-2</v>
      </c>
      <c r="S59" s="99">
        <f>S27/'Income Statement'!S$8</f>
        <v>9.8798817684422363E-2</v>
      </c>
      <c r="U59" s="49">
        <v>0.11</v>
      </c>
      <c r="V59" s="49">
        <v>0.11</v>
      </c>
      <c r="W59" s="49">
        <v>0.11</v>
      </c>
      <c r="X59" s="49">
        <v>0.11</v>
      </c>
      <c r="Y59" s="49">
        <v>0.11</v>
      </c>
      <c r="Z59" s="49">
        <v>0.11</v>
      </c>
      <c r="AA59" s="49">
        <v>0.11</v>
      </c>
      <c r="AB59" s="49">
        <v>0.11</v>
      </c>
      <c r="AC59" s="49">
        <v>0.11</v>
      </c>
      <c r="AD59" s="49">
        <v>0.11</v>
      </c>
      <c r="AE59" s="49">
        <v>0.11</v>
      </c>
      <c r="AF59" s="49">
        <v>0.11</v>
      </c>
      <c r="AG59" s="49">
        <v>0.11</v>
      </c>
      <c r="AH59" s="49">
        <v>0.11</v>
      </c>
      <c r="AI59" s="49">
        <v>0.11</v>
      </c>
      <c r="AJ59" s="49">
        <v>0.11</v>
      </c>
      <c r="AK59" s="49">
        <v>0.11</v>
      </c>
      <c r="AL59" s="49">
        <v>0.11</v>
      </c>
      <c r="AM59" s="49">
        <v>0.11</v>
      </c>
      <c r="AN59" s="49">
        <v>0.11</v>
      </c>
      <c r="AO59" s="49">
        <v>0.11</v>
      </c>
      <c r="AP59" s="49">
        <v>0.11</v>
      </c>
      <c r="AQ59" s="49">
        <v>0.11</v>
      </c>
    </row>
    <row r="60" spans="2:43">
      <c r="B60" t="s">
        <v>104</v>
      </c>
      <c r="C60" s="99">
        <f>C28/'Income Statement'!C$8</f>
        <v>0.13121450632659162</v>
      </c>
      <c r="D60" s="99">
        <f>D28/'Income Statement'!D$8</f>
        <v>0.12508361204013377</v>
      </c>
      <c r="E60" s="99">
        <f>E28/'Income Statement'!E$8</f>
        <v>0.12080785621641653</v>
      </c>
      <c r="F60" s="99">
        <f>F28/'Income Statement'!F$8</f>
        <v>0.132569558101473</v>
      </c>
      <c r="G60" s="99">
        <f>G28/'Income Statement'!G$8</f>
        <v>0.13517011834319526</v>
      </c>
      <c r="H60" s="99">
        <f>H28/'Income Statement'!H$8</f>
        <v>0.1223639455782313</v>
      </c>
      <c r="I60" s="99">
        <f>I28/'Income Statement'!I$8</f>
        <v>0.11567314672904735</v>
      </c>
      <c r="J60" s="99">
        <f>J28/'Income Statement'!J$8</f>
        <v>0.13372093023255813</v>
      </c>
      <c r="K60" s="99">
        <f>K28/'Income Statement'!K$8</f>
        <v>0.13145890354151116</v>
      </c>
      <c r="L60" s="99">
        <f>L28/'Income Statement'!L$8</f>
        <v>0.14385577630610744</v>
      </c>
      <c r="M60" s="99">
        <f>M28/'Income Statement'!M$8</f>
        <v>0.1248506095131862</v>
      </c>
      <c r="N60" s="99">
        <f>N28/'Income Statement'!N$8</f>
        <v>0.13377017740131053</v>
      </c>
      <c r="O60" s="99">
        <f>O28/'Income Statement'!O$8</f>
        <v>0.13865894039735099</v>
      </c>
      <c r="P60" s="99">
        <f>P28/'Income Statement'!P$8</f>
        <v>0.14576390106998771</v>
      </c>
      <c r="Q60" s="99">
        <f>Q28/'Income Statement'!Q$8</f>
        <v>0.12619735441690741</v>
      </c>
      <c r="R60" s="99">
        <f>R28/'Income Statement'!R$8</f>
        <v>0.13075955920420088</v>
      </c>
      <c r="S60" s="99">
        <f>S28/'Income Statement'!S$8</f>
        <v>0.11137664297842903</v>
      </c>
      <c r="U60" s="49">
        <v>0.12</v>
      </c>
      <c r="V60" s="49">
        <v>0.12</v>
      </c>
      <c r="W60" s="49">
        <v>0.12</v>
      </c>
      <c r="X60" s="49">
        <v>0.12</v>
      </c>
      <c r="Y60" s="49">
        <v>0.12</v>
      </c>
      <c r="Z60" s="49">
        <v>0.12</v>
      </c>
      <c r="AA60" s="49">
        <v>0.12</v>
      </c>
      <c r="AB60" s="49">
        <v>0.12</v>
      </c>
      <c r="AC60" s="49">
        <v>0.12</v>
      </c>
      <c r="AD60" s="49">
        <v>0.12</v>
      </c>
      <c r="AE60" s="49">
        <v>0.12</v>
      </c>
      <c r="AF60" s="49">
        <v>0.12</v>
      </c>
      <c r="AG60" s="49">
        <v>0.12</v>
      </c>
      <c r="AH60" s="49">
        <v>0.12</v>
      </c>
      <c r="AI60" s="49">
        <v>0.12</v>
      </c>
      <c r="AJ60" s="49">
        <v>0.12</v>
      </c>
      <c r="AK60" s="49">
        <v>0.12</v>
      </c>
      <c r="AL60" s="49">
        <v>0.12</v>
      </c>
      <c r="AM60" s="49">
        <v>0.12</v>
      </c>
      <c r="AN60" s="49">
        <v>0.12</v>
      </c>
      <c r="AO60" s="49">
        <v>0.12</v>
      </c>
      <c r="AP60" s="49">
        <v>0.12</v>
      </c>
      <c r="AQ60" s="49">
        <v>0.12</v>
      </c>
    </row>
    <row r="61" spans="2:43">
      <c r="B61" t="s">
        <v>107</v>
      </c>
      <c r="C61" s="99">
        <f>C31/'Income Statement'!C$8</f>
        <v>0.21978678888113978</v>
      </c>
      <c r="D61" s="99">
        <f>D31/'Income Statement'!D$8</f>
        <v>0.20630673674151934</v>
      </c>
      <c r="E61" s="99">
        <f>E31/'Income Statement'!E$8</f>
        <v>0.19130998702983137</v>
      </c>
      <c r="F61" s="99">
        <f>F31/'Income Statement'!F$8</f>
        <v>0.15475541007455901</v>
      </c>
      <c r="G61" s="99">
        <f>G31/'Income Statement'!G$8</f>
        <v>0.16965606508875739</v>
      </c>
      <c r="H61" s="99">
        <f>H31/'Income Statement'!H$8</f>
        <v>0.17763605442176872</v>
      </c>
      <c r="I61" s="99">
        <f>I31/'Income Statement'!I$8</f>
        <v>0.15810276679841898</v>
      </c>
      <c r="J61" s="99">
        <f>J31/'Income Statement'!J$8</f>
        <v>0.12386248736097068</v>
      </c>
      <c r="K61" s="99">
        <f>K31/'Income Statement'!K$8</f>
        <v>0.16115119847391557</v>
      </c>
      <c r="L61" s="99">
        <f>L31/'Income Statement'!L$8</f>
        <v>0.19232891832229582</v>
      </c>
      <c r="M61" s="99">
        <f>M31/'Income Statement'!M$8</f>
        <v>0.14158234403633177</v>
      </c>
      <c r="N61" s="99">
        <f>N31/'Income Statement'!N$8</f>
        <v>8.110915774332747E-2</v>
      </c>
      <c r="O61" s="99">
        <f>O31/'Income Statement'!O$8</f>
        <v>9.9668874172185437E-2</v>
      </c>
      <c r="P61" s="99">
        <f>P31/'Income Statement'!P$8</f>
        <v>0.13059112436414663</v>
      </c>
      <c r="Q61" s="99">
        <f>Q31/'Income Statement'!Q$8</f>
        <v>0.11608636156302266</v>
      </c>
      <c r="R61" s="99">
        <f>R31/'Income Statement'!R$8</f>
        <v>0.2544930108719769</v>
      </c>
      <c r="S61" s="99">
        <f>S31/'Income Statement'!S$8</f>
        <v>0.19313250738947235</v>
      </c>
      <c r="U61" s="99">
        <v>0.15</v>
      </c>
      <c r="V61" s="99">
        <v>0.15</v>
      </c>
      <c r="W61" s="99">
        <v>0.15</v>
      </c>
      <c r="X61" s="99">
        <v>0.15</v>
      </c>
      <c r="Y61" s="99">
        <v>0.15</v>
      </c>
      <c r="Z61" s="99">
        <v>0.15</v>
      </c>
      <c r="AA61" s="99">
        <v>0.15</v>
      </c>
      <c r="AB61" s="99">
        <v>0.15</v>
      </c>
      <c r="AC61" s="99">
        <v>0.15</v>
      </c>
      <c r="AD61" s="99">
        <v>0.15</v>
      </c>
      <c r="AE61" s="99">
        <v>0.15</v>
      </c>
      <c r="AF61" s="99">
        <v>0.15</v>
      </c>
      <c r="AG61" s="99">
        <v>0.15</v>
      </c>
      <c r="AH61" s="99">
        <v>0.15</v>
      </c>
      <c r="AI61" s="99">
        <v>0.15</v>
      </c>
      <c r="AJ61" s="99">
        <v>0.15</v>
      </c>
      <c r="AK61" s="99">
        <v>0.15</v>
      </c>
      <c r="AL61" s="99">
        <v>0.15</v>
      </c>
      <c r="AM61" s="99">
        <v>0.15</v>
      </c>
      <c r="AN61" s="99">
        <v>0.15</v>
      </c>
      <c r="AO61" s="99">
        <v>0.15</v>
      </c>
      <c r="AP61" s="99">
        <v>0.15</v>
      </c>
      <c r="AQ61" s="99">
        <v>0.15</v>
      </c>
    </row>
    <row r="62" spans="2:43" ht="17" thickBot="1">
      <c r="B62" s="27" t="s">
        <v>108</v>
      </c>
      <c r="C62" s="99">
        <f>C32/'Income Statement'!C$8</f>
        <v>1.1430706386370428</v>
      </c>
      <c r="D62" s="99">
        <f>D32/'Income Statement'!D$8</f>
        <v>1.1493549928332536</v>
      </c>
      <c r="E62" s="99">
        <f>E32/'Income Statement'!E$8</f>
        <v>1.101259959236613</v>
      </c>
      <c r="F62" s="99">
        <f>F32/'Income Statement'!F$8</f>
        <v>1.0948354246226586</v>
      </c>
      <c r="G62" s="99">
        <f>G32/'Income Statement'!G$8</f>
        <v>1.071098372781065</v>
      </c>
      <c r="H62" s="99">
        <f>H32/'Income Statement'!H$8</f>
        <v>0.95943877551020407</v>
      </c>
      <c r="I62" s="99">
        <f>I32/'Income Statement'!I$8</f>
        <v>0.89416794385738485</v>
      </c>
      <c r="J62" s="99">
        <f>J32/'Income Statement'!J$8</f>
        <v>1.0085945399393326</v>
      </c>
      <c r="K62" s="99">
        <f>K32/'Income Statement'!K$8</f>
        <v>0.95794973874098033</v>
      </c>
      <c r="L62" s="99">
        <f>L32/'Income Statement'!L$8</f>
        <v>1.1447755702722591</v>
      </c>
      <c r="M62" s="99">
        <f>M32/'Income Statement'!M$8</f>
        <v>0.95825033861843678</v>
      </c>
      <c r="N62" s="99">
        <f>N32/'Income Statement'!N$8</f>
        <v>0.99744286399232862</v>
      </c>
      <c r="O62" s="99">
        <f>O32/'Income Statement'!O$8</f>
        <v>1.0133278145695364</v>
      </c>
      <c r="P62" s="99">
        <f>P32/'Income Statement'!P$8</f>
        <v>0.8658130152604806</v>
      </c>
      <c r="Q62" s="99">
        <f>Q32/'Income Statement'!Q$8</f>
        <v>0.71985707769499774</v>
      </c>
      <c r="R62" s="99">
        <f>R32/'Income Statement'!R$8</f>
        <v>0.69772945788033425</v>
      </c>
      <c r="S62" s="99">
        <f>S32/'Income Statement'!S$8</f>
        <v>0.61266587007106477</v>
      </c>
      <c r="U62" s="99">
        <v>0.61266587007106477</v>
      </c>
      <c r="V62" s="99">
        <v>0.61266587007106477</v>
      </c>
      <c r="W62" s="99">
        <v>0.61266587007106477</v>
      </c>
      <c r="X62" s="99">
        <v>0.61266587007106477</v>
      </c>
      <c r="Y62" s="99">
        <v>0.61266587007106477</v>
      </c>
      <c r="Z62" s="99">
        <v>0.61266587007106477</v>
      </c>
      <c r="AA62" s="99">
        <v>0.61266587007106477</v>
      </c>
      <c r="AB62" s="99">
        <v>0.61266587007106477</v>
      </c>
      <c r="AC62" s="99">
        <v>0.61266587007106477</v>
      </c>
      <c r="AD62" s="99">
        <v>0.61266587007106477</v>
      </c>
      <c r="AE62" s="99">
        <v>0.61266587007106477</v>
      </c>
      <c r="AF62" s="99">
        <v>0.61266587007106477</v>
      </c>
      <c r="AG62" s="99">
        <v>0.61266587007106477</v>
      </c>
      <c r="AH62" s="99">
        <v>0.61266587007106477</v>
      </c>
      <c r="AI62" s="99">
        <v>0.61266587007106477</v>
      </c>
      <c r="AJ62" s="99">
        <v>0.61266587007106477</v>
      </c>
      <c r="AK62" s="99">
        <v>0.61266587007106477</v>
      </c>
      <c r="AL62" s="99">
        <v>0.61266587007106477</v>
      </c>
      <c r="AM62" s="99">
        <v>0.61266587007106477</v>
      </c>
      <c r="AN62" s="99">
        <v>0.61266587007106477</v>
      </c>
      <c r="AO62" s="99">
        <v>0.61266587007106477</v>
      </c>
      <c r="AP62" s="99">
        <v>0.61266587007106477</v>
      </c>
      <c r="AQ62" s="99">
        <v>0.61266587007106477</v>
      </c>
    </row>
  </sheetData>
  <pageMargins left="0.7" right="0.7" top="0.75" bottom="0.75" header="0.3" footer="0.3"/>
  <ignoredErrors>
    <ignoredError sqref="U25:AF25 AG25:AQ25 U14 V14:AQ1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D24A-A382-CA4C-B0C8-0C28CFDF191A}">
  <dimension ref="B1:AR51"/>
  <sheetViews>
    <sheetView workbookViewId="0">
      <pane xSplit="2" ySplit="7" topLeftCell="C8" activePane="bottomRight" state="frozen"/>
      <selection pane="topRight" activeCell="B1" sqref="B1"/>
      <selection pane="bottomLeft" activeCell="A8" sqref="A8"/>
      <selection pane="bottomRight" activeCell="I6" sqref="I6"/>
    </sheetView>
  </sheetViews>
  <sheetFormatPr baseColWidth="10" defaultRowHeight="16"/>
  <cols>
    <col min="1" max="1" width="1.6640625" customWidth="1"/>
    <col min="2" max="2" width="56.1640625" customWidth="1"/>
    <col min="15" max="15" width="11.5" bestFit="1" customWidth="1"/>
    <col min="19" max="19" width="11.1640625" bestFit="1" customWidth="1"/>
    <col min="20" max="20" width="1.83203125" customWidth="1"/>
    <col min="21" max="21" width="13.6640625" bestFit="1" customWidth="1"/>
  </cols>
  <sheetData>
    <row r="1" spans="2:43">
      <c r="B1" t="s">
        <v>0</v>
      </c>
    </row>
    <row r="2" spans="2:43">
      <c r="B2" t="e" vm="1">
        <v>#VALUE!</v>
      </c>
    </row>
    <row r="7" spans="2:43">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2:43">
      <c r="B8" s="7" t="s">
        <v>149</v>
      </c>
      <c r="C8" s="12"/>
      <c r="D8" s="12"/>
      <c r="E8" s="12"/>
      <c r="F8" s="12"/>
      <c r="G8" s="12"/>
      <c r="H8" s="12"/>
      <c r="I8" s="12"/>
      <c r="J8" s="12"/>
      <c r="K8" s="12"/>
      <c r="L8" s="12"/>
      <c r="M8" s="12"/>
      <c r="N8" s="12"/>
      <c r="O8" s="12"/>
      <c r="P8" s="12"/>
      <c r="Q8" s="12"/>
      <c r="R8" s="12"/>
      <c r="S8" s="12"/>
    </row>
    <row r="9" spans="2:43">
      <c r="B9" t="s">
        <v>123</v>
      </c>
      <c r="C9" s="12">
        <v>741</v>
      </c>
      <c r="D9" s="12">
        <v>2457</v>
      </c>
      <c r="E9" s="12">
        <v>4415</v>
      </c>
      <c r="F9" s="12">
        <v>6193</v>
      </c>
      <c r="G9" s="12">
        <v>2862</v>
      </c>
      <c r="H9" s="12">
        <v>5506</v>
      </c>
      <c r="I9" s="12">
        <v>7414</v>
      </c>
      <c r="J9" s="12">
        <v>9777</v>
      </c>
      <c r="K9" s="12">
        <v>3219</v>
      </c>
      <c r="L9" s="12">
        <v>6229</v>
      </c>
      <c r="M9" s="12">
        <v>9173</v>
      </c>
      <c r="N9" s="12">
        <v>7082</v>
      </c>
      <c r="O9" s="12">
        <v>3186</v>
      </c>
      <c r="P9" s="12">
        <v>3963</v>
      </c>
      <c r="Q9" s="12">
        <v>8534</v>
      </c>
      <c r="R9" s="12">
        <v>12358</v>
      </c>
      <c r="S9" s="12">
        <v>4307</v>
      </c>
      <c r="U9" s="12"/>
      <c r="V9" s="12"/>
      <c r="W9" s="12"/>
      <c r="X9" s="12"/>
      <c r="Y9" s="12"/>
      <c r="Z9" s="12"/>
      <c r="AA9" s="12"/>
      <c r="AB9" s="12"/>
      <c r="AC9" s="12"/>
      <c r="AD9" s="12"/>
      <c r="AE9" s="12"/>
      <c r="AF9" s="12"/>
      <c r="AG9" s="12"/>
      <c r="AH9" s="12"/>
      <c r="AI9" s="12"/>
      <c r="AJ9" s="12"/>
      <c r="AK9" s="12"/>
      <c r="AL9" s="12"/>
      <c r="AM9" s="12"/>
      <c r="AN9" s="12"/>
      <c r="AO9" s="12"/>
      <c r="AP9" s="12"/>
      <c r="AQ9" s="12"/>
    </row>
    <row r="10" spans="2:43" ht="34">
      <c r="B10" s="40" t="s">
        <v>158</v>
      </c>
      <c r="C10" s="12"/>
      <c r="D10" s="12"/>
      <c r="E10" s="12"/>
      <c r="F10" s="12"/>
      <c r="G10" s="12"/>
      <c r="H10" s="12"/>
      <c r="I10" s="12"/>
      <c r="J10" s="12"/>
      <c r="K10" s="12"/>
      <c r="L10" s="12"/>
      <c r="M10" s="12"/>
      <c r="N10" s="12"/>
      <c r="O10" s="12"/>
      <c r="P10" s="12"/>
      <c r="Q10" s="12"/>
      <c r="R10" s="12"/>
      <c r="S10" s="12"/>
    </row>
    <row r="11" spans="2:43" hidden="1">
      <c r="B11" t="s">
        <v>124</v>
      </c>
      <c r="C11" s="12">
        <v>1137</v>
      </c>
      <c r="D11" s="12">
        <v>2363</v>
      </c>
      <c r="E11" s="12">
        <v>3424</v>
      </c>
      <c r="F11" s="12">
        <v>4519</v>
      </c>
      <c r="G11" s="12">
        <v>898</v>
      </c>
      <c r="H11" s="12">
        <v>1871</v>
      </c>
      <c r="I11" s="12">
        <v>2716</v>
      </c>
      <c r="J11" s="12">
        <v>3652</v>
      </c>
      <c r="K11" s="12">
        <v>821</v>
      </c>
      <c r="L11" s="12">
        <v>1869</v>
      </c>
      <c r="M11" s="12">
        <v>2721</v>
      </c>
      <c r="N11" s="12">
        <v>1899</v>
      </c>
      <c r="O11" s="12">
        <v>534</v>
      </c>
      <c r="P11" s="12">
        <v>871</v>
      </c>
      <c r="Q11" s="12">
        <v>1231</v>
      </c>
      <c r="R11" s="12">
        <v>1636</v>
      </c>
      <c r="S11" s="12">
        <v>699</v>
      </c>
    </row>
    <row r="12" spans="2:43" hidden="1">
      <c r="B12" t="s">
        <v>125</v>
      </c>
      <c r="C12" s="12">
        <v>0</v>
      </c>
      <c r="D12" s="12">
        <v>0</v>
      </c>
      <c r="E12" s="12">
        <v>0</v>
      </c>
      <c r="F12" s="12">
        <v>0</v>
      </c>
      <c r="G12" s="12">
        <v>0</v>
      </c>
      <c r="H12" s="12"/>
      <c r="I12" s="12">
        <v>0</v>
      </c>
      <c r="J12" s="12">
        <v>0</v>
      </c>
      <c r="K12" s="12">
        <v>0</v>
      </c>
      <c r="L12" s="12">
        <v>0</v>
      </c>
      <c r="M12" s="12">
        <v>0</v>
      </c>
      <c r="N12" s="12">
        <v>1726</v>
      </c>
      <c r="O12" s="12">
        <v>396</v>
      </c>
      <c r="P12" s="12">
        <v>749</v>
      </c>
      <c r="Q12" s="12">
        <v>1148</v>
      </c>
      <c r="R12" s="12">
        <v>1578</v>
      </c>
      <c r="S12" s="12">
        <v>421</v>
      </c>
    </row>
    <row r="13" spans="2:43">
      <c r="B13" t="s">
        <v>66</v>
      </c>
      <c r="C13" s="12">
        <f t="shared" ref="C13:S13" si="0">SUM(C11:C12)</f>
        <v>1137</v>
      </c>
      <c r="D13" s="12">
        <f t="shared" si="0"/>
        <v>2363</v>
      </c>
      <c r="E13" s="12">
        <f t="shared" si="0"/>
        <v>3424</v>
      </c>
      <c r="F13" s="12">
        <f t="shared" si="0"/>
        <v>4519</v>
      </c>
      <c r="G13" s="12">
        <f t="shared" si="0"/>
        <v>898</v>
      </c>
      <c r="H13" s="12">
        <f t="shared" si="0"/>
        <v>1871</v>
      </c>
      <c r="I13" s="12">
        <f t="shared" si="0"/>
        <v>2716</v>
      </c>
      <c r="J13" s="12">
        <f t="shared" si="0"/>
        <v>3652</v>
      </c>
      <c r="K13" s="12">
        <f t="shared" si="0"/>
        <v>821</v>
      </c>
      <c r="L13" s="12">
        <f t="shared" si="0"/>
        <v>1869</v>
      </c>
      <c r="M13" s="12">
        <f t="shared" si="0"/>
        <v>2721</v>
      </c>
      <c r="N13" s="12">
        <f t="shared" si="0"/>
        <v>3625</v>
      </c>
      <c r="O13" s="12">
        <f t="shared" si="0"/>
        <v>930</v>
      </c>
      <c r="P13" s="12">
        <f t="shared" si="0"/>
        <v>1620</v>
      </c>
      <c r="Q13" s="12">
        <f t="shared" si="0"/>
        <v>2379</v>
      </c>
      <c r="R13" s="12">
        <f t="shared" si="0"/>
        <v>3214</v>
      </c>
      <c r="S13" s="12">
        <f t="shared" si="0"/>
        <v>1120</v>
      </c>
      <c r="U13" s="12">
        <f>'D&amp;A_CapEx'!U11</f>
        <v>2663.5516484019913</v>
      </c>
      <c r="V13" s="12">
        <f>'D&amp;A_CapEx'!V11</f>
        <v>3498.0965099754453</v>
      </c>
      <c r="W13" s="12">
        <f>'D&amp;A_CapEx'!W11</f>
        <v>4686.5182479014002</v>
      </c>
      <c r="X13" s="12">
        <f>'D&amp;A_CapEx'!X11</f>
        <v>1366.6048070774252</v>
      </c>
      <c r="Y13" s="12">
        <f>'D&amp;A_CapEx'!Y11</f>
        <v>2911.4838756013264</v>
      </c>
      <c r="Z13" s="12">
        <f>'D&amp;A_CapEx'!Z11</f>
        <v>3823.7109425683952</v>
      </c>
      <c r="AA13" s="12">
        <f>'D&amp;A_CapEx'!AA11</f>
        <v>5122.7549199815649</v>
      </c>
      <c r="AB13" s="12">
        <f>'D&amp;A_CapEx'!AB11</f>
        <v>1493.812917993278</v>
      </c>
      <c r="AC13" s="12">
        <f>'D&amp;A_CapEx'!AC11</f>
        <v>3182.4944573431385</v>
      </c>
      <c r="AD13" s="12">
        <f>'D&amp;A_CapEx'!AD11</f>
        <v>4179.6346471927154</v>
      </c>
      <c r="AE13" s="12">
        <f>'D&amp;A_CapEx'!AE11</f>
        <v>5599.5979492764454</v>
      </c>
      <c r="AF13" s="12">
        <f>'D&amp;A_CapEx'!AF11</f>
        <v>1632.861982050066</v>
      </c>
      <c r="AG13" s="12">
        <f>'D&amp;A_CapEx'!AG11</f>
        <v>3478.7316034604341</v>
      </c>
      <c r="AH13" s="12">
        <f>'D&amp;A_CapEx'!AH11</f>
        <v>4568.6889114791647</v>
      </c>
      <c r="AI13" s="12">
        <f>'D&amp;A_CapEx'!AI11</f>
        <v>4583.5036205109218</v>
      </c>
      <c r="AJ13" s="12">
        <f>'D&amp;A_CapEx'!AJ11</f>
        <v>1336.5653881433034</v>
      </c>
      <c r="AK13" s="12">
        <f>'D&amp;A_CapEx'!AK11</f>
        <v>2847.4863809297199</v>
      </c>
      <c r="AL13" s="12">
        <f>'D&amp;A_CapEx'!AL11</f>
        <v>3739.6617322246689</v>
      </c>
      <c r="AM13" s="12">
        <f>'D&amp;A_CapEx'!AM11</f>
        <v>5010.1513491897613</v>
      </c>
      <c r="AN13" s="12">
        <f>'D&amp;A_CapEx'!AN11</f>
        <v>1460.9773302502731</v>
      </c>
      <c r="AO13" s="12">
        <f>'D&amp;A_CapEx'!AO11</f>
        <v>3112.5398634733147</v>
      </c>
      <c r="AP13" s="12">
        <f>'D&amp;A_CapEx'!AP11</f>
        <v>4087.7618574085955</v>
      </c>
      <c r="AQ13" s="12">
        <f>'D&amp;A_CapEx'!AQ11</f>
        <v>5476.5128644078432</v>
      </c>
    </row>
    <row r="14" spans="2:43">
      <c r="B14" t="s">
        <v>151</v>
      </c>
      <c r="C14" s="12">
        <v>0</v>
      </c>
      <c r="D14" s="12">
        <v>0</v>
      </c>
      <c r="E14" s="12">
        <v>0</v>
      </c>
      <c r="F14" s="12">
        <v>296</v>
      </c>
      <c r="G14" s="12">
        <v>104</v>
      </c>
      <c r="H14" s="12">
        <v>252</v>
      </c>
      <c r="I14" s="12">
        <v>864</v>
      </c>
      <c r="J14" s="12">
        <v>1040</v>
      </c>
      <c r="K14" s="12">
        <v>0</v>
      </c>
      <c r="L14" s="12">
        <v>20</v>
      </c>
      <c r="M14" s="12">
        <v>35</v>
      </c>
      <c r="N14" s="12">
        <v>1718</v>
      </c>
      <c r="O14" s="12">
        <v>0</v>
      </c>
      <c r="P14" s="12">
        <v>0</v>
      </c>
      <c r="Q14" s="12">
        <v>0</v>
      </c>
      <c r="R14" s="12">
        <v>302</v>
      </c>
      <c r="S14" s="12">
        <v>0</v>
      </c>
      <c r="U14" s="12">
        <v>0</v>
      </c>
      <c r="V14" s="12">
        <v>0</v>
      </c>
      <c r="W14" s="12">
        <v>0</v>
      </c>
      <c r="X14" s="12">
        <v>0</v>
      </c>
      <c r="Y14" s="12">
        <v>0</v>
      </c>
      <c r="Z14" s="12">
        <v>0</v>
      </c>
      <c r="AA14" s="12">
        <v>0</v>
      </c>
      <c r="AB14" s="12">
        <v>0</v>
      </c>
      <c r="AC14" s="12">
        <v>0</v>
      </c>
      <c r="AD14" s="12">
        <v>0</v>
      </c>
      <c r="AE14" s="12">
        <v>0</v>
      </c>
      <c r="AF14" s="12">
        <v>0</v>
      </c>
      <c r="AG14" s="12">
        <v>0</v>
      </c>
      <c r="AH14" s="12">
        <v>0</v>
      </c>
      <c r="AI14" s="12">
        <v>0</v>
      </c>
      <c r="AJ14" s="12">
        <v>0</v>
      </c>
      <c r="AK14" s="12">
        <v>0</v>
      </c>
      <c r="AL14" s="12">
        <v>0</v>
      </c>
      <c r="AM14" s="12">
        <v>0</v>
      </c>
      <c r="AN14" s="12">
        <v>0</v>
      </c>
      <c r="AO14" s="12">
        <v>0</v>
      </c>
      <c r="AP14" s="12">
        <v>0</v>
      </c>
      <c r="AQ14" s="12">
        <v>0</v>
      </c>
    </row>
    <row r="15" spans="2:43">
      <c r="B15" t="s">
        <v>126</v>
      </c>
      <c r="C15" s="12">
        <v>0</v>
      </c>
      <c r="D15" s="12">
        <v>0</v>
      </c>
      <c r="E15" s="12">
        <v>0</v>
      </c>
      <c r="F15" s="12">
        <v>0</v>
      </c>
      <c r="G15" s="12">
        <v>0</v>
      </c>
      <c r="H15" s="12">
        <v>0</v>
      </c>
      <c r="I15" s="12">
        <v>0</v>
      </c>
      <c r="J15" s="12">
        <v>0</v>
      </c>
      <c r="K15" s="12">
        <v>0</v>
      </c>
      <c r="L15" s="12">
        <v>0</v>
      </c>
      <c r="M15" s="12">
        <v>0</v>
      </c>
      <c r="N15" s="12">
        <v>0</v>
      </c>
      <c r="O15" s="12">
        <v>0</v>
      </c>
      <c r="P15" s="12">
        <v>0</v>
      </c>
      <c r="Q15" s="12">
        <v>-1535</v>
      </c>
      <c r="R15" s="12">
        <v>-1940</v>
      </c>
      <c r="S15" s="12">
        <v>708</v>
      </c>
      <c r="U15" s="12">
        <v>708</v>
      </c>
      <c r="V15" s="12">
        <v>708</v>
      </c>
      <c r="W15" s="12">
        <v>708</v>
      </c>
      <c r="X15" s="12">
        <v>708</v>
      </c>
      <c r="Y15" s="12">
        <v>708</v>
      </c>
      <c r="Z15" s="12">
        <v>708</v>
      </c>
      <c r="AA15" s="12">
        <v>708</v>
      </c>
      <c r="AB15" s="12">
        <v>708</v>
      </c>
      <c r="AC15" s="12">
        <v>708</v>
      </c>
      <c r="AD15" s="12">
        <v>708</v>
      </c>
      <c r="AE15" s="12">
        <v>708</v>
      </c>
      <c r="AF15" s="12">
        <v>708</v>
      </c>
      <c r="AG15" s="12">
        <v>708</v>
      </c>
      <c r="AH15" s="12">
        <v>708</v>
      </c>
      <c r="AI15" s="12">
        <v>708</v>
      </c>
      <c r="AJ15" s="12">
        <v>708</v>
      </c>
      <c r="AK15" s="12">
        <v>708</v>
      </c>
      <c r="AL15" s="12">
        <v>708</v>
      </c>
      <c r="AM15" s="12">
        <v>708</v>
      </c>
      <c r="AN15" s="12">
        <v>708</v>
      </c>
      <c r="AO15" s="12">
        <v>708</v>
      </c>
      <c r="AP15" s="12">
        <v>708</v>
      </c>
      <c r="AQ15" s="12">
        <v>708</v>
      </c>
    </row>
    <row r="16" spans="2:43">
      <c r="B16" t="s">
        <v>159</v>
      </c>
      <c r="C16" s="12">
        <v>650</v>
      </c>
      <c r="D16" s="12">
        <v>650</v>
      </c>
      <c r="E16" s="12">
        <f>650+420</f>
        <v>1070</v>
      </c>
      <c r="F16" s="12">
        <v>650</v>
      </c>
      <c r="G16" s="12">
        <v>0</v>
      </c>
      <c r="H16" s="12">
        <v>0</v>
      </c>
      <c r="I16" s="12">
        <v>982</v>
      </c>
      <c r="J16" s="12">
        <v>993</v>
      </c>
      <c r="K16" s="12">
        <v>0</v>
      </c>
      <c r="L16" s="12">
        <v>0</v>
      </c>
      <c r="M16" s="12">
        <v>0</v>
      </c>
      <c r="N16" s="12">
        <v>2660</v>
      </c>
      <c r="O16" s="12">
        <v>0</v>
      </c>
      <c r="P16" s="12">
        <v>1556</v>
      </c>
      <c r="Q16" s="12">
        <v>1556</v>
      </c>
      <c r="R16" s="12">
        <v>1556</v>
      </c>
      <c r="S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row>
    <row r="17" spans="2:43">
      <c r="B17" t="s">
        <v>127</v>
      </c>
      <c r="C17" s="12">
        <v>-30</v>
      </c>
      <c r="D17" s="12">
        <v>-258</v>
      </c>
      <c r="E17" s="12">
        <v>-391</v>
      </c>
      <c r="F17" s="12">
        <v>-509</v>
      </c>
      <c r="G17" s="12">
        <v>194</v>
      </c>
      <c r="H17" s="12">
        <v>-149</v>
      </c>
      <c r="I17" s="12">
        <v>-386</v>
      </c>
      <c r="J17" s="12">
        <v>-556</v>
      </c>
      <c r="K17" s="12">
        <v>82</v>
      </c>
      <c r="L17" s="12">
        <v>122</v>
      </c>
      <c r="M17" s="12">
        <v>47</v>
      </c>
      <c r="N17" s="12">
        <v>-668</v>
      </c>
      <c r="O17" s="12">
        <v>-10</v>
      </c>
      <c r="P17" s="12">
        <v>29</v>
      </c>
      <c r="Q17" s="12">
        <v>28</v>
      </c>
      <c r="R17" s="12">
        <v>187</v>
      </c>
      <c r="S17" s="12">
        <v>-338</v>
      </c>
      <c r="U17" s="12">
        <v>-338</v>
      </c>
      <c r="V17" s="12">
        <v>-338</v>
      </c>
      <c r="W17" s="12">
        <v>-338</v>
      </c>
      <c r="X17" s="12">
        <v>-338</v>
      </c>
      <c r="Y17" s="12">
        <v>-338</v>
      </c>
      <c r="Z17" s="12">
        <v>-338</v>
      </c>
      <c r="AA17" s="12">
        <v>-338</v>
      </c>
      <c r="AB17" s="12">
        <v>-338</v>
      </c>
      <c r="AC17" s="12">
        <v>-338</v>
      </c>
      <c r="AD17" s="12">
        <v>-338</v>
      </c>
      <c r="AE17" s="12">
        <v>-338</v>
      </c>
      <c r="AF17" s="12">
        <v>-338</v>
      </c>
      <c r="AG17" s="12">
        <v>-338</v>
      </c>
      <c r="AH17" s="12">
        <v>-338</v>
      </c>
      <c r="AI17" s="12">
        <v>-338</v>
      </c>
      <c r="AJ17" s="12">
        <v>-338</v>
      </c>
      <c r="AK17" s="12">
        <v>-338</v>
      </c>
      <c r="AL17" s="12">
        <v>-338</v>
      </c>
      <c r="AM17" s="12">
        <v>-338</v>
      </c>
      <c r="AN17" s="12">
        <v>-338</v>
      </c>
      <c r="AO17" s="12">
        <v>-338</v>
      </c>
      <c r="AP17" s="12">
        <v>-338</v>
      </c>
      <c r="AQ17" s="12">
        <v>-338</v>
      </c>
    </row>
    <row r="18" spans="2:43">
      <c r="B18" t="s">
        <v>128</v>
      </c>
      <c r="C18" s="12">
        <v>80</v>
      </c>
      <c r="D18" s="12">
        <v>170</v>
      </c>
      <c r="E18" s="12">
        <v>261</v>
      </c>
      <c r="F18" s="12">
        <v>348</v>
      </c>
      <c r="G18" s="12">
        <v>93</v>
      </c>
      <c r="H18" s="12">
        <v>204</v>
      </c>
      <c r="I18" s="12">
        <v>306</v>
      </c>
      <c r="J18" s="12">
        <v>417</v>
      </c>
      <c r="K18" s="12">
        <v>108</v>
      </c>
      <c r="L18" s="12">
        <v>229</v>
      </c>
      <c r="M18" s="12">
        <v>354</v>
      </c>
      <c r="N18" s="12">
        <v>475</v>
      </c>
      <c r="O18" s="12">
        <v>120</v>
      </c>
      <c r="P18" s="12">
        <v>243</v>
      </c>
      <c r="Q18" s="12">
        <v>360</v>
      </c>
      <c r="R18" s="12">
        <v>479</v>
      </c>
      <c r="S18" s="12">
        <v>120</v>
      </c>
      <c r="U18" s="12">
        <v>120</v>
      </c>
      <c r="V18" s="12">
        <v>120</v>
      </c>
      <c r="W18" s="12">
        <v>120</v>
      </c>
      <c r="X18" s="12">
        <v>120</v>
      </c>
      <c r="Y18" s="12">
        <v>120</v>
      </c>
      <c r="Z18" s="12">
        <v>120</v>
      </c>
      <c r="AA18" s="12">
        <v>120</v>
      </c>
      <c r="AB18" s="12">
        <v>120</v>
      </c>
      <c r="AC18" s="12">
        <v>120</v>
      </c>
      <c r="AD18" s="12">
        <v>120</v>
      </c>
      <c r="AE18" s="12">
        <v>120</v>
      </c>
      <c r="AF18" s="12">
        <v>120</v>
      </c>
      <c r="AG18" s="12">
        <v>120</v>
      </c>
      <c r="AH18" s="12">
        <v>120</v>
      </c>
      <c r="AI18" s="12">
        <v>120</v>
      </c>
      <c r="AJ18" s="12">
        <v>120</v>
      </c>
      <c r="AK18" s="12">
        <v>120</v>
      </c>
      <c r="AL18" s="12">
        <v>120</v>
      </c>
      <c r="AM18" s="12">
        <v>120</v>
      </c>
      <c r="AN18" s="12">
        <v>120</v>
      </c>
      <c r="AO18" s="12">
        <v>120</v>
      </c>
      <c r="AP18" s="12">
        <v>120</v>
      </c>
      <c r="AQ18" s="12">
        <v>120</v>
      </c>
    </row>
    <row r="19" spans="2:43">
      <c r="B19" t="s">
        <v>129</v>
      </c>
      <c r="C19" s="12">
        <v>50</v>
      </c>
      <c r="D19" s="12">
        <v>429</v>
      </c>
      <c r="E19" s="12">
        <v>585</v>
      </c>
      <c r="F19" s="12">
        <v>978</v>
      </c>
      <c r="G19" s="12">
        <v>120</v>
      </c>
      <c r="H19" s="12">
        <v>114</v>
      </c>
      <c r="I19" s="12">
        <v>219</v>
      </c>
      <c r="J19" s="12">
        <v>184</v>
      </c>
      <c r="K19" s="12">
        <v>143</v>
      </c>
      <c r="L19" s="12">
        <v>-202</v>
      </c>
      <c r="M19" s="12">
        <v>-445</v>
      </c>
      <c r="N19" s="12">
        <v>-49</v>
      </c>
      <c r="O19" s="12">
        <v>-331</v>
      </c>
      <c r="P19" s="12">
        <v>-526</v>
      </c>
      <c r="Q19" s="12">
        <v>499</v>
      </c>
      <c r="R19" s="12">
        <v>805</v>
      </c>
      <c r="S19" s="12">
        <v>143</v>
      </c>
      <c r="U19" s="12">
        <v>143</v>
      </c>
      <c r="V19" s="12">
        <v>143</v>
      </c>
      <c r="W19" s="12">
        <v>143</v>
      </c>
      <c r="X19" s="12">
        <v>143</v>
      </c>
      <c r="Y19" s="12">
        <v>143</v>
      </c>
      <c r="Z19" s="12">
        <v>143</v>
      </c>
      <c r="AA19" s="12">
        <v>143</v>
      </c>
      <c r="AB19" s="12">
        <v>143</v>
      </c>
      <c r="AC19" s="12">
        <v>143</v>
      </c>
      <c r="AD19" s="12">
        <v>143</v>
      </c>
      <c r="AE19" s="12">
        <v>143</v>
      </c>
      <c r="AF19" s="12">
        <v>143</v>
      </c>
      <c r="AG19" s="12">
        <v>143</v>
      </c>
      <c r="AH19" s="12">
        <v>143</v>
      </c>
      <c r="AI19" s="12">
        <v>143</v>
      </c>
      <c r="AJ19" s="12">
        <v>143</v>
      </c>
      <c r="AK19" s="12">
        <v>143</v>
      </c>
      <c r="AL19" s="12">
        <v>143</v>
      </c>
      <c r="AM19" s="12">
        <v>143</v>
      </c>
      <c r="AN19" s="12">
        <v>143</v>
      </c>
      <c r="AO19" s="12">
        <v>143</v>
      </c>
      <c r="AP19" s="12">
        <v>143</v>
      </c>
      <c r="AQ19" s="12">
        <v>143</v>
      </c>
    </row>
    <row r="20" spans="2:43">
      <c r="B20" t="s">
        <v>130</v>
      </c>
      <c r="C20" s="12">
        <v>-1473</v>
      </c>
      <c r="D20" s="12">
        <v>-1274</v>
      </c>
      <c r="E20" s="12">
        <v>-2034</v>
      </c>
      <c r="F20" s="12">
        <f>-418-911+230-341+827-266-674</f>
        <v>-1553</v>
      </c>
      <c r="G20" s="12">
        <v>-2935</v>
      </c>
      <c r="H20" s="12">
        <v>-3378</v>
      </c>
      <c r="I20" s="12">
        <v>-3469</v>
      </c>
      <c r="J20" s="12">
        <f>294-508+399+376-2359-237-32</f>
        <v>-2067</v>
      </c>
      <c r="K20" s="12">
        <v>-3666</v>
      </c>
      <c r="L20" s="12">
        <v>-4193</v>
      </c>
      <c r="M20" s="12">
        <v>-5638</v>
      </c>
      <c r="N20" s="12">
        <f>-1002-855+724-1138+560-453-2426</f>
        <v>-4590</v>
      </c>
      <c r="O20" s="12">
        <v>-2104</v>
      </c>
      <c r="P20" s="12">
        <v>-3655</v>
      </c>
      <c r="Q20" s="12">
        <v>-3794</v>
      </c>
      <c r="R20" s="12">
        <f>-2033+(-674)+405+277+(-540)+484+(-1758)</f>
        <v>-3839</v>
      </c>
      <c r="S20" s="12">
        <v>-1299</v>
      </c>
      <c r="U20" s="12">
        <v>-1299</v>
      </c>
      <c r="V20" s="12">
        <v>-1299</v>
      </c>
      <c r="W20" s="12">
        <v>-1299</v>
      </c>
      <c r="X20" s="12">
        <v>-1299</v>
      </c>
      <c r="Y20" s="12">
        <v>-1299</v>
      </c>
      <c r="Z20" s="12">
        <v>-1299</v>
      </c>
      <c r="AA20" s="12">
        <v>-1299</v>
      </c>
      <c r="AB20" s="12">
        <v>-1299</v>
      </c>
      <c r="AC20" s="12">
        <v>-1299</v>
      </c>
      <c r="AD20" s="12">
        <v>-1299</v>
      </c>
      <c r="AE20" s="12">
        <v>-1299</v>
      </c>
      <c r="AF20" s="12">
        <v>-1299</v>
      </c>
      <c r="AG20" s="12">
        <v>-1299</v>
      </c>
      <c r="AH20" s="12">
        <v>-1299</v>
      </c>
      <c r="AI20" s="12">
        <v>-1299</v>
      </c>
      <c r="AJ20" s="12">
        <v>-1299</v>
      </c>
      <c r="AK20" s="12">
        <v>-1299</v>
      </c>
      <c r="AL20" s="12">
        <v>-1299</v>
      </c>
      <c r="AM20" s="12">
        <v>-1299</v>
      </c>
      <c r="AN20" s="12">
        <v>-1299</v>
      </c>
      <c r="AO20" s="12">
        <v>-1299</v>
      </c>
      <c r="AP20" s="12">
        <v>-1299</v>
      </c>
      <c r="AQ20" s="12">
        <v>-1299</v>
      </c>
    </row>
    <row r="21" spans="2:43" s="7" customFormat="1">
      <c r="B21" s="7" t="s">
        <v>131</v>
      </c>
      <c r="C21" s="18">
        <f t="shared" ref="C21:S21" si="1">SUM(C9,C13:C20)</f>
        <v>1155</v>
      </c>
      <c r="D21" s="18">
        <f t="shared" si="1"/>
        <v>4537</v>
      </c>
      <c r="E21" s="18">
        <f t="shared" si="1"/>
        <v>7330</v>
      </c>
      <c r="F21" s="18">
        <f t="shared" si="1"/>
        <v>10922</v>
      </c>
      <c r="G21" s="18">
        <f t="shared" si="1"/>
        <v>1336</v>
      </c>
      <c r="H21" s="18">
        <f t="shared" si="1"/>
        <v>4420</v>
      </c>
      <c r="I21" s="18">
        <f t="shared" si="1"/>
        <v>8646</v>
      </c>
      <c r="J21" s="18">
        <f t="shared" si="1"/>
        <v>13440</v>
      </c>
      <c r="K21" s="18">
        <f t="shared" si="1"/>
        <v>707</v>
      </c>
      <c r="L21" s="18">
        <f t="shared" si="1"/>
        <v>4074</v>
      </c>
      <c r="M21" s="18">
        <f t="shared" si="1"/>
        <v>6247</v>
      </c>
      <c r="N21" s="18">
        <f t="shared" si="1"/>
        <v>10253</v>
      </c>
      <c r="O21" s="18">
        <f t="shared" si="1"/>
        <v>1791</v>
      </c>
      <c r="P21" s="18">
        <f t="shared" si="1"/>
        <v>3230</v>
      </c>
      <c r="Q21" s="18">
        <f t="shared" si="1"/>
        <v>8027</v>
      </c>
      <c r="R21" s="18">
        <f t="shared" si="1"/>
        <v>13122</v>
      </c>
      <c r="S21" s="18">
        <f t="shared" si="1"/>
        <v>4761</v>
      </c>
      <c r="U21" s="18">
        <f>SUM(U9,U13:U20)</f>
        <v>1997.5516484019913</v>
      </c>
      <c r="V21" s="18">
        <f t="shared" ref="V21:AQ21" si="2">SUM(V9,V13:V20)</f>
        <v>2832.0965099754449</v>
      </c>
      <c r="W21" s="18">
        <f t="shared" si="2"/>
        <v>4020.5182479014002</v>
      </c>
      <c r="X21" s="18">
        <f t="shared" si="2"/>
        <v>700.60480707742499</v>
      </c>
      <c r="Y21" s="18">
        <f t="shared" si="2"/>
        <v>2245.4838756013264</v>
      </c>
      <c r="Z21" s="18">
        <f t="shared" si="2"/>
        <v>3157.7109425683957</v>
      </c>
      <c r="AA21" s="18">
        <f t="shared" si="2"/>
        <v>4456.7549199815649</v>
      </c>
      <c r="AB21" s="18">
        <f t="shared" si="2"/>
        <v>827.81291799327801</v>
      </c>
      <c r="AC21" s="18">
        <f t="shared" si="2"/>
        <v>2516.4944573431385</v>
      </c>
      <c r="AD21" s="18">
        <f t="shared" si="2"/>
        <v>3513.6346471927154</v>
      </c>
      <c r="AE21" s="18">
        <f t="shared" si="2"/>
        <v>4933.5979492764454</v>
      </c>
      <c r="AF21" s="18">
        <f t="shared" si="2"/>
        <v>966.86198205006622</v>
      </c>
      <c r="AG21" s="18">
        <f t="shared" si="2"/>
        <v>2812.7316034604337</v>
      </c>
      <c r="AH21" s="18">
        <f t="shared" si="2"/>
        <v>3902.6889114791647</v>
      </c>
      <c r="AI21" s="18">
        <f t="shared" si="2"/>
        <v>3917.5036205109218</v>
      </c>
      <c r="AJ21" s="18">
        <f t="shared" si="2"/>
        <v>670.56538814330338</v>
      </c>
      <c r="AK21" s="18">
        <f t="shared" si="2"/>
        <v>2181.4863809297199</v>
      </c>
      <c r="AL21" s="18">
        <f t="shared" si="2"/>
        <v>3073.6617322246693</v>
      </c>
      <c r="AM21" s="18">
        <f t="shared" si="2"/>
        <v>4344.1513491897613</v>
      </c>
      <c r="AN21" s="18">
        <f t="shared" si="2"/>
        <v>794.9773302502731</v>
      </c>
      <c r="AO21" s="18">
        <f t="shared" si="2"/>
        <v>2446.5398634733147</v>
      </c>
      <c r="AP21" s="18">
        <f t="shared" si="2"/>
        <v>3421.7618574085955</v>
      </c>
      <c r="AQ21" s="18">
        <f t="shared" si="2"/>
        <v>4810.5128644078432</v>
      </c>
    </row>
    <row r="22" spans="2:43" ht="9" customHeight="1">
      <c r="C22" s="12"/>
      <c r="D22" s="12"/>
      <c r="E22" s="12"/>
      <c r="F22" s="12"/>
      <c r="G22" s="12"/>
      <c r="H22" s="12"/>
      <c r="I22" s="12"/>
      <c r="J22" s="12"/>
      <c r="K22" s="12"/>
      <c r="L22" s="12"/>
      <c r="M22" s="12"/>
      <c r="N22" s="12"/>
      <c r="O22" s="12"/>
      <c r="P22" s="12"/>
      <c r="Q22" s="12"/>
      <c r="R22" s="12"/>
      <c r="S22" s="12"/>
    </row>
    <row r="23" spans="2:43">
      <c r="B23" s="7" t="s">
        <v>148</v>
      </c>
      <c r="C23" s="12"/>
      <c r="D23" s="12"/>
      <c r="E23" s="12"/>
      <c r="F23" s="12"/>
      <c r="G23" s="12"/>
      <c r="H23" s="12"/>
      <c r="I23" s="12"/>
      <c r="J23" s="12"/>
      <c r="K23" s="12"/>
      <c r="L23" s="12"/>
      <c r="M23" s="12"/>
      <c r="N23" s="12"/>
      <c r="O23" s="12"/>
      <c r="P23" s="12"/>
      <c r="Q23" s="12"/>
      <c r="R23" s="12"/>
      <c r="S23" s="12"/>
    </row>
    <row r="24" spans="2:43">
      <c r="B24" t="s">
        <v>132</v>
      </c>
      <c r="C24" s="12">
        <v>-450</v>
      </c>
      <c r="D24" s="12">
        <v>-1033</v>
      </c>
      <c r="E24" s="12">
        <v>-1686</v>
      </c>
      <c r="F24" s="12">
        <v>-2615</v>
      </c>
      <c r="G24" s="12">
        <v>-595</v>
      </c>
      <c r="H24" s="12">
        <v>-1377</v>
      </c>
      <c r="I24" s="12">
        <v>-2336</v>
      </c>
      <c r="J24" s="12">
        <v>-3473</v>
      </c>
      <c r="K24" s="12">
        <v>-986</v>
      </c>
      <c r="L24" s="12">
        <v>-1654</v>
      </c>
      <c r="M24" s="12">
        <v>-3170</v>
      </c>
      <c r="N24" s="12">
        <v>-4684</v>
      </c>
      <c r="O24" s="12">
        <v>-1134</v>
      </c>
      <c r="P24" s="12">
        <v>-2068</v>
      </c>
      <c r="Q24" s="12">
        <v>-3240</v>
      </c>
      <c r="R24" s="12">
        <v>-4448</v>
      </c>
      <c r="S24" s="12">
        <v>-984</v>
      </c>
      <c r="U24" s="12">
        <f>'D&amp;A_CapEx'!U8</f>
        <v>-2442.0537982354135</v>
      </c>
      <c r="V24" s="12">
        <f>'D&amp;A_CapEx'!V8</f>
        <v>-3808.7784216174459</v>
      </c>
      <c r="W24" s="12">
        <f>'D&amp;A_CapEx'!W8</f>
        <v>-5283.2258596597358</v>
      </c>
      <c r="X24" s="12">
        <f>'D&amp;A_CapEx'!X8</f>
        <v>-1271.1958092686975</v>
      </c>
      <c r="Y24" s="12">
        <f>'D&amp;A_CapEx'!Y8</f>
        <v>-2669.3682704366011</v>
      </c>
      <c r="Z24" s="12">
        <f>'D&amp;A_CapEx'!Z8</f>
        <v>-4163.3121576337635</v>
      </c>
      <c r="AA24" s="12">
        <f>'D&amp;A_CapEx'!AA8</f>
        <v>-5775.0060565890608</v>
      </c>
      <c r="AB24" s="12">
        <f>'D&amp;A_CapEx'!AB8</f>
        <v>-1389.5229340261756</v>
      </c>
      <c r="AC24" s="12">
        <f>'D&amp;A_CapEx'!AC8</f>
        <v>-2917.8419281190586</v>
      </c>
      <c r="AD24" s="12">
        <f>'D&amp;A_CapEx'!AD8</f>
        <v>-4550.8470704211668</v>
      </c>
      <c r="AE24" s="12">
        <f>'D&amp;A_CapEx'!AE8</f>
        <v>-6312.5627863633053</v>
      </c>
      <c r="AF24" s="12">
        <f>'D&amp;A_CapEx'!AF8</f>
        <v>-1518.8643402588475</v>
      </c>
      <c r="AG24" s="12">
        <f>'D&amp;A_CapEx'!AG8</f>
        <v>-3189.4443384902575</v>
      </c>
      <c r="AH24" s="12">
        <f>'D&amp;A_CapEx'!AH8</f>
        <v>-4974.4550190374503</v>
      </c>
      <c r="AI24" s="12">
        <f>'D&amp;A_CapEx'!AI8</f>
        <v>-5167.0949679052228</v>
      </c>
      <c r="AJ24" s="12">
        <f>'D&amp;A_CapEx'!AJ8</f>
        <v>-1243.2535810077084</v>
      </c>
      <c r="AK24" s="12">
        <f>'D&amp;A_CapEx'!AK8</f>
        <v>-2610.6927328197085</v>
      </c>
      <c r="AL24" s="12">
        <f>'D&amp;A_CapEx'!AL8</f>
        <v>-4071.7981534322562</v>
      </c>
      <c r="AM24" s="12">
        <f>'D&amp;A_CapEx'!AM8</f>
        <v>-5648.0653160161037</v>
      </c>
      <c r="AN24" s="12">
        <f>'D&amp;A_CapEx'!AN8</f>
        <v>-1358.979750424292</v>
      </c>
      <c r="AO24" s="12">
        <f>'D&amp;A_CapEx'!AO8</f>
        <v>-2853.704676729054</v>
      </c>
      <c r="AP24" s="12">
        <f>'D&amp;A_CapEx'!AP8</f>
        <v>-4450.814638992907</v>
      </c>
      <c r="AQ24" s="12">
        <f>'D&amp;A_CapEx'!AQ8</f>
        <v>-6173.8059803682781</v>
      </c>
    </row>
    <row r="25" spans="2:43">
      <c r="B25" t="s">
        <v>157</v>
      </c>
      <c r="C25" s="12">
        <v>-1326</v>
      </c>
      <c r="D25" s="12">
        <v>-5248</v>
      </c>
      <c r="E25" s="12">
        <v>-6899</v>
      </c>
      <c r="F25" s="12">
        <v>-7994</v>
      </c>
      <c r="G25" s="12">
        <v>-974</v>
      </c>
      <c r="H25" s="12">
        <v>-1810</v>
      </c>
      <c r="I25" s="12">
        <v>-2380</v>
      </c>
      <c r="J25" s="12">
        <v>-3202</v>
      </c>
      <c r="K25" s="12">
        <v>-49</v>
      </c>
      <c r="L25" s="12">
        <v>-77</v>
      </c>
      <c r="M25" s="12">
        <v>-78</v>
      </c>
      <c r="N25" s="12">
        <f>-1000-95</f>
        <v>-1095</v>
      </c>
      <c r="O25" s="12">
        <v>-1</v>
      </c>
      <c r="P25" s="12">
        <v>-1</v>
      </c>
      <c r="Q25" s="12">
        <v>-1</v>
      </c>
      <c r="R25" s="12">
        <v>-1</v>
      </c>
      <c r="S25" s="12">
        <v>-372</v>
      </c>
      <c r="U25" s="12">
        <v>-9000</v>
      </c>
      <c r="V25" s="12">
        <v>0</v>
      </c>
      <c r="W25" s="12">
        <v>0</v>
      </c>
      <c r="X25" s="12">
        <v>0</v>
      </c>
      <c r="Y25" s="12">
        <v>0</v>
      </c>
      <c r="Z25" s="12">
        <v>0</v>
      </c>
      <c r="AA25" s="12">
        <v>0</v>
      </c>
      <c r="AB25" s="12">
        <v>0</v>
      </c>
      <c r="AC25" s="12">
        <v>0</v>
      </c>
      <c r="AD25" s="12">
        <v>0</v>
      </c>
      <c r="AE25" s="12">
        <v>0</v>
      </c>
      <c r="AF25" s="12">
        <v>0</v>
      </c>
      <c r="AG25" s="12">
        <v>0</v>
      </c>
      <c r="AH25" s="12">
        <v>0</v>
      </c>
      <c r="AI25" s="12">
        <v>0</v>
      </c>
      <c r="AJ25" s="12">
        <v>0</v>
      </c>
      <c r="AK25" s="12">
        <v>0</v>
      </c>
      <c r="AL25" s="12">
        <v>0</v>
      </c>
      <c r="AM25" s="12">
        <v>0</v>
      </c>
      <c r="AN25" s="12">
        <v>0</v>
      </c>
      <c r="AO25" s="12">
        <v>0</v>
      </c>
      <c r="AP25" s="12">
        <v>0</v>
      </c>
      <c r="AQ25" s="12">
        <v>0</v>
      </c>
    </row>
    <row r="26" spans="2:43">
      <c r="B26" t="s">
        <v>133</v>
      </c>
      <c r="C26" s="12">
        <v>1848</v>
      </c>
      <c r="D26" s="12">
        <v>7403</v>
      </c>
      <c r="E26" s="12">
        <v>11243</v>
      </c>
      <c r="F26" s="12">
        <v>15252</v>
      </c>
      <c r="G26" s="12">
        <v>1899</v>
      </c>
      <c r="H26" s="12">
        <v>4935</v>
      </c>
      <c r="I26" s="12">
        <v>7459</v>
      </c>
      <c r="J26" s="12">
        <v>8622</v>
      </c>
      <c r="K26" s="12">
        <v>1816</v>
      </c>
      <c r="L26" s="12">
        <v>1892</v>
      </c>
      <c r="M26" s="12">
        <v>1894</v>
      </c>
      <c r="N26" s="12">
        <v>2812</v>
      </c>
      <c r="O26" s="12">
        <v>386</v>
      </c>
      <c r="P26" s="12">
        <v>386</v>
      </c>
      <c r="Q26" s="12">
        <v>497</v>
      </c>
      <c r="R26" s="12">
        <v>1026</v>
      </c>
      <c r="S26" s="12">
        <v>1</v>
      </c>
      <c r="T26" s="12"/>
      <c r="U26" s="12">
        <v>1</v>
      </c>
      <c r="V26" s="12">
        <v>1</v>
      </c>
      <c r="W26" s="12">
        <v>1</v>
      </c>
      <c r="X26" s="12">
        <v>1</v>
      </c>
      <c r="Y26" s="12">
        <v>1</v>
      </c>
      <c r="Z26" s="12">
        <v>1</v>
      </c>
      <c r="AA26" s="12">
        <v>1</v>
      </c>
      <c r="AB26" s="12">
        <v>1</v>
      </c>
      <c r="AC26" s="12">
        <v>1</v>
      </c>
      <c r="AD26" s="12">
        <v>1</v>
      </c>
      <c r="AE26" s="12">
        <v>1</v>
      </c>
      <c r="AF26" s="12">
        <v>1</v>
      </c>
      <c r="AG26" s="12">
        <v>1</v>
      </c>
      <c r="AH26" s="12">
        <v>1</v>
      </c>
      <c r="AI26" s="12">
        <v>1</v>
      </c>
      <c r="AJ26" s="12">
        <v>1</v>
      </c>
      <c r="AK26" s="12">
        <v>1</v>
      </c>
      <c r="AL26" s="12">
        <v>1</v>
      </c>
      <c r="AM26" s="12">
        <v>1</v>
      </c>
      <c r="AN26" s="12">
        <v>1</v>
      </c>
      <c r="AO26" s="12">
        <v>1</v>
      </c>
      <c r="AP26" s="12">
        <v>1</v>
      </c>
      <c r="AQ26" s="12">
        <v>1</v>
      </c>
    </row>
    <row r="27" spans="2:43">
      <c r="B27" t="s">
        <v>152</v>
      </c>
      <c r="C27" s="12">
        <v>0</v>
      </c>
      <c r="D27" s="12">
        <v>-372</v>
      </c>
      <c r="E27" s="12">
        <v>-372</v>
      </c>
      <c r="F27" s="12">
        <v>-431</v>
      </c>
      <c r="G27" s="12">
        <v>0</v>
      </c>
      <c r="H27" s="12">
        <f>-3620-270</f>
        <v>-3890</v>
      </c>
      <c r="I27" s="12">
        <f>-3620-1040-269</f>
        <v>-4929</v>
      </c>
      <c r="J27" s="12">
        <f>-3620-1040-294</f>
        <v>-4954</v>
      </c>
      <c r="K27" s="12">
        <v>-2545</v>
      </c>
      <c r="L27" s="12">
        <f>-2545+(-321)</f>
        <v>-2866</v>
      </c>
      <c r="M27" s="12">
        <f>-2545-907</f>
        <v>-3452</v>
      </c>
      <c r="N27" s="12">
        <f>-2696-2545-1365</f>
        <v>-6606</v>
      </c>
      <c r="O27" s="12">
        <v>-14</v>
      </c>
      <c r="P27" s="12">
        <f>-1554-90</f>
        <v>-1644</v>
      </c>
      <c r="Q27" s="12">
        <f>-1554-89</f>
        <v>-1643</v>
      </c>
      <c r="R27" s="12">
        <f>(-11174)+(-1554)+(-179)</f>
        <v>-12907</v>
      </c>
      <c r="S27" s="12">
        <v>0</v>
      </c>
      <c r="U27" s="12">
        <v>0</v>
      </c>
      <c r="V27" s="12">
        <v>0</v>
      </c>
      <c r="W27" s="12">
        <v>0</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v>0</v>
      </c>
      <c r="AQ27" s="12">
        <v>0</v>
      </c>
    </row>
    <row r="28" spans="2:43">
      <c r="B28" t="s">
        <v>129</v>
      </c>
      <c r="C28" s="12">
        <v>-269</v>
      </c>
      <c r="D28" s="12">
        <v>-274</v>
      </c>
      <c r="E28" s="12">
        <v>-150</v>
      </c>
      <c r="F28" s="12">
        <v>102</v>
      </c>
      <c r="G28" s="12">
        <v>38</v>
      </c>
      <c r="H28" s="18">
        <v>85</v>
      </c>
      <c r="I28" s="12">
        <v>320</v>
      </c>
      <c r="J28" s="12">
        <v>378</v>
      </c>
      <c r="K28" s="12">
        <v>136</v>
      </c>
      <c r="L28" s="12">
        <v>195</v>
      </c>
      <c r="M28" s="12">
        <v>141</v>
      </c>
      <c r="N28" s="12">
        <v>130</v>
      </c>
      <c r="O28" s="12">
        <v>25</v>
      </c>
      <c r="P28" s="12">
        <v>16</v>
      </c>
      <c r="Q28" s="12">
        <v>15</v>
      </c>
      <c r="R28" s="18">
        <v>-91</v>
      </c>
      <c r="S28" s="12">
        <v>182</v>
      </c>
      <c r="U28" s="12">
        <v>0</v>
      </c>
      <c r="V28" s="12">
        <v>0</v>
      </c>
      <c r="W28" s="12">
        <v>0</v>
      </c>
      <c r="X28" s="12">
        <v>0</v>
      </c>
      <c r="Y28" s="12">
        <v>0</v>
      </c>
      <c r="Z28" s="12">
        <v>0</v>
      </c>
      <c r="AA28" s="12">
        <v>0</v>
      </c>
      <c r="AB28" s="12">
        <v>0</v>
      </c>
      <c r="AC28" s="12">
        <v>0</v>
      </c>
      <c r="AD28" s="12">
        <v>0</v>
      </c>
      <c r="AE28" s="12">
        <v>0</v>
      </c>
      <c r="AF28" s="12">
        <v>0</v>
      </c>
      <c r="AG28" s="12">
        <v>0</v>
      </c>
      <c r="AH28" s="12">
        <v>0</v>
      </c>
      <c r="AI28" s="12">
        <v>0</v>
      </c>
      <c r="AJ28" s="12">
        <v>0</v>
      </c>
      <c r="AK28" s="12">
        <v>0</v>
      </c>
      <c r="AL28" s="12">
        <v>0</v>
      </c>
      <c r="AM28" s="12">
        <v>0</v>
      </c>
      <c r="AN28" s="12">
        <v>0</v>
      </c>
      <c r="AO28" s="12">
        <v>0</v>
      </c>
      <c r="AP28" s="12">
        <v>0</v>
      </c>
      <c r="AQ28" s="12">
        <v>0</v>
      </c>
    </row>
    <row r="29" spans="2:43" s="7" customFormat="1">
      <c r="B29" s="7" t="s">
        <v>134</v>
      </c>
      <c r="C29" s="18">
        <f t="shared" ref="C29:S29" si="3">SUM(C24:C28)</f>
        <v>-197</v>
      </c>
      <c r="D29" s="18">
        <f t="shared" si="3"/>
        <v>476</v>
      </c>
      <c r="E29" s="18">
        <f t="shared" si="3"/>
        <v>2136</v>
      </c>
      <c r="F29" s="18">
        <f t="shared" si="3"/>
        <v>4314</v>
      </c>
      <c r="G29" s="18">
        <f t="shared" si="3"/>
        <v>368</v>
      </c>
      <c r="H29" s="18">
        <f t="shared" si="3"/>
        <v>-2057</v>
      </c>
      <c r="I29" s="18">
        <f t="shared" si="3"/>
        <v>-1866</v>
      </c>
      <c r="J29" s="18">
        <f t="shared" si="3"/>
        <v>-2629</v>
      </c>
      <c r="K29" s="18">
        <f t="shared" si="3"/>
        <v>-1628</v>
      </c>
      <c r="L29" s="18">
        <f t="shared" si="3"/>
        <v>-2510</v>
      </c>
      <c r="M29" s="18">
        <f t="shared" si="3"/>
        <v>-4665</v>
      </c>
      <c r="N29" s="18">
        <f t="shared" si="3"/>
        <v>-9443</v>
      </c>
      <c r="O29" s="18">
        <f t="shared" si="3"/>
        <v>-738</v>
      </c>
      <c r="P29" s="18">
        <f t="shared" si="3"/>
        <v>-3311</v>
      </c>
      <c r="Q29" s="18">
        <f t="shared" si="3"/>
        <v>-4372</v>
      </c>
      <c r="R29" s="18">
        <f t="shared" si="3"/>
        <v>-16421</v>
      </c>
      <c r="S29" s="18">
        <f t="shared" si="3"/>
        <v>-1173</v>
      </c>
      <c r="U29" s="18">
        <f>SUM(U24:U28)</f>
        <v>-11441.053798235414</v>
      </c>
      <c r="V29" s="18">
        <f t="shared" ref="V29:AQ29" si="4">SUM(V24:V28)</f>
        <v>-3807.7784216174459</v>
      </c>
      <c r="W29" s="18">
        <f t="shared" si="4"/>
        <v>-5282.2258596597358</v>
      </c>
      <c r="X29" s="18">
        <f t="shared" si="4"/>
        <v>-1270.1958092686975</v>
      </c>
      <c r="Y29" s="18">
        <f t="shared" si="4"/>
        <v>-2668.3682704366011</v>
      </c>
      <c r="Z29" s="18">
        <f t="shared" si="4"/>
        <v>-4162.3121576337635</v>
      </c>
      <c r="AA29" s="18">
        <f t="shared" si="4"/>
        <v>-5774.0060565890608</v>
      </c>
      <c r="AB29" s="18">
        <f t="shared" si="4"/>
        <v>-1388.5229340261756</v>
      </c>
      <c r="AC29" s="18">
        <f t="shared" si="4"/>
        <v>-2916.8419281190586</v>
      </c>
      <c r="AD29" s="18">
        <f t="shared" si="4"/>
        <v>-4549.8470704211668</v>
      </c>
      <c r="AE29" s="18">
        <f t="shared" si="4"/>
        <v>-6311.5627863633053</v>
      </c>
      <c r="AF29" s="18">
        <f t="shared" si="4"/>
        <v>-1517.8643402588475</v>
      </c>
      <c r="AG29" s="18">
        <f t="shared" si="4"/>
        <v>-3188.4443384902575</v>
      </c>
      <c r="AH29" s="18">
        <f t="shared" si="4"/>
        <v>-4973.4550190374503</v>
      </c>
      <c r="AI29" s="18">
        <f t="shared" si="4"/>
        <v>-5166.0949679052228</v>
      </c>
      <c r="AJ29" s="18">
        <f t="shared" si="4"/>
        <v>-1242.2535810077084</v>
      </c>
      <c r="AK29" s="18">
        <f t="shared" si="4"/>
        <v>-2609.6927328197085</v>
      </c>
      <c r="AL29" s="18">
        <f t="shared" si="4"/>
        <v>-4070.7981534322562</v>
      </c>
      <c r="AM29" s="18">
        <f t="shared" si="4"/>
        <v>-5647.0653160161037</v>
      </c>
      <c r="AN29" s="18">
        <f t="shared" si="4"/>
        <v>-1357.979750424292</v>
      </c>
      <c r="AO29" s="18">
        <f t="shared" si="4"/>
        <v>-2852.704676729054</v>
      </c>
      <c r="AP29" s="18">
        <f t="shared" si="4"/>
        <v>-4449.814638992907</v>
      </c>
      <c r="AQ29" s="18">
        <f t="shared" si="4"/>
        <v>-6172.8059803682781</v>
      </c>
    </row>
    <row r="30" spans="2:43">
      <c r="C30" s="12"/>
      <c r="D30" s="12"/>
      <c r="E30" s="12"/>
      <c r="F30" s="12"/>
      <c r="G30" s="12"/>
      <c r="H30" s="12"/>
      <c r="I30" s="12"/>
      <c r="J30" s="12"/>
      <c r="K30" s="12"/>
      <c r="L30" s="12"/>
      <c r="M30" s="12"/>
      <c r="N30" s="12"/>
      <c r="O30" s="12"/>
      <c r="P30" s="12"/>
      <c r="Q30" s="12"/>
      <c r="R30" s="12"/>
      <c r="S30" s="12"/>
    </row>
    <row r="31" spans="2:43">
      <c r="B31" s="7" t="s">
        <v>150</v>
      </c>
      <c r="C31" s="12"/>
      <c r="D31" s="12"/>
      <c r="E31" s="12"/>
      <c r="F31" s="12"/>
      <c r="G31" s="12"/>
      <c r="H31" s="12"/>
      <c r="I31" s="12"/>
      <c r="J31" s="12"/>
      <c r="K31" s="12"/>
      <c r="L31" s="12"/>
      <c r="M31" s="12"/>
      <c r="N31" s="12"/>
      <c r="O31" s="12"/>
      <c r="P31" s="12"/>
      <c r="Q31" s="12"/>
      <c r="R31" s="12"/>
      <c r="S31" s="12"/>
    </row>
    <row r="32" spans="2:43">
      <c r="B32" t="s">
        <v>135</v>
      </c>
      <c r="C32" s="12">
        <v>-1</v>
      </c>
      <c r="D32" s="12">
        <v>2069</v>
      </c>
      <c r="E32" s="12">
        <v>2294</v>
      </c>
      <c r="F32" s="12">
        <v>5124</v>
      </c>
      <c r="G32" s="12">
        <v>-4135</v>
      </c>
      <c r="H32" s="12">
        <v>-3532</v>
      </c>
      <c r="I32" s="12">
        <v>-3892</v>
      </c>
      <c r="J32" s="12">
        <v>-3710</v>
      </c>
      <c r="K32" s="12">
        <v>3583</v>
      </c>
      <c r="L32" s="12">
        <v>1967</v>
      </c>
      <c r="M32" s="12">
        <v>-311</v>
      </c>
      <c r="N32" s="12">
        <v>2549</v>
      </c>
      <c r="O32" s="12">
        <v>788</v>
      </c>
      <c r="P32" s="12">
        <v>-3983</v>
      </c>
      <c r="Q32" s="12">
        <v>-3983</v>
      </c>
      <c r="R32" s="12">
        <v>-3986</v>
      </c>
      <c r="S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row>
    <row r="33" spans="2:43">
      <c r="B33" t="s">
        <v>136</v>
      </c>
      <c r="C33" s="12">
        <v>-1003</v>
      </c>
      <c r="D33" s="12">
        <v>-3008</v>
      </c>
      <c r="E33" s="12">
        <v>-3007</v>
      </c>
      <c r="F33" s="12">
        <v>-4287</v>
      </c>
      <c r="G33" s="12">
        <v>0</v>
      </c>
      <c r="H33" s="12">
        <v>0</v>
      </c>
      <c r="I33" s="12">
        <v>0</v>
      </c>
      <c r="J33" s="12">
        <v>0</v>
      </c>
      <c r="K33" s="12">
        <v>-1951</v>
      </c>
      <c r="L33" s="12">
        <v>-1952</v>
      </c>
      <c r="M33" s="12">
        <v>-1954</v>
      </c>
      <c r="N33" s="12">
        <v>-1957</v>
      </c>
      <c r="O33" s="12">
        <v>-1153</v>
      </c>
      <c r="P33" s="12">
        <v>-1153</v>
      </c>
      <c r="Q33" s="12">
        <v>-1153</v>
      </c>
      <c r="R33" s="12">
        <v>-2319</v>
      </c>
      <c r="S33" s="12">
        <v>-1250</v>
      </c>
      <c r="U33" s="12">
        <v>-1445</v>
      </c>
      <c r="V33" s="12">
        <v>-1445</v>
      </c>
      <c r="W33" s="12">
        <v>-1445</v>
      </c>
      <c r="X33" s="12">
        <v>-1445</v>
      </c>
      <c r="Y33" s="12">
        <v>-1445</v>
      </c>
      <c r="Z33" s="12">
        <v>-1445</v>
      </c>
      <c r="AA33" s="12">
        <v>-1445</v>
      </c>
      <c r="AB33" s="12">
        <v>-1445</v>
      </c>
      <c r="AC33" s="12">
        <v>-1445</v>
      </c>
      <c r="AD33" s="12">
        <v>-1445</v>
      </c>
      <c r="AE33" s="12">
        <v>-1445</v>
      </c>
      <c r="AF33" s="12">
        <v>-1445</v>
      </c>
      <c r="AG33" s="12">
        <v>-1445</v>
      </c>
      <c r="AH33" s="12">
        <v>-1445</v>
      </c>
      <c r="AI33" s="12">
        <v>-1445</v>
      </c>
      <c r="AJ33" s="12">
        <v>-1445</v>
      </c>
      <c r="AK33" s="12">
        <v>-1445</v>
      </c>
      <c r="AL33" s="12">
        <v>-1445</v>
      </c>
      <c r="AM33" s="12">
        <v>-1445</v>
      </c>
      <c r="AN33" s="12">
        <v>-1445</v>
      </c>
      <c r="AO33" s="12">
        <v>-1445</v>
      </c>
      <c r="AP33" s="12">
        <v>-1445</v>
      </c>
      <c r="AQ33" s="12">
        <v>-1445</v>
      </c>
    </row>
    <row r="34" spans="2:43">
      <c r="B34" t="s">
        <v>153</v>
      </c>
      <c r="C34" s="12">
        <v>0</v>
      </c>
      <c r="D34" s="12">
        <v>0</v>
      </c>
      <c r="E34" s="12">
        <v>0</v>
      </c>
      <c r="F34" s="12">
        <v>0</v>
      </c>
      <c r="G34" s="12">
        <v>4958</v>
      </c>
      <c r="H34" s="12">
        <v>4958</v>
      </c>
      <c r="I34" s="12">
        <v>4958</v>
      </c>
      <c r="J34" s="12">
        <v>4958</v>
      </c>
      <c r="K34" s="12">
        <v>0</v>
      </c>
      <c r="L34" s="12">
        <v>4445</v>
      </c>
      <c r="M34" s="12">
        <v>4419</v>
      </c>
      <c r="N34" s="12">
        <v>4419</v>
      </c>
      <c r="O34" s="12">
        <v>0</v>
      </c>
      <c r="P34" s="12">
        <v>0</v>
      </c>
      <c r="Q34" s="12">
        <v>0</v>
      </c>
      <c r="R34" s="12">
        <v>7936</v>
      </c>
      <c r="S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v>0</v>
      </c>
      <c r="AK34" s="12">
        <v>0</v>
      </c>
      <c r="AL34" s="12">
        <v>0</v>
      </c>
      <c r="AM34" s="12">
        <v>0</v>
      </c>
      <c r="AN34" s="12">
        <v>0</v>
      </c>
      <c r="AO34" s="12">
        <v>0</v>
      </c>
      <c r="AP34" s="12">
        <v>0</v>
      </c>
      <c r="AQ34" s="12">
        <v>0</v>
      </c>
    </row>
    <row r="35" spans="2:43">
      <c r="B35" t="s">
        <v>154</v>
      </c>
      <c r="C35" s="12">
        <v>0</v>
      </c>
      <c r="D35" s="12">
        <v>0</v>
      </c>
      <c r="E35" s="12">
        <v>0</v>
      </c>
      <c r="F35" s="12">
        <v>0</v>
      </c>
      <c r="G35" s="12">
        <v>0</v>
      </c>
      <c r="H35" s="12">
        <v>0</v>
      </c>
      <c r="I35" s="12">
        <v>0</v>
      </c>
      <c r="J35" s="12">
        <v>0</v>
      </c>
      <c r="K35" s="12">
        <v>0</v>
      </c>
      <c r="L35" s="12">
        <v>0</v>
      </c>
      <c r="M35" s="12">
        <v>0</v>
      </c>
      <c r="N35" s="12">
        <v>0</v>
      </c>
      <c r="O35" s="12">
        <v>0</v>
      </c>
      <c r="P35" s="12">
        <v>9000</v>
      </c>
      <c r="Q35" s="12">
        <v>9000</v>
      </c>
      <c r="R35" s="12">
        <v>9000</v>
      </c>
      <c r="S35" s="12">
        <v>0</v>
      </c>
      <c r="U35" s="12">
        <v>0</v>
      </c>
      <c r="V35" s="12">
        <v>0</v>
      </c>
      <c r="W35" s="12">
        <v>0</v>
      </c>
      <c r="X35" s="12">
        <v>0</v>
      </c>
      <c r="Y35" s="12">
        <v>0</v>
      </c>
      <c r="Z35" s="12">
        <v>0</v>
      </c>
      <c r="AA35" s="12">
        <v>0</v>
      </c>
      <c r="AB35" s="12">
        <v>0</v>
      </c>
      <c r="AC35" s="12">
        <v>0</v>
      </c>
      <c r="AD35" s="12">
        <v>0</v>
      </c>
      <c r="AE35" s="12">
        <v>0</v>
      </c>
      <c r="AF35" s="12">
        <v>0</v>
      </c>
      <c r="AG35" s="12">
        <v>0</v>
      </c>
      <c r="AH35" s="12">
        <v>0</v>
      </c>
      <c r="AI35" s="12">
        <v>0</v>
      </c>
      <c r="AJ35" s="12">
        <v>0</v>
      </c>
      <c r="AK35" s="12">
        <v>0</v>
      </c>
      <c r="AL35" s="12">
        <v>0</v>
      </c>
      <c r="AM35" s="12">
        <v>0</v>
      </c>
      <c r="AN35" s="12">
        <v>0</v>
      </c>
      <c r="AO35" s="12">
        <v>0</v>
      </c>
      <c r="AP35" s="12">
        <v>0</v>
      </c>
      <c r="AQ35" s="12">
        <v>0</v>
      </c>
    </row>
    <row r="36" spans="2:43">
      <c r="B36" t="s">
        <v>155</v>
      </c>
      <c r="C36" s="12">
        <v>-566</v>
      </c>
      <c r="D36" s="12">
        <v>-2162</v>
      </c>
      <c r="E36" s="12">
        <v>-3158</v>
      </c>
      <c r="F36" s="12">
        <v>-9091</v>
      </c>
      <c r="G36" s="12">
        <v>-1090</v>
      </c>
      <c r="H36" s="12">
        <v>-2325</v>
      </c>
      <c r="I36" s="12">
        <v>-3730</v>
      </c>
      <c r="J36" s="12">
        <v>-4780</v>
      </c>
      <c r="K36" s="12">
        <v>-1281</v>
      </c>
      <c r="L36" s="12">
        <v>-1281</v>
      </c>
      <c r="M36" s="12">
        <v>-1281</v>
      </c>
      <c r="N36" s="12">
        <v>-1281</v>
      </c>
      <c r="O36" s="12">
        <v>0</v>
      </c>
      <c r="P36" s="12">
        <v>-239</v>
      </c>
      <c r="Q36" s="12">
        <v>-822</v>
      </c>
      <c r="R36" s="12">
        <v>-840</v>
      </c>
      <c r="S36" s="12">
        <v>0</v>
      </c>
      <c r="U36" s="12">
        <v>0</v>
      </c>
      <c r="V36" s="12">
        <v>0</v>
      </c>
      <c r="W36" s="12">
        <v>0</v>
      </c>
      <c r="X36" s="12">
        <v>0</v>
      </c>
      <c r="Y36" s="12">
        <v>0</v>
      </c>
      <c r="Z36" s="12">
        <v>0</v>
      </c>
      <c r="AA36" s="12">
        <v>0</v>
      </c>
      <c r="AB36" s="12">
        <v>0</v>
      </c>
      <c r="AC36" s="12">
        <v>0</v>
      </c>
      <c r="AD36" s="12">
        <v>0</v>
      </c>
      <c r="AE36" s="12">
        <v>0</v>
      </c>
      <c r="AF36" s="12">
        <v>0</v>
      </c>
      <c r="AG36" s="12">
        <v>0</v>
      </c>
      <c r="AH36" s="12">
        <v>0</v>
      </c>
      <c r="AI36" s="12">
        <v>0</v>
      </c>
      <c r="AJ36" s="12">
        <v>0</v>
      </c>
      <c r="AK36" s="12">
        <v>0</v>
      </c>
      <c r="AL36" s="12">
        <v>0</v>
      </c>
      <c r="AM36" s="12">
        <v>0</v>
      </c>
      <c r="AN36" s="12">
        <v>0</v>
      </c>
      <c r="AO36" s="12">
        <v>0</v>
      </c>
      <c r="AP36" s="12">
        <v>0</v>
      </c>
      <c r="AQ36" s="12">
        <v>0</v>
      </c>
    </row>
    <row r="37" spans="2:43">
      <c r="B37" t="s">
        <v>137</v>
      </c>
      <c r="C37" s="12">
        <v>-1299</v>
      </c>
      <c r="D37" s="12">
        <v>-2610</v>
      </c>
      <c r="E37" s="12">
        <v>-3895</v>
      </c>
      <c r="F37" s="12">
        <v>-5172</v>
      </c>
      <c r="G37" s="12">
        <v>-1428</v>
      </c>
      <c r="H37" s="12">
        <v>-2896</v>
      </c>
      <c r="I37" s="12">
        <v>-4290</v>
      </c>
      <c r="J37" s="12">
        <v>-5695</v>
      </c>
      <c r="K37" s="12">
        <v>-1551</v>
      </c>
      <c r="L37" s="12">
        <v>-3128</v>
      </c>
      <c r="M37" s="12">
        <v>-4673</v>
      </c>
      <c r="N37" s="12">
        <v>-6215</v>
      </c>
      <c r="O37" s="12">
        <v>-1645</v>
      </c>
      <c r="P37" s="12">
        <v>-3318</v>
      </c>
      <c r="Q37" s="12">
        <v>-4967</v>
      </c>
      <c r="R37" s="12">
        <v>-6610</v>
      </c>
      <c r="S37" s="12">
        <v>-1745</v>
      </c>
      <c r="U37" s="12">
        <v>-3318</v>
      </c>
      <c r="V37" s="12">
        <v>-4967</v>
      </c>
      <c r="W37" s="12">
        <v>-6610</v>
      </c>
      <c r="X37" s="12">
        <v>-1645</v>
      </c>
      <c r="Y37" s="12">
        <v>-3318</v>
      </c>
      <c r="Z37" s="12">
        <v>-4967</v>
      </c>
      <c r="AA37" s="12">
        <v>-6610</v>
      </c>
      <c r="AB37" s="12">
        <v>-1645</v>
      </c>
      <c r="AC37" s="12">
        <v>-3318</v>
      </c>
      <c r="AD37" s="12">
        <v>-4967</v>
      </c>
      <c r="AE37" s="12">
        <v>-6610</v>
      </c>
      <c r="AF37" s="12">
        <v>-1645</v>
      </c>
      <c r="AG37" s="12">
        <v>-3318</v>
      </c>
      <c r="AH37" s="12">
        <v>-4967</v>
      </c>
      <c r="AI37" s="12">
        <v>-6610</v>
      </c>
      <c r="AJ37" s="12">
        <v>-1645</v>
      </c>
      <c r="AK37" s="12">
        <v>-3318</v>
      </c>
      <c r="AL37" s="12">
        <v>-4967</v>
      </c>
      <c r="AM37" s="12">
        <v>-6610</v>
      </c>
      <c r="AN37" s="12">
        <v>-1645</v>
      </c>
      <c r="AO37" s="12">
        <v>-3318</v>
      </c>
      <c r="AP37" s="12">
        <v>-4967</v>
      </c>
      <c r="AQ37" s="12">
        <v>-6610</v>
      </c>
    </row>
    <row r="38" spans="2:43">
      <c r="B38" t="s">
        <v>138</v>
      </c>
      <c r="C38" s="12">
        <v>230</v>
      </c>
      <c r="D38" s="12">
        <v>299</v>
      </c>
      <c r="E38" s="12">
        <v>461</v>
      </c>
      <c r="F38" s="12">
        <v>591</v>
      </c>
      <c r="G38" s="12">
        <v>173</v>
      </c>
      <c r="H38" s="12">
        <v>304</v>
      </c>
      <c r="I38" s="12">
        <v>344</v>
      </c>
      <c r="J38" s="12">
        <v>361</v>
      </c>
      <c r="K38" s="12">
        <v>26</v>
      </c>
      <c r="L38" s="12">
        <v>40</v>
      </c>
      <c r="M38" s="12">
        <v>68</v>
      </c>
      <c r="N38" s="12">
        <v>89</v>
      </c>
      <c r="O38" s="12">
        <v>9</v>
      </c>
      <c r="P38" s="12">
        <v>51</v>
      </c>
      <c r="Q38" s="12">
        <v>68</v>
      </c>
      <c r="R38" s="12">
        <v>202</v>
      </c>
      <c r="S38" s="12">
        <v>12</v>
      </c>
      <c r="U38" s="12">
        <v>54</v>
      </c>
      <c r="V38" s="12">
        <v>71</v>
      </c>
      <c r="W38" s="12">
        <v>205</v>
      </c>
      <c r="X38" s="12">
        <v>12</v>
      </c>
      <c r="Y38" s="12">
        <v>54</v>
      </c>
      <c r="Z38" s="12">
        <v>71</v>
      </c>
      <c r="AA38" s="12">
        <v>205</v>
      </c>
      <c r="AB38" s="12">
        <v>12</v>
      </c>
      <c r="AC38" s="12">
        <v>54</v>
      </c>
      <c r="AD38" s="12">
        <v>71</v>
      </c>
      <c r="AE38" s="12">
        <v>205</v>
      </c>
      <c r="AF38" s="12">
        <v>12</v>
      </c>
      <c r="AG38" s="12">
        <v>54</v>
      </c>
      <c r="AH38" s="12">
        <v>71</v>
      </c>
      <c r="AI38" s="12">
        <v>205</v>
      </c>
      <c r="AJ38" s="12">
        <v>12</v>
      </c>
      <c r="AK38" s="12">
        <v>54</v>
      </c>
      <c r="AL38" s="12">
        <v>71</v>
      </c>
      <c r="AM38" s="12">
        <v>205</v>
      </c>
      <c r="AN38" s="12">
        <v>12</v>
      </c>
      <c r="AO38" s="12">
        <v>54</v>
      </c>
      <c r="AP38" s="12">
        <v>71</v>
      </c>
      <c r="AQ38" s="12">
        <v>205</v>
      </c>
    </row>
    <row r="39" spans="2:43">
      <c r="B39" t="s">
        <v>129</v>
      </c>
      <c r="C39" s="12">
        <v>-83</v>
      </c>
      <c r="D39" s="12">
        <v>-277</v>
      </c>
      <c r="E39" s="12">
        <v>-289</v>
      </c>
      <c r="F39" s="12">
        <v>-325</v>
      </c>
      <c r="G39" s="12">
        <v>-92</v>
      </c>
      <c r="H39" s="12">
        <v>-207</v>
      </c>
      <c r="I39" s="12">
        <v>-240</v>
      </c>
      <c r="J39" s="12">
        <v>5</v>
      </c>
      <c r="K39" s="12">
        <v>-316</v>
      </c>
      <c r="L39" s="12">
        <v>-444</v>
      </c>
      <c r="M39" s="12">
        <v>-472</v>
      </c>
      <c r="N39" s="12">
        <v>-436</v>
      </c>
      <c r="O39" s="12">
        <v>-97</v>
      </c>
      <c r="P39" s="12">
        <v>-194</v>
      </c>
      <c r="Q39" s="12">
        <v>-253</v>
      </c>
      <c r="R39" s="12">
        <v>-286</v>
      </c>
      <c r="S39" s="12">
        <v>-103</v>
      </c>
      <c r="U39" s="12">
        <v>-198</v>
      </c>
      <c r="V39" s="12">
        <v>-257</v>
      </c>
      <c r="W39" s="12">
        <v>-290</v>
      </c>
      <c r="X39" s="12">
        <v>-103</v>
      </c>
      <c r="Y39" s="12">
        <v>-198</v>
      </c>
      <c r="Z39" s="12">
        <v>-257</v>
      </c>
      <c r="AA39" s="12">
        <v>-290</v>
      </c>
      <c r="AB39" s="12">
        <v>-103</v>
      </c>
      <c r="AC39" s="12">
        <v>-198</v>
      </c>
      <c r="AD39" s="12">
        <v>-257</v>
      </c>
      <c r="AE39" s="12">
        <v>-290</v>
      </c>
      <c r="AF39" s="12">
        <v>-103</v>
      </c>
      <c r="AG39" s="12">
        <v>-198</v>
      </c>
      <c r="AH39" s="12">
        <v>-257</v>
      </c>
      <c r="AI39" s="12">
        <v>-290</v>
      </c>
      <c r="AJ39" s="12">
        <v>-103</v>
      </c>
      <c r="AK39" s="12">
        <v>-198</v>
      </c>
      <c r="AL39" s="12">
        <v>-257</v>
      </c>
      <c r="AM39" s="12">
        <v>-290</v>
      </c>
      <c r="AN39" s="12">
        <v>-103</v>
      </c>
      <c r="AO39" s="12">
        <v>-198</v>
      </c>
      <c r="AP39" s="12">
        <v>-257</v>
      </c>
      <c r="AQ39" s="12">
        <v>-290</v>
      </c>
    </row>
    <row r="40" spans="2:43" s="7" customFormat="1">
      <c r="B40" s="7" t="s">
        <v>139</v>
      </c>
      <c r="C40" s="18">
        <f t="shared" ref="C40:S40" si="5">SUM(C32:C39)</f>
        <v>-2722</v>
      </c>
      <c r="D40" s="18">
        <f t="shared" si="5"/>
        <v>-5689</v>
      </c>
      <c r="E40" s="18">
        <f t="shared" si="5"/>
        <v>-7594</v>
      </c>
      <c r="F40" s="18">
        <f t="shared" si="5"/>
        <v>-13160</v>
      </c>
      <c r="G40" s="18">
        <f t="shared" si="5"/>
        <v>-1614</v>
      </c>
      <c r="H40" s="18">
        <f t="shared" si="5"/>
        <v>-3698</v>
      </c>
      <c r="I40" s="18">
        <f t="shared" si="5"/>
        <v>-6850</v>
      </c>
      <c r="J40" s="18">
        <f t="shared" si="5"/>
        <v>-8861</v>
      </c>
      <c r="K40" s="18">
        <f t="shared" si="5"/>
        <v>-1490</v>
      </c>
      <c r="L40" s="18">
        <f t="shared" si="5"/>
        <v>-353</v>
      </c>
      <c r="M40" s="18">
        <f t="shared" si="5"/>
        <v>-4204</v>
      </c>
      <c r="N40" s="18">
        <f t="shared" si="5"/>
        <v>-2832</v>
      </c>
      <c r="O40" s="18">
        <f t="shared" si="5"/>
        <v>-2098</v>
      </c>
      <c r="P40" s="18">
        <f t="shared" si="5"/>
        <v>164</v>
      </c>
      <c r="Q40" s="18">
        <f t="shared" si="5"/>
        <v>-2110</v>
      </c>
      <c r="R40" s="18">
        <f t="shared" si="5"/>
        <v>3097</v>
      </c>
      <c r="S40" s="18">
        <f t="shared" si="5"/>
        <v>-3086</v>
      </c>
      <c r="U40" s="18">
        <f>SUM(U32:U39)</f>
        <v>-4907</v>
      </c>
      <c r="V40" s="18">
        <f t="shared" ref="V40:AQ40" si="6">SUM(V32:V39)</f>
        <v>-6598</v>
      </c>
      <c r="W40" s="18">
        <f t="shared" si="6"/>
        <v>-8140</v>
      </c>
      <c r="X40" s="18">
        <f t="shared" si="6"/>
        <v>-3181</v>
      </c>
      <c r="Y40" s="18">
        <f t="shared" si="6"/>
        <v>-4907</v>
      </c>
      <c r="Z40" s="18">
        <f t="shared" si="6"/>
        <v>-6598</v>
      </c>
      <c r="AA40" s="18">
        <f t="shared" si="6"/>
        <v>-8140</v>
      </c>
      <c r="AB40" s="18">
        <f t="shared" si="6"/>
        <v>-3181</v>
      </c>
      <c r="AC40" s="18">
        <f t="shared" si="6"/>
        <v>-4907</v>
      </c>
      <c r="AD40" s="18">
        <f t="shared" si="6"/>
        <v>-6598</v>
      </c>
      <c r="AE40" s="18">
        <f t="shared" si="6"/>
        <v>-8140</v>
      </c>
      <c r="AF40" s="18">
        <f t="shared" si="6"/>
        <v>-3181</v>
      </c>
      <c r="AG40" s="18">
        <f t="shared" si="6"/>
        <v>-4907</v>
      </c>
      <c r="AH40" s="18">
        <f t="shared" si="6"/>
        <v>-6598</v>
      </c>
      <c r="AI40" s="18">
        <f t="shared" si="6"/>
        <v>-8140</v>
      </c>
      <c r="AJ40" s="18">
        <f t="shared" si="6"/>
        <v>-3181</v>
      </c>
      <c r="AK40" s="18">
        <f t="shared" si="6"/>
        <v>-4907</v>
      </c>
      <c r="AL40" s="18">
        <f t="shared" si="6"/>
        <v>-6598</v>
      </c>
      <c r="AM40" s="18">
        <f t="shared" si="6"/>
        <v>-8140</v>
      </c>
      <c r="AN40" s="18">
        <f t="shared" si="6"/>
        <v>-3181</v>
      </c>
      <c r="AO40" s="18">
        <f t="shared" si="6"/>
        <v>-4907</v>
      </c>
      <c r="AP40" s="18">
        <f t="shared" si="6"/>
        <v>-6598</v>
      </c>
      <c r="AQ40" s="18">
        <f t="shared" si="6"/>
        <v>-8140</v>
      </c>
    </row>
    <row r="41" spans="2:43">
      <c r="C41" s="12"/>
      <c r="D41" s="12"/>
      <c r="E41" s="12"/>
      <c r="F41" s="12"/>
      <c r="G41" s="12"/>
      <c r="H41" s="12"/>
      <c r="I41" s="12"/>
      <c r="J41" s="12"/>
      <c r="K41" s="12"/>
      <c r="L41" s="12"/>
      <c r="M41" s="12"/>
      <c r="N41" s="12"/>
      <c r="O41" s="12"/>
      <c r="P41" s="12"/>
      <c r="Q41" s="12"/>
      <c r="R41" s="12"/>
      <c r="S41" s="12"/>
    </row>
    <row r="42" spans="2:43">
      <c r="B42" s="7" t="s">
        <v>140</v>
      </c>
      <c r="C42" s="12"/>
      <c r="D42" s="12"/>
      <c r="E42" s="12"/>
      <c r="F42" s="12"/>
      <c r="G42" s="12"/>
      <c r="H42" s="12"/>
      <c r="I42" s="12"/>
      <c r="J42" s="12"/>
      <c r="K42" s="12"/>
      <c r="L42" s="12"/>
      <c r="M42" s="12"/>
      <c r="N42" s="12"/>
      <c r="O42" s="12"/>
      <c r="P42" s="12"/>
      <c r="Q42" s="12"/>
      <c r="R42" s="12"/>
      <c r="S42" s="12"/>
    </row>
    <row r="43" spans="2:43">
      <c r="B43" t="s">
        <v>141</v>
      </c>
      <c r="C43" s="12">
        <v>0</v>
      </c>
      <c r="D43" s="12">
        <v>0</v>
      </c>
      <c r="E43" s="12">
        <v>0</v>
      </c>
      <c r="F43" s="12">
        <v>0</v>
      </c>
      <c r="G43" s="12">
        <v>0</v>
      </c>
      <c r="H43" s="12">
        <v>0</v>
      </c>
      <c r="I43" s="12">
        <v>0</v>
      </c>
      <c r="J43" s="12">
        <v>0</v>
      </c>
      <c r="K43" s="12">
        <v>0</v>
      </c>
      <c r="L43" s="12">
        <v>0</v>
      </c>
      <c r="M43" s="12">
        <v>0</v>
      </c>
      <c r="N43" s="12">
        <v>0</v>
      </c>
      <c r="O43" s="12">
        <v>0</v>
      </c>
      <c r="P43" s="12">
        <v>1051</v>
      </c>
      <c r="Q43" s="12">
        <v>1051</v>
      </c>
      <c r="R43" s="12">
        <v>987</v>
      </c>
      <c r="S43" s="12">
        <v>0</v>
      </c>
      <c r="U43" s="12">
        <v>0</v>
      </c>
      <c r="V43" s="12">
        <v>0</v>
      </c>
      <c r="W43" s="12">
        <v>0</v>
      </c>
      <c r="X43" s="12">
        <v>0</v>
      </c>
      <c r="Y43" s="12">
        <v>0</v>
      </c>
      <c r="Z43" s="12">
        <v>0</v>
      </c>
      <c r="AA43" s="12">
        <v>0</v>
      </c>
      <c r="AB43" s="12">
        <v>0</v>
      </c>
      <c r="AC43" s="12">
        <v>0</v>
      </c>
      <c r="AD43" s="12">
        <v>0</v>
      </c>
      <c r="AE43" s="12">
        <v>0</v>
      </c>
      <c r="AF43" s="12">
        <v>0</v>
      </c>
      <c r="AG43" s="12">
        <v>0</v>
      </c>
      <c r="AH43" s="12">
        <v>0</v>
      </c>
      <c r="AI43" s="12">
        <v>0</v>
      </c>
      <c r="AJ43" s="12">
        <v>0</v>
      </c>
      <c r="AK43" s="12">
        <v>0</v>
      </c>
      <c r="AL43" s="12">
        <v>0</v>
      </c>
      <c r="AM43" s="12">
        <v>0</v>
      </c>
      <c r="AN43" s="12">
        <v>0</v>
      </c>
      <c r="AO43" s="12">
        <v>0</v>
      </c>
      <c r="AP43" s="12">
        <v>0</v>
      </c>
      <c r="AQ43" s="12">
        <v>0</v>
      </c>
    </row>
    <row r="44" spans="2:43">
      <c r="B44" t="s">
        <v>142</v>
      </c>
      <c r="C44" s="12">
        <v>0</v>
      </c>
      <c r="D44" s="12">
        <v>0</v>
      </c>
      <c r="E44" s="12">
        <v>0</v>
      </c>
      <c r="F44" s="12">
        <v>0</v>
      </c>
      <c r="G44" s="12">
        <v>0</v>
      </c>
      <c r="H44" s="12">
        <v>0</v>
      </c>
      <c r="I44" s="12">
        <v>0</v>
      </c>
      <c r="J44" s="12">
        <v>0</v>
      </c>
      <c r="K44" s="12">
        <v>0</v>
      </c>
      <c r="L44" s="12">
        <v>0</v>
      </c>
      <c r="M44" s="12">
        <v>0</v>
      </c>
      <c r="N44" s="12">
        <v>0</v>
      </c>
      <c r="O44" s="12">
        <v>0</v>
      </c>
      <c r="P44" s="12">
        <v>-134</v>
      </c>
      <c r="Q44" s="12">
        <v>-134</v>
      </c>
      <c r="R44" s="12">
        <v>-134</v>
      </c>
      <c r="S44" s="12">
        <v>0</v>
      </c>
      <c r="U44" s="12">
        <v>0</v>
      </c>
      <c r="V44" s="12">
        <v>0</v>
      </c>
      <c r="W44" s="12">
        <v>0</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0</v>
      </c>
      <c r="AN44" s="12">
        <v>0</v>
      </c>
      <c r="AO44" s="12">
        <v>0</v>
      </c>
      <c r="AP44" s="12">
        <v>0</v>
      </c>
      <c r="AQ44" s="12">
        <v>0</v>
      </c>
    </row>
    <row r="45" spans="2:43">
      <c r="B45" t="s">
        <v>139</v>
      </c>
      <c r="C45" s="12">
        <v>0</v>
      </c>
      <c r="D45" s="12">
        <v>0</v>
      </c>
      <c r="E45" s="12">
        <v>0</v>
      </c>
      <c r="F45" s="12">
        <v>0</v>
      </c>
      <c r="G45" s="12">
        <v>0</v>
      </c>
      <c r="H45" s="12">
        <v>0</v>
      </c>
      <c r="I45" s="12">
        <v>0</v>
      </c>
      <c r="J45" s="12">
        <v>0</v>
      </c>
      <c r="K45" s="12">
        <v>0</v>
      </c>
      <c r="L45" s="12">
        <v>0</v>
      </c>
      <c r="M45" s="12">
        <v>0</v>
      </c>
      <c r="N45" s="12">
        <v>0</v>
      </c>
      <c r="O45" s="12">
        <v>0</v>
      </c>
      <c r="P45" s="12">
        <v>-504</v>
      </c>
      <c r="Q45" s="12">
        <v>-504</v>
      </c>
      <c r="R45" s="12">
        <v>-504</v>
      </c>
      <c r="S45" s="12">
        <v>0</v>
      </c>
      <c r="U45" s="12">
        <v>0</v>
      </c>
      <c r="V45" s="12">
        <v>0</v>
      </c>
      <c r="W45" s="12">
        <v>0</v>
      </c>
      <c r="X45" s="12">
        <v>0</v>
      </c>
      <c r="Y45" s="12">
        <v>0</v>
      </c>
      <c r="Z45" s="12">
        <v>0</v>
      </c>
      <c r="AA45" s="12">
        <v>0</v>
      </c>
      <c r="AB45" s="12">
        <v>0</v>
      </c>
      <c r="AC45" s="12">
        <v>0</v>
      </c>
      <c r="AD45" s="12">
        <v>0</v>
      </c>
      <c r="AE45" s="12">
        <v>0</v>
      </c>
      <c r="AF45" s="12">
        <v>0</v>
      </c>
      <c r="AG45" s="12">
        <v>0</v>
      </c>
      <c r="AH45" s="12">
        <v>0</v>
      </c>
      <c r="AI45" s="12">
        <v>0</v>
      </c>
      <c r="AJ45" s="12">
        <v>0</v>
      </c>
      <c r="AK45" s="12">
        <v>0</v>
      </c>
      <c r="AL45" s="12">
        <v>0</v>
      </c>
      <c r="AM45" s="12">
        <v>0</v>
      </c>
      <c r="AN45" s="12">
        <v>0</v>
      </c>
      <c r="AO45" s="12">
        <v>0</v>
      </c>
      <c r="AP45" s="12">
        <v>0</v>
      </c>
      <c r="AQ45" s="12">
        <v>0</v>
      </c>
    </row>
    <row r="46" spans="2:43">
      <c r="B46" s="5" t="s">
        <v>143</v>
      </c>
      <c r="C46" s="12">
        <v>0</v>
      </c>
      <c r="D46" s="12">
        <v>0</v>
      </c>
      <c r="E46" s="12">
        <v>0</v>
      </c>
      <c r="F46" s="12">
        <v>0</v>
      </c>
      <c r="G46" s="12">
        <v>0</v>
      </c>
      <c r="H46" s="12">
        <v>0</v>
      </c>
      <c r="I46" s="12">
        <v>0</v>
      </c>
      <c r="J46" s="12">
        <v>0</v>
      </c>
      <c r="K46" s="12">
        <v>0</v>
      </c>
      <c r="L46" s="12">
        <v>0</v>
      </c>
      <c r="M46" s="12">
        <v>0</v>
      </c>
      <c r="N46" s="12">
        <v>0</v>
      </c>
      <c r="O46" s="12">
        <v>0</v>
      </c>
      <c r="P46" s="12">
        <f>SUM(P43:P45)</f>
        <v>413</v>
      </c>
      <c r="Q46" s="12">
        <f>SUM(Q43:Q45)</f>
        <v>413</v>
      </c>
      <c r="R46" s="12">
        <f>SUM(R43:R45)</f>
        <v>349</v>
      </c>
      <c r="S46" s="12">
        <v>0</v>
      </c>
      <c r="U46" s="12">
        <v>0</v>
      </c>
      <c r="V46" s="12">
        <v>0</v>
      </c>
      <c r="W46" s="12">
        <v>0</v>
      </c>
      <c r="X46" s="12">
        <v>0</v>
      </c>
      <c r="Y46" s="12">
        <v>0</v>
      </c>
      <c r="Z46" s="12">
        <v>0</v>
      </c>
      <c r="AA46" s="12">
        <v>0</v>
      </c>
      <c r="AB46" s="12">
        <v>0</v>
      </c>
      <c r="AC46" s="12">
        <v>0</v>
      </c>
      <c r="AD46" s="12">
        <v>0</v>
      </c>
      <c r="AE46" s="12">
        <v>0</v>
      </c>
      <c r="AF46" s="12">
        <v>0</v>
      </c>
      <c r="AG46" s="12">
        <v>0</v>
      </c>
      <c r="AH46" s="12">
        <v>0</v>
      </c>
      <c r="AI46" s="12">
        <v>0</v>
      </c>
      <c r="AJ46" s="12">
        <v>0</v>
      </c>
      <c r="AK46" s="12">
        <v>0</v>
      </c>
      <c r="AL46" s="12">
        <v>0</v>
      </c>
      <c r="AM46" s="12">
        <v>0</v>
      </c>
      <c r="AN46" s="12">
        <v>0</v>
      </c>
      <c r="AO46" s="12">
        <v>0</v>
      </c>
      <c r="AP46" s="12">
        <v>0</v>
      </c>
      <c r="AQ46" s="12">
        <v>0</v>
      </c>
    </row>
    <row r="47" spans="2:43" ht="34">
      <c r="B47" s="40" t="s">
        <v>144</v>
      </c>
      <c r="C47" s="12">
        <v>154</v>
      </c>
      <c r="D47" s="12">
        <v>-108</v>
      </c>
      <c r="E47" s="12">
        <v>-140</v>
      </c>
      <c r="F47" s="12">
        <v>-205</v>
      </c>
      <c r="G47" s="12">
        <v>20</v>
      </c>
      <c r="H47" s="12">
        <v>28</v>
      </c>
      <c r="I47" s="12">
        <v>-26</v>
      </c>
      <c r="J47" s="12">
        <v>17</v>
      </c>
      <c r="K47" s="12">
        <v>-63</v>
      </c>
      <c r="L47" s="12">
        <v>2</v>
      </c>
      <c r="M47" s="12">
        <v>89</v>
      </c>
      <c r="N47" s="12">
        <v>253</v>
      </c>
      <c r="O47" s="12">
        <v>-97</v>
      </c>
      <c r="P47" s="12">
        <v>-19</v>
      </c>
      <c r="Q47" s="12">
        <v>-65</v>
      </c>
      <c r="R47" s="12">
        <v>-133</v>
      </c>
      <c r="S47" s="12">
        <v>-55</v>
      </c>
      <c r="U47" s="12">
        <v>-55</v>
      </c>
      <c r="V47" s="12">
        <v>-55</v>
      </c>
      <c r="W47" s="12">
        <v>-55</v>
      </c>
      <c r="X47" s="12">
        <v>-55</v>
      </c>
      <c r="Y47" s="12">
        <v>-55</v>
      </c>
      <c r="Z47" s="12">
        <v>-55</v>
      </c>
      <c r="AA47" s="12">
        <v>-55</v>
      </c>
      <c r="AB47" s="12">
        <v>-55</v>
      </c>
      <c r="AC47" s="12">
        <v>-55</v>
      </c>
      <c r="AD47" s="12">
        <v>-55</v>
      </c>
      <c r="AE47" s="12">
        <v>-55</v>
      </c>
      <c r="AF47" s="12">
        <v>-55</v>
      </c>
      <c r="AG47" s="12">
        <v>-55</v>
      </c>
      <c r="AH47" s="12">
        <v>-55</v>
      </c>
      <c r="AI47" s="12">
        <v>-55</v>
      </c>
      <c r="AJ47" s="12">
        <v>-55</v>
      </c>
      <c r="AK47" s="12">
        <v>-55</v>
      </c>
      <c r="AL47" s="12">
        <v>-55</v>
      </c>
      <c r="AM47" s="12">
        <v>-55</v>
      </c>
      <c r="AN47" s="12">
        <v>-55</v>
      </c>
      <c r="AO47" s="12">
        <v>-55</v>
      </c>
      <c r="AP47" s="12">
        <v>-55</v>
      </c>
      <c r="AQ47" s="12">
        <v>-55</v>
      </c>
    </row>
    <row r="48" spans="2:43" s="7" customFormat="1" ht="34">
      <c r="B48" s="43" t="s">
        <v>156</v>
      </c>
      <c r="C48" s="18">
        <f t="shared" ref="C48:S48" si="7">SUM(C40,C29,C21,C47,C46)</f>
        <v>-1610</v>
      </c>
      <c r="D48" s="18">
        <f t="shared" si="7"/>
        <v>-784</v>
      </c>
      <c r="E48" s="18">
        <f t="shared" si="7"/>
        <v>1732</v>
      </c>
      <c r="F48" s="18">
        <f t="shared" si="7"/>
        <v>1871</v>
      </c>
      <c r="G48" s="18">
        <f t="shared" si="7"/>
        <v>110</v>
      </c>
      <c r="H48" s="18">
        <f t="shared" si="7"/>
        <v>-1307</v>
      </c>
      <c r="I48" s="18">
        <f t="shared" si="7"/>
        <v>-96</v>
      </c>
      <c r="J48" s="18">
        <f t="shared" si="7"/>
        <v>1967</v>
      </c>
      <c r="K48" s="18">
        <f t="shared" si="7"/>
        <v>-2474</v>
      </c>
      <c r="L48" s="18">
        <f t="shared" si="7"/>
        <v>1213</v>
      </c>
      <c r="M48" s="18">
        <f t="shared" si="7"/>
        <v>-2533</v>
      </c>
      <c r="N48" s="18">
        <f t="shared" si="7"/>
        <v>-1769</v>
      </c>
      <c r="O48" s="18">
        <f t="shared" si="7"/>
        <v>-1142</v>
      </c>
      <c r="P48" s="18">
        <f t="shared" si="7"/>
        <v>477</v>
      </c>
      <c r="Q48" s="18">
        <f t="shared" si="7"/>
        <v>1893</v>
      </c>
      <c r="R48" s="18">
        <f t="shared" si="7"/>
        <v>14</v>
      </c>
      <c r="S48" s="18">
        <f t="shared" si="7"/>
        <v>447</v>
      </c>
      <c r="U48" s="18">
        <f>SUM(U40,U29,U21,U47,U46)</f>
        <v>-14405.502149833423</v>
      </c>
      <c r="V48" s="18">
        <f>SUM(V40,V29,V21,V47,V46)</f>
        <v>-7628.6819116420011</v>
      </c>
      <c r="W48" s="18">
        <f>SUM(W40,W29,W21,W47,W46)</f>
        <v>-9456.7076117583347</v>
      </c>
      <c r="X48" s="18">
        <f>SUM(X40,X29,X21,X47,X46)</f>
        <v>-3805.5910021912723</v>
      </c>
      <c r="Y48" s="18">
        <f t="shared" ref="Y48:AQ48" si="8">SUM(Y40,Y29,Y21,Y47,Y46)</f>
        <v>-5384.8843948352751</v>
      </c>
      <c r="Z48" s="18">
        <f t="shared" si="8"/>
        <v>-7657.6012150653678</v>
      </c>
      <c r="AA48" s="18">
        <f t="shared" si="8"/>
        <v>-9512.2511366074941</v>
      </c>
      <c r="AB48" s="18">
        <f t="shared" si="8"/>
        <v>-3796.7100160328978</v>
      </c>
      <c r="AC48" s="18">
        <f t="shared" si="8"/>
        <v>-5362.3474707759196</v>
      </c>
      <c r="AD48" s="18">
        <f t="shared" si="8"/>
        <v>-7689.2124232284514</v>
      </c>
      <c r="AE48" s="18">
        <f t="shared" si="8"/>
        <v>-9572.9648370868599</v>
      </c>
      <c r="AF48" s="18">
        <f t="shared" si="8"/>
        <v>-3787.0023582087815</v>
      </c>
      <c r="AG48" s="18">
        <f t="shared" si="8"/>
        <v>-5337.7127350298233</v>
      </c>
      <c r="AH48" s="18">
        <f t="shared" si="8"/>
        <v>-7723.7661075582855</v>
      </c>
      <c r="AI48" s="18">
        <f t="shared" si="8"/>
        <v>-9443.5913473943001</v>
      </c>
      <c r="AJ48" s="18">
        <f t="shared" si="8"/>
        <v>-3807.6881928644043</v>
      </c>
      <c r="AK48" s="18">
        <f t="shared" si="8"/>
        <v>-5390.2063518899886</v>
      </c>
      <c r="AL48" s="18">
        <f t="shared" si="8"/>
        <v>-7650.1364212075878</v>
      </c>
      <c r="AM48" s="18">
        <f t="shared" si="8"/>
        <v>-9497.9139668263415</v>
      </c>
      <c r="AN48" s="18">
        <f t="shared" si="8"/>
        <v>-3799.0024201740193</v>
      </c>
      <c r="AO48" s="18">
        <f t="shared" si="8"/>
        <v>-5368.1648132557393</v>
      </c>
      <c r="AP48" s="18">
        <f t="shared" si="8"/>
        <v>-7681.0527815843107</v>
      </c>
      <c r="AQ48" s="18">
        <f t="shared" si="8"/>
        <v>-9557.2931159604341</v>
      </c>
    </row>
    <row r="49" spans="2:44">
      <c r="B49" t="s">
        <v>145</v>
      </c>
      <c r="C49" s="12">
        <v>6096</v>
      </c>
      <c r="D49" s="12">
        <v>6096</v>
      </c>
      <c r="E49" s="12">
        <v>6096</v>
      </c>
      <c r="F49" s="12">
        <v>6096</v>
      </c>
      <c r="G49" s="12">
        <v>7967</v>
      </c>
      <c r="H49" s="12">
        <v>7967</v>
      </c>
      <c r="I49" s="12">
        <v>7967</v>
      </c>
      <c r="J49" s="12">
        <v>7967</v>
      </c>
      <c r="K49" s="12">
        <v>9934</v>
      </c>
      <c r="L49" s="12">
        <v>9934</v>
      </c>
      <c r="M49" s="12">
        <v>9934</v>
      </c>
      <c r="N49" s="12">
        <v>9934</v>
      </c>
      <c r="O49" s="12">
        <v>8165</v>
      </c>
      <c r="P49" s="12">
        <v>8153</v>
      </c>
      <c r="Q49" s="12">
        <v>8153</v>
      </c>
      <c r="R49" s="12">
        <v>8153</v>
      </c>
      <c r="S49" s="12">
        <v>8167</v>
      </c>
      <c r="U49" s="12">
        <v>4307</v>
      </c>
      <c r="V49">
        <f t="shared" ref="V49:AQ49" si="9">U8</f>
        <v>0</v>
      </c>
      <c r="W49">
        <f t="shared" si="9"/>
        <v>0</v>
      </c>
      <c r="X49">
        <f t="shared" si="9"/>
        <v>0</v>
      </c>
      <c r="Y49">
        <f t="shared" si="9"/>
        <v>0</v>
      </c>
      <c r="Z49">
        <f t="shared" si="9"/>
        <v>0</v>
      </c>
      <c r="AA49">
        <f t="shared" si="9"/>
        <v>0</v>
      </c>
      <c r="AB49">
        <f t="shared" si="9"/>
        <v>0</v>
      </c>
      <c r="AC49">
        <f t="shared" si="9"/>
        <v>0</v>
      </c>
      <c r="AD49">
        <f t="shared" si="9"/>
        <v>0</v>
      </c>
      <c r="AE49">
        <f t="shared" si="9"/>
        <v>0</v>
      </c>
      <c r="AF49">
        <f t="shared" si="9"/>
        <v>0</v>
      </c>
      <c r="AG49">
        <f t="shared" si="9"/>
        <v>0</v>
      </c>
      <c r="AH49">
        <f t="shared" si="9"/>
        <v>0</v>
      </c>
      <c r="AI49">
        <f t="shared" si="9"/>
        <v>0</v>
      </c>
      <c r="AJ49">
        <f t="shared" si="9"/>
        <v>0</v>
      </c>
      <c r="AK49">
        <f t="shared" si="9"/>
        <v>0</v>
      </c>
      <c r="AL49">
        <f t="shared" si="9"/>
        <v>0</v>
      </c>
      <c r="AM49">
        <f t="shared" si="9"/>
        <v>0</v>
      </c>
      <c r="AN49">
        <f t="shared" si="9"/>
        <v>0</v>
      </c>
      <c r="AO49">
        <f t="shared" si="9"/>
        <v>0</v>
      </c>
      <c r="AP49">
        <f t="shared" si="9"/>
        <v>0</v>
      </c>
      <c r="AQ49">
        <f t="shared" si="9"/>
        <v>0</v>
      </c>
    </row>
    <row r="50" spans="2:44" s="5" customFormat="1">
      <c r="B50" s="5" t="s">
        <v>146</v>
      </c>
      <c r="C50" s="21"/>
      <c r="D50" s="21"/>
      <c r="E50" s="21"/>
      <c r="F50" s="21"/>
      <c r="G50" s="21"/>
      <c r="H50" s="21"/>
      <c r="I50" s="21"/>
      <c r="J50" s="21"/>
      <c r="K50" s="21"/>
      <c r="L50" s="21"/>
      <c r="M50" s="21"/>
      <c r="N50" s="21"/>
      <c r="O50" s="21"/>
      <c r="P50" s="21"/>
      <c r="Q50" s="21"/>
      <c r="R50" s="21"/>
      <c r="S50" s="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row>
    <row r="51" spans="2:44" s="7" customFormat="1">
      <c r="B51" s="7" t="s">
        <v>147</v>
      </c>
      <c r="C51" s="18">
        <f t="shared" ref="C51:S51" si="10">SUM(C48:C49)</f>
        <v>4486</v>
      </c>
      <c r="D51" s="18">
        <f t="shared" si="10"/>
        <v>5312</v>
      </c>
      <c r="E51" s="18">
        <f t="shared" si="10"/>
        <v>7828</v>
      </c>
      <c r="F51" s="18">
        <f t="shared" si="10"/>
        <v>7967</v>
      </c>
      <c r="G51" s="18">
        <f t="shared" si="10"/>
        <v>8077</v>
      </c>
      <c r="H51" s="18">
        <f t="shared" si="10"/>
        <v>6660</v>
      </c>
      <c r="I51" s="18">
        <f t="shared" si="10"/>
        <v>7871</v>
      </c>
      <c r="J51" s="18">
        <f t="shared" si="10"/>
        <v>9934</v>
      </c>
      <c r="K51" s="18">
        <f t="shared" si="10"/>
        <v>7460</v>
      </c>
      <c r="L51" s="18">
        <f t="shared" si="10"/>
        <v>11147</v>
      </c>
      <c r="M51" s="18">
        <f t="shared" si="10"/>
        <v>7401</v>
      </c>
      <c r="N51" s="18">
        <f t="shared" si="10"/>
        <v>8165</v>
      </c>
      <c r="O51" s="18">
        <f t="shared" si="10"/>
        <v>7023</v>
      </c>
      <c r="P51" s="18">
        <f t="shared" si="10"/>
        <v>8630</v>
      </c>
      <c r="Q51" s="18">
        <f t="shared" si="10"/>
        <v>10046</v>
      </c>
      <c r="R51" s="18">
        <f t="shared" si="10"/>
        <v>8167</v>
      </c>
      <c r="S51" s="18">
        <f t="shared" si="10"/>
        <v>8614</v>
      </c>
      <c r="U51" s="18">
        <f>SUM(U48:U49)</f>
        <v>-10098.502149833423</v>
      </c>
      <c r="V51" s="18">
        <f t="shared" ref="V51:AQ51" si="11">SUM(V48:V49)</f>
        <v>-7628.6819116420011</v>
      </c>
      <c r="W51" s="18">
        <f t="shared" si="11"/>
        <v>-9456.7076117583347</v>
      </c>
      <c r="X51" s="18">
        <f t="shared" si="11"/>
        <v>-3805.5910021912723</v>
      </c>
      <c r="Y51" s="18">
        <f t="shared" si="11"/>
        <v>-5384.8843948352751</v>
      </c>
      <c r="Z51" s="18">
        <f t="shared" si="11"/>
        <v>-7657.6012150653678</v>
      </c>
      <c r="AA51" s="18">
        <f t="shared" si="11"/>
        <v>-9512.2511366074941</v>
      </c>
      <c r="AB51" s="18">
        <f t="shared" si="11"/>
        <v>-3796.7100160328978</v>
      </c>
      <c r="AC51" s="18">
        <f t="shared" si="11"/>
        <v>-5362.3474707759196</v>
      </c>
      <c r="AD51" s="18">
        <f t="shared" si="11"/>
        <v>-7689.2124232284514</v>
      </c>
      <c r="AE51" s="18">
        <f t="shared" si="11"/>
        <v>-9572.9648370868599</v>
      </c>
      <c r="AF51" s="18">
        <f t="shared" si="11"/>
        <v>-3787.0023582087815</v>
      </c>
      <c r="AG51" s="18">
        <f t="shared" si="11"/>
        <v>-5337.7127350298233</v>
      </c>
      <c r="AH51" s="18">
        <f t="shared" si="11"/>
        <v>-7723.7661075582855</v>
      </c>
      <c r="AI51" s="18">
        <f t="shared" si="11"/>
        <v>-9443.5913473943001</v>
      </c>
      <c r="AJ51" s="18">
        <f t="shared" si="11"/>
        <v>-3807.6881928644043</v>
      </c>
      <c r="AK51" s="18">
        <f t="shared" si="11"/>
        <v>-5390.2063518899886</v>
      </c>
      <c r="AL51" s="18">
        <f t="shared" si="11"/>
        <v>-7650.1364212075878</v>
      </c>
      <c r="AM51" s="18">
        <f t="shared" si="11"/>
        <v>-9497.9139668263415</v>
      </c>
      <c r="AN51" s="18">
        <f t="shared" si="11"/>
        <v>-3799.0024201740193</v>
      </c>
      <c r="AO51" s="18">
        <f t="shared" si="11"/>
        <v>-5368.1648132557393</v>
      </c>
      <c r="AP51" s="18">
        <f t="shared" si="11"/>
        <v>-7681.0527815843107</v>
      </c>
      <c r="AQ51" s="18">
        <f t="shared" si="11"/>
        <v>-9557.2931159604341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99115-F72B-D745-BDD4-BC08E0350AEB}">
  <dimension ref="B1:AQ12"/>
  <sheetViews>
    <sheetView workbookViewId="0">
      <selection activeCell="C8" sqref="C8"/>
    </sheetView>
  </sheetViews>
  <sheetFormatPr baseColWidth="10" defaultRowHeight="16"/>
  <cols>
    <col min="1" max="1" width="1.83203125" customWidth="1"/>
    <col min="2" max="2" width="25.1640625" bestFit="1" customWidth="1"/>
    <col min="3" max="4" width="11.33203125" bestFit="1" customWidth="1"/>
    <col min="20" max="20" width="1.33203125" customWidth="1"/>
    <col min="21" max="21" width="13.1640625" bestFit="1" customWidth="1"/>
  </cols>
  <sheetData>
    <row r="1" spans="2:43">
      <c r="B1" t="s">
        <v>0</v>
      </c>
    </row>
    <row r="2" spans="2:43">
      <c r="B2" t="e" vm="1">
        <v>#VALUE!</v>
      </c>
    </row>
    <row r="7" spans="2:43">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2:43">
      <c r="B8" s="44" t="s">
        <v>160</v>
      </c>
      <c r="C8" s="12">
        <v>-450</v>
      </c>
      <c r="D8" s="12">
        <v>-1033</v>
      </c>
      <c r="E8" s="12">
        <v>-1686</v>
      </c>
      <c r="F8" s="12">
        <v>-2615</v>
      </c>
      <c r="G8" s="12">
        <v>-595</v>
      </c>
      <c r="H8" s="12">
        <v>-1377</v>
      </c>
      <c r="I8" s="12">
        <v>-2336</v>
      </c>
      <c r="J8" s="12">
        <v>-3473</v>
      </c>
      <c r="K8" s="12">
        <v>-986</v>
      </c>
      <c r="L8" s="12">
        <v>-1654</v>
      </c>
      <c r="M8" s="12">
        <v>-3170</v>
      </c>
      <c r="N8" s="12">
        <v>-4684</v>
      </c>
      <c r="O8" s="12">
        <v>-1134</v>
      </c>
      <c r="P8" s="12">
        <v>-2068</v>
      </c>
      <c r="Q8" s="12">
        <v>-3240</v>
      </c>
      <c r="R8" s="12">
        <v>-4448</v>
      </c>
      <c r="S8" s="12">
        <v>-984</v>
      </c>
      <c r="U8" s="12">
        <f>-(U9*'Income Statement'!U8)</f>
        <v>-2442.0537982354135</v>
      </c>
      <c r="V8" s="12">
        <f>-(V9*'Income Statement'!V8)</f>
        <v>-3808.7784216174459</v>
      </c>
      <c r="W8" s="12">
        <f>-(W9*'Income Statement'!W8)</f>
        <v>-5283.2258596597358</v>
      </c>
      <c r="X8" s="12">
        <f>-(X9*'Income Statement'!X8)</f>
        <v>-1271.1958092686975</v>
      </c>
      <c r="Y8" s="12">
        <f>-(Y9*'Income Statement'!Y8)</f>
        <v>-2669.3682704366011</v>
      </c>
      <c r="Z8" s="12">
        <f>-(Z9*'Income Statement'!Z8)</f>
        <v>-4163.3121576337635</v>
      </c>
      <c r="AA8" s="12">
        <f>-(AA9*'Income Statement'!AA8)</f>
        <v>-5775.0060565890608</v>
      </c>
      <c r="AB8" s="12">
        <f>-(AB9*'Income Statement'!AB8)</f>
        <v>-1389.5229340261756</v>
      </c>
      <c r="AC8" s="12">
        <f>-(AC9*'Income Statement'!AC8)</f>
        <v>-2917.8419281190586</v>
      </c>
      <c r="AD8" s="12">
        <f>-(AD9*'Income Statement'!AD8)</f>
        <v>-4550.8470704211668</v>
      </c>
      <c r="AE8" s="12">
        <f>-(AE9*'Income Statement'!AE8)</f>
        <v>-6312.5627863633053</v>
      </c>
      <c r="AF8" s="12">
        <f>-(AF9*'Income Statement'!AF8)</f>
        <v>-1518.8643402588475</v>
      </c>
      <c r="AG8" s="12">
        <f>-(AG9*'Income Statement'!AG8)</f>
        <v>-3189.4443384902575</v>
      </c>
      <c r="AH8" s="12">
        <f>-(AH9*'Income Statement'!AH8)</f>
        <v>-4974.4550190374503</v>
      </c>
      <c r="AI8" s="12">
        <f>-(AI9*'Income Statement'!AI8)</f>
        <v>-5167.0949679052228</v>
      </c>
      <c r="AJ8" s="12">
        <f>-(AJ9*'Income Statement'!AJ8)</f>
        <v>-1243.2535810077084</v>
      </c>
      <c r="AK8" s="12">
        <f>-(AK9*'Income Statement'!AK8)</f>
        <v>-2610.6927328197085</v>
      </c>
      <c r="AL8" s="12">
        <f>-(AL9*'Income Statement'!AL8)</f>
        <v>-4071.7981534322562</v>
      </c>
      <c r="AM8" s="12">
        <f>-(AM9*'Income Statement'!AM8)</f>
        <v>-5648.0653160161037</v>
      </c>
      <c r="AN8" s="12">
        <f>-(AN9*'Income Statement'!AN8)</f>
        <v>-1358.979750424292</v>
      </c>
      <c r="AO8" s="12">
        <f>-(AO9*'Income Statement'!AO8)</f>
        <v>-2853.704676729054</v>
      </c>
      <c r="AP8" s="12">
        <f>-(AP9*'Income Statement'!AP8)</f>
        <v>-4450.814638992907</v>
      </c>
      <c r="AQ8" s="12">
        <f>-(AQ9*'Income Statement'!AQ8)</f>
        <v>-6173.8059803682781</v>
      </c>
    </row>
    <row r="9" spans="2:43" ht="34">
      <c r="B9" s="45" t="s">
        <v>161</v>
      </c>
      <c r="C9" s="46">
        <f>-(C8/'Income Statement'!C8)</f>
        <v>4.4834113779017637E-2</v>
      </c>
      <c r="D9" s="46">
        <f>-(D8/'Income Statement'!D8)</f>
        <v>9.8709985666507405E-2</v>
      </c>
      <c r="E9" s="46">
        <f>-(E8/'Income Statement'!E8)</f>
        <v>0.15619788771539744</v>
      </c>
      <c r="F9" s="46">
        <f>-(F8/'Income Statement'!F8)</f>
        <v>0.23777050372795053</v>
      </c>
      <c r="G9" s="46">
        <f>-(G8/'Income Statement'!G8)</f>
        <v>5.5011094674556213E-2</v>
      </c>
      <c r="H9" s="46">
        <f>-(H8/'Income Statement'!H8)</f>
        <v>0.11709183673469388</v>
      </c>
      <c r="I9" s="46">
        <f>-(I8/'Income Statement'!I8)</f>
        <v>0.18843268532709526</v>
      </c>
      <c r="J9" s="46">
        <f>-(J8/'Income Statement'!J8)</f>
        <v>0.2926356589147287</v>
      </c>
      <c r="K9" s="46">
        <f>-(K8/'Income Statement'!K8)</f>
        <v>8.1778220121091483E-2</v>
      </c>
      <c r="L9" s="46">
        <f>-(L8/'Income Statement'!L8)</f>
        <v>0.15213392200147166</v>
      </c>
      <c r="M9" s="46">
        <f>-(M8/'Income Statement'!M8)</f>
        <v>0.25256951637319736</v>
      </c>
      <c r="N9" s="46">
        <f>-(N8/'Income Statement'!N8)</f>
        <v>0.37430078312290233</v>
      </c>
      <c r="O9" s="46">
        <f>-(O8/'Income Statement'!O8)</f>
        <v>9.3874172185430468E-2</v>
      </c>
      <c r="P9" s="46">
        <f>-(P8/'Income Statement'!P8)</f>
        <v>0.18137168917733731</v>
      </c>
      <c r="Q9" s="46">
        <f>-(Q8/'Income Statement'!Q8)</f>
        <v>0.24631290862095181</v>
      </c>
      <c r="R9" s="46">
        <f>-(R8/'Income Statement'!R8)</f>
        <v>0.32896975075808005</v>
      </c>
      <c r="S9" s="46">
        <f>-(S8/'Income Statement'!S8)</f>
        <v>6.1882900446512797E-2</v>
      </c>
      <c r="U9" s="46">
        <f>AVERAGE($P9,$L9,$H9)</f>
        <v>0.15019914930450093</v>
      </c>
      <c r="V9" s="46">
        <f>AVERAGE($Q9,$M9,$I9)</f>
        <v>0.22910503677374813</v>
      </c>
      <c r="W9" s="46">
        <f>AVERAGE($R9,$J9)</f>
        <v>0.31080270483640438</v>
      </c>
      <c r="X9" s="46">
        <f>AVERAGE($O9,$K9,$G9,$S9)</f>
        <v>7.3136596856897745E-2</v>
      </c>
      <c r="Y9" s="46">
        <f>AVERAGE($P$9,$L$9,$H$9)</f>
        <v>0.15019914930450093</v>
      </c>
      <c r="Z9" s="46">
        <f>AVERAGE($Q$9,$M$9,$I$9)</f>
        <v>0.22910503677374813</v>
      </c>
      <c r="AA9" s="46">
        <f>AVERAGE($R$9,$J$9)</f>
        <v>0.31080270483640438</v>
      </c>
      <c r="AB9" s="46">
        <f>AVERAGE($O$9,$K$9,$G$9,$S$9)</f>
        <v>7.3136596856897745E-2</v>
      </c>
      <c r="AC9" s="46">
        <f>AVERAGE($P$9,$L$9,$H$9,$U$9)</f>
        <v>0.15019914930450093</v>
      </c>
      <c r="AD9" s="46">
        <f>AVERAGE($Q$9,$M$9,$I$9)</f>
        <v>0.22910503677374813</v>
      </c>
      <c r="AE9" s="46">
        <f>AVERAGE($R$9,$J$9)</f>
        <v>0.31080270483640438</v>
      </c>
      <c r="AF9" s="46">
        <f>AVERAGE($O$9,$K$9,$G$9,$S$9)</f>
        <v>7.3136596856897745E-2</v>
      </c>
      <c r="AG9" s="46">
        <f>AVERAGE($P$9,$L$9,$H$9,$U$9)</f>
        <v>0.15019914930450093</v>
      </c>
      <c r="AH9" s="46">
        <f>AVERAGE($Q$9,$M$9,$I$9)</f>
        <v>0.22910503677374813</v>
      </c>
      <c r="AI9" s="46">
        <f>AVERAGE($R$9,$J$9)</f>
        <v>0.31080270483640438</v>
      </c>
      <c r="AJ9" s="46">
        <f>AVERAGE($O$9,$K$9,$G$9,$S$9)</f>
        <v>7.3136596856897745E-2</v>
      </c>
      <c r="AK9" s="46">
        <f>AVERAGE($P$9,$L$9,$H$9,$U$9)</f>
        <v>0.15019914930450093</v>
      </c>
      <c r="AL9" s="46">
        <f>AVERAGE($Q$9,$M$9,$I$9)</f>
        <v>0.22910503677374813</v>
      </c>
      <c r="AM9" s="46">
        <f>AVERAGE($R$9,$J$9)</f>
        <v>0.31080270483640438</v>
      </c>
      <c r="AN9" s="46">
        <f>AVERAGE($O$9,$K$9,$G$9,$S$9)</f>
        <v>7.3136596856897745E-2</v>
      </c>
      <c r="AO9" s="46">
        <f>AVERAGE($P$9,$L$9,$H$9,$U$9)</f>
        <v>0.15019914930450093</v>
      </c>
      <c r="AP9" s="46">
        <f>AVERAGE($Q$9,$M$9,$I$9)</f>
        <v>0.22910503677374813</v>
      </c>
      <c r="AQ9" s="46">
        <f>AVERAGE($R$9,$J$9)</f>
        <v>0.31080270483640438</v>
      </c>
    </row>
    <row r="10" spans="2:43">
      <c r="B10" s="45"/>
      <c r="C10" s="46"/>
      <c r="D10" s="46"/>
      <c r="E10" s="46"/>
      <c r="F10" s="46"/>
      <c r="G10" s="46"/>
      <c r="H10" s="46"/>
      <c r="I10" s="46"/>
      <c r="J10" s="46"/>
      <c r="K10" s="46"/>
      <c r="L10" s="46"/>
      <c r="M10" s="46"/>
      <c r="N10" s="46"/>
      <c r="O10" s="46"/>
      <c r="P10" s="46"/>
      <c r="Q10" s="46"/>
      <c r="R10" s="46"/>
      <c r="S10" s="46"/>
    </row>
    <row r="11" spans="2:43" ht="17">
      <c r="B11" s="45" t="s">
        <v>66</v>
      </c>
      <c r="C11" s="12" cm="1">
        <f t="array" ref="C11:S11">'CF Statement'!C13:S13</f>
        <v>1137</v>
      </c>
      <c r="D11" s="12">
        <v>2363</v>
      </c>
      <c r="E11" s="12">
        <v>3424</v>
      </c>
      <c r="F11" s="12">
        <v>4519</v>
      </c>
      <c r="G11" s="12">
        <v>898</v>
      </c>
      <c r="H11" s="12">
        <v>1871</v>
      </c>
      <c r="I11" s="12">
        <v>2716</v>
      </c>
      <c r="J11" s="12">
        <v>3652</v>
      </c>
      <c r="K11" s="12">
        <v>821</v>
      </c>
      <c r="L11" s="12">
        <v>1869</v>
      </c>
      <c r="M11" s="12">
        <v>2721</v>
      </c>
      <c r="N11" s="12">
        <v>3625</v>
      </c>
      <c r="O11" s="12">
        <v>930</v>
      </c>
      <c r="P11" s="12">
        <v>1620</v>
      </c>
      <c r="Q11" s="12">
        <v>2379</v>
      </c>
      <c r="R11" s="12">
        <v>3214</v>
      </c>
      <c r="S11" s="12">
        <v>1120</v>
      </c>
      <c r="U11" s="12">
        <f t="shared" ref="U11:AQ11" si="0">U12*U8</f>
        <v>2663.5516484019913</v>
      </c>
      <c r="V11" s="12">
        <f t="shared" si="0"/>
        <v>3498.0965099754453</v>
      </c>
      <c r="W11" s="12">
        <f t="shared" si="0"/>
        <v>4686.5182479014002</v>
      </c>
      <c r="X11" s="12">
        <f t="shared" si="0"/>
        <v>1366.6048070774252</v>
      </c>
      <c r="Y11" s="12">
        <f t="shared" si="0"/>
        <v>2911.4838756013264</v>
      </c>
      <c r="Z11" s="12">
        <f t="shared" si="0"/>
        <v>3823.7109425683952</v>
      </c>
      <c r="AA11" s="12">
        <f t="shared" si="0"/>
        <v>5122.7549199815649</v>
      </c>
      <c r="AB11" s="12">
        <f t="shared" si="0"/>
        <v>1493.812917993278</v>
      </c>
      <c r="AC11" s="12">
        <f t="shared" si="0"/>
        <v>3182.4944573431385</v>
      </c>
      <c r="AD11" s="12">
        <f t="shared" si="0"/>
        <v>4179.6346471927154</v>
      </c>
      <c r="AE11" s="12">
        <f t="shared" si="0"/>
        <v>5599.5979492764454</v>
      </c>
      <c r="AF11" s="12">
        <f t="shared" si="0"/>
        <v>1632.861982050066</v>
      </c>
      <c r="AG11" s="12">
        <f t="shared" si="0"/>
        <v>3478.7316034604341</v>
      </c>
      <c r="AH11" s="12">
        <f t="shared" si="0"/>
        <v>4568.6889114791647</v>
      </c>
      <c r="AI11" s="12">
        <f t="shared" si="0"/>
        <v>4583.5036205109218</v>
      </c>
      <c r="AJ11" s="12">
        <f t="shared" si="0"/>
        <v>1336.5653881433034</v>
      </c>
      <c r="AK11" s="12">
        <f t="shared" si="0"/>
        <v>2847.4863809297199</v>
      </c>
      <c r="AL11" s="12">
        <f t="shared" si="0"/>
        <v>3739.6617322246689</v>
      </c>
      <c r="AM11" s="12">
        <f t="shared" si="0"/>
        <v>5010.1513491897613</v>
      </c>
      <c r="AN11" s="12">
        <f t="shared" si="0"/>
        <v>1460.9773302502731</v>
      </c>
      <c r="AO11" s="12">
        <f t="shared" si="0"/>
        <v>3112.5398634733147</v>
      </c>
      <c r="AP11" s="12">
        <f t="shared" si="0"/>
        <v>4087.7618574085955</v>
      </c>
      <c r="AQ11" s="12">
        <f t="shared" si="0"/>
        <v>5476.5128644078432</v>
      </c>
    </row>
    <row r="12" spans="2:43">
      <c r="B12" s="44" t="s">
        <v>162</v>
      </c>
      <c r="C12" s="49">
        <f t="shared" ref="C12:S12" si="1">C11/C8</f>
        <v>-2.5266666666666668</v>
      </c>
      <c r="D12" s="49">
        <f t="shared" si="1"/>
        <v>-2.2875121006776378</v>
      </c>
      <c r="E12" s="49">
        <f t="shared" si="1"/>
        <v>-2.0308422301304865</v>
      </c>
      <c r="F12" s="49">
        <f t="shared" si="1"/>
        <v>-1.7281070745697897</v>
      </c>
      <c r="G12" s="49">
        <f t="shared" si="1"/>
        <v>-1.5092436974789916</v>
      </c>
      <c r="H12" s="49">
        <f t="shared" si="1"/>
        <v>-1.3587509077705155</v>
      </c>
      <c r="I12" s="49">
        <f t="shared" si="1"/>
        <v>-1.1626712328767124</v>
      </c>
      <c r="J12" s="49">
        <f t="shared" si="1"/>
        <v>-1.0515404549380938</v>
      </c>
      <c r="K12" s="49">
        <f t="shared" si="1"/>
        <v>-0.83265720081135908</v>
      </c>
      <c r="L12" s="49">
        <f t="shared" si="1"/>
        <v>-1.129987908101572</v>
      </c>
      <c r="M12" s="49">
        <f t="shared" si="1"/>
        <v>-0.85835962145110412</v>
      </c>
      <c r="N12" s="49">
        <f t="shared" si="1"/>
        <v>-0.77391118701964134</v>
      </c>
      <c r="O12" s="49">
        <f t="shared" si="1"/>
        <v>-0.82010582010582012</v>
      </c>
      <c r="P12" s="49">
        <f t="shared" si="1"/>
        <v>-0.7833655705996132</v>
      </c>
      <c r="Q12" s="49">
        <f t="shared" si="1"/>
        <v>-0.73425925925925928</v>
      </c>
      <c r="R12" s="49">
        <f t="shared" si="1"/>
        <v>-0.72257194244604317</v>
      </c>
      <c r="S12" s="49">
        <f t="shared" si="1"/>
        <v>-1.1382113821138211</v>
      </c>
      <c r="T12" s="55">
        <v>-2.5299999999999998</v>
      </c>
      <c r="U12" s="49">
        <f>AVERAGE($P12,$L12,$H12)</f>
        <v>-1.0907014621572335</v>
      </c>
      <c r="V12" s="49">
        <f>AVERAGE($Q12,$M12,$I12)</f>
        <v>-0.91843003786235855</v>
      </c>
      <c r="W12" s="49">
        <f>AVERAGE($R12,$J12)</f>
        <v>-0.88705619869206842</v>
      </c>
      <c r="X12" s="49">
        <f>AVERAGE($O12,$K12,$G12,$S12)</f>
        <v>-1.0750545251274981</v>
      </c>
      <c r="Y12" s="49">
        <f>AVERAGE($P12,$L12,$H12)</f>
        <v>-1.0907014621572335</v>
      </c>
      <c r="Z12" s="49">
        <f>AVERAGE($Q12,$M12,$I12)</f>
        <v>-0.91843003786235855</v>
      </c>
      <c r="AA12" s="49">
        <f>AVERAGE($R12,$J12)</f>
        <v>-0.88705619869206842</v>
      </c>
      <c r="AB12" s="49">
        <f>AVERAGE($O12,$K12,$G12,$S12)</f>
        <v>-1.0750545251274981</v>
      </c>
      <c r="AC12" s="49">
        <f>AVERAGE($P12,$L12,$H12)</f>
        <v>-1.0907014621572335</v>
      </c>
      <c r="AD12" s="49">
        <f>AVERAGE($Q12,$M12,$I12)</f>
        <v>-0.91843003786235855</v>
      </c>
      <c r="AE12" s="49">
        <f>AVERAGE($R12,$J12)</f>
        <v>-0.88705619869206842</v>
      </c>
      <c r="AF12" s="49">
        <f>AVERAGE($O12,$K12,$G12,$S12)</f>
        <v>-1.0750545251274981</v>
      </c>
      <c r="AG12" s="49">
        <f>AVERAGE($P12,$L12,$H12)</f>
        <v>-1.0907014621572335</v>
      </c>
      <c r="AH12" s="49">
        <f>AVERAGE($Q12,$M12,$I12)</f>
        <v>-0.91843003786235855</v>
      </c>
      <c r="AI12" s="49">
        <f>AVERAGE($R12,$J12)</f>
        <v>-0.88705619869206842</v>
      </c>
      <c r="AJ12" s="49">
        <f>AVERAGE($O12,$K12,$G12,$S12)</f>
        <v>-1.0750545251274981</v>
      </c>
      <c r="AK12" s="49">
        <f>AVERAGE($P12,$L12,$H12)</f>
        <v>-1.0907014621572335</v>
      </c>
      <c r="AL12" s="49">
        <f>AVERAGE($Q12,$M12,$I12)</f>
        <v>-0.91843003786235855</v>
      </c>
      <c r="AM12" s="49">
        <f>AVERAGE($R12,$J12)</f>
        <v>-0.88705619869206842</v>
      </c>
      <c r="AN12" s="49">
        <f>AVERAGE($O12,$K12,$G12,$S12)</f>
        <v>-1.0750545251274981</v>
      </c>
      <c r="AO12" s="49">
        <f>AVERAGE($P12,$L12,$H12)</f>
        <v>-1.0907014621572335</v>
      </c>
      <c r="AP12" s="49">
        <f>AVERAGE($Q12,$M12,$I12)</f>
        <v>-0.91843003786235855</v>
      </c>
      <c r="AQ12" s="49">
        <f>AVERAGE($R12,$J12)</f>
        <v>-0.88705619869206842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5F45-3C96-4C4C-9B3A-998EF0F62552}">
  <dimension ref="A7:AP34"/>
  <sheetViews>
    <sheetView workbookViewId="0">
      <selection activeCell="T8" sqref="T8"/>
    </sheetView>
  </sheetViews>
  <sheetFormatPr baseColWidth="10" defaultRowHeight="16"/>
  <cols>
    <col min="1" max="1" width="31.5" bestFit="1" customWidth="1"/>
    <col min="2" max="18" width="11.5" bestFit="1" customWidth="1"/>
    <col min="19" max="19" width="2" customWidth="1"/>
    <col min="20" max="20" width="11.5" bestFit="1" customWidth="1"/>
  </cols>
  <sheetData>
    <row r="7" spans="1:42">
      <c r="B7" t="s">
        <v>37</v>
      </c>
      <c r="C7" t="s">
        <v>36</v>
      </c>
      <c r="D7" t="s">
        <v>35</v>
      </c>
      <c r="E7" t="s">
        <v>34</v>
      </c>
      <c r="F7" t="s">
        <v>33</v>
      </c>
      <c r="G7" t="s">
        <v>32</v>
      </c>
      <c r="H7" t="s">
        <v>31</v>
      </c>
      <c r="I7" t="s">
        <v>30</v>
      </c>
      <c r="J7" t="s">
        <v>14</v>
      </c>
      <c r="K7" s="6" t="s">
        <v>13</v>
      </c>
      <c r="L7" s="8" t="s">
        <v>12</v>
      </c>
      <c r="M7" s="8" t="s">
        <v>11</v>
      </c>
      <c r="N7" t="s">
        <v>10</v>
      </c>
      <c r="O7" t="s">
        <v>9</v>
      </c>
      <c r="P7" t="s">
        <v>8</v>
      </c>
      <c r="Q7" t="s">
        <v>7</v>
      </c>
      <c r="R7" t="s">
        <v>6</v>
      </c>
      <c r="T7" t="s">
        <v>190</v>
      </c>
      <c r="U7" t="s">
        <v>191</v>
      </c>
      <c r="V7" t="s">
        <v>192</v>
      </c>
      <c r="W7" t="s">
        <v>193</v>
      </c>
      <c r="X7" t="s">
        <v>194</v>
      </c>
      <c r="Y7" t="s">
        <v>196</v>
      </c>
      <c r="Z7" t="s">
        <v>197</v>
      </c>
      <c r="AA7" t="s">
        <v>198</v>
      </c>
      <c r="AB7" t="s">
        <v>199</v>
      </c>
      <c r="AC7" t="s">
        <v>200</v>
      </c>
      <c r="AD7" t="s">
        <v>195</v>
      </c>
      <c r="AE7" t="s">
        <v>201</v>
      </c>
      <c r="AF7" t="s">
        <v>203</v>
      </c>
      <c r="AG7" t="s">
        <v>202</v>
      </c>
      <c r="AH7" t="s">
        <v>204</v>
      </c>
      <c r="AI7" t="s">
        <v>205</v>
      </c>
      <c r="AJ7" t="s">
        <v>206</v>
      </c>
      <c r="AK7" t="s">
        <v>207</v>
      </c>
      <c r="AL7" t="s">
        <v>208</v>
      </c>
      <c r="AM7" t="s">
        <v>209</v>
      </c>
      <c r="AN7" t="s">
        <v>210</v>
      </c>
      <c r="AO7" t="s">
        <v>211</v>
      </c>
      <c r="AP7" t="s">
        <v>212</v>
      </c>
    </row>
    <row r="8" spans="1:42">
      <c r="A8" t="s">
        <v>504</v>
      </c>
      <c r="B8" s="12">
        <v>7245</v>
      </c>
      <c r="C8" s="12">
        <v>7287</v>
      </c>
      <c r="D8" s="12">
        <v>7374</v>
      </c>
      <c r="E8" s="12">
        <v>7071</v>
      </c>
      <c r="F8" s="12">
        <v>7608</v>
      </c>
      <c r="G8" s="12">
        <v>7964</v>
      </c>
      <c r="H8" s="12">
        <v>8442</v>
      </c>
      <c r="I8" s="12">
        <v>6778</v>
      </c>
      <c r="J8" s="12">
        <v>8182</v>
      </c>
      <c r="K8" s="12">
        <v>7577</v>
      </c>
      <c r="L8" s="12">
        <v>8422</v>
      </c>
      <c r="M8" s="12">
        <v>7851</v>
      </c>
      <c r="N8" s="12">
        <v>8235</v>
      </c>
      <c r="O8" s="12">
        <v>7843</v>
      </c>
      <c r="P8" s="12">
        <v>8571</v>
      </c>
      <c r="Q8" s="12">
        <v>9230</v>
      </c>
      <c r="R8" s="12">
        <v>9828</v>
      </c>
      <c r="T8" s="12">
        <f>(T14/90)*'Income Statement'!U8</f>
        <v>10876.881844305162</v>
      </c>
      <c r="U8" s="12">
        <f>(U14/90)*'Income Statement'!V8</f>
        <v>11066.705006613392</v>
      </c>
      <c r="V8" s="12">
        <f>(V14/90)*'Income Statement'!W8</f>
        <v>11286.664056484929</v>
      </c>
      <c r="W8" s="12">
        <f>(W14/90)*'Income Statement'!X8</f>
        <v>11521.63096909193</v>
      </c>
      <c r="X8" s="12">
        <f>(X14/90)*'Income Statement'!Y8</f>
        <v>11804.23713451985</v>
      </c>
      <c r="Y8" s="12">
        <f>(Y14/90)*'Income Statement'!Z8</f>
        <v>12023.811345431986</v>
      </c>
      <c r="Z8" s="12">
        <f>(Z14/90)*'Income Statement'!AA8</f>
        <v>12279.233954580901</v>
      </c>
      <c r="AA8" s="12">
        <f>(AA14/90)*'Income Statement'!AB8</f>
        <v>12532.591170433894</v>
      </c>
      <c r="AB8" s="12">
        <f>(AB14/90)*'Income Statement'!AC8</f>
        <v>12923.527319458866</v>
      </c>
      <c r="AC8" s="12">
        <f>(AC14/90)*'Income Statement'!AD8</f>
        <v>13190.761505522962</v>
      </c>
      <c r="AD8" s="12">
        <f>(AD14/90)*'Income Statement'!AE8</f>
        <v>13447.345185287433</v>
      </c>
      <c r="AE8" s="12">
        <f>(AE14/90)*'Income Statement'!AF8</f>
        <v>13740.883505239479</v>
      </c>
      <c r="AF8" s="12">
        <f>(AF14/90)*'Income Statement'!AG8</f>
        <v>14096.120270882857</v>
      </c>
      <c r="AG8" s="12">
        <f>(AG14/90)*'Income Statement'!AH8</f>
        <v>14386.071593818562</v>
      </c>
      <c r="AH8" s="12">
        <f>(AH14/90)*'Income Statement'!AI8</f>
        <v>10990.237357848318</v>
      </c>
      <c r="AI8" s="12">
        <f>(AI14/90)*'Income Statement'!AJ8</f>
        <v>11249.18382172808</v>
      </c>
      <c r="AJ8" s="12">
        <f>(AJ14/90)*'Income Statement'!AK8</f>
        <v>11478.852635756582</v>
      </c>
      <c r="AK8" s="12">
        <f>(AK14/90)*'Income Statement'!AL8</f>
        <v>11785.644816528118</v>
      </c>
      <c r="AL8" s="12">
        <f>(AL14/90)*'Income Statement'!AM8</f>
        <v>12047.903610112498</v>
      </c>
      <c r="AM8" s="12">
        <f>(AM14/90)*'Income Statement'!AN8</f>
        <v>12312.586447694088</v>
      </c>
      <c r="AN8" s="12">
        <f>(AN14/90)*'Income Statement'!AO8</f>
        <v>12586.5924833637</v>
      </c>
      <c r="AO8" s="12">
        <f>(AO14/90)*'Income Statement'!AP8</f>
        <v>12868.254633483059</v>
      </c>
      <c r="AP8" s="12">
        <f>(AP14/90)*'Income Statement'!AQ8</f>
        <v>13157.309612189505</v>
      </c>
    </row>
    <row r="9" spans="1:42">
      <c r="A9" t="s">
        <v>91</v>
      </c>
      <c r="B9" s="12">
        <v>5382</v>
      </c>
      <c r="C9" s="12">
        <v>5178</v>
      </c>
      <c r="D9" s="12">
        <v>5416</v>
      </c>
      <c r="E9" s="12">
        <v>5440</v>
      </c>
      <c r="F9" s="12">
        <v>5712</v>
      </c>
      <c r="G9" s="12">
        <v>5847</v>
      </c>
      <c r="H9" s="12">
        <v>5855</v>
      </c>
      <c r="I9" s="12">
        <v>5978</v>
      </c>
      <c r="J9" s="12">
        <v>5846</v>
      </c>
      <c r="K9" s="12">
        <v>6056</v>
      </c>
      <c r="L9" s="12">
        <v>6128</v>
      </c>
      <c r="M9" s="12">
        <v>6310</v>
      </c>
      <c r="N9" s="12">
        <v>6402</v>
      </c>
      <c r="O9" s="12">
        <v>5499</v>
      </c>
      <c r="P9" s="12">
        <v>5603</v>
      </c>
      <c r="Q9" s="12">
        <v>5953</v>
      </c>
      <c r="R9" s="12">
        <v>5774</v>
      </c>
      <c r="T9" s="12">
        <f>(T15/90)*'Income Statement'!U71</f>
        <v>7855.0793641663176</v>
      </c>
      <c r="U9" s="12">
        <f>(U15/90)*'Income Statement'!V71</f>
        <v>8006.9136499756396</v>
      </c>
      <c r="V9" s="12">
        <f>(V15/90)*'Income Statement'!W71</f>
        <v>8217.3686365593003</v>
      </c>
      <c r="W9" s="12">
        <f>(W15/90)*'Income Statement'!X71</f>
        <v>8437.7460251123575</v>
      </c>
      <c r="X9" s="12">
        <f>(X15/90)*'Income Statement'!Y71</f>
        <v>8613.3926748003469</v>
      </c>
      <c r="Y9" s="12">
        <f>(Y15/90)*'Income Statement'!Z71</f>
        <v>8720.8617535432513</v>
      </c>
      <c r="Z9" s="12">
        <f>(Z15/90)*'Income Statement'!AA71</f>
        <v>8880.9592390437629</v>
      </c>
      <c r="AA9" s="12">
        <f>(AA15/90)*'Income Statement'!AB71</f>
        <v>9127.897420916097</v>
      </c>
      <c r="AB9" s="12">
        <f>(AB15/90)*'Income Statement'!AC71</f>
        <v>9320.1169453699131</v>
      </c>
      <c r="AC9" s="12">
        <f>(AC15/90)*'Income Statement'!AD71</f>
        <v>9468.8777320224599</v>
      </c>
      <c r="AD9" s="12">
        <f>(AD15/90)*'Income Statement'!AE71</f>
        <v>9560.8827156858551</v>
      </c>
      <c r="AE9" s="12">
        <f>(AE15/90)*'Income Statement'!AF71</f>
        <v>9709.249644652853</v>
      </c>
      <c r="AF9" s="12">
        <f>(AF15/90)*'Income Statement'!AG71</f>
        <v>10098.30888162597</v>
      </c>
      <c r="AG9" s="12">
        <f>(AG15/90)*'Income Statement'!AH71</f>
        <v>10249.794343512222</v>
      </c>
      <c r="AH9" s="12">
        <f>(AH15/90)*'Income Statement'!AI71</f>
        <v>7790.020894264233</v>
      </c>
      <c r="AI9" s="12">
        <f>(AI15/90)*'Income Statement'!AJ71</f>
        <v>7949.2006987302775</v>
      </c>
      <c r="AJ9" s="12">
        <f>(AJ15/90)*'Income Statement'!AK71</f>
        <v>8136.1588934517595</v>
      </c>
      <c r="AK9" s="12">
        <f>(AK15/90)*'Income Statement'!AL71</f>
        <v>8481.0150914707847</v>
      </c>
      <c r="AL9" s="12">
        <f>(AL15/90)*'Income Statement'!AM71</f>
        <v>8662.1065806211136</v>
      </c>
      <c r="AM9" s="12">
        <f>(AM15/90)*'Income Statement'!AN71</f>
        <v>8850.5187424911401</v>
      </c>
      <c r="AN9" s="12">
        <f>(AN15/90)*'Income Statement'!AO71</f>
        <v>9044.1000586241498</v>
      </c>
      <c r="AO9" s="12">
        <f>(AO15/90)*'Income Statement'!AP71</f>
        <v>9239.4761848911603</v>
      </c>
      <c r="AP9" s="12">
        <f>(AP15/90)*'Income Statement'!AQ71</f>
        <v>9436.3383594229526</v>
      </c>
    </row>
    <row r="10" spans="1:42">
      <c r="A10" s="56" t="s">
        <v>505</v>
      </c>
      <c r="B10" s="12">
        <v>3162</v>
      </c>
      <c r="C10" s="12">
        <v>3024</v>
      </c>
      <c r="D10" s="12">
        <v>3091</v>
      </c>
      <c r="E10" s="12">
        <v>3318</v>
      </c>
      <c r="F10" s="12">
        <v>3018</v>
      </c>
      <c r="G10" s="12">
        <v>3142</v>
      </c>
      <c r="H10" s="12">
        <v>3198</v>
      </c>
      <c r="I10" s="12">
        <v>3738</v>
      </c>
      <c r="J10" s="12">
        <v>3572</v>
      </c>
      <c r="K10" s="12">
        <v>3448</v>
      </c>
      <c r="L10" s="12">
        <v>3744</v>
      </c>
      <c r="M10" s="12">
        <v>4594</v>
      </c>
      <c r="N10" s="12">
        <v>4034</v>
      </c>
      <c r="O10" s="12">
        <v>3897</v>
      </c>
      <c r="P10" s="12">
        <v>3366</v>
      </c>
      <c r="Q10" s="12">
        <v>4609</v>
      </c>
      <c r="R10" s="12">
        <v>3715</v>
      </c>
      <c r="T10" s="12">
        <f>(T16/90)*'Income Statement'!U71</f>
        <v>4809.0178881652919</v>
      </c>
      <c r="U10" s="12">
        <f>(U16/90)*'Income Statement'!V71</f>
        <v>4914.9897191405453</v>
      </c>
      <c r="V10" s="12">
        <f>(V16/90)*'Income Statement'!W71</f>
        <v>5057.7510067357998</v>
      </c>
      <c r="W10" s="12">
        <f>(W16/90)*'Income Statement'!X71</f>
        <v>5214.3673549413925</v>
      </c>
      <c r="X10" s="12">
        <f>(X16/90)*'Income Statement'!Y71</f>
        <v>5326.0182280383897</v>
      </c>
      <c r="Y10" s="12">
        <f>(Y16/90)*'Income Statement'!Z71</f>
        <v>5449.6515000854397</v>
      </c>
      <c r="Z10" s="12">
        <f>(Z16/90)*'Income Statement'!AA71</f>
        <v>5598.4316547849585</v>
      </c>
      <c r="AA10" s="12">
        <f>(AA16/90)*'Income Statement'!AB71</f>
        <v>5794.9783248346757</v>
      </c>
      <c r="AB10" s="12">
        <f>(AB16/90)*'Income Statement'!AC71</f>
        <v>5920.0932974683919</v>
      </c>
      <c r="AC10" s="12">
        <f>(AC16/90)*'Income Statement'!AD71</f>
        <v>6030.2834693060167</v>
      </c>
      <c r="AD10" s="12">
        <f>(AD16/90)*'Income Statement'!AE71</f>
        <v>6137.146733485105</v>
      </c>
      <c r="AE10" s="12">
        <f>(AE16/90)*'Income Statement'!AF71</f>
        <v>6250.4659524096069</v>
      </c>
      <c r="AF10" s="12">
        <f>(AF16/90)*'Income Statement'!AG71</f>
        <v>6461.4862997795344</v>
      </c>
      <c r="AG10" s="12">
        <f>(AG16/90)*'Income Statement'!AH71</f>
        <v>6567.8124709261165</v>
      </c>
      <c r="AH10" s="12">
        <f>(AH16/90)*'Income Statement'!AI71</f>
        <v>4953.7015697796842</v>
      </c>
      <c r="AI10" s="12">
        <f>(AI16/90)*'Income Statement'!AJ71</f>
        <v>5075.5649255102871</v>
      </c>
      <c r="AJ10" s="12">
        <f>(AJ16/90)*'Income Statement'!AK71</f>
        <v>5125.6239265010063</v>
      </c>
      <c r="AK10" s="12">
        <f>(AK16/90)*'Income Statement'!AL71</f>
        <v>5342.5021113189032</v>
      </c>
      <c r="AL10" s="12">
        <f>(AL16/90)*'Income Statement'!AM71</f>
        <v>5456.6003759696214</v>
      </c>
      <c r="AM10" s="12">
        <f>(AM16/90)*'Income Statement'!AN71</f>
        <v>5584.6454979386071</v>
      </c>
      <c r="AN10" s="12">
        <f>(AN16/90)*'Income Statement'!AO71</f>
        <v>5715.4645876847517</v>
      </c>
      <c r="AO10" s="12">
        <f>(AO16/90)*'Income Statement'!AP71</f>
        <v>5847.5045638909351</v>
      </c>
      <c r="AP10" s="12">
        <f>(AP16/90)*'Income Statement'!AQ71</f>
        <v>5980.0320670341171</v>
      </c>
    </row>
    <row r="11" spans="1:42" s="12" customFormat="1" ht="17" thickBot="1">
      <c r="A11" s="57" t="s">
        <v>506</v>
      </c>
      <c r="B11" s="12">
        <f>B8+B9-B10</f>
        <v>9465</v>
      </c>
      <c r="C11" s="12">
        <f t="shared" ref="C11:Q11" si="0">C8+C9-C10</f>
        <v>9441</v>
      </c>
      <c r="D11" s="12">
        <f t="shared" si="0"/>
        <v>9699</v>
      </c>
      <c r="E11" s="12">
        <f t="shared" si="0"/>
        <v>9193</v>
      </c>
      <c r="F11" s="12">
        <f t="shared" si="0"/>
        <v>10302</v>
      </c>
      <c r="G11" s="12">
        <f t="shared" si="0"/>
        <v>10669</v>
      </c>
      <c r="H11" s="12">
        <f t="shared" si="0"/>
        <v>11099</v>
      </c>
      <c r="I11" s="12">
        <f t="shared" si="0"/>
        <v>9018</v>
      </c>
      <c r="J11" s="12">
        <f t="shared" si="0"/>
        <v>10456</v>
      </c>
      <c r="K11" s="12">
        <f t="shared" si="0"/>
        <v>10185</v>
      </c>
      <c r="L11" s="12">
        <f t="shared" si="0"/>
        <v>10806</v>
      </c>
      <c r="M11" s="12">
        <f t="shared" si="0"/>
        <v>9567</v>
      </c>
      <c r="N11" s="12">
        <f t="shared" si="0"/>
        <v>10603</v>
      </c>
      <c r="O11" s="12">
        <f t="shared" si="0"/>
        <v>9445</v>
      </c>
      <c r="P11" s="12">
        <f t="shared" si="0"/>
        <v>10808</v>
      </c>
      <c r="Q11" s="12">
        <f t="shared" si="0"/>
        <v>10574</v>
      </c>
      <c r="R11" s="12">
        <f>R8+R9-R10</f>
        <v>11887</v>
      </c>
      <c r="T11" s="12">
        <f t="shared" ref="T11:AP11" si="1">T8+T9-T10</f>
        <v>13922.943320306187</v>
      </c>
      <c r="U11" s="12">
        <f t="shared" si="1"/>
        <v>14158.628937448486</v>
      </c>
      <c r="V11" s="12">
        <f t="shared" si="1"/>
        <v>14446.281686308432</v>
      </c>
      <c r="W11" s="12">
        <f t="shared" si="1"/>
        <v>14745.009639262893</v>
      </c>
      <c r="X11" s="12">
        <f t="shared" si="1"/>
        <v>15091.61158128181</v>
      </c>
      <c r="Y11" s="12">
        <f t="shared" si="1"/>
        <v>15295.0215988898</v>
      </c>
      <c r="Z11" s="12">
        <f t="shared" si="1"/>
        <v>15561.761538839703</v>
      </c>
      <c r="AA11" s="12">
        <f t="shared" si="1"/>
        <v>15865.510266515314</v>
      </c>
      <c r="AB11" s="12">
        <f t="shared" si="1"/>
        <v>16323.550967360385</v>
      </c>
      <c r="AC11" s="12">
        <f t="shared" si="1"/>
        <v>16629.355768239406</v>
      </c>
      <c r="AD11" s="12">
        <f t="shared" si="1"/>
        <v>16871.081167488184</v>
      </c>
      <c r="AE11" s="12">
        <f t="shared" si="1"/>
        <v>17199.667197482726</v>
      </c>
      <c r="AF11" s="12">
        <f t="shared" si="1"/>
        <v>17732.942852729291</v>
      </c>
      <c r="AG11" s="12">
        <f t="shared" si="1"/>
        <v>18068.053466404665</v>
      </c>
      <c r="AH11" s="12">
        <f t="shared" si="1"/>
        <v>13826.556682332866</v>
      </c>
      <c r="AI11" s="12">
        <f t="shared" si="1"/>
        <v>14122.819594948069</v>
      </c>
      <c r="AJ11" s="12">
        <f t="shared" si="1"/>
        <v>14489.387602707337</v>
      </c>
      <c r="AK11" s="12">
        <f t="shared" si="1"/>
        <v>14924.15779668</v>
      </c>
      <c r="AL11" s="12">
        <f t="shared" si="1"/>
        <v>15253.409814763992</v>
      </c>
      <c r="AM11" s="12">
        <f t="shared" si="1"/>
        <v>15578.459692246619</v>
      </c>
      <c r="AN11" s="12">
        <f t="shared" si="1"/>
        <v>15915.227954303098</v>
      </c>
      <c r="AO11" s="12">
        <f t="shared" si="1"/>
        <v>16260.226254483285</v>
      </c>
      <c r="AP11" s="12">
        <f t="shared" si="1"/>
        <v>16613.615904578342</v>
      </c>
    </row>
    <row r="12" spans="1:42">
      <c r="A12" s="58"/>
    </row>
    <row r="13" spans="1:42">
      <c r="A13" s="58" t="s">
        <v>184</v>
      </c>
      <c r="B13" s="7">
        <v>1</v>
      </c>
    </row>
    <row r="14" spans="1:42">
      <c r="A14" s="59" t="s">
        <v>185</v>
      </c>
      <c r="B14" s="54">
        <f t="shared" ref="B14:R14" si="2">CHOOSE($B$13,B19,B24)</f>
        <v>64.964630865796551</v>
      </c>
      <c r="C14" s="54">
        <f t="shared" si="2"/>
        <v>62.668896321070235</v>
      </c>
      <c r="D14" s="54">
        <f t="shared" si="2"/>
        <v>61.484157865480825</v>
      </c>
      <c r="E14" s="54">
        <f t="shared" si="2"/>
        <v>57.864157119476275</v>
      </c>
      <c r="F14" s="54">
        <f t="shared" si="2"/>
        <v>63.306213017751482</v>
      </c>
      <c r="G14" s="54">
        <f t="shared" si="2"/>
        <v>60.948979591836739</v>
      </c>
      <c r="H14" s="54">
        <f t="shared" si="2"/>
        <v>61.287408243929988</v>
      </c>
      <c r="I14" s="54">
        <f t="shared" si="2"/>
        <v>51.400404448938325</v>
      </c>
      <c r="J14" s="54">
        <f t="shared" si="2"/>
        <v>61.074894252301569</v>
      </c>
      <c r="K14" s="54">
        <f t="shared" si="2"/>
        <v>62.723509933774835</v>
      </c>
      <c r="L14" s="54">
        <f t="shared" si="2"/>
        <v>60.392000637399413</v>
      </c>
      <c r="M14" s="54">
        <f t="shared" si="2"/>
        <v>56.46396036439188</v>
      </c>
      <c r="N14" s="54">
        <f t="shared" si="2"/>
        <v>61.353476821192061</v>
      </c>
      <c r="O14" s="54">
        <f t="shared" si="2"/>
        <v>61.907560077179447</v>
      </c>
      <c r="P14" s="54">
        <f t="shared" si="2"/>
        <v>58.642998327504934</v>
      </c>
      <c r="Q14" s="54">
        <f t="shared" si="2"/>
        <v>61.437763479032611</v>
      </c>
      <c r="R14" s="54">
        <f t="shared" si="2"/>
        <v>55.626690145273876</v>
      </c>
      <c r="T14" s="54">
        <f>CHOOSE($B$13,T19,T23)</f>
        <v>60.208688324254773</v>
      </c>
      <c r="U14" s="54">
        <f>CHOOSE($B$13,U19,U23)</f>
        <v>59.91144191540841</v>
      </c>
      <c r="V14" s="54">
        <f t="shared" ref="V14:AP14" si="3">CHOOSE($B$13,V19,V23)</f>
        <v>59.75767891560745</v>
      </c>
      <c r="W14" s="54">
        <f t="shared" si="3"/>
        <v>59.659384168727925</v>
      </c>
      <c r="X14" s="54">
        <f t="shared" si="3"/>
        <v>59.777729280986122</v>
      </c>
      <c r="Y14" s="54">
        <f t="shared" si="3"/>
        <v>59.549802477922142</v>
      </c>
      <c r="Z14" s="54">
        <f t="shared" si="3"/>
        <v>59.476599333493979</v>
      </c>
      <c r="AA14" s="54">
        <f t="shared" si="3"/>
        <v>59.367998973118489</v>
      </c>
      <c r="AB14" s="54">
        <f t="shared" si="3"/>
        <v>59.872761153403218</v>
      </c>
      <c r="AC14" s="54">
        <f t="shared" si="3"/>
        <v>59.766080198454276</v>
      </c>
      <c r="AD14" s="54">
        <f t="shared" si="3"/>
        <v>59.587908399681041</v>
      </c>
      <c r="AE14" s="54">
        <f t="shared" si="3"/>
        <v>59.548788372246968</v>
      </c>
      <c r="AF14" s="54">
        <f t="shared" si="3"/>
        <v>59.744035124452544</v>
      </c>
      <c r="AG14" s="54">
        <f t="shared" si="3"/>
        <v>59.631242096393471</v>
      </c>
      <c r="AH14" s="54">
        <f t="shared" si="3"/>
        <v>59.49602178684804</v>
      </c>
      <c r="AI14" s="54">
        <f t="shared" si="3"/>
        <v>59.557787022403573</v>
      </c>
      <c r="AJ14" s="54">
        <f t="shared" si="3"/>
        <v>59.436428166642045</v>
      </c>
      <c r="AK14" s="54">
        <f t="shared" si="3"/>
        <v>59.68212172146265</v>
      </c>
      <c r="AL14" s="54">
        <f t="shared" si="3"/>
        <v>59.66766915941438</v>
      </c>
      <c r="AM14" s="54">
        <f t="shared" si="3"/>
        <v>59.636694653367783</v>
      </c>
      <c r="AN14" s="54">
        <f t="shared" si="3"/>
        <v>59.622355079485772</v>
      </c>
      <c r="AO14" s="54">
        <f t="shared" si="3"/>
        <v>59.615238358177564</v>
      </c>
      <c r="AP14" s="54">
        <f t="shared" si="3"/>
        <v>59.613060176457431</v>
      </c>
    </row>
    <row r="15" spans="1:42">
      <c r="A15" s="59" t="s">
        <v>186</v>
      </c>
      <c r="B15" s="54">
        <f t="shared" ref="B15:R15" si="4">CHOOSE($B$13,B20,B25)</f>
        <v>152.12939698492463</v>
      </c>
      <c r="C15" s="54">
        <f t="shared" si="4"/>
        <v>136.38279192273924</v>
      </c>
      <c r="D15" s="54">
        <f t="shared" si="4"/>
        <v>134.68914064658745</v>
      </c>
      <c r="E15" s="54">
        <f t="shared" si="4"/>
        <v>148.85983581635756</v>
      </c>
      <c r="F15" s="54">
        <f t="shared" si="4"/>
        <v>168.44036697247708</v>
      </c>
      <c r="G15" s="54">
        <f t="shared" si="4"/>
        <v>154.72802117024403</v>
      </c>
      <c r="H15" s="54">
        <f t="shared" si="4"/>
        <v>132.06766917293234</v>
      </c>
      <c r="I15" s="54">
        <f t="shared" si="4"/>
        <v>146.63941128372855</v>
      </c>
      <c r="J15" s="54">
        <f t="shared" si="4"/>
        <v>158.85869565217391</v>
      </c>
      <c r="K15" s="54">
        <f t="shared" si="4"/>
        <v>172.53561253561253</v>
      </c>
      <c r="L15" s="54">
        <f t="shared" si="4"/>
        <v>158.43723068083884</v>
      </c>
      <c r="M15" s="54">
        <f t="shared" si="4"/>
        <v>102.65726681127984</v>
      </c>
      <c r="N15" s="54">
        <f t="shared" si="4"/>
        <v>156.99727520435965</v>
      </c>
      <c r="O15" s="54">
        <f t="shared" si="4"/>
        <v>159.44265463917526</v>
      </c>
      <c r="P15" s="54">
        <f t="shared" si="4"/>
        <v>146.16521739130434</v>
      </c>
      <c r="Q15" s="54">
        <f t="shared" si="4"/>
        <v>138.33462432223084</v>
      </c>
      <c r="R15" s="54">
        <f t="shared" si="4"/>
        <v>96.591078066914505</v>
      </c>
      <c r="T15" s="54">
        <f t="shared" ref="T15:AP15" si="5">CHOOSE($B$13,T20,T24)</f>
        <v>144.93860525140477</v>
      </c>
      <c r="U15" s="54">
        <f t="shared" si="5"/>
        <v>144.48918076805975</v>
      </c>
      <c r="V15" s="54">
        <f t="shared" si="5"/>
        <v>145.02391910110134</v>
      </c>
      <c r="W15" s="54">
        <f t="shared" si="5"/>
        <v>145.63642160869335</v>
      </c>
      <c r="X15" s="54">
        <f t="shared" si="5"/>
        <v>145.39667681398987</v>
      </c>
      <c r="Y15" s="54">
        <f t="shared" si="5"/>
        <v>143.97143022875338</v>
      </c>
      <c r="Z15" s="54">
        <f t="shared" si="5"/>
        <v>143.38822120648746</v>
      </c>
      <c r="AA15" s="54">
        <f t="shared" si="5"/>
        <v>144.13220627247628</v>
      </c>
      <c r="AB15" s="54">
        <f t="shared" si="5"/>
        <v>143.92900689264872</v>
      </c>
      <c r="AC15" s="54">
        <f t="shared" si="5"/>
        <v>143.00860130641763</v>
      </c>
      <c r="AD15" s="54">
        <f t="shared" si="5"/>
        <v>141.22068845373241</v>
      </c>
      <c r="AE15" s="54">
        <f t="shared" si="5"/>
        <v>140.25639911783105</v>
      </c>
      <c r="AF15" s="54">
        <f t="shared" si="5"/>
        <v>142.66661297048435</v>
      </c>
      <c r="AG15" s="54">
        <f t="shared" si="5"/>
        <v>141.62030821507631</v>
      </c>
      <c r="AH15" s="54">
        <f t="shared" si="5"/>
        <v>140.57180561078314</v>
      </c>
      <c r="AI15" s="54">
        <f t="shared" si="5"/>
        <v>140.2877487872689</v>
      </c>
      <c r="AJ15" s="54">
        <f t="shared" si="5"/>
        <v>140.42757261780338</v>
      </c>
      <c r="AK15" s="54">
        <f t="shared" si="5"/>
        <v>143.15861453782551</v>
      </c>
      <c r="AL15" s="54">
        <f t="shared" si="5"/>
        <v>142.99796501311835</v>
      </c>
      <c r="AM15" s="54">
        <f t="shared" si="5"/>
        <v>142.89325967702547</v>
      </c>
      <c r="AN15" s="54">
        <f t="shared" si="5"/>
        <v>142.80554110320537</v>
      </c>
      <c r="AO15" s="54">
        <f t="shared" si="5"/>
        <v>142.6802081959068</v>
      </c>
      <c r="AP15" s="54">
        <f t="shared" si="5"/>
        <v>142.51368581323106</v>
      </c>
    </row>
    <row r="16" spans="1:42">
      <c r="A16" s="59" t="s">
        <v>187</v>
      </c>
      <c r="B16" s="54">
        <f t="shared" ref="B16:R16" si="6">CHOOSE($B$13,B21,B26)</f>
        <v>89.378140703517587</v>
      </c>
      <c r="C16" s="54">
        <f t="shared" si="6"/>
        <v>79.648814749780513</v>
      </c>
      <c r="D16" s="54">
        <f t="shared" si="6"/>
        <v>76.869300911854097</v>
      </c>
      <c r="E16" s="54">
        <f t="shared" si="6"/>
        <v>90.79355427181514</v>
      </c>
      <c r="F16" s="54">
        <f t="shared" si="6"/>
        <v>88.997378768020965</v>
      </c>
      <c r="G16" s="54">
        <f t="shared" si="6"/>
        <v>83.14613349014995</v>
      </c>
      <c r="H16" s="54">
        <f t="shared" si="6"/>
        <v>72.135338345864668</v>
      </c>
      <c r="I16" s="54">
        <f t="shared" si="6"/>
        <v>91.6925592804579</v>
      </c>
      <c r="J16" s="54">
        <f t="shared" si="6"/>
        <v>97.065217391304344</v>
      </c>
      <c r="K16" s="54">
        <f t="shared" si="6"/>
        <v>98.233618233618245</v>
      </c>
      <c r="L16" s="54">
        <f t="shared" si="6"/>
        <v>96.799770180982463</v>
      </c>
      <c r="M16" s="54">
        <f t="shared" si="6"/>
        <v>74.73969631236443</v>
      </c>
      <c r="N16" s="54">
        <f t="shared" si="6"/>
        <v>98.926430517711168</v>
      </c>
      <c r="O16" s="54">
        <f t="shared" si="6"/>
        <v>112.99291237113403</v>
      </c>
      <c r="P16" s="54">
        <f t="shared" si="6"/>
        <v>87.80869565217391</v>
      </c>
      <c r="Q16" s="54">
        <f t="shared" si="6"/>
        <v>107.10302091402014</v>
      </c>
      <c r="R16" s="54">
        <f t="shared" si="6"/>
        <v>62.146840148698885</v>
      </c>
      <c r="T16" s="54">
        <f t="shared" ref="T16:AP16" si="7">CHOOSE($B$13,T21,T25)</f>
        <v>88.733966014321666</v>
      </c>
      <c r="U16" s="54">
        <f t="shared" si="7"/>
        <v>88.69370509624693</v>
      </c>
      <c r="V16" s="54">
        <f t="shared" si="7"/>
        <v>89.261527050280733</v>
      </c>
      <c r="W16" s="54">
        <f t="shared" si="7"/>
        <v>90.000552311805293</v>
      </c>
      <c r="X16" s="54">
        <f t="shared" si="7"/>
        <v>89.904800610459404</v>
      </c>
      <c r="Y16" s="54">
        <f t="shared" si="7"/>
        <v>89.967498956945917</v>
      </c>
      <c r="Z16" s="54">
        <f t="shared" si="7"/>
        <v>90.389915651965254</v>
      </c>
      <c r="AA16" s="54">
        <f t="shared" si="7"/>
        <v>91.504425690157845</v>
      </c>
      <c r="AB16" s="54">
        <f t="shared" si="7"/>
        <v>91.423010463377068</v>
      </c>
      <c r="AC16" s="54">
        <f t="shared" si="7"/>
        <v>91.075460982055418</v>
      </c>
      <c r="AD16" s="54">
        <f t="shared" si="7"/>
        <v>90.64979799641533</v>
      </c>
      <c r="AE16" s="54">
        <f t="shared" si="7"/>
        <v>90.292028671482399</v>
      </c>
      <c r="AF16" s="54">
        <f t="shared" si="7"/>
        <v>91.286410026735581</v>
      </c>
      <c r="AG16" s="54">
        <f t="shared" si="7"/>
        <v>90.74675991134626</v>
      </c>
      <c r="AH16" s="54">
        <f t="shared" si="7"/>
        <v>89.390103514821362</v>
      </c>
      <c r="AI16" s="54">
        <f t="shared" si="7"/>
        <v>89.573732531019644</v>
      </c>
      <c r="AJ16" s="54">
        <f t="shared" si="7"/>
        <v>88.466675193569728</v>
      </c>
      <c r="AK16" s="54">
        <f t="shared" si="7"/>
        <v>90.180855967464765</v>
      </c>
      <c r="AL16" s="54">
        <f t="shared" si="7"/>
        <v>90.080021804294461</v>
      </c>
      <c r="AM16" s="54">
        <f t="shared" si="7"/>
        <v>90.165132978008771</v>
      </c>
      <c r="AN16" s="54">
        <f t="shared" si="7"/>
        <v>90.246681019658624</v>
      </c>
      <c r="AO16" s="54">
        <f t="shared" si="7"/>
        <v>90.299834309524982</v>
      </c>
      <c r="AP16" s="54">
        <f t="shared" si="7"/>
        <v>90.314312468810456</v>
      </c>
    </row>
    <row r="18" spans="1:42" hidden="1">
      <c r="A18" t="s">
        <v>188</v>
      </c>
    </row>
    <row r="19" spans="1:42">
      <c r="A19" t="s">
        <v>185</v>
      </c>
      <c r="B19" s="54">
        <f>(B8/'Income Statement'!C$8)*90</f>
        <v>64.964630865796551</v>
      </c>
      <c r="C19" s="61">
        <f>(C8/'Income Statement'!D$8)*90</f>
        <v>62.668896321070235</v>
      </c>
      <c r="D19" s="61">
        <f>(D8/'Income Statement'!E$8)*90</f>
        <v>61.484157865480825</v>
      </c>
      <c r="E19" s="61">
        <f>(E8/'Income Statement'!F$8)*90</f>
        <v>57.864157119476275</v>
      </c>
      <c r="F19" s="61">
        <f>(F8/'Income Statement'!G$8)*90</f>
        <v>63.306213017751482</v>
      </c>
      <c r="G19" s="61">
        <f>(G8/'Income Statement'!H$8)*90</f>
        <v>60.948979591836739</v>
      </c>
      <c r="H19" s="61">
        <f>(H8/'Income Statement'!I$8)*90</f>
        <v>61.287408243929988</v>
      </c>
      <c r="I19" s="61">
        <f>(I8/'Income Statement'!J$8)*90</f>
        <v>51.400404448938325</v>
      </c>
      <c r="J19" s="61">
        <f>(J8/'Income Statement'!K$8)*90</f>
        <v>61.074894252301569</v>
      </c>
      <c r="K19" s="54">
        <f>(K8/'Income Statement'!L$8)*90</f>
        <v>62.723509933774835</v>
      </c>
      <c r="L19" s="61">
        <f>(L8/'Income Statement'!M$8)*90</f>
        <v>60.392000637399413</v>
      </c>
      <c r="M19" s="61">
        <f>(M8/'Income Statement'!N$8)*90</f>
        <v>56.46396036439188</v>
      </c>
      <c r="N19" s="61">
        <f>(N8/'Income Statement'!O$8)*90</f>
        <v>61.353476821192061</v>
      </c>
      <c r="O19" s="54">
        <f>(O8/'Income Statement'!P$8)*90</f>
        <v>61.907560077179447</v>
      </c>
      <c r="P19" s="54">
        <f>(P8/'Income Statement'!Q$8)*90</f>
        <v>58.642998327504934</v>
      </c>
      <c r="Q19" s="54">
        <f>(Q8/'Income Statement'!R$8)*90</f>
        <v>61.437763479032611</v>
      </c>
      <c r="R19" s="61">
        <f>(R8/'Income Statement'!S$8)*90</f>
        <v>55.626690145273876</v>
      </c>
      <c r="S19" s="54"/>
      <c r="T19" s="54">
        <f>AVERAGE(B19:R19)</f>
        <v>60.208688324254773</v>
      </c>
      <c r="U19" s="54">
        <f t="shared" ref="U19:AP21" si="8">AVERAGE(C19:S19)</f>
        <v>59.91144191540841</v>
      </c>
      <c r="V19" s="54">
        <f t="shared" si="8"/>
        <v>59.75767891560745</v>
      </c>
      <c r="W19" s="54">
        <f t="shared" si="8"/>
        <v>59.659384168727925</v>
      </c>
      <c r="X19" s="54">
        <f t="shared" si="8"/>
        <v>59.777729280986122</v>
      </c>
      <c r="Y19" s="54">
        <f t="shared" si="8"/>
        <v>59.549802477922142</v>
      </c>
      <c r="Z19" s="54">
        <f t="shared" si="8"/>
        <v>59.476599333493979</v>
      </c>
      <c r="AA19" s="54">
        <f t="shared" si="8"/>
        <v>59.367998973118489</v>
      </c>
      <c r="AB19" s="54">
        <f t="shared" si="8"/>
        <v>59.872761153403218</v>
      </c>
      <c r="AC19" s="54">
        <f t="shared" si="8"/>
        <v>59.766080198454276</v>
      </c>
      <c r="AD19" s="54">
        <f t="shared" si="8"/>
        <v>59.587908399681041</v>
      </c>
      <c r="AE19" s="54">
        <f t="shared" si="8"/>
        <v>59.548788372246968</v>
      </c>
      <c r="AF19" s="54">
        <f t="shared" si="8"/>
        <v>59.744035124452544</v>
      </c>
      <c r="AG19" s="54">
        <f t="shared" si="8"/>
        <v>59.631242096393471</v>
      </c>
      <c r="AH19" s="54">
        <f t="shared" si="8"/>
        <v>59.49602178684804</v>
      </c>
      <c r="AI19" s="54">
        <f t="shared" si="8"/>
        <v>59.557787022403573</v>
      </c>
      <c r="AJ19" s="54">
        <f t="shared" si="8"/>
        <v>59.436428166642045</v>
      </c>
      <c r="AK19" s="54">
        <f t="shared" si="8"/>
        <v>59.68212172146265</v>
      </c>
      <c r="AL19" s="54">
        <f t="shared" si="8"/>
        <v>59.66766915941438</v>
      </c>
      <c r="AM19" s="54">
        <f t="shared" si="8"/>
        <v>59.636694653367783</v>
      </c>
      <c r="AN19" s="54">
        <f t="shared" si="8"/>
        <v>59.622355079485772</v>
      </c>
      <c r="AO19" s="54">
        <f t="shared" si="8"/>
        <v>59.615238358177564</v>
      </c>
      <c r="AP19" s="54">
        <f t="shared" si="8"/>
        <v>59.613060176457431</v>
      </c>
    </row>
    <row r="20" spans="1:42" s="54" customFormat="1">
      <c r="A20" t="s">
        <v>186</v>
      </c>
      <c r="B20" s="54">
        <f>(B9/'Income Statement'!C$71)*90</f>
        <v>152.12939698492463</v>
      </c>
      <c r="C20" s="54">
        <f>(C9/'Income Statement'!D$71)*90</f>
        <v>136.38279192273924</v>
      </c>
      <c r="D20" s="54">
        <f>(D9/'Income Statement'!E$71)*90</f>
        <v>134.68914064658745</v>
      </c>
      <c r="E20" s="54">
        <f>(E9/'Income Statement'!F$71)*90</f>
        <v>148.85983581635756</v>
      </c>
      <c r="F20" s="54">
        <f>(F9/'Income Statement'!G$71)*90</f>
        <v>168.44036697247708</v>
      </c>
      <c r="G20" s="54">
        <f>(G9/'Income Statement'!H$71)*90</f>
        <v>154.72802117024403</v>
      </c>
      <c r="H20" s="54">
        <f>(H9/'Income Statement'!I$71)*90</f>
        <v>132.06766917293234</v>
      </c>
      <c r="I20" s="54">
        <f>(I9/'Income Statement'!J$71)*90</f>
        <v>146.63941128372855</v>
      </c>
      <c r="J20" s="54">
        <f>(J9/'Income Statement'!K$71)*90</f>
        <v>158.85869565217391</v>
      </c>
      <c r="K20" s="54">
        <f>(K9/'Income Statement'!L$71)*90</f>
        <v>172.53561253561253</v>
      </c>
      <c r="L20" s="54">
        <f>(L9/'Income Statement'!M$71)*90</f>
        <v>158.43723068083884</v>
      </c>
      <c r="M20" s="54">
        <f>(M9/'Income Statement'!N$71)*90</f>
        <v>102.65726681127984</v>
      </c>
      <c r="N20" s="54">
        <f>(N9/'Income Statement'!O$71)*90</f>
        <v>156.99727520435965</v>
      </c>
      <c r="O20" s="54">
        <f>(O9/'Income Statement'!P$71)*90</f>
        <v>159.44265463917526</v>
      </c>
      <c r="P20" s="54">
        <f>(P9/'Income Statement'!Q$71)*90</f>
        <v>146.16521739130434</v>
      </c>
      <c r="Q20" s="54">
        <f>(Q9/'Income Statement'!R$71)*90</f>
        <v>138.33462432223084</v>
      </c>
      <c r="R20" s="61">
        <f>(R9/'Income Statement'!S$71)*90</f>
        <v>96.591078066914505</v>
      </c>
      <c r="T20" s="54">
        <f>AVERAGE(B20:R20)</f>
        <v>144.93860525140477</v>
      </c>
      <c r="U20" s="54">
        <f t="shared" si="8"/>
        <v>144.48918076805975</v>
      </c>
      <c r="V20" s="54">
        <f t="shared" si="8"/>
        <v>145.02391910110134</v>
      </c>
      <c r="W20" s="54">
        <f t="shared" si="8"/>
        <v>145.63642160869335</v>
      </c>
      <c r="X20" s="54">
        <f t="shared" si="8"/>
        <v>145.39667681398987</v>
      </c>
      <c r="Y20" s="54">
        <f t="shared" si="8"/>
        <v>143.97143022875338</v>
      </c>
      <c r="Z20" s="54">
        <f t="shared" si="8"/>
        <v>143.38822120648746</v>
      </c>
      <c r="AA20" s="54">
        <f t="shared" si="8"/>
        <v>144.13220627247628</v>
      </c>
      <c r="AB20" s="54">
        <f t="shared" si="8"/>
        <v>143.92900689264872</v>
      </c>
      <c r="AC20" s="54">
        <f t="shared" si="8"/>
        <v>143.00860130641763</v>
      </c>
      <c r="AD20" s="54">
        <f t="shared" si="8"/>
        <v>141.22068845373241</v>
      </c>
      <c r="AE20" s="54">
        <f t="shared" si="8"/>
        <v>140.25639911783105</v>
      </c>
      <c r="AF20" s="54">
        <f t="shared" si="8"/>
        <v>142.66661297048435</v>
      </c>
      <c r="AG20" s="54">
        <f t="shared" si="8"/>
        <v>141.62030821507631</v>
      </c>
      <c r="AH20" s="54">
        <f t="shared" si="8"/>
        <v>140.57180561078314</v>
      </c>
      <c r="AI20" s="54">
        <f t="shared" si="8"/>
        <v>140.2877487872689</v>
      </c>
      <c r="AJ20" s="54">
        <f t="shared" si="8"/>
        <v>140.42757261780338</v>
      </c>
      <c r="AK20" s="54">
        <f t="shared" si="8"/>
        <v>143.15861453782551</v>
      </c>
      <c r="AL20" s="54">
        <f t="shared" si="8"/>
        <v>142.99796501311835</v>
      </c>
      <c r="AM20" s="54">
        <f t="shared" si="8"/>
        <v>142.89325967702547</v>
      </c>
      <c r="AN20" s="54">
        <f t="shared" si="8"/>
        <v>142.80554110320537</v>
      </c>
      <c r="AO20" s="54">
        <f t="shared" si="8"/>
        <v>142.6802081959068</v>
      </c>
      <c r="AP20" s="54">
        <f t="shared" si="8"/>
        <v>142.51368581323106</v>
      </c>
    </row>
    <row r="21" spans="1:42" s="54" customFormat="1">
      <c r="A21" t="s">
        <v>187</v>
      </c>
      <c r="B21" s="54">
        <f>(B10/'Income Statement'!C$71)*90</f>
        <v>89.378140703517587</v>
      </c>
      <c r="C21" s="54">
        <f>(C10/'Income Statement'!D$71)*90</f>
        <v>79.648814749780513</v>
      </c>
      <c r="D21" s="54">
        <f>(D10/'Income Statement'!E$71)*90</f>
        <v>76.869300911854097</v>
      </c>
      <c r="E21" s="54">
        <f>(E10/'Income Statement'!F$71)*90</f>
        <v>90.79355427181514</v>
      </c>
      <c r="F21" s="54">
        <f>(F10/'Income Statement'!G$71)*90</f>
        <v>88.997378768020965</v>
      </c>
      <c r="G21" s="54">
        <f>(G10/'Income Statement'!H$71)*90</f>
        <v>83.14613349014995</v>
      </c>
      <c r="H21" s="54">
        <f>(H10/'Income Statement'!I$71)*90</f>
        <v>72.135338345864668</v>
      </c>
      <c r="I21" s="54">
        <f>(I10/'Income Statement'!J$71)*90</f>
        <v>91.6925592804579</v>
      </c>
      <c r="J21" s="54">
        <f>(J10/'Income Statement'!K$71)*90</f>
        <v>97.065217391304344</v>
      </c>
      <c r="K21" s="54">
        <f>(K10/'Income Statement'!L$71)*90</f>
        <v>98.233618233618245</v>
      </c>
      <c r="L21" s="54">
        <f>(L10/'Income Statement'!M$71)*90</f>
        <v>96.799770180982463</v>
      </c>
      <c r="M21" s="54">
        <f>(M10/'Income Statement'!N$71)*90</f>
        <v>74.73969631236443</v>
      </c>
      <c r="N21" s="54">
        <f>(N10/'Income Statement'!O$71)*90</f>
        <v>98.926430517711168</v>
      </c>
      <c r="O21" s="54">
        <f>(O10/'Income Statement'!P$71)*90</f>
        <v>112.99291237113403</v>
      </c>
      <c r="P21" s="54">
        <f>(P10/'Income Statement'!Q$71)*90</f>
        <v>87.80869565217391</v>
      </c>
      <c r="Q21" s="54">
        <f>(Q10/'Income Statement'!R$71)*90</f>
        <v>107.10302091402014</v>
      </c>
      <c r="R21" s="54">
        <f>(R10/'Income Statement'!S$71)*90</f>
        <v>62.146840148698885</v>
      </c>
      <c r="T21" s="54">
        <f>AVERAGE(B21:R21)</f>
        <v>88.733966014321666</v>
      </c>
      <c r="U21" s="54">
        <f t="shared" si="8"/>
        <v>88.69370509624693</v>
      </c>
      <c r="V21" s="54">
        <f t="shared" si="8"/>
        <v>89.261527050280733</v>
      </c>
      <c r="W21" s="54">
        <f t="shared" si="8"/>
        <v>90.000552311805293</v>
      </c>
      <c r="X21" s="54">
        <f t="shared" si="8"/>
        <v>89.904800610459404</v>
      </c>
      <c r="Y21" s="54">
        <f t="shared" si="8"/>
        <v>89.967498956945917</v>
      </c>
      <c r="Z21" s="54">
        <f t="shared" si="8"/>
        <v>90.389915651965254</v>
      </c>
      <c r="AA21" s="54">
        <f t="shared" si="8"/>
        <v>91.504425690157845</v>
      </c>
      <c r="AB21" s="54">
        <f t="shared" si="8"/>
        <v>91.423010463377068</v>
      </c>
      <c r="AC21" s="54">
        <f t="shared" si="8"/>
        <v>91.075460982055418</v>
      </c>
      <c r="AD21" s="54">
        <f t="shared" si="8"/>
        <v>90.64979799641533</v>
      </c>
      <c r="AE21" s="54">
        <f t="shared" si="8"/>
        <v>90.292028671482399</v>
      </c>
      <c r="AF21" s="54">
        <f t="shared" si="8"/>
        <v>91.286410026735581</v>
      </c>
      <c r="AG21" s="54">
        <f t="shared" si="8"/>
        <v>90.74675991134626</v>
      </c>
      <c r="AH21" s="54">
        <f t="shared" si="8"/>
        <v>89.390103514821362</v>
      </c>
      <c r="AI21" s="54">
        <f t="shared" si="8"/>
        <v>89.573732531019644</v>
      </c>
      <c r="AJ21" s="54">
        <f t="shared" si="8"/>
        <v>88.466675193569728</v>
      </c>
      <c r="AK21" s="54">
        <f t="shared" si="8"/>
        <v>90.180855967464765</v>
      </c>
      <c r="AL21" s="54">
        <f t="shared" si="8"/>
        <v>90.080021804294461</v>
      </c>
      <c r="AM21" s="54">
        <f t="shared" si="8"/>
        <v>90.165132978008771</v>
      </c>
      <c r="AN21" s="54">
        <f t="shared" si="8"/>
        <v>90.246681019658624</v>
      </c>
      <c r="AO21" s="54">
        <f t="shared" si="8"/>
        <v>90.299834309524982</v>
      </c>
      <c r="AP21" s="54">
        <f t="shared" si="8"/>
        <v>90.314312468810456</v>
      </c>
    </row>
    <row r="23" spans="1:42">
      <c r="A23" t="s">
        <v>189</v>
      </c>
      <c r="T23" s="61">
        <v>93.288472423118037</v>
      </c>
      <c r="U23" s="61">
        <v>93.288472423118037</v>
      </c>
      <c r="V23" s="61">
        <v>93.288472423118037</v>
      </c>
      <c r="W23" s="61">
        <v>93.288472423118037</v>
      </c>
      <c r="X23" s="61">
        <v>93.288472423118037</v>
      </c>
      <c r="Y23" s="61">
        <v>93.288472423118037</v>
      </c>
      <c r="Z23" s="61">
        <v>93.288472423118037</v>
      </c>
      <c r="AA23" s="61">
        <v>93.288472423118037</v>
      </c>
      <c r="AB23" s="61">
        <v>93.288472423118037</v>
      </c>
      <c r="AC23" s="61">
        <v>93.288472423118037</v>
      </c>
      <c r="AD23" s="61">
        <v>93.288472423118037</v>
      </c>
      <c r="AE23" s="61">
        <v>93.288472423118037</v>
      </c>
      <c r="AF23" s="61">
        <v>93.288472423118037</v>
      </c>
      <c r="AG23" s="61">
        <v>93.288472423118037</v>
      </c>
      <c r="AH23" s="61">
        <v>93.288472423118037</v>
      </c>
      <c r="AI23" s="61">
        <v>93.288472423118037</v>
      </c>
      <c r="AJ23" s="61">
        <v>93.288472423118037</v>
      </c>
      <c r="AK23" s="61">
        <v>93.288472423118037</v>
      </c>
      <c r="AL23" s="61">
        <v>93.288472423118037</v>
      </c>
      <c r="AM23" s="61">
        <v>93.288472423118037</v>
      </c>
      <c r="AN23" s="61">
        <v>93.288472423118037</v>
      </c>
      <c r="AO23" s="61">
        <v>93.288472423118037</v>
      </c>
      <c r="AP23" s="61">
        <v>93.288472423118037</v>
      </c>
    </row>
    <row r="24" spans="1:42" s="61" customFormat="1">
      <c r="A24" t="s">
        <v>185</v>
      </c>
      <c r="B24" s="54">
        <v>101.83620603766066</v>
      </c>
      <c r="C24" s="61">
        <v>97.112279025322493</v>
      </c>
      <c r="D24" s="61">
        <v>92.843246247915516</v>
      </c>
      <c r="E24" s="61">
        <v>94.689034369885434</v>
      </c>
      <c r="F24" s="61">
        <v>90.208025147929007</v>
      </c>
      <c r="G24" s="61">
        <v>88.640625</v>
      </c>
      <c r="H24" s="61">
        <v>90.83662388943732</v>
      </c>
      <c r="I24" s="61">
        <v>85.118487466849174</v>
      </c>
      <c r="J24" s="61">
        <v>96.76838419209605</v>
      </c>
      <c r="K24" s="54">
        <v>101.4487926727727</v>
      </c>
      <c r="L24" s="61">
        <v>93.886542904947817</v>
      </c>
      <c r="M24" s="61">
        <v>96.314527728943588</v>
      </c>
      <c r="N24" s="61">
        <v>98.786009900186642</v>
      </c>
      <c r="O24" s="54">
        <v>112.32486528098536</v>
      </c>
      <c r="P24" s="54">
        <v>103.05644144478231</v>
      </c>
      <c r="Q24" s="54">
        <v>107.94541823829599</v>
      </c>
      <c r="R24" s="61">
        <v>93.288472423118037</v>
      </c>
      <c r="S24"/>
      <c r="T24" s="61">
        <v>96.591078066914505</v>
      </c>
      <c r="U24" s="61">
        <v>96.591078066914505</v>
      </c>
      <c r="V24" s="61">
        <v>96.591078066914505</v>
      </c>
      <c r="W24" s="61">
        <v>96.591078066914505</v>
      </c>
      <c r="X24" s="61">
        <v>96.591078066914505</v>
      </c>
      <c r="Y24" s="61">
        <v>96.591078066914505</v>
      </c>
      <c r="Z24" s="61">
        <v>96.591078066914505</v>
      </c>
      <c r="AA24" s="61">
        <v>96.591078066914505</v>
      </c>
      <c r="AB24" s="61">
        <v>96.591078066914505</v>
      </c>
      <c r="AC24" s="61">
        <v>96.591078066914505</v>
      </c>
      <c r="AD24" s="61">
        <v>96.591078066914505</v>
      </c>
      <c r="AE24" s="61">
        <v>96.591078066914505</v>
      </c>
      <c r="AF24" s="61">
        <v>96.591078066914505</v>
      </c>
      <c r="AG24" s="61">
        <v>96.591078066914505</v>
      </c>
      <c r="AH24" s="61">
        <v>96.591078066914505</v>
      </c>
      <c r="AI24" s="61">
        <v>96.591078066914505</v>
      </c>
      <c r="AJ24" s="61">
        <v>96.591078066914505</v>
      </c>
      <c r="AK24" s="61">
        <v>96.591078066914505</v>
      </c>
      <c r="AL24" s="61">
        <v>96.591078066914505</v>
      </c>
      <c r="AM24" s="61">
        <v>96.591078066914505</v>
      </c>
      <c r="AN24" s="61">
        <v>96.591078066914505</v>
      </c>
      <c r="AO24" s="61">
        <v>96.591078066914505</v>
      </c>
      <c r="AP24" s="61">
        <v>96.591078066914505</v>
      </c>
    </row>
    <row r="25" spans="1:42">
      <c r="A25" t="s">
        <v>186</v>
      </c>
      <c r="B25" s="54">
        <v>152.12939698492463</v>
      </c>
      <c r="C25" s="54">
        <v>136.38279192273924</v>
      </c>
      <c r="D25" s="54">
        <v>134.68914064658745</v>
      </c>
      <c r="E25" s="54">
        <v>148.85983581635756</v>
      </c>
      <c r="F25" s="54">
        <v>168.44036697247708</v>
      </c>
      <c r="G25" s="54">
        <v>154.72802117024403</v>
      </c>
      <c r="H25" s="54">
        <v>132.06766917293234</v>
      </c>
      <c r="I25" s="54">
        <v>146.63941128372855</v>
      </c>
      <c r="J25" s="54">
        <v>158.85869565217391</v>
      </c>
      <c r="K25" s="54">
        <v>172.53561253561253</v>
      </c>
      <c r="L25" s="54">
        <v>158.43723068083884</v>
      </c>
      <c r="M25" s="54">
        <v>102.65726681127984</v>
      </c>
      <c r="N25" s="54">
        <v>156.99727520435965</v>
      </c>
      <c r="O25" s="54">
        <v>159.44265463917526</v>
      </c>
      <c r="P25" s="54">
        <v>146.16521739130434</v>
      </c>
      <c r="Q25" s="54">
        <v>138.33462432223084</v>
      </c>
      <c r="R25" s="61">
        <v>96.591078066914505</v>
      </c>
      <c r="T25" s="54">
        <v>317.40892193308548</v>
      </c>
      <c r="U25" s="54">
        <v>317.40892193308548</v>
      </c>
      <c r="V25" s="54">
        <v>317.40892193308548</v>
      </c>
      <c r="W25" s="54">
        <v>317.40892193308548</v>
      </c>
      <c r="X25" s="54">
        <v>317.40892193308548</v>
      </c>
      <c r="Y25" s="54">
        <v>317.40892193308548</v>
      </c>
      <c r="Z25" s="54">
        <v>317.40892193308548</v>
      </c>
      <c r="AA25" s="54">
        <v>317.40892193308548</v>
      </c>
      <c r="AB25" s="54">
        <v>317.40892193308548</v>
      </c>
      <c r="AC25" s="54">
        <v>317.40892193308548</v>
      </c>
      <c r="AD25" s="54">
        <v>317.40892193308548</v>
      </c>
      <c r="AE25" s="54">
        <v>317.40892193308548</v>
      </c>
      <c r="AF25" s="54">
        <v>317.40892193308548</v>
      </c>
      <c r="AG25" s="54">
        <v>317.40892193308548</v>
      </c>
      <c r="AH25" s="54">
        <v>317.40892193308548</v>
      </c>
      <c r="AI25" s="54">
        <v>317.40892193308548</v>
      </c>
      <c r="AJ25" s="54">
        <v>317.40892193308548</v>
      </c>
      <c r="AK25" s="54">
        <v>317.40892193308548</v>
      </c>
      <c r="AL25" s="54">
        <v>317.40892193308548</v>
      </c>
      <c r="AM25" s="54">
        <v>317.40892193308548</v>
      </c>
      <c r="AN25" s="54">
        <v>317.40892193308548</v>
      </c>
      <c r="AO25" s="54">
        <v>317.40892193308548</v>
      </c>
      <c r="AP25" s="54">
        <v>317.40892193308548</v>
      </c>
    </row>
    <row r="26" spans="1:42">
      <c r="A26" t="s">
        <v>187</v>
      </c>
      <c r="B26" s="54">
        <v>421.90326633165824</v>
      </c>
      <c r="C26" s="54">
        <v>425.58384547848993</v>
      </c>
      <c r="D26" s="54">
        <v>410.90632771483837</v>
      </c>
      <c r="E26" s="54">
        <v>513.81270903010034</v>
      </c>
      <c r="F26" s="54">
        <v>479.90170380078632</v>
      </c>
      <c r="G26" s="54">
        <v>476.64804469273741</v>
      </c>
      <c r="H26" s="54">
        <v>414.51879699248121</v>
      </c>
      <c r="I26" s="54">
        <v>488.07031888798036</v>
      </c>
      <c r="J26" s="54">
        <v>566.98369565217388</v>
      </c>
      <c r="K26" s="54">
        <v>551.22507122507125</v>
      </c>
      <c r="L26" s="54">
        <v>461.60873312266585</v>
      </c>
      <c r="M26" s="54">
        <v>391.72451193058566</v>
      </c>
      <c r="N26" s="54">
        <v>568.83923705722066</v>
      </c>
      <c r="O26" s="54">
        <v>558.81765463917532</v>
      </c>
      <c r="P26" s="54">
        <v>550.79999999999995</v>
      </c>
      <c r="Q26" s="54">
        <v>485.20526723470175</v>
      </c>
      <c r="R26" s="54">
        <v>317.40892193308548</v>
      </c>
    </row>
    <row r="28" spans="1:42" ht="17" thickBot="1">
      <c r="A28" s="25" t="s">
        <v>183</v>
      </c>
    </row>
    <row r="29" spans="1:42">
      <c r="A29" t="s">
        <v>87</v>
      </c>
      <c r="B29" s="12">
        <f>'Balance Sheet'!C11+'Balance Sheet'!C12+'Balance Sheet'!C13</f>
        <v>16739</v>
      </c>
      <c r="C29" s="12">
        <f>'Balance Sheet'!D11+'Balance Sheet'!D12+'Balance Sheet'!D13</f>
        <v>16470</v>
      </c>
      <c r="D29" s="12">
        <f>'Balance Sheet'!E11+'Balance Sheet'!E12+'Balance Sheet'!E13</f>
        <v>16551</v>
      </c>
      <c r="E29" s="12">
        <f>'Balance Sheet'!F11+'Balance Sheet'!F12+'Balance Sheet'!F13</f>
        <v>17011</v>
      </c>
      <c r="F29" s="12">
        <f>'Balance Sheet'!G11+'Balance Sheet'!G12+'Balance Sheet'!G13</f>
        <v>16553</v>
      </c>
      <c r="G29" s="12">
        <f>'Balance Sheet'!H11+'Balance Sheet'!H12+'Balance Sheet'!H13</f>
        <v>17193</v>
      </c>
      <c r="H29" s="12">
        <f>'Balance Sheet'!I11+'Balance Sheet'!I12+'Balance Sheet'!I13</f>
        <v>18124</v>
      </c>
      <c r="I29" s="12">
        <f>'Balance Sheet'!J11+'Balance Sheet'!J12+'Balance Sheet'!J13</f>
        <v>17033</v>
      </c>
      <c r="J29" s="12">
        <f>'Balance Sheet'!K11+'Balance Sheet'!K12+'Balance Sheet'!K13</f>
        <v>18742</v>
      </c>
      <c r="K29" s="12">
        <f>'Balance Sheet'!L11+'Balance Sheet'!L12+'Balance Sheet'!L13</f>
        <v>18240</v>
      </c>
      <c r="L29" s="12">
        <f>'Balance Sheet'!M11+'Balance Sheet'!M12+'Balance Sheet'!M13</f>
        <v>19221</v>
      </c>
      <c r="M29" s="12">
        <f>'Balance Sheet'!N11+'Balance Sheet'!N12+'Balance Sheet'!N13</f>
        <v>19702</v>
      </c>
      <c r="N29" s="12">
        <f>'Balance Sheet'!O11+'Balance Sheet'!O12+'Balance Sheet'!O13</f>
        <v>19928</v>
      </c>
      <c r="O29" s="12">
        <f>'Balance Sheet'!P11+'Balance Sheet'!P12+'Balance Sheet'!P13</f>
        <v>20090</v>
      </c>
      <c r="P29" s="12">
        <f>'Balance Sheet'!Q11+'Balance Sheet'!Q12+'Balance Sheet'!Q13</f>
        <v>21042</v>
      </c>
      <c r="Q29" s="12">
        <f>'Balance Sheet'!R11+'Balance Sheet'!R12+'Balance Sheet'!R13</f>
        <v>22170</v>
      </c>
      <c r="R29" s="12">
        <f>'Balance Sheet'!S11+'Balance Sheet'!S12+'Balance Sheet'!S13</f>
        <v>22256</v>
      </c>
      <c r="T29" s="12">
        <f>T8+T9</f>
        <v>18731.961208471479</v>
      </c>
      <c r="U29" s="12">
        <f t="shared" ref="U29:AP29" si="9">U8+U9</f>
        <v>19073.618656589031</v>
      </c>
      <c r="V29" s="12">
        <f t="shared" si="9"/>
        <v>19504.032693044232</v>
      </c>
      <c r="W29" s="12">
        <f t="shared" si="9"/>
        <v>19959.376994204285</v>
      </c>
      <c r="X29" s="12">
        <f t="shared" si="9"/>
        <v>20417.629809320199</v>
      </c>
      <c r="Y29" s="12">
        <f t="shared" si="9"/>
        <v>20744.67309897524</v>
      </c>
      <c r="Z29" s="12">
        <f t="shared" si="9"/>
        <v>21160.193193624662</v>
      </c>
      <c r="AA29" s="12">
        <f t="shared" si="9"/>
        <v>21660.488591349989</v>
      </c>
      <c r="AB29" s="12">
        <f t="shared" si="9"/>
        <v>22243.644264828778</v>
      </c>
      <c r="AC29" s="12">
        <f t="shared" si="9"/>
        <v>22659.639237545423</v>
      </c>
      <c r="AD29" s="12">
        <f t="shared" si="9"/>
        <v>23008.227900973288</v>
      </c>
      <c r="AE29" s="12">
        <f t="shared" si="9"/>
        <v>23450.133149892332</v>
      </c>
      <c r="AF29" s="12">
        <f t="shared" si="9"/>
        <v>24194.429152508827</v>
      </c>
      <c r="AG29" s="12">
        <f t="shared" si="9"/>
        <v>24635.865937330782</v>
      </c>
      <c r="AH29" s="12">
        <f t="shared" si="9"/>
        <v>18780.258252112551</v>
      </c>
      <c r="AI29" s="12">
        <f t="shared" si="9"/>
        <v>19198.384520458356</v>
      </c>
      <c r="AJ29" s="12">
        <f t="shared" si="9"/>
        <v>19615.011529208343</v>
      </c>
      <c r="AK29" s="12">
        <f t="shared" si="9"/>
        <v>20266.659907998903</v>
      </c>
      <c r="AL29" s="12">
        <f t="shared" si="9"/>
        <v>20710.010190733614</v>
      </c>
      <c r="AM29" s="12">
        <f t="shared" si="9"/>
        <v>21163.105190185226</v>
      </c>
      <c r="AN29" s="12">
        <f t="shared" si="9"/>
        <v>21630.69254198785</v>
      </c>
      <c r="AO29" s="12">
        <f t="shared" si="9"/>
        <v>22107.730818374221</v>
      </c>
      <c r="AP29" s="12">
        <f t="shared" si="9"/>
        <v>22593.64797161246</v>
      </c>
    </row>
    <row r="30" spans="1:42" ht="17" thickBot="1">
      <c r="A30" s="27" t="s">
        <v>99</v>
      </c>
      <c r="B30" s="26">
        <f>'Balance Sheet'!C24+'Balance Sheet'!C25+'Balance Sheet'!C26</f>
        <v>14926</v>
      </c>
      <c r="C30" s="26">
        <f>'Balance Sheet'!D24+'Balance Sheet'!D25+'Balance Sheet'!D26</f>
        <v>16158</v>
      </c>
      <c r="D30" s="26">
        <f>'Balance Sheet'!E24+'Balance Sheet'!E25+'Balance Sheet'!E26</f>
        <v>16523</v>
      </c>
      <c r="E30" s="26">
        <f>'Balance Sheet'!F24+'Balance Sheet'!F25+'Balance Sheet'!F26</f>
        <v>18777</v>
      </c>
      <c r="F30" s="26">
        <f>'Balance Sheet'!G24+'Balance Sheet'!G25+'Balance Sheet'!G26</f>
        <v>16274</v>
      </c>
      <c r="G30" s="26">
        <f>'Balance Sheet'!H24+'Balance Sheet'!H25+'Balance Sheet'!H26</f>
        <v>18012</v>
      </c>
      <c r="H30" s="26">
        <f>'Balance Sheet'!I24+'Balance Sheet'!I25+'Balance Sheet'!I26</f>
        <v>18377</v>
      </c>
      <c r="I30" s="26">
        <f>'Balance Sheet'!J24+'Balance Sheet'!J25+'Balance Sheet'!J26</f>
        <v>19897</v>
      </c>
      <c r="J30" s="26">
        <f>'Balance Sheet'!K24+'Balance Sheet'!K25+'Balance Sheet'!K26</f>
        <v>20865</v>
      </c>
      <c r="K30" s="26">
        <f>'Balance Sheet'!L24+'Balance Sheet'!L25+'Balance Sheet'!L26</f>
        <v>19348</v>
      </c>
      <c r="L30" s="26">
        <f>'Balance Sheet'!M24+'Balance Sheet'!M25+'Balance Sheet'!M26</f>
        <v>17854</v>
      </c>
      <c r="M30" s="26">
        <f>'Balance Sheet'!N24+'Balance Sheet'!N25+'Balance Sheet'!N26</f>
        <v>24078</v>
      </c>
      <c r="N30" s="26">
        <f>'Balance Sheet'!O24+'Balance Sheet'!O25+'Balance Sheet'!O26</f>
        <v>23196</v>
      </c>
      <c r="O30" s="26">
        <f>'Balance Sheet'!P24+'Balance Sheet'!P25+'Balance Sheet'!P26</f>
        <v>19273</v>
      </c>
      <c r="P30" s="26">
        <f>'Balance Sheet'!Q24+'Balance Sheet'!Q25+'Balance Sheet'!Q26</f>
        <v>21114</v>
      </c>
      <c r="Q30" s="26">
        <f>'Balance Sheet'!R24+'Balance Sheet'!R25+'Balance Sheet'!R26</f>
        <v>20880</v>
      </c>
      <c r="R30" s="26">
        <f>'Balance Sheet'!S24+'Balance Sheet'!S25+'Balance Sheet'!S26</f>
        <v>18974</v>
      </c>
      <c r="T30" s="26">
        <f>T10</f>
        <v>4809.0178881652919</v>
      </c>
      <c r="U30" s="26">
        <f t="shared" ref="U30:AP30" si="10">U10</f>
        <v>4914.9897191405453</v>
      </c>
      <c r="V30" s="26">
        <f t="shared" si="10"/>
        <v>5057.7510067357998</v>
      </c>
      <c r="W30" s="26">
        <f t="shared" si="10"/>
        <v>5214.3673549413925</v>
      </c>
      <c r="X30" s="26">
        <f t="shared" si="10"/>
        <v>5326.0182280383897</v>
      </c>
      <c r="Y30" s="26">
        <f t="shared" si="10"/>
        <v>5449.6515000854397</v>
      </c>
      <c r="Z30" s="26">
        <f t="shared" si="10"/>
        <v>5598.4316547849585</v>
      </c>
      <c r="AA30" s="26">
        <f t="shared" si="10"/>
        <v>5794.9783248346757</v>
      </c>
      <c r="AB30" s="26">
        <f t="shared" si="10"/>
        <v>5920.0932974683919</v>
      </c>
      <c r="AC30" s="26">
        <f t="shared" si="10"/>
        <v>6030.2834693060167</v>
      </c>
      <c r="AD30" s="26">
        <f t="shared" si="10"/>
        <v>6137.146733485105</v>
      </c>
      <c r="AE30" s="26">
        <f t="shared" si="10"/>
        <v>6250.4659524096069</v>
      </c>
      <c r="AF30" s="26">
        <f t="shared" si="10"/>
        <v>6461.4862997795344</v>
      </c>
      <c r="AG30" s="26">
        <f t="shared" si="10"/>
        <v>6567.8124709261165</v>
      </c>
      <c r="AH30" s="26">
        <f t="shared" si="10"/>
        <v>4953.7015697796842</v>
      </c>
      <c r="AI30" s="26">
        <f t="shared" si="10"/>
        <v>5075.5649255102871</v>
      </c>
      <c r="AJ30" s="26">
        <f t="shared" si="10"/>
        <v>5125.6239265010063</v>
      </c>
      <c r="AK30" s="26">
        <f t="shared" si="10"/>
        <v>5342.5021113189032</v>
      </c>
      <c r="AL30" s="26">
        <f t="shared" si="10"/>
        <v>5456.6003759696214</v>
      </c>
      <c r="AM30" s="26">
        <f t="shared" si="10"/>
        <v>5584.6454979386071</v>
      </c>
      <c r="AN30" s="26">
        <f t="shared" si="10"/>
        <v>5715.4645876847517</v>
      </c>
      <c r="AO30" s="26">
        <f t="shared" si="10"/>
        <v>5847.5045638909351</v>
      </c>
      <c r="AP30" s="26">
        <f t="shared" si="10"/>
        <v>5980.0320670341171</v>
      </c>
    </row>
    <row r="31" spans="1:42" ht="17" thickBot="1">
      <c r="A31" s="27" t="s">
        <v>183</v>
      </c>
      <c r="B31" s="26">
        <f t="shared" ref="B31:R31" si="11">B29-B30</f>
        <v>1813</v>
      </c>
      <c r="C31" s="26">
        <f t="shared" si="11"/>
        <v>312</v>
      </c>
      <c r="D31" s="26">
        <f t="shared" si="11"/>
        <v>28</v>
      </c>
      <c r="E31" s="26">
        <f t="shared" si="11"/>
        <v>-1766</v>
      </c>
      <c r="F31" s="26">
        <f t="shared" si="11"/>
        <v>279</v>
      </c>
      <c r="G31" s="26">
        <f t="shared" si="11"/>
        <v>-819</v>
      </c>
      <c r="H31" s="26">
        <f t="shared" si="11"/>
        <v>-253</v>
      </c>
      <c r="I31" s="26">
        <f t="shared" si="11"/>
        <v>-2864</v>
      </c>
      <c r="J31" s="26">
        <f t="shared" si="11"/>
        <v>-2123</v>
      </c>
      <c r="K31" s="26">
        <f t="shared" si="11"/>
        <v>-1108</v>
      </c>
      <c r="L31" s="26">
        <f t="shared" si="11"/>
        <v>1367</v>
      </c>
      <c r="M31" s="26">
        <f t="shared" si="11"/>
        <v>-4376</v>
      </c>
      <c r="N31" s="26">
        <f t="shared" si="11"/>
        <v>-3268</v>
      </c>
      <c r="O31" s="26">
        <f t="shared" si="11"/>
        <v>817</v>
      </c>
      <c r="P31" s="26">
        <f t="shared" si="11"/>
        <v>-72</v>
      </c>
      <c r="Q31" s="26">
        <f t="shared" si="11"/>
        <v>1290</v>
      </c>
      <c r="R31" s="26">
        <f t="shared" si="11"/>
        <v>3282</v>
      </c>
      <c r="T31" s="26">
        <f>T29-T30</f>
        <v>13922.943320306187</v>
      </c>
      <c r="U31" s="26">
        <f t="shared" ref="U31:AP31" si="12">U29-U30</f>
        <v>14158.628937448486</v>
      </c>
      <c r="V31" s="26">
        <f t="shared" si="12"/>
        <v>14446.281686308432</v>
      </c>
      <c r="W31" s="26">
        <f t="shared" si="12"/>
        <v>14745.009639262893</v>
      </c>
      <c r="X31" s="26">
        <f t="shared" si="12"/>
        <v>15091.61158128181</v>
      </c>
      <c r="Y31" s="26">
        <f t="shared" si="12"/>
        <v>15295.0215988898</v>
      </c>
      <c r="Z31" s="26">
        <f t="shared" si="12"/>
        <v>15561.761538839703</v>
      </c>
      <c r="AA31" s="26">
        <f t="shared" si="12"/>
        <v>15865.510266515314</v>
      </c>
      <c r="AB31" s="26">
        <f t="shared" si="12"/>
        <v>16323.550967360385</v>
      </c>
      <c r="AC31" s="26">
        <f t="shared" si="12"/>
        <v>16629.355768239406</v>
      </c>
      <c r="AD31" s="26">
        <f t="shared" si="12"/>
        <v>16871.081167488184</v>
      </c>
      <c r="AE31" s="26">
        <f t="shared" si="12"/>
        <v>17199.667197482726</v>
      </c>
      <c r="AF31" s="26">
        <f t="shared" si="12"/>
        <v>17732.942852729291</v>
      </c>
      <c r="AG31" s="26">
        <f t="shared" si="12"/>
        <v>18068.053466404665</v>
      </c>
      <c r="AH31" s="26">
        <f t="shared" si="12"/>
        <v>13826.556682332866</v>
      </c>
      <c r="AI31" s="26">
        <f t="shared" si="12"/>
        <v>14122.819594948069</v>
      </c>
      <c r="AJ31" s="26">
        <f t="shared" si="12"/>
        <v>14489.387602707337</v>
      </c>
      <c r="AK31" s="26">
        <f t="shared" si="12"/>
        <v>14924.15779668</v>
      </c>
      <c r="AL31" s="26">
        <f t="shared" si="12"/>
        <v>15253.409814763992</v>
      </c>
      <c r="AM31" s="26">
        <f t="shared" si="12"/>
        <v>15578.459692246619</v>
      </c>
      <c r="AN31" s="26">
        <f t="shared" si="12"/>
        <v>15915.227954303098</v>
      </c>
      <c r="AO31" s="26">
        <f t="shared" si="12"/>
        <v>16260.226254483285</v>
      </c>
      <c r="AP31" s="26">
        <f t="shared" si="12"/>
        <v>16613.615904578342</v>
      </c>
    </row>
    <row r="32" spans="1:42">
      <c r="A32" s="33" t="s">
        <v>213</v>
      </c>
    </row>
    <row r="33" spans="1:1">
      <c r="A33" s="33" t="s">
        <v>214</v>
      </c>
    </row>
    <row r="34" spans="1:1" ht="34">
      <c r="A34" s="62" t="s">
        <v>215</v>
      </c>
    </row>
  </sheetData>
  <dataValidations disablePrompts="1" count="1">
    <dataValidation type="list" allowBlank="1" showInputMessage="1" showErrorMessage="1" sqref="B13" xr:uid="{2FC5E5A8-9F20-D84D-8E91-08B029EA0A49}">
      <formula1>"1,2"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AB35-554E-324F-83F9-424E8D33CC29}">
  <dimension ref="B1:AR14"/>
  <sheetViews>
    <sheetView workbookViewId="0">
      <selection activeCell="D13" sqref="D13"/>
    </sheetView>
  </sheetViews>
  <sheetFormatPr baseColWidth="10" defaultRowHeight="16"/>
  <cols>
    <col min="1" max="1" width="2" customWidth="1"/>
    <col min="2" max="2" width="15" bestFit="1" customWidth="1"/>
    <col min="3" max="13" width="11" bestFit="1" customWidth="1"/>
    <col min="14" max="14" width="11.1640625" bestFit="1" customWidth="1"/>
    <col min="15" max="19" width="11" bestFit="1" customWidth="1"/>
    <col min="20" max="20" width="1.5" customWidth="1"/>
  </cols>
  <sheetData>
    <row r="1" spans="2:44">
      <c r="B1" t="s">
        <v>0</v>
      </c>
    </row>
    <row r="2" spans="2:44">
      <c r="B2" t="e" vm="1">
        <v>#VALUE!</v>
      </c>
    </row>
    <row r="7" spans="2:44">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2:44" ht="20" customHeight="1">
      <c r="B8" t="s">
        <v>486</v>
      </c>
      <c r="C8" cm="1">
        <f t="array" ref="C8:S8">'Balance Sheet'!C30:S30</f>
        <v>21501</v>
      </c>
      <c r="D8" s="54">
        <v>19959</v>
      </c>
      <c r="E8" s="54">
        <v>19936</v>
      </c>
      <c r="F8" s="54">
        <v>19806</v>
      </c>
      <c r="G8" s="54">
        <v>22721</v>
      </c>
      <c r="H8" s="54">
        <v>22771</v>
      </c>
      <c r="I8" s="54">
        <v>22677</v>
      </c>
      <c r="J8" s="12">
        <v>22736</v>
      </c>
      <c r="K8" s="12">
        <v>21637</v>
      </c>
      <c r="L8" s="12">
        <v>26156</v>
      </c>
      <c r="M8" s="12">
        <v>26321</v>
      </c>
      <c r="N8" s="12">
        <v>25360</v>
      </c>
      <c r="O8" s="12">
        <v>24002</v>
      </c>
      <c r="P8" s="12">
        <v>24033</v>
      </c>
      <c r="Q8" s="12">
        <v>22907</v>
      </c>
      <c r="R8" s="12">
        <v>30690</v>
      </c>
      <c r="S8" s="12">
        <v>30586</v>
      </c>
      <c r="T8" s="12"/>
      <c r="U8" s="12">
        <f>S8+U14</f>
        <v>38212.154872736384</v>
      </c>
      <c r="V8" s="12">
        <f>U8+V14</f>
        <v>40418.977034455282</v>
      </c>
      <c r="W8" s="12">
        <f>V8+W14</f>
        <v>42559.267118926633</v>
      </c>
      <c r="X8" s="12">
        <f t="shared" ref="X8:AQ8" si="0">W8+X14</f>
        <v>43014.267118926633</v>
      </c>
      <c r="Y8" s="12">
        <f t="shared" si="0"/>
        <v>43469.267118926633</v>
      </c>
      <c r="Z8" s="12">
        <f t="shared" si="0"/>
        <v>45854.400611951198</v>
      </c>
      <c r="AA8" s="12">
        <f t="shared" si="0"/>
        <v>48170.071759940103</v>
      </c>
      <c r="AB8" s="12">
        <f t="shared" si="0"/>
        <v>50938.957463871309</v>
      </c>
      <c r="AC8" s="12">
        <f t="shared" si="0"/>
        <v>53922.879919848208</v>
      </c>
      <c r="AD8" s="12">
        <f t="shared" si="0"/>
        <v>56571.759906037019</v>
      </c>
      <c r="AE8" s="12">
        <f t="shared" si="0"/>
        <v>59078.059619922184</v>
      </c>
      <c r="AF8" s="12">
        <f t="shared" si="0"/>
        <v>62102.964075857366</v>
      </c>
      <c r="AG8" s="12">
        <f t="shared" si="0"/>
        <v>65380.939439958987</v>
      </c>
      <c r="AH8" s="12">
        <f t="shared" si="0"/>
        <v>68276.806209850634</v>
      </c>
      <c r="AI8" s="12">
        <f t="shared" si="0"/>
        <v>68108.637144117587</v>
      </c>
      <c r="AJ8" s="12">
        <f t="shared" si="0"/>
        <v>70598.297941492987</v>
      </c>
      <c r="AK8" s="12">
        <f t="shared" si="0"/>
        <v>73246.486859271376</v>
      </c>
      <c r="AL8" s="12">
        <f t="shared" si="0"/>
        <v>75697.108267519143</v>
      </c>
      <c r="AM8" s="12">
        <f t="shared" si="0"/>
        <v>77996.066166755176</v>
      </c>
      <c r="AN8" s="12">
        <f t="shared" si="0"/>
        <v>80718.07776867284</v>
      </c>
      <c r="AO8" s="12">
        <f t="shared" si="0"/>
        <v>83580.808343484998</v>
      </c>
      <c r="AP8" s="12">
        <f t="shared" si="0"/>
        <v>86194.420852328985</v>
      </c>
      <c r="AQ8" s="12">
        <f t="shared" si="0"/>
        <v>88704.118263307144</v>
      </c>
    </row>
    <row r="9" spans="2:44">
      <c r="B9" t="s">
        <v>487</v>
      </c>
      <c r="C9" s="12" cm="1">
        <f t="array" ref="C9:S9">'Income Statement'!C80:S80</f>
        <v>-291</v>
      </c>
      <c r="D9" s="16">
        <v>-48</v>
      </c>
      <c r="E9" s="16">
        <v>-172</v>
      </c>
      <c r="F9" s="16">
        <v>110</v>
      </c>
      <c r="G9" s="16">
        <v>188</v>
      </c>
      <c r="H9" s="16">
        <v>140</v>
      </c>
      <c r="I9" s="16">
        <v>35</v>
      </c>
      <c r="J9" s="12">
        <v>-223</v>
      </c>
      <c r="K9" s="12">
        <v>71</v>
      </c>
      <c r="L9" s="12">
        <v>-390</v>
      </c>
      <c r="M9" s="12">
        <v>-312</v>
      </c>
      <c r="N9" s="12">
        <v>-258</v>
      </c>
      <c r="O9" s="12">
        <v>-448</v>
      </c>
      <c r="P9" s="12">
        <v>-103</v>
      </c>
      <c r="Q9" s="12">
        <v>-450</v>
      </c>
      <c r="R9" s="12">
        <v>-333</v>
      </c>
      <c r="S9" s="12">
        <v>708</v>
      </c>
      <c r="T9" s="12"/>
      <c r="U9" s="12">
        <f>U8*U10</f>
        <v>955.30387181840968</v>
      </c>
      <c r="V9" s="12">
        <f t="shared" ref="V9:AQ9" si="1">V8*V10</f>
        <v>1313.6167536197968</v>
      </c>
      <c r="W9" s="12">
        <f t="shared" si="1"/>
        <v>1595.9725169597486</v>
      </c>
      <c r="X9" s="12">
        <f t="shared" si="1"/>
        <v>1720.5706847570655</v>
      </c>
      <c r="Y9" s="12">
        <f t="shared" si="1"/>
        <v>978.05851017584916</v>
      </c>
      <c r="Z9" s="12">
        <f t="shared" si="1"/>
        <v>1031.7240137689018</v>
      </c>
      <c r="AA9" s="12">
        <f t="shared" si="1"/>
        <v>963.40143519880212</v>
      </c>
      <c r="AB9" s="12">
        <f t="shared" si="1"/>
        <v>1018.7791492774262</v>
      </c>
      <c r="AC9" s="12">
        <f t="shared" si="1"/>
        <v>1078.4575983969642</v>
      </c>
      <c r="AD9" s="12">
        <f t="shared" si="1"/>
        <v>990.00579835564793</v>
      </c>
      <c r="AE9" s="12">
        <f t="shared" si="1"/>
        <v>1033.8660433486384</v>
      </c>
      <c r="AF9" s="12">
        <f t="shared" si="1"/>
        <v>1086.8018713275039</v>
      </c>
      <c r="AG9" s="12">
        <f t="shared" si="1"/>
        <v>980.7140915993848</v>
      </c>
      <c r="AH9" s="12">
        <f t="shared" si="1"/>
        <v>1024.1520931477594</v>
      </c>
      <c r="AI9" s="12">
        <f t="shared" si="1"/>
        <v>1021.6295571617637</v>
      </c>
      <c r="AJ9" s="12">
        <f t="shared" si="1"/>
        <v>1058.9744691223948</v>
      </c>
      <c r="AK9" s="12">
        <f t="shared" si="1"/>
        <v>1098.6973028890707</v>
      </c>
      <c r="AL9" s="12">
        <f t="shared" si="1"/>
        <v>1135.4566240127872</v>
      </c>
      <c r="AM9" s="12">
        <f t="shared" si="1"/>
        <v>1169.9409925013276</v>
      </c>
      <c r="AN9" s="12">
        <f t="shared" si="1"/>
        <v>1210.7711665300926</v>
      </c>
      <c r="AO9" s="12">
        <f t="shared" si="1"/>
        <v>1253.7121251522749</v>
      </c>
      <c r="AP9" s="12">
        <f t="shared" si="1"/>
        <v>1292.9163127849347</v>
      </c>
      <c r="AQ9" s="12">
        <f t="shared" si="1"/>
        <v>1330.5617739496072</v>
      </c>
    </row>
    <row r="10" spans="2:44">
      <c r="B10" t="s">
        <v>488</v>
      </c>
      <c r="C10" s="46">
        <v>1.4999999999999999E-2</v>
      </c>
      <c r="D10" s="46">
        <v>1.7500000000000002E-2</v>
      </c>
      <c r="E10" s="46">
        <v>0.02</v>
      </c>
      <c r="F10" s="46">
        <v>2.2499999999999999E-2</v>
      </c>
      <c r="G10" s="46">
        <v>2.5000000000000001E-2</v>
      </c>
      <c r="H10" s="46">
        <v>2.2499999999999999E-2</v>
      </c>
      <c r="I10" s="46">
        <v>0.02</v>
      </c>
      <c r="J10" s="46">
        <v>1.7500000000000002E-2</v>
      </c>
      <c r="K10" s="46">
        <v>1.7500000000000002E-2</v>
      </c>
      <c r="L10" s="46">
        <v>2.5000000000000001E-3</v>
      </c>
      <c r="M10" s="46">
        <v>2.5000000000000001E-3</v>
      </c>
      <c r="N10" s="46">
        <v>2.5000000000000001E-3</v>
      </c>
      <c r="O10" s="46">
        <v>2.5000000000000001E-3</v>
      </c>
      <c r="P10" s="46">
        <v>2.5000000000000001E-3</v>
      </c>
      <c r="Q10" s="46">
        <v>2.5000000000000001E-3</v>
      </c>
      <c r="R10" s="46">
        <v>2.5000000000000001E-3</v>
      </c>
      <c r="S10" s="46">
        <v>1.7500000000000002E-2</v>
      </c>
      <c r="T10" s="46"/>
      <c r="U10" s="46">
        <v>2.5000000000000001E-2</v>
      </c>
      <c r="V10" s="46">
        <v>3.2500000000000001E-2</v>
      </c>
      <c r="W10" s="46">
        <v>3.7499999999999999E-2</v>
      </c>
      <c r="X10" s="46">
        <v>0.04</v>
      </c>
      <c r="Y10" s="46">
        <v>2.2499999999999999E-2</v>
      </c>
      <c r="Z10" s="46">
        <v>2.2499999999999999E-2</v>
      </c>
      <c r="AA10" s="49">
        <v>0.02</v>
      </c>
      <c r="AB10" s="49">
        <v>0.02</v>
      </c>
      <c r="AC10" s="49">
        <v>0.02</v>
      </c>
      <c r="AD10" s="46">
        <v>1.7500000000000002E-2</v>
      </c>
      <c r="AE10" s="46">
        <v>1.7500000000000002E-2</v>
      </c>
      <c r="AF10" s="46">
        <v>1.7500000000000002E-2</v>
      </c>
      <c r="AG10" s="46">
        <v>1.4999999999999999E-2</v>
      </c>
      <c r="AH10" s="46">
        <v>1.4999999999999999E-2</v>
      </c>
      <c r="AI10" s="46">
        <v>1.4999999999999999E-2</v>
      </c>
      <c r="AJ10" s="46">
        <v>1.4999999999999999E-2</v>
      </c>
      <c r="AK10" s="46">
        <v>1.4999999999999999E-2</v>
      </c>
      <c r="AL10" s="46">
        <v>1.4999999999999999E-2</v>
      </c>
      <c r="AM10" s="46">
        <v>1.4999999999999999E-2</v>
      </c>
      <c r="AN10" s="46">
        <v>1.4999999999999999E-2</v>
      </c>
      <c r="AO10" s="46">
        <v>1.4999999999999999E-2</v>
      </c>
      <c r="AP10" s="46">
        <v>1.4999999999999999E-2</v>
      </c>
      <c r="AQ10" s="46">
        <v>1.4999999999999999E-2</v>
      </c>
    </row>
    <row r="11" spans="2:44">
      <c r="C11" s="10"/>
    </row>
    <row r="12" spans="2:44" s="17" customFormat="1" ht="68">
      <c r="B12" s="63" t="s">
        <v>489</v>
      </c>
      <c r="C12" s="16">
        <v>0</v>
      </c>
      <c r="D12" s="16" cm="1">
        <f t="array" ref="D12:S12">'Income Statement'!D92:S92</f>
        <v>1867</v>
      </c>
      <c r="E12" s="92">
        <v>3947</v>
      </c>
      <c r="F12" s="92">
        <v>2824</v>
      </c>
      <c r="G12" s="92">
        <v>5603</v>
      </c>
      <c r="H12" s="92">
        <v>2795</v>
      </c>
      <c r="I12" s="92">
        <v>3328</v>
      </c>
      <c r="J12" s="92">
        <v>137</v>
      </c>
      <c r="K12" s="92">
        <v>4485</v>
      </c>
      <c r="L12" s="92">
        <v>4359</v>
      </c>
      <c r="M12" s="92">
        <v>5142</v>
      </c>
      <c r="N12" s="92">
        <v>-9053</v>
      </c>
      <c r="O12" s="92">
        <v>3918</v>
      </c>
      <c r="P12" s="92">
        <v>5251</v>
      </c>
      <c r="Q12" s="92">
        <v>3066</v>
      </c>
      <c r="R12" s="92">
        <v>3704</v>
      </c>
      <c r="S12" s="92">
        <v>7697</v>
      </c>
      <c r="T12" s="92"/>
      <c r="U12" s="92">
        <f>'Income Statement'!U92</f>
        <v>15252.309745472763</v>
      </c>
      <c r="V12" s="92">
        <f>'Income Statement'!V92</f>
        <v>4413.6443234377984</v>
      </c>
      <c r="W12" s="92">
        <f>'Income Statement'!W92</f>
        <v>4280.5801689427017</v>
      </c>
      <c r="X12" s="92">
        <v>910</v>
      </c>
      <c r="Y12" s="92">
        <v>910</v>
      </c>
      <c r="Z12" s="92">
        <f>'Income Statement'!Z92</f>
        <v>4770.2669860491333</v>
      </c>
      <c r="AA12" s="92">
        <f>'Income Statement'!AA92</f>
        <v>4631.3422959778127</v>
      </c>
      <c r="AB12" s="92">
        <f>'Income Statement'!AB92</f>
        <v>5537.7714078624167</v>
      </c>
      <c r="AC12" s="92">
        <f>'Income Statement'!AC92</f>
        <v>5967.8449119537963</v>
      </c>
      <c r="AD12" s="92">
        <f>'Income Statement'!AD92</f>
        <v>5297.7599723776202</v>
      </c>
      <c r="AE12" s="92">
        <f>'Income Statement'!AE92</f>
        <v>5012.5994277703248</v>
      </c>
      <c r="AF12" s="92">
        <f>'Income Statement'!AF92</f>
        <v>6049.8089118703574</v>
      </c>
      <c r="AG12" s="92">
        <f>'Income Statement'!AG92</f>
        <v>6555.9507282032409</v>
      </c>
      <c r="AH12" s="92">
        <f>'Income Statement'!AH92</f>
        <v>5791.733539783283</v>
      </c>
      <c r="AI12" s="92">
        <f>'Income Statement'!AI92</f>
        <v>-336.33813146609918</v>
      </c>
      <c r="AJ12" s="92">
        <f>'Income Statement'!AJ92</f>
        <v>4979.321594750797</v>
      </c>
      <c r="AK12" s="92">
        <f>'Income Statement'!AK92</f>
        <v>5296.3778355567783</v>
      </c>
      <c r="AL12" s="92">
        <f>'Income Statement'!AL92</f>
        <v>4901.2428164955436</v>
      </c>
      <c r="AM12" s="92">
        <f>'Income Statement'!AM92</f>
        <v>4597.9157984720532</v>
      </c>
      <c r="AN12" s="92">
        <f>'Income Statement'!AN92</f>
        <v>5444.0232038353342</v>
      </c>
      <c r="AO12" s="92">
        <f>'Income Statement'!AO92</f>
        <v>5725.4611496243188</v>
      </c>
      <c r="AP12" s="92">
        <f>'Income Statement'!AP92</f>
        <v>5227.2250176879852</v>
      </c>
      <c r="AQ12" s="92">
        <f>'Income Statement'!AQ92</f>
        <v>5019.3948219563053</v>
      </c>
      <c r="AR12" s="92"/>
    </row>
    <row r="13" spans="2:44">
      <c r="B13" t="s">
        <v>490</v>
      </c>
      <c r="D13" s="10">
        <f>50%*D12</f>
        <v>933.5</v>
      </c>
      <c r="E13" s="10">
        <f t="shared" ref="E13:U13" si="2">50%*E12</f>
        <v>1973.5</v>
      </c>
      <c r="F13" s="10">
        <f t="shared" si="2"/>
        <v>1412</v>
      </c>
      <c r="G13" s="10">
        <f t="shared" si="2"/>
        <v>2801.5</v>
      </c>
      <c r="H13" s="10">
        <f t="shared" si="2"/>
        <v>1397.5</v>
      </c>
      <c r="I13" s="10">
        <f t="shared" si="2"/>
        <v>1664</v>
      </c>
      <c r="J13" s="10">
        <f t="shared" si="2"/>
        <v>68.5</v>
      </c>
      <c r="K13" s="10">
        <f t="shared" si="2"/>
        <v>2242.5</v>
      </c>
      <c r="L13" s="10">
        <f t="shared" si="2"/>
        <v>2179.5</v>
      </c>
      <c r="M13" s="10">
        <f t="shared" si="2"/>
        <v>2571</v>
      </c>
      <c r="N13" s="10">
        <f t="shared" si="2"/>
        <v>-4526.5</v>
      </c>
      <c r="O13" s="10">
        <f t="shared" si="2"/>
        <v>1959</v>
      </c>
      <c r="P13" s="10">
        <f t="shared" si="2"/>
        <v>2625.5</v>
      </c>
      <c r="Q13" s="10">
        <f t="shared" si="2"/>
        <v>1533</v>
      </c>
      <c r="R13" s="10">
        <f t="shared" si="2"/>
        <v>1852</v>
      </c>
      <c r="S13" s="10">
        <f t="shared" si="2"/>
        <v>3848.5</v>
      </c>
      <c r="T13" s="92"/>
      <c r="U13" s="10">
        <f t="shared" si="2"/>
        <v>7626.1548727363815</v>
      </c>
      <c r="V13" s="10">
        <f t="shared" ref="V13:AQ13" si="3">50%*V12</f>
        <v>2206.8221617188992</v>
      </c>
      <c r="W13" s="10">
        <f t="shared" si="3"/>
        <v>2140.2900844713508</v>
      </c>
      <c r="X13" s="10">
        <f t="shared" si="3"/>
        <v>455</v>
      </c>
      <c r="Y13" s="10">
        <f t="shared" si="3"/>
        <v>455</v>
      </c>
      <c r="Z13" s="10">
        <f t="shared" si="3"/>
        <v>2385.1334930245666</v>
      </c>
      <c r="AA13" s="10">
        <f t="shared" si="3"/>
        <v>2315.6711479889063</v>
      </c>
      <c r="AB13" s="10">
        <f t="shared" si="3"/>
        <v>2768.8857039312084</v>
      </c>
      <c r="AC13" s="10">
        <f t="shared" si="3"/>
        <v>2983.9224559768982</v>
      </c>
      <c r="AD13" s="10">
        <f t="shared" si="3"/>
        <v>2648.8799861888101</v>
      </c>
      <c r="AE13" s="10">
        <f t="shared" si="3"/>
        <v>2506.2997138851624</v>
      </c>
      <c r="AF13" s="10">
        <f t="shared" si="3"/>
        <v>3024.9044559351787</v>
      </c>
      <c r="AG13" s="10">
        <f t="shared" si="3"/>
        <v>3277.9753641016205</v>
      </c>
      <c r="AH13" s="10">
        <f t="shared" si="3"/>
        <v>2895.8667698916415</v>
      </c>
      <c r="AI13" s="10">
        <f t="shared" si="3"/>
        <v>-168.16906573304959</v>
      </c>
      <c r="AJ13" s="10">
        <f t="shared" si="3"/>
        <v>2489.6607973753985</v>
      </c>
      <c r="AK13" s="10">
        <f t="shared" si="3"/>
        <v>2648.1889177783892</v>
      </c>
      <c r="AL13" s="10">
        <f t="shared" si="3"/>
        <v>2450.6214082477718</v>
      </c>
      <c r="AM13" s="10">
        <f t="shared" si="3"/>
        <v>2298.9578992360266</v>
      </c>
      <c r="AN13" s="10">
        <f t="shared" si="3"/>
        <v>2722.0116019176671</v>
      </c>
      <c r="AO13" s="10">
        <f t="shared" si="3"/>
        <v>2862.7305748121594</v>
      </c>
      <c r="AP13" s="10">
        <f t="shared" si="3"/>
        <v>2613.6125088439926</v>
      </c>
      <c r="AQ13" s="10">
        <f t="shared" si="3"/>
        <v>2509.6974109781527</v>
      </c>
    </row>
    <row r="14" spans="2:44">
      <c r="B14" t="s">
        <v>178</v>
      </c>
      <c r="D14" s="10">
        <f>50%*D12</f>
        <v>933.5</v>
      </c>
      <c r="E14" s="10">
        <f t="shared" ref="E14:AQ14" si="4">50%*E12</f>
        <v>1973.5</v>
      </c>
      <c r="F14" s="10">
        <f t="shared" si="4"/>
        <v>1412</v>
      </c>
      <c r="G14" s="10">
        <f t="shared" si="4"/>
        <v>2801.5</v>
      </c>
      <c r="H14" s="10">
        <f t="shared" si="4"/>
        <v>1397.5</v>
      </c>
      <c r="I14" s="10">
        <f t="shared" si="4"/>
        <v>1664</v>
      </c>
      <c r="J14" s="10">
        <f t="shared" si="4"/>
        <v>68.5</v>
      </c>
      <c r="K14" s="10">
        <f t="shared" si="4"/>
        <v>2242.5</v>
      </c>
      <c r="L14" s="10">
        <f t="shared" si="4"/>
        <v>2179.5</v>
      </c>
      <c r="M14" s="10">
        <f t="shared" si="4"/>
        <v>2571</v>
      </c>
      <c r="N14" s="10">
        <f t="shared" si="4"/>
        <v>-4526.5</v>
      </c>
      <c r="O14" s="10">
        <f t="shared" si="4"/>
        <v>1959</v>
      </c>
      <c r="P14" s="10">
        <f t="shared" si="4"/>
        <v>2625.5</v>
      </c>
      <c r="Q14" s="10">
        <f t="shared" si="4"/>
        <v>1533</v>
      </c>
      <c r="R14" s="10">
        <f t="shared" si="4"/>
        <v>1852</v>
      </c>
      <c r="S14" s="10">
        <f t="shared" si="4"/>
        <v>3848.5</v>
      </c>
      <c r="T14" s="92"/>
      <c r="U14" s="10">
        <f t="shared" si="4"/>
        <v>7626.1548727363815</v>
      </c>
      <c r="V14" s="10">
        <f t="shared" si="4"/>
        <v>2206.8221617188992</v>
      </c>
      <c r="W14" s="10">
        <f t="shared" si="4"/>
        <v>2140.2900844713508</v>
      </c>
      <c r="X14" s="10">
        <f t="shared" si="4"/>
        <v>455</v>
      </c>
      <c r="Y14" s="10">
        <f t="shared" si="4"/>
        <v>455</v>
      </c>
      <c r="Z14" s="10">
        <f t="shared" si="4"/>
        <v>2385.1334930245666</v>
      </c>
      <c r="AA14" s="10">
        <f t="shared" si="4"/>
        <v>2315.6711479889063</v>
      </c>
      <c r="AB14" s="10">
        <f t="shared" si="4"/>
        <v>2768.8857039312084</v>
      </c>
      <c r="AC14" s="10">
        <f t="shared" si="4"/>
        <v>2983.9224559768982</v>
      </c>
      <c r="AD14" s="10">
        <f t="shared" si="4"/>
        <v>2648.8799861888101</v>
      </c>
      <c r="AE14" s="10">
        <f t="shared" si="4"/>
        <v>2506.2997138851624</v>
      </c>
      <c r="AF14" s="10">
        <f t="shared" si="4"/>
        <v>3024.9044559351787</v>
      </c>
      <c r="AG14" s="10">
        <f t="shared" si="4"/>
        <v>3277.9753641016205</v>
      </c>
      <c r="AH14" s="10">
        <f t="shared" si="4"/>
        <v>2895.8667698916415</v>
      </c>
      <c r="AI14" s="10">
        <f t="shared" si="4"/>
        <v>-168.16906573304959</v>
      </c>
      <c r="AJ14" s="10">
        <f t="shared" si="4"/>
        <v>2489.6607973753985</v>
      </c>
      <c r="AK14" s="10">
        <f t="shared" si="4"/>
        <v>2648.1889177783892</v>
      </c>
      <c r="AL14" s="10">
        <f t="shared" si="4"/>
        <v>2450.6214082477718</v>
      </c>
      <c r="AM14" s="10">
        <f t="shared" si="4"/>
        <v>2298.9578992360266</v>
      </c>
      <c r="AN14" s="10">
        <f t="shared" si="4"/>
        <v>2722.0116019176671</v>
      </c>
      <c r="AO14" s="10">
        <f t="shared" si="4"/>
        <v>2862.7305748121594</v>
      </c>
      <c r="AP14" s="10">
        <f t="shared" si="4"/>
        <v>2613.6125088439926</v>
      </c>
      <c r="AQ14" s="10">
        <f t="shared" si="4"/>
        <v>2509.6974109781527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0FCB1-ECB9-5644-A4B6-38BCF9774B20}">
  <dimension ref="B1:AQ25"/>
  <sheetViews>
    <sheetView workbookViewId="0">
      <selection activeCell="U22" sqref="U22"/>
    </sheetView>
  </sheetViews>
  <sheetFormatPr baseColWidth="10" defaultRowHeight="16"/>
  <cols>
    <col min="1" max="1" width="3.33203125" customWidth="1"/>
    <col min="3" max="3" width="20.6640625" bestFit="1" customWidth="1"/>
    <col min="4" max="9" width="12.5" hidden="1" customWidth="1"/>
    <col min="10" max="10" width="7.1640625" hidden="1" customWidth="1"/>
    <col min="11" max="12" width="8" hidden="1" customWidth="1"/>
    <col min="13" max="13" width="12.5" hidden="1" customWidth="1"/>
    <col min="14" max="14" width="8.6640625" hidden="1" customWidth="1"/>
    <col min="15" max="15" width="8" hidden="1" customWidth="1"/>
    <col min="16" max="16" width="12.5" hidden="1" customWidth="1"/>
    <col min="17" max="19" width="8" hidden="1" customWidth="1"/>
    <col min="20" max="20" width="6.1640625" hidden="1" customWidth="1"/>
    <col min="21" max="21" width="13.5" bestFit="1" customWidth="1"/>
    <col min="22" max="22" width="12.5" bestFit="1" customWidth="1"/>
    <col min="23" max="23" width="16.83203125" bestFit="1" customWidth="1"/>
    <col min="24" max="34" width="12.5" bestFit="1" customWidth="1"/>
    <col min="35" max="35" width="11.6640625" bestFit="1" customWidth="1"/>
    <col min="36" max="43" width="12.5" bestFit="1" customWidth="1"/>
  </cols>
  <sheetData>
    <row r="1" spans="2:43">
      <c r="B1" t="s">
        <v>0</v>
      </c>
    </row>
    <row r="2" spans="2:43">
      <c r="B2" t="e" vm="1">
        <v>#VALUE!</v>
      </c>
    </row>
    <row r="3" spans="2:43" ht="17" customHeight="1"/>
    <row r="4" spans="2:43">
      <c r="B4" t="s">
        <v>496</v>
      </c>
      <c r="C4" s="46">
        <v>4.9000000000000002E-2</v>
      </c>
    </row>
    <row r="5" spans="2:43">
      <c r="B5" t="s">
        <v>508</v>
      </c>
      <c r="C5" s="46">
        <f>2.25%</f>
        <v>2.2499999999999999E-2</v>
      </c>
    </row>
    <row r="6" spans="2:43">
      <c r="U6">
        <v>1</v>
      </c>
      <c r="V6">
        <f>U6+1</f>
        <v>2</v>
      </c>
      <c r="W6">
        <f t="shared" ref="W6:AQ6" si="0">V6+1</f>
        <v>3</v>
      </c>
      <c r="X6">
        <f t="shared" si="0"/>
        <v>4</v>
      </c>
      <c r="Y6">
        <f t="shared" si="0"/>
        <v>5</v>
      </c>
      <c r="Z6">
        <f t="shared" si="0"/>
        <v>6</v>
      </c>
      <c r="AA6">
        <f t="shared" si="0"/>
        <v>7</v>
      </c>
      <c r="AB6">
        <f t="shared" si="0"/>
        <v>8</v>
      </c>
      <c r="AC6">
        <f t="shared" si="0"/>
        <v>9</v>
      </c>
      <c r="AD6">
        <f t="shared" si="0"/>
        <v>10</v>
      </c>
      <c r="AE6">
        <f t="shared" si="0"/>
        <v>11</v>
      </c>
      <c r="AF6">
        <f t="shared" si="0"/>
        <v>12</v>
      </c>
      <c r="AG6">
        <f t="shared" si="0"/>
        <v>13</v>
      </c>
      <c r="AH6">
        <f t="shared" si="0"/>
        <v>14</v>
      </c>
      <c r="AI6">
        <f t="shared" si="0"/>
        <v>15</v>
      </c>
      <c r="AJ6">
        <f t="shared" si="0"/>
        <v>16</v>
      </c>
      <c r="AK6">
        <f t="shared" si="0"/>
        <v>17</v>
      </c>
      <c r="AL6">
        <f t="shared" si="0"/>
        <v>18</v>
      </c>
      <c r="AM6">
        <f t="shared" si="0"/>
        <v>19</v>
      </c>
      <c r="AN6">
        <f t="shared" si="0"/>
        <v>20</v>
      </c>
      <c r="AO6">
        <f t="shared" si="0"/>
        <v>21</v>
      </c>
      <c r="AP6">
        <f t="shared" si="0"/>
        <v>22</v>
      </c>
      <c r="AQ6">
        <f t="shared" si="0"/>
        <v>23</v>
      </c>
    </row>
    <row r="7" spans="2:43">
      <c r="D7" s="71" t="s">
        <v>36</v>
      </c>
      <c r="E7" s="71" t="s">
        <v>35</v>
      </c>
      <c r="F7" s="71" t="s">
        <v>34</v>
      </c>
      <c r="G7" s="71" t="s">
        <v>33</v>
      </c>
      <c r="H7" s="71" t="s">
        <v>32</v>
      </c>
      <c r="I7" s="71" t="s">
        <v>31</v>
      </c>
      <c r="J7" s="71" t="s">
        <v>30</v>
      </c>
      <c r="K7" s="71" t="s">
        <v>14</v>
      </c>
      <c r="L7" s="73" t="s">
        <v>13</v>
      </c>
      <c r="M7" s="80" t="s">
        <v>12</v>
      </c>
      <c r="N7" s="80" t="s">
        <v>11</v>
      </c>
      <c r="O7" s="71" t="s">
        <v>10</v>
      </c>
      <c r="P7" s="71" t="s">
        <v>9</v>
      </c>
      <c r="Q7" s="71" t="s">
        <v>8</v>
      </c>
      <c r="R7" s="71" t="s">
        <v>7</v>
      </c>
      <c r="S7" s="71" t="s">
        <v>6</v>
      </c>
      <c r="T7" s="71"/>
      <c r="U7" s="71" t="s">
        <v>190</v>
      </c>
      <c r="V7" s="71" t="s">
        <v>191</v>
      </c>
      <c r="W7" s="71" t="s">
        <v>192</v>
      </c>
      <c r="X7" s="71" t="s">
        <v>193</v>
      </c>
      <c r="Y7" s="71" t="s">
        <v>194</v>
      </c>
      <c r="Z7" s="71" t="s">
        <v>196</v>
      </c>
      <c r="AA7" s="71" t="s">
        <v>197</v>
      </c>
      <c r="AB7" s="71" t="s">
        <v>198</v>
      </c>
      <c r="AC7" s="71" t="s">
        <v>199</v>
      </c>
      <c r="AD7" s="71" t="s">
        <v>200</v>
      </c>
      <c r="AE7" s="71" t="s">
        <v>195</v>
      </c>
      <c r="AF7" s="71" t="s">
        <v>201</v>
      </c>
      <c r="AG7" s="71" t="s">
        <v>203</v>
      </c>
      <c r="AH7" s="71" t="s">
        <v>202</v>
      </c>
      <c r="AI7" s="71" t="s">
        <v>204</v>
      </c>
      <c r="AJ7" s="71" t="s">
        <v>205</v>
      </c>
      <c r="AK7" s="71" t="s">
        <v>206</v>
      </c>
      <c r="AL7" s="71" t="s">
        <v>207</v>
      </c>
      <c r="AM7" s="71" t="s">
        <v>208</v>
      </c>
      <c r="AN7" s="71" t="s">
        <v>209</v>
      </c>
      <c r="AO7" s="71" t="s">
        <v>210</v>
      </c>
      <c r="AP7" s="71" t="s">
        <v>211</v>
      </c>
      <c r="AQ7" s="71" t="s">
        <v>212</v>
      </c>
    </row>
    <row r="8" spans="2:43">
      <c r="C8" t="s">
        <v>507</v>
      </c>
      <c r="D8" s="12">
        <f>'Income Statement'!D92</f>
        <v>1867</v>
      </c>
      <c r="E8" s="12">
        <f>'Income Statement'!E92</f>
        <v>3947</v>
      </c>
      <c r="F8" s="12">
        <f>'Income Statement'!F92</f>
        <v>2824</v>
      </c>
      <c r="G8" s="12">
        <f>'Income Statement'!G92</f>
        <v>5603</v>
      </c>
      <c r="H8" s="12">
        <f>'Income Statement'!H92</f>
        <v>2795</v>
      </c>
      <c r="I8" s="12">
        <f>'Income Statement'!I92</f>
        <v>3328</v>
      </c>
      <c r="J8" s="12">
        <f>'Income Statement'!J92</f>
        <v>137</v>
      </c>
      <c r="K8" s="12">
        <f>'Income Statement'!K92</f>
        <v>4485</v>
      </c>
      <c r="L8" s="12">
        <f>'Income Statement'!L92</f>
        <v>4359</v>
      </c>
      <c r="M8" s="12">
        <f>'Income Statement'!M92</f>
        <v>5142</v>
      </c>
      <c r="N8" s="12">
        <f>'Income Statement'!N92</f>
        <v>-9053</v>
      </c>
      <c r="O8" s="12">
        <f>'Income Statement'!O92</f>
        <v>3918</v>
      </c>
      <c r="P8" s="12">
        <f>'Income Statement'!P92</f>
        <v>5251</v>
      </c>
      <c r="Q8" s="12">
        <f>'Income Statement'!Q92</f>
        <v>3066</v>
      </c>
      <c r="R8" s="12">
        <f>'Income Statement'!R92</f>
        <v>3704</v>
      </c>
      <c r="S8" s="12">
        <f>'Income Statement'!S92</f>
        <v>7697</v>
      </c>
      <c r="T8" s="12">
        <f>'Income Statement'!T92</f>
        <v>0</v>
      </c>
      <c r="U8" s="12">
        <f>'Income Statement'!U92</f>
        <v>15252.309745472763</v>
      </c>
      <c r="V8" s="12">
        <f>'Income Statement'!V92</f>
        <v>4413.6443234377984</v>
      </c>
      <c r="W8" s="12">
        <f>'Income Statement'!W92</f>
        <v>4280.5801689427017</v>
      </c>
      <c r="X8" s="12">
        <f>'Income Statement'!X92</f>
        <v>5087.0387708207072</v>
      </c>
      <c r="Y8" s="12">
        <f>'Income Statement'!Y92</f>
        <v>5387.2096581924525</v>
      </c>
      <c r="Z8" s="12">
        <f>'Income Statement'!Z92</f>
        <v>4770.2669860491333</v>
      </c>
      <c r="AA8" s="12">
        <f>'Income Statement'!AA92</f>
        <v>4631.3422959778127</v>
      </c>
      <c r="AB8" s="12">
        <f>'Income Statement'!AB92</f>
        <v>5537.7714078624167</v>
      </c>
      <c r="AC8" s="12">
        <f>'Income Statement'!AC92</f>
        <v>5967.8449119537963</v>
      </c>
      <c r="AD8" s="12">
        <f>'Income Statement'!AD92</f>
        <v>5297.7599723776202</v>
      </c>
      <c r="AE8" s="12">
        <f>'Income Statement'!AE92</f>
        <v>5012.5994277703248</v>
      </c>
      <c r="AF8" s="12">
        <f>'Income Statement'!AF92</f>
        <v>6049.8089118703574</v>
      </c>
      <c r="AG8" s="12">
        <f>'Income Statement'!AG92</f>
        <v>6555.9507282032409</v>
      </c>
      <c r="AH8" s="12">
        <f>'Income Statement'!AH92</f>
        <v>5791.733539783283</v>
      </c>
      <c r="AI8" s="12">
        <f>'Income Statement'!AI92</f>
        <v>-336.33813146609918</v>
      </c>
      <c r="AJ8" s="12">
        <f>'Income Statement'!AJ92</f>
        <v>4979.321594750797</v>
      </c>
      <c r="AK8" s="12">
        <f>'Income Statement'!AK92</f>
        <v>5296.3778355567783</v>
      </c>
      <c r="AL8" s="12">
        <f>'Income Statement'!AL92</f>
        <v>4901.2428164955436</v>
      </c>
      <c r="AM8" s="12">
        <f>'Income Statement'!AM92</f>
        <v>4597.9157984720532</v>
      </c>
      <c r="AN8" s="12">
        <f>'Income Statement'!AN92</f>
        <v>5444.0232038353342</v>
      </c>
      <c r="AO8" s="12">
        <f>'Income Statement'!AO92</f>
        <v>5725.4611496243188</v>
      </c>
      <c r="AP8" s="12">
        <f>'Income Statement'!AP92</f>
        <v>5227.2250176879852</v>
      </c>
      <c r="AQ8" s="12">
        <f>'Income Statement'!AQ92</f>
        <v>5019.3948219563053</v>
      </c>
    </row>
    <row r="10" spans="2:43">
      <c r="C10" t="s">
        <v>509</v>
      </c>
      <c r="U10" s="100">
        <f>1/(1+$C$4)^U6</f>
        <v>0.95328884652049573</v>
      </c>
      <c r="V10" s="100">
        <f t="shared" ref="V10:AQ10" si="1">1/(1+$C$4)^V6</f>
        <v>0.90875962490037721</v>
      </c>
      <c r="W10" s="100">
        <f t="shared" si="1"/>
        <v>0.86631041458567892</v>
      </c>
      <c r="X10" s="100">
        <f t="shared" si="1"/>
        <v>0.82584405584907428</v>
      </c>
      <c r="Y10" s="100">
        <f t="shared" si="1"/>
        <v>0.78726792740617202</v>
      </c>
      <c r="Z10" s="100">
        <f t="shared" si="1"/>
        <v>0.75049373441961098</v>
      </c>
      <c r="AA10" s="100">
        <f t="shared" si="1"/>
        <v>0.71543730640573022</v>
      </c>
      <c r="AB10" s="100">
        <f t="shared" si="1"/>
        <v>0.68201840458124896</v>
      </c>
      <c r="AC10" s="100">
        <f t="shared" si="1"/>
        <v>0.65016053820900765</v>
      </c>
      <c r="AD10" s="100">
        <f t="shared" si="1"/>
        <v>0.61979078952240962</v>
      </c>
      <c r="AE10" s="100">
        <f t="shared" si="1"/>
        <v>0.59083964682784507</v>
      </c>
      <c r="AF10" s="100">
        <f t="shared" si="1"/>
        <v>0.56324084540309349</v>
      </c>
      <c r="AG10" s="100">
        <f t="shared" si="1"/>
        <v>0.53693121582754388</v>
      </c>
      <c r="AH10" s="100">
        <f t="shared" si="1"/>
        <v>0.51185053939708669</v>
      </c>
      <c r="AI10" s="100">
        <f t="shared" si="1"/>
        <v>0.48794141029274229</v>
      </c>
      <c r="AJ10" s="100">
        <f t="shared" si="1"/>
        <v>0.46514910418755223</v>
      </c>
      <c r="AK10" s="100">
        <f t="shared" si="1"/>
        <v>0.4434214529909935</v>
      </c>
      <c r="AL10" s="100">
        <f t="shared" si="1"/>
        <v>0.42270872544422644</v>
      </c>
      <c r="AM10" s="100">
        <f t="shared" si="1"/>
        <v>0.4029635132928755</v>
      </c>
      <c r="AN10" s="100">
        <f t="shared" si="1"/>
        <v>0.38414062277681177</v>
      </c>
      <c r="AO10" s="100">
        <f t="shared" si="1"/>
        <v>0.36619697118857181</v>
      </c>
      <c r="AP10" s="100">
        <f t="shared" si="1"/>
        <v>0.34909148826365277</v>
      </c>
      <c r="AQ10" s="100">
        <f t="shared" si="1"/>
        <v>0.33278502217698069</v>
      </c>
    </row>
    <row r="11" spans="2:43">
      <c r="C11" t="s">
        <v>500</v>
      </c>
      <c r="U11" s="12">
        <f>U8*U10</f>
        <v>14539.856764035047</v>
      </c>
      <c r="V11" s="12">
        <f t="shared" ref="V11:AQ11" si="2">V8*V10</f>
        <v>4010.9417598110131</v>
      </c>
      <c r="W11" s="12">
        <f t="shared" si="2"/>
        <v>3708.3111808239873</v>
      </c>
      <c r="X11" s="12">
        <f t="shared" si="2"/>
        <v>4201.1007307560621</v>
      </c>
      <c r="Y11" s="12">
        <f t="shared" si="2"/>
        <v>4241.177382107684</v>
      </c>
      <c r="Z11" s="12">
        <f t="shared" si="2"/>
        <v>3580.0554845385964</v>
      </c>
      <c r="AA11" s="12">
        <f t="shared" si="2"/>
        <v>3313.4350572772964</v>
      </c>
      <c r="AB11" s="12">
        <f t="shared" si="2"/>
        <v>3776.8620205259822</v>
      </c>
      <c r="AC11" s="12">
        <f t="shared" si="2"/>
        <v>3880.0572599037682</v>
      </c>
      <c r="AD11" s="12">
        <f t="shared" si="2"/>
        <v>3283.502835980144</v>
      </c>
      <c r="AE11" s="12">
        <f t="shared" si="2"/>
        <v>2961.6424755932771</v>
      </c>
      <c r="AF11" s="12">
        <f t="shared" si="2"/>
        <v>3407.4994860490292</v>
      </c>
      <c r="AG11" s="12">
        <f t="shared" si="2"/>
        <v>3520.0945953996379</v>
      </c>
      <c r="AH11" s="12">
        <f t="shared" si="2"/>
        <v>2964.5019363822717</v>
      </c>
      <c r="AI11" s="12">
        <f t="shared" si="2"/>
        <v>-164.11330220279419</v>
      </c>
      <c r="AJ11" s="12">
        <f t="shared" si="2"/>
        <v>2316.1269792600674</v>
      </c>
      <c r="AK11" s="12">
        <f t="shared" si="2"/>
        <v>2348.52755543188</v>
      </c>
      <c r="AL11" s="12">
        <f t="shared" si="2"/>
        <v>2071.7981040535019</v>
      </c>
      <c r="AM11" s="12">
        <f t="shared" si="2"/>
        <v>1852.7923039771156</v>
      </c>
      <c r="AN11" s="12">
        <f t="shared" si="2"/>
        <v>2091.2704639327194</v>
      </c>
      <c r="AO11" s="12">
        <f t="shared" si="2"/>
        <v>2096.646531650264</v>
      </c>
      <c r="AP11" s="12">
        <f t="shared" si="2"/>
        <v>1824.7797609136974</v>
      </c>
      <c r="AQ11" s="12">
        <f t="shared" si="2"/>
        <v>1670.3794171397512</v>
      </c>
    </row>
    <row r="13" spans="2:43" ht="17" thickBot="1"/>
    <row r="14" spans="2:43">
      <c r="C14" s="106" t="s">
        <v>510</v>
      </c>
      <c r="D14" s="38"/>
      <c r="E14" s="38"/>
      <c r="F14" s="38"/>
      <c r="G14" s="38"/>
      <c r="H14" s="38"/>
      <c r="I14" s="38"/>
      <c r="J14" s="38"/>
      <c r="K14" s="38"/>
      <c r="L14" s="38"/>
      <c r="M14" s="38"/>
      <c r="N14" s="38"/>
      <c r="O14" s="38"/>
      <c r="P14" s="38"/>
      <c r="Q14" s="38"/>
      <c r="R14" s="38"/>
      <c r="S14" s="38"/>
      <c r="T14" s="38"/>
      <c r="U14" s="107">
        <f>SUM(U11:AQ11)</f>
        <v>77497.246783339986</v>
      </c>
      <c r="W14" s="101"/>
      <c r="X14" s="102"/>
    </row>
    <row r="15" spans="2:43">
      <c r="C15" s="108" t="s">
        <v>511</v>
      </c>
      <c r="D15" s="19"/>
      <c r="E15" s="19"/>
      <c r="F15" s="19"/>
      <c r="G15" s="19"/>
      <c r="H15" s="19"/>
      <c r="I15" s="19"/>
      <c r="J15" s="19"/>
      <c r="K15" s="19"/>
      <c r="L15" s="19"/>
      <c r="M15" s="19"/>
      <c r="N15" s="19"/>
      <c r="O15" s="19"/>
      <c r="P15" s="19"/>
      <c r="Q15" s="19"/>
      <c r="R15" s="19"/>
      <c r="S15" s="19"/>
      <c r="T15" s="19"/>
      <c r="U15" s="109">
        <f>AQ8*(1+C5)/(C4-C5)</f>
        <v>193672.87567737064</v>
      </c>
      <c r="W15" s="103"/>
      <c r="X15" s="23"/>
      <c r="Y15" s="19"/>
      <c r="Z15" s="19"/>
      <c r="AA15" s="19"/>
    </row>
    <row r="16" spans="2:43">
      <c r="C16" s="108" t="s">
        <v>512</v>
      </c>
      <c r="D16" s="19"/>
      <c r="E16" s="19"/>
      <c r="F16" s="19"/>
      <c r="G16" s="19"/>
      <c r="H16" s="19"/>
      <c r="I16" s="19"/>
      <c r="J16" s="19"/>
      <c r="K16" s="19"/>
      <c r="L16" s="19"/>
      <c r="M16" s="19"/>
      <c r="N16" s="19"/>
      <c r="O16" s="19"/>
      <c r="P16" s="19"/>
      <c r="Q16" s="19"/>
      <c r="R16" s="19"/>
      <c r="S16" s="19"/>
      <c r="T16" s="19"/>
      <c r="U16" s="109">
        <f>U15*AQ10</f>
        <v>64451.432227373414</v>
      </c>
      <c r="W16" s="70"/>
      <c r="X16" s="23"/>
      <c r="Y16" s="19"/>
      <c r="Z16" s="19"/>
      <c r="AA16" s="19"/>
    </row>
    <row r="17" spans="3:27">
      <c r="C17" s="108" t="s">
        <v>175</v>
      </c>
      <c r="D17" s="19"/>
      <c r="E17" s="19"/>
      <c r="F17" s="19"/>
      <c r="G17" s="19"/>
      <c r="H17" s="19"/>
      <c r="I17" s="19"/>
      <c r="J17" s="19"/>
      <c r="K17" s="19"/>
      <c r="L17" s="19"/>
      <c r="M17" s="19"/>
      <c r="N17" s="19"/>
      <c r="O17" s="19"/>
      <c r="P17" s="19"/>
      <c r="Q17" s="19"/>
      <c r="R17" s="19"/>
      <c r="S17" s="19"/>
      <c r="T17" s="19"/>
      <c r="U17" s="109">
        <f>SUM(U16,U14)</f>
        <v>141948.67901071341</v>
      </c>
      <c r="W17" s="70"/>
      <c r="X17" s="23"/>
      <c r="Y17" s="19"/>
      <c r="Z17" s="19"/>
      <c r="AA17" s="19"/>
    </row>
    <row r="18" spans="3:27">
      <c r="C18" s="108" t="s">
        <v>513</v>
      </c>
      <c r="D18" s="19"/>
      <c r="E18" s="19"/>
      <c r="F18" s="19"/>
      <c r="G18" s="19"/>
      <c r="H18" s="19"/>
      <c r="I18" s="19"/>
      <c r="J18" s="19"/>
      <c r="K18" s="19"/>
      <c r="L18" s="19"/>
      <c r="M18" s="19"/>
      <c r="N18" s="19"/>
      <c r="O18" s="19"/>
      <c r="P18" s="19"/>
      <c r="Q18" s="19"/>
      <c r="R18" s="19"/>
      <c r="S18" s="19"/>
      <c r="T18" s="19"/>
      <c r="U18" s="115">
        <f>-('Balance Sheet'!$S$30+'Balance Sheet'!$S$32-'Balance Sheet'!$S$9-'Balance Sheet'!$S$10-'Balance Sheet'!$S$15-'Balance Sheet'!$S$13)</f>
        <v>-24430</v>
      </c>
      <c r="W18" s="103"/>
      <c r="X18" s="23"/>
      <c r="Z18" s="9"/>
      <c r="AA18" s="9"/>
    </row>
    <row r="19" spans="3:27">
      <c r="C19" s="108" t="s">
        <v>88</v>
      </c>
      <c r="D19" s="19"/>
      <c r="E19" s="19"/>
      <c r="F19" s="19"/>
      <c r="G19" s="19"/>
      <c r="H19" s="19"/>
      <c r="I19" s="19"/>
      <c r="J19" s="19"/>
      <c r="K19" s="19"/>
      <c r="L19" s="19"/>
      <c r="M19" s="19"/>
      <c r="N19" s="19"/>
      <c r="O19" s="19"/>
      <c r="P19" s="19"/>
      <c r="Q19" s="19"/>
      <c r="R19" s="19"/>
      <c r="S19" s="19"/>
      <c r="T19" s="19"/>
      <c r="U19" s="109">
        <f>'Balance Sheet'!S9</f>
        <v>8556</v>
      </c>
      <c r="W19" s="70"/>
      <c r="X19" s="23"/>
    </row>
    <row r="20" spans="3:27">
      <c r="C20" s="108" t="s">
        <v>503</v>
      </c>
      <c r="D20" s="19"/>
      <c r="E20" s="19"/>
      <c r="F20" s="19"/>
      <c r="G20" s="19"/>
      <c r="H20" s="19"/>
      <c r="I20" s="19"/>
      <c r="J20" s="19"/>
      <c r="K20" s="19"/>
      <c r="L20" s="19"/>
      <c r="M20" s="19"/>
      <c r="N20" s="19"/>
      <c r="O20" s="19"/>
      <c r="P20" s="19"/>
      <c r="Q20" s="19"/>
      <c r="R20" s="19"/>
      <c r="S20" s="19"/>
      <c r="T20" s="19"/>
      <c r="U20" s="109">
        <f>SUM(U17:U19)</f>
        <v>126074.67901071341</v>
      </c>
      <c r="W20" s="70"/>
      <c r="X20" s="23"/>
    </row>
    <row r="21" spans="3:27">
      <c r="C21" s="108"/>
      <c r="D21" s="19"/>
      <c r="E21" s="19"/>
      <c r="F21" s="19"/>
      <c r="G21" s="19"/>
      <c r="H21" s="19"/>
      <c r="I21" s="19"/>
      <c r="J21" s="19"/>
      <c r="K21" s="19"/>
      <c r="L21" s="19"/>
      <c r="M21" s="19"/>
      <c r="N21" s="19"/>
      <c r="O21" s="19"/>
      <c r="P21" s="19"/>
      <c r="Q21" s="19"/>
      <c r="R21" s="19"/>
      <c r="S21" s="19"/>
      <c r="T21" s="19"/>
      <c r="U21" s="110"/>
      <c r="W21" s="70"/>
      <c r="X21" s="70"/>
      <c r="AA21" s="9"/>
    </row>
    <row r="22" spans="3:27">
      <c r="C22" s="108" t="s">
        <v>514</v>
      </c>
      <c r="D22" s="19"/>
      <c r="E22" s="19"/>
      <c r="F22" s="19"/>
      <c r="G22" s="19"/>
      <c r="H22" s="19"/>
      <c r="I22" s="19"/>
      <c r="J22" s="19"/>
      <c r="K22" s="19"/>
      <c r="L22" s="19"/>
      <c r="M22" s="19"/>
      <c r="N22" s="19"/>
      <c r="O22" s="19"/>
      <c r="P22" s="19"/>
      <c r="Q22" s="19"/>
      <c r="R22" s="19"/>
      <c r="S22" s="19"/>
      <c r="T22" s="19"/>
      <c r="U22" s="111">
        <f>'Income Statement'!S86</f>
        <v>2535.294117647059</v>
      </c>
      <c r="W22" s="70"/>
      <c r="X22" s="104"/>
      <c r="AA22" s="98"/>
    </row>
    <row r="23" spans="3:27" ht="17" thickBot="1">
      <c r="C23" s="112" t="s">
        <v>216</v>
      </c>
      <c r="D23" s="27"/>
      <c r="E23" s="27"/>
      <c r="F23" s="27"/>
      <c r="G23" s="27"/>
      <c r="H23" s="27"/>
      <c r="I23" s="27"/>
      <c r="J23" s="27"/>
      <c r="K23" s="27"/>
      <c r="L23" s="27"/>
      <c r="M23" s="27"/>
      <c r="N23" s="27"/>
      <c r="O23" s="27"/>
      <c r="P23" s="27"/>
      <c r="Q23" s="27"/>
      <c r="R23" s="27"/>
      <c r="S23" s="27"/>
      <c r="T23" s="27"/>
      <c r="U23" s="113">
        <f>U20/U22</f>
        <v>49.727831628355638</v>
      </c>
      <c r="W23" s="70"/>
      <c r="X23" s="105"/>
    </row>
    <row r="24" spans="3:27">
      <c r="X24" s="54"/>
    </row>
    <row r="25" spans="3:27">
      <c r="X25"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2D30-36B2-4140-A2AB-C52BAA8E00E0}">
  <dimension ref="A1:AT10"/>
  <sheetViews>
    <sheetView topLeftCell="B3" zoomScale="57" zoomScaleNormal="57" workbookViewId="0">
      <selection activeCell="H21" sqref="H21"/>
    </sheetView>
  </sheetViews>
  <sheetFormatPr baseColWidth="10" defaultRowHeight="16"/>
  <cols>
    <col min="1" max="1" width="2.1640625" customWidth="1"/>
    <col min="2" max="2" width="34.6640625" bestFit="1" customWidth="1"/>
  </cols>
  <sheetData>
    <row r="1" spans="1:46">
      <c r="B1" t="s">
        <v>0</v>
      </c>
    </row>
    <row r="2" spans="1:46">
      <c r="B2" t="e" vm="1">
        <v>#VALUE!</v>
      </c>
    </row>
    <row r="7" spans="1:46">
      <c r="C7" t="s">
        <v>37</v>
      </c>
      <c r="D7" t="s">
        <v>36</v>
      </c>
      <c r="E7" t="s">
        <v>35</v>
      </c>
      <c r="F7" t="s">
        <v>34</v>
      </c>
      <c r="G7" t="s">
        <v>33</v>
      </c>
      <c r="H7" t="s">
        <v>32</v>
      </c>
      <c r="I7" t="s">
        <v>31</v>
      </c>
      <c r="J7" t="s">
        <v>30</v>
      </c>
      <c r="K7" t="s">
        <v>14</v>
      </c>
      <c r="L7" s="6" t="s">
        <v>13</v>
      </c>
      <c r="M7" s="8" t="s">
        <v>12</v>
      </c>
      <c r="N7" s="8" t="s">
        <v>11</v>
      </c>
      <c r="O7" t="s">
        <v>10</v>
      </c>
      <c r="P7" t="s">
        <v>9</v>
      </c>
      <c r="Q7" t="s">
        <v>8</v>
      </c>
      <c r="R7" t="s">
        <v>7</v>
      </c>
      <c r="S7" t="s">
        <v>6</v>
      </c>
      <c r="U7" t="s">
        <v>190</v>
      </c>
      <c r="V7" t="s">
        <v>191</v>
      </c>
      <c r="W7" t="s">
        <v>192</v>
      </c>
      <c r="X7" t="s">
        <v>193</v>
      </c>
      <c r="Y7" t="s">
        <v>194</v>
      </c>
      <c r="Z7" t="s">
        <v>196</v>
      </c>
      <c r="AA7" t="s">
        <v>197</v>
      </c>
      <c r="AB7" t="s">
        <v>198</v>
      </c>
      <c r="AC7" t="s">
        <v>199</v>
      </c>
      <c r="AD7" t="s">
        <v>200</v>
      </c>
      <c r="AE7" t="s">
        <v>195</v>
      </c>
      <c r="AF7" t="s">
        <v>201</v>
      </c>
      <c r="AG7" t="s">
        <v>203</v>
      </c>
      <c r="AH7" t="s">
        <v>202</v>
      </c>
      <c r="AI7" t="s">
        <v>204</v>
      </c>
      <c r="AJ7" t="s">
        <v>205</v>
      </c>
      <c r="AK7" t="s">
        <v>206</v>
      </c>
      <c r="AL7" t="s">
        <v>207</v>
      </c>
      <c r="AM7" t="s">
        <v>208</v>
      </c>
      <c r="AN7" t="s">
        <v>209</v>
      </c>
      <c r="AO7" t="s">
        <v>210</v>
      </c>
      <c r="AP7" t="s">
        <v>211</v>
      </c>
      <c r="AQ7" t="s">
        <v>212</v>
      </c>
    </row>
    <row r="8" spans="1:46" s="19" customFormat="1">
      <c r="B8" s="116" t="s">
        <v>517</v>
      </c>
      <c r="C8" s="20">
        <v>10037</v>
      </c>
      <c r="D8" s="20">
        <v>10465</v>
      </c>
      <c r="E8" s="20">
        <v>10794</v>
      </c>
      <c r="F8" s="20">
        <v>10998</v>
      </c>
      <c r="G8" s="20">
        <v>10816</v>
      </c>
      <c r="H8" s="20">
        <v>11760</v>
      </c>
      <c r="I8" s="20">
        <v>12397</v>
      </c>
      <c r="J8" s="20">
        <v>11868</v>
      </c>
      <c r="K8" s="20">
        <v>12057</v>
      </c>
      <c r="L8" s="20">
        <v>10872</v>
      </c>
      <c r="M8" s="20">
        <v>12551</v>
      </c>
      <c r="N8" s="20">
        <v>12514</v>
      </c>
      <c r="O8" s="20">
        <v>12080</v>
      </c>
      <c r="P8" s="20">
        <v>11402</v>
      </c>
      <c r="Q8" s="20">
        <v>13154</v>
      </c>
      <c r="R8" s="20">
        <v>13521</v>
      </c>
      <c r="S8" s="20">
        <v>15901</v>
      </c>
      <c r="T8" s="20"/>
      <c r="U8" s="20">
        <v>16258.772499999999</v>
      </c>
      <c r="V8" s="20">
        <v>16624.594881249999</v>
      </c>
      <c r="W8" s="20">
        <v>16998.648266078122</v>
      </c>
      <c r="X8" s="20">
        <v>17381.117852064879</v>
      </c>
      <c r="Y8" s="20">
        <v>17772.193003736338</v>
      </c>
      <c r="Z8" s="20">
        <v>18172.067346320404</v>
      </c>
      <c r="AA8" s="20">
        <v>18580.938861612613</v>
      </c>
      <c r="AB8" s="20">
        <v>18999.009985998895</v>
      </c>
      <c r="AC8" s="20">
        <v>19426.487710683868</v>
      </c>
      <c r="AD8" s="20">
        <v>19863.583684174257</v>
      </c>
      <c r="AE8" s="20">
        <v>20310.514317068177</v>
      </c>
      <c r="AF8" s="20">
        <v>20767.500889202209</v>
      </c>
      <c r="AG8" s="20">
        <v>21234.769659209258</v>
      </c>
      <c r="AH8" s="20">
        <v>21712.551976541465</v>
      </c>
      <c r="AI8" s="117">
        <v>16625</v>
      </c>
      <c r="AJ8" s="20">
        <v>16999.0625</v>
      </c>
      <c r="AK8" s="20">
        <v>17381.541406249999</v>
      </c>
      <c r="AL8" s="20">
        <v>17772.626087890621</v>
      </c>
      <c r="AM8" s="20">
        <v>18172.510174868159</v>
      </c>
      <c r="AN8" s="20">
        <v>18581.391653802693</v>
      </c>
      <c r="AO8" s="20">
        <v>18999.472966013254</v>
      </c>
      <c r="AP8" s="20">
        <v>19426.961107748553</v>
      </c>
      <c r="AQ8" s="20">
        <v>19864.067732672895</v>
      </c>
      <c r="AS8" s="118"/>
      <c r="AT8" s="119"/>
    </row>
    <row r="9" spans="1:46" s="12" customFormat="1">
      <c r="A9"/>
      <c r="B9" t="s">
        <v>67</v>
      </c>
      <c r="C9" s="12">
        <v>2191</v>
      </c>
      <c r="D9" s="12">
        <v>4401</v>
      </c>
      <c r="E9" s="12">
        <v>5917</v>
      </c>
      <c r="F9" s="12">
        <v>7233</v>
      </c>
      <c r="G9" s="12">
        <v>4153</v>
      </c>
      <c r="H9" s="12">
        <v>5270</v>
      </c>
      <c r="I9" s="12">
        <v>5098</v>
      </c>
      <c r="J9" s="12">
        <v>6221</v>
      </c>
      <c r="K9" s="12">
        <v>4730</v>
      </c>
      <c r="L9" s="12">
        <v>4998</v>
      </c>
      <c r="M9" s="12">
        <v>5837</v>
      </c>
      <c r="N9" s="12">
        <v>1374</v>
      </c>
      <c r="O9" s="12">
        <v>3944</v>
      </c>
      <c r="P9" s="12">
        <v>3234</v>
      </c>
      <c r="Q9" s="12">
        <v>7195</v>
      </c>
      <c r="R9" s="12">
        <v>6790</v>
      </c>
      <c r="S9" s="12">
        <v>6689</v>
      </c>
      <c r="U9" s="12">
        <v>7053.4202234019904</v>
      </c>
      <c r="V9" s="12">
        <v>7986.7371279129457</v>
      </c>
      <c r="W9" s="12">
        <v>9276.1532797424916</v>
      </c>
      <c r="X9" s="12">
        <v>6059.5066271349433</v>
      </c>
      <c r="Y9" s="12">
        <v>7709.9759866101376</v>
      </c>
      <c r="Z9" s="12">
        <v>8730.1691260749067</v>
      </c>
      <c r="AA9" s="12">
        <v>10139.60841261697</v>
      </c>
      <c r="AB9" s="12">
        <v>6623.5456142129806</v>
      </c>
      <c r="AC9" s="12">
        <v>8427.6461392277834</v>
      </c>
      <c r="AD9" s="12">
        <v>9542.8022419197659</v>
      </c>
      <c r="AE9" s="12">
        <v>11083.436814884852</v>
      </c>
      <c r="AF9" s="12">
        <v>7240.0872221346635</v>
      </c>
      <c r="AG9" s="12">
        <v>9212.1194114469326</v>
      </c>
      <c r="AH9" s="12">
        <v>10431.07794514536</v>
      </c>
      <c r="AI9" s="12">
        <v>9072.2536205109209</v>
      </c>
      <c r="AJ9" s="12">
        <v>5926.3122631433034</v>
      </c>
      <c r="AK9" s="12">
        <v>7540.5025606172185</v>
      </c>
      <c r="AL9" s="12">
        <v>8538.2707759551377</v>
      </c>
      <c r="AM9" s="12">
        <v>9916.729096404164</v>
      </c>
      <c r="AN9" s="12">
        <v>6477.9530767769993</v>
      </c>
      <c r="AO9" s="12">
        <v>8242.3975642968944</v>
      </c>
      <c r="AP9" s="12">
        <v>9333.0413565007057</v>
      </c>
      <c r="AQ9" s="12">
        <v>10839.811152229526</v>
      </c>
    </row>
    <row r="10" spans="1:46">
      <c r="B10" t="s">
        <v>518</v>
      </c>
      <c r="C10" s="114">
        <f>C9/C8</f>
        <v>0.21829231842183919</v>
      </c>
      <c r="D10" s="114">
        <f t="shared" ref="D10:U10" si="0">D9/D8</f>
        <v>0.42054467271858575</v>
      </c>
      <c r="E10" s="114">
        <f t="shared" si="0"/>
        <v>0.54817491198814161</v>
      </c>
      <c r="F10" s="114">
        <f t="shared" si="0"/>
        <v>0.65766503000545551</v>
      </c>
      <c r="G10" s="114">
        <f t="shared" si="0"/>
        <v>0.38396819526627218</v>
      </c>
      <c r="H10" s="114">
        <f t="shared" si="0"/>
        <v>0.4481292517006803</v>
      </c>
      <c r="I10" s="114">
        <f t="shared" si="0"/>
        <v>0.41122852302976526</v>
      </c>
      <c r="J10" s="114">
        <f t="shared" si="0"/>
        <v>0.52418267610380853</v>
      </c>
      <c r="K10" s="114">
        <f t="shared" si="0"/>
        <v>0.39230322634154435</v>
      </c>
      <c r="L10" s="114">
        <f t="shared" si="0"/>
        <v>0.45971302428256072</v>
      </c>
      <c r="M10" s="114">
        <f t="shared" si="0"/>
        <v>0.46506254481714604</v>
      </c>
      <c r="N10" s="114">
        <f t="shared" si="0"/>
        <v>0.10979702732939108</v>
      </c>
      <c r="O10" s="114">
        <f t="shared" si="0"/>
        <v>0.32649006622516558</v>
      </c>
      <c r="P10" s="114">
        <f t="shared" si="0"/>
        <v>0.28363445009647431</v>
      </c>
      <c r="Q10" s="114">
        <f t="shared" si="0"/>
        <v>0.54698190664436674</v>
      </c>
      <c r="R10" s="114">
        <f t="shared" si="0"/>
        <v>0.50218179128762663</v>
      </c>
      <c r="S10" s="114">
        <f t="shared" si="0"/>
        <v>0.42066536695805296</v>
      </c>
      <c r="U10" s="114">
        <f t="shared" si="0"/>
        <v>0.43382243176119173</v>
      </c>
      <c r="V10" s="114">
        <f t="shared" ref="V10:AQ10" si="1">V9/V8</f>
        <v>0.48041694759857057</v>
      </c>
      <c r="W10" s="114">
        <f t="shared" si="1"/>
        <v>0.54569946589539375</v>
      </c>
      <c r="X10" s="114">
        <f t="shared" si="1"/>
        <v>0.34862582940343351</v>
      </c>
      <c r="Y10" s="114">
        <f t="shared" si="1"/>
        <v>0.43382243176119178</v>
      </c>
      <c r="Z10" s="114">
        <f t="shared" si="1"/>
        <v>0.48041694759857068</v>
      </c>
      <c r="AA10" s="114">
        <f t="shared" si="1"/>
        <v>0.54569946589539386</v>
      </c>
      <c r="AB10" s="114">
        <f t="shared" si="1"/>
        <v>0.34862582940343351</v>
      </c>
      <c r="AC10" s="114">
        <f t="shared" si="1"/>
        <v>0.43382243176119178</v>
      </c>
      <c r="AD10" s="114">
        <f t="shared" si="1"/>
        <v>0.48041694759857062</v>
      </c>
      <c r="AE10" s="114">
        <f t="shared" si="1"/>
        <v>0.54569946589539375</v>
      </c>
      <c r="AF10" s="114">
        <f t="shared" si="1"/>
        <v>0.34862582940343356</v>
      </c>
      <c r="AG10" s="114">
        <f t="shared" si="1"/>
        <v>0.43382243176119173</v>
      </c>
      <c r="AH10" s="114">
        <f t="shared" si="1"/>
        <v>0.48041694759857057</v>
      </c>
      <c r="AI10" s="114">
        <f t="shared" si="1"/>
        <v>0.54569946589539375</v>
      </c>
      <c r="AJ10" s="114">
        <f t="shared" si="1"/>
        <v>0.34862582940343345</v>
      </c>
      <c r="AK10" s="114">
        <f t="shared" si="1"/>
        <v>0.43382243176119173</v>
      </c>
      <c r="AL10" s="114">
        <f t="shared" si="1"/>
        <v>0.48041694759857062</v>
      </c>
      <c r="AM10" s="114">
        <f t="shared" si="1"/>
        <v>0.54569946589539386</v>
      </c>
      <c r="AN10" s="114">
        <f t="shared" si="1"/>
        <v>0.3486258294034334</v>
      </c>
      <c r="AO10" s="114">
        <f t="shared" si="1"/>
        <v>0.43382243176119184</v>
      </c>
      <c r="AP10" s="114">
        <f t="shared" si="1"/>
        <v>0.48041694759857057</v>
      </c>
      <c r="AQ10" s="114">
        <f t="shared" si="1"/>
        <v>0.54569946589539386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78B8A-A172-984A-9FB6-56B353F9DAEA}">
  <dimension ref="B1:L69"/>
  <sheetViews>
    <sheetView topLeftCell="F23" zoomScale="110" workbookViewId="0">
      <selection activeCell="K67" sqref="K67"/>
    </sheetView>
  </sheetViews>
  <sheetFormatPr baseColWidth="10" defaultRowHeight="16"/>
  <cols>
    <col min="1" max="1" width="1.6640625" style="71" customWidth="1"/>
    <col min="2" max="2" width="34.6640625" style="71" bestFit="1" customWidth="1"/>
    <col min="3" max="3" width="15.33203125" style="71" bestFit="1" customWidth="1"/>
    <col min="4" max="4" width="15.6640625" style="71" customWidth="1"/>
    <col min="5" max="5" width="15" style="71" customWidth="1"/>
    <col min="6" max="6" width="29.33203125" style="71" bestFit="1" customWidth="1"/>
    <col min="7" max="7" width="38.1640625" style="71" bestFit="1" customWidth="1"/>
    <col min="8" max="8" width="53" style="71" bestFit="1" customWidth="1"/>
    <col min="9" max="9" width="46.83203125" style="71" customWidth="1"/>
    <col min="10" max="10" width="10.83203125" style="71"/>
    <col min="11" max="11" width="14.6640625" style="71" bestFit="1" customWidth="1"/>
    <col min="12" max="12" width="15.33203125" style="71" customWidth="1"/>
    <col min="13" max="16384" width="10.83203125" style="71"/>
  </cols>
  <sheetData>
    <row r="1" spans="2:12">
      <c r="B1" s="71" t="s">
        <v>0</v>
      </c>
    </row>
    <row r="2" spans="2:12">
      <c r="B2" s="71" t="e" vm="1">
        <v>#VALUE!</v>
      </c>
    </row>
    <row r="6" spans="2:12">
      <c r="C6" s="71" t="s">
        <v>235</v>
      </c>
      <c r="D6" s="71" t="s">
        <v>225</v>
      </c>
      <c r="E6" s="71" t="s">
        <v>230</v>
      </c>
      <c r="F6" s="71" t="s">
        <v>226</v>
      </c>
      <c r="G6" s="71" t="s">
        <v>231</v>
      </c>
      <c r="H6" s="71" t="s">
        <v>256</v>
      </c>
      <c r="I6" s="71" t="s">
        <v>227</v>
      </c>
      <c r="J6" s="71" t="s">
        <v>228</v>
      </c>
      <c r="K6" s="71" t="s">
        <v>229</v>
      </c>
      <c r="L6" s="71" t="s">
        <v>293</v>
      </c>
    </row>
    <row r="7" spans="2:12">
      <c r="B7" s="72" t="s">
        <v>41</v>
      </c>
      <c r="C7" s="72"/>
      <c r="D7" s="73"/>
      <c r="E7" s="74"/>
      <c r="F7" s="73"/>
      <c r="G7" s="73"/>
      <c r="H7" s="73"/>
      <c r="I7" s="73"/>
      <c r="J7" s="73"/>
      <c r="K7" s="73"/>
    </row>
    <row r="8" spans="2:12">
      <c r="B8" s="71" t="s">
        <v>16</v>
      </c>
      <c r="C8" s="71" t="s">
        <v>236</v>
      </c>
      <c r="D8" s="75">
        <v>1</v>
      </c>
      <c r="E8" s="76" t="s">
        <v>241</v>
      </c>
      <c r="F8" s="73" t="s">
        <v>233</v>
      </c>
      <c r="G8" s="73" t="s">
        <v>234</v>
      </c>
      <c r="H8" s="73" t="s">
        <v>260</v>
      </c>
      <c r="I8" s="73" t="s">
        <v>232</v>
      </c>
      <c r="J8" s="73" t="s">
        <v>237</v>
      </c>
      <c r="K8" s="73">
        <v>2028</v>
      </c>
    </row>
    <row r="9" spans="2:12">
      <c r="B9" s="71" t="s">
        <v>22</v>
      </c>
      <c r="C9" s="71" t="s">
        <v>239</v>
      </c>
      <c r="D9" s="73" t="s">
        <v>243</v>
      </c>
      <c r="E9" s="77" t="s">
        <v>240</v>
      </c>
      <c r="F9" s="73" t="s">
        <v>242</v>
      </c>
      <c r="G9" s="73" t="s">
        <v>238</v>
      </c>
      <c r="H9" s="73" t="s">
        <v>261</v>
      </c>
      <c r="I9" s="73" t="s">
        <v>244</v>
      </c>
      <c r="J9" s="73" t="s">
        <v>245</v>
      </c>
      <c r="K9" s="73">
        <v>2024</v>
      </c>
    </row>
    <row r="10" spans="2:12">
      <c r="B10" s="71" t="s">
        <v>23</v>
      </c>
      <c r="C10" s="71" t="s">
        <v>246</v>
      </c>
      <c r="D10" s="73" t="s">
        <v>248</v>
      </c>
      <c r="E10" s="73" t="s">
        <v>247</v>
      </c>
      <c r="F10" s="73" t="s">
        <v>250</v>
      </c>
      <c r="G10" s="73" t="s">
        <v>249</v>
      </c>
      <c r="H10" s="73" t="s">
        <v>259</v>
      </c>
      <c r="I10" s="73" t="s">
        <v>251</v>
      </c>
      <c r="J10" s="73" t="s">
        <v>245</v>
      </c>
      <c r="K10" s="73">
        <v>2035</v>
      </c>
    </row>
    <row r="11" spans="2:12">
      <c r="B11" s="71" t="s">
        <v>63</v>
      </c>
      <c r="C11" s="71" t="s">
        <v>253</v>
      </c>
      <c r="D11" s="75" t="s">
        <v>254</v>
      </c>
      <c r="E11" s="73" t="s">
        <v>252</v>
      </c>
      <c r="F11" s="73" t="s">
        <v>255</v>
      </c>
      <c r="G11" s="73" t="s">
        <v>257</v>
      </c>
      <c r="H11" s="73" t="s">
        <v>258</v>
      </c>
      <c r="I11" s="73" t="s">
        <v>262</v>
      </c>
      <c r="J11" s="73" t="s">
        <v>237</v>
      </c>
      <c r="K11" s="73">
        <v>2026</v>
      </c>
    </row>
    <row r="12" spans="2:12">
      <c r="B12" s="78" t="s">
        <v>83</v>
      </c>
      <c r="C12" s="78" t="s">
        <v>263</v>
      </c>
      <c r="D12" s="79">
        <v>1</v>
      </c>
      <c r="E12" s="78" t="s">
        <v>265</v>
      </c>
      <c r="F12" s="78" t="s">
        <v>266</v>
      </c>
      <c r="G12" s="78" t="s">
        <v>264</v>
      </c>
      <c r="H12" s="78" t="s">
        <v>267</v>
      </c>
      <c r="I12" s="78" t="s">
        <v>268</v>
      </c>
      <c r="J12" s="78" t="s">
        <v>245</v>
      </c>
      <c r="K12" s="78">
        <v>2019</v>
      </c>
    </row>
    <row r="13" spans="2:12">
      <c r="B13" s="71" t="s">
        <v>82</v>
      </c>
      <c r="C13" s="71" t="s">
        <v>271</v>
      </c>
      <c r="D13" s="73" t="s">
        <v>272</v>
      </c>
      <c r="E13" s="73" t="s">
        <v>276</v>
      </c>
      <c r="F13" s="73" t="s">
        <v>270</v>
      </c>
      <c r="G13" s="73" t="s">
        <v>269</v>
      </c>
      <c r="H13" s="73" t="s">
        <v>275</v>
      </c>
      <c r="I13" s="73" t="s">
        <v>274</v>
      </c>
      <c r="J13" s="73" t="s">
        <v>245</v>
      </c>
      <c r="K13" s="73" t="s">
        <v>273</v>
      </c>
    </row>
    <row r="14" spans="2:12">
      <c r="D14" s="73"/>
      <c r="E14" s="73"/>
      <c r="F14" s="73"/>
      <c r="G14" s="73"/>
      <c r="H14" s="73"/>
      <c r="I14" s="73"/>
      <c r="J14" s="73"/>
      <c r="K14" s="73"/>
    </row>
    <row r="15" spans="2:12">
      <c r="B15" s="72" t="s">
        <v>42</v>
      </c>
      <c r="C15" s="80"/>
      <c r="D15" s="75"/>
      <c r="E15" s="73"/>
      <c r="F15" s="73"/>
      <c r="G15" s="73"/>
      <c r="H15" s="73"/>
      <c r="I15" s="73"/>
      <c r="J15" s="73"/>
      <c r="K15" s="73"/>
    </row>
    <row r="16" spans="2:12">
      <c r="B16" s="71" t="s">
        <v>18</v>
      </c>
      <c r="C16" s="80">
        <v>125508</v>
      </c>
      <c r="D16" s="75">
        <v>1</v>
      </c>
      <c r="E16" s="73">
        <v>2014</v>
      </c>
      <c r="F16" s="73" t="s">
        <v>279</v>
      </c>
      <c r="G16" s="73" t="s">
        <v>278</v>
      </c>
      <c r="H16" s="73" t="s">
        <v>277</v>
      </c>
      <c r="I16" s="73" t="s">
        <v>280</v>
      </c>
      <c r="J16" s="73" t="s">
        <v>237</v>
      </c>
      <c r="K16" s="73">
        <v>2028</v>
      </c>
    </row>
    <row r="17" spans="2:12">
      <c r="B17" s="71" t="s">
        <v>19</v>
      </c>
      <c r="C17" s="71">
        <v>125108</v>
      </c>
      <c r="D17" s="75">
        <v>1</v>
      </c>
      <c r="E17" s="73">
        <v>2005</v>
      </c>
      <c r="F17" s="73" t="s">
        <v>279</v>
      </c>
      <c r="G17" s="73" t="s">
        <v>281</v>
      </c>
      <c r="H17" s="73" t="s">
        <v>281</v>
      </c>
      <c r="I17" s="73" t="s">
        <v>282</v>
      </c>
      <c r="J17" s="73" t="s">
        <v>237</v>
      </c>
      <c r="K17" s="73"/>
    </row>
    <row r="18" spans="2:12">
      <c r="B18" s="71" t="s">
        <v>39</v>
      </c>
      <c r="C18" s="71">
        <v>101094</v>
      </c>
      <c r="D18" s="75">
        <v>1</v>
      </c>
      <c r="E18" s="73"/>
      <c r="F18" s="73" t="s">
        <v>283</v>
      </c>
      <c r="G18" s="73" t="s">
        <v>288</v>
      </c>
      <c r="H18" s="73" t="s">
        <v>284</v>
      </c>
      <c r="I18" s="73" t="s">
        <v>285</v>
      </c>
      <c r="J18" s="73" t="s">
        <v>237</v>
      </c>
      <c r="K18" s="73">
        <v>2026</v>
      </c>
      <c r="L18" s="73" t="s">
        <v>286</v>
      </c>
    </row>
    <row r="19" spans="2:12" ht="34">
      <c r="B19" s="71" t="s">
        <v>24</v>
      </c>
      <c r="C19" s="71">
        <v>125122</v>
      </c>
      <c r="D19" s="75">
        <v>1</v>
      </c>
      <c r="E19" s="73"/>
      <c r="F19" s="73" t="s">
        <v>279</v>
      </c>
      <c r="G19" s="73" t="s">
        <v>296</v>
      </c>
      <c r="H19" s="73" t="s">
        <v>287</v>
      </c>
      <c r="I19" s="81" t="s">
        <v>297</v>
      </c>
      <c r="J19" s="73" t="s">
        <v>237</v>
      </c>
      <c r="K19" s="73"/>
    </row>
    <row r="20" spans="2:12">
      <c r="B20" s="71" t="s">
        <v>45</v>
      </c>
      <c r="C20" s="71">
        <v>103606</v>
      </c>
      <c r="D20" s="75">
        <v>1</v>
      </c>
      <c r="E20" s="73">
        <v>2005</v>
      </c>
      <c r="F20" s="73" t="s">
        <v>279</v>
      </c>
      <c r="G20" s="73" t="s">
        <v>291</v>
      </c>
      <c r="H20" s="73" t="s">
        <v>290</v>
      </c>
      <c r="I20" s="73" t="s">
        <v>292</v>
      </c>
      <c r="J20" s="73" t="s">
        <v>237</v>
      </c>
      <c r="K20" s="73"/>
    </row>
    <row r="21" spans="2:12" s="82" customFormat="1">
      <c r="B21" s="82" t="s">
        <v>86</v>
      </c>
      <c r="C21" s="82">
        <v>125123</v>
      </c>
      <c r="D21" s="83">
        <v>1</v>
      </c>
      <c r="E21" s="82">
        <v>2006</v>
      </c>
      <c r="F21" s="82" t="s">
        <v>279</v>
      </c>
      <c r="G21" s="82" t="s">
        <v>294</v>
      </c>
      <c r="H21" s="82" t="s">
        <v>289</v>
      </c>
      <c r="I21" s="82" t="s">
        <v>295</v>
      </c>
      <c r="J21" s="82" t="s">
        <v>237</v>
      </c>
      <c r="K21" s="82">
        <v>2020</v>
      </c>
    </row>
    <row r="22" spans="2:12">
      <c r="D22" s="73"/>
      <c r="E22" s="73"/>
      <c r="F22" s="73"/>
      <c r="G22" s="73"/>
      <c r="H22" s="73"/>
      <c r="I22" s="73"/>
      <c r="J22" s="73"/>
      <c r="K22" s="73"/>
    </row>
    <row r="23" spans="2:12">
      <c r="B23" s="72" t="s">
        <v>44</v>
      </c>
      <c r="C23" s="72"/>
      <c r="D23" s="73"/>
      <c r="E23" s="73"/>
      <c r="F23" s="73"/>
      <c r="G23" s="73"/>
      <c r="H23" s="73"/>
      <c r="I23" s="73"/>
      <c r="J23" s="73"/>
      <c r="K23" s="73"/>
    </row>
    <row r="24" spans="2:12">
      <c r="B24" s="71" t="s">
        <v>21</v>
      </c>
      <c r="C24" s="71" t="s">
        <v>299</v>
      </c>
      <c r="D24" s="75">
        <v>1</v>
      </c>
      <c r="E24" s="73">
        <v>2015</v>
      </c>
      <c r="F24" s="73" t="s">
        <v>304</v>
      </c>
      <c r="G24" s="73" t="s">
        <v>298</v>
      </c>
      <c r="H24" s="73" t="s">
        <v>302</v>
      </c>
      <c r="I24" s="73" t="s">
        <v>303</v>
      </c>
      <c r="J24" s="73" t="s">
        <v>300</v>
      </c>
      <c r="K24" s="73" t="s">
        <v>301</v>
      </c>
    </row>
    <row r="25" spans="2:12" ht="17">
      <c r="B25" s="71" t="s">
        <v>46</v>
      </c>
      <c r="C25" s="71" t="s">
        <v>306</v>
      </c>
      <c r="D25" s="75">
        <v>1</v>
      </c>
      <c r="E25" s="73">
        <v>2014</v>
      </c>
      <c r="F25" s="73" t="s">
        <v>307</v>
      </c>
      <c r="G25" s="81" t="s">
        <v>308</v>
      </c>
      <c r="H25" s="73" t="s">
        <v>305</v>
      </c>
      <c r="I25" s="73" t="s">
        <v>309</v>
      </c>
      <c r="J25" s="73" t="s">
        <v>310</v>
      </c>
      <c r="K25" s="73" t="s">
        <v>311</v>
      </c>
    </row>
    <row r="26" spans="2:12">
      <c r="B26" s="71" t="s">
        <v>49</v>
      </c>
      <c r="C26" s="71" t="s">
        <v>312</v>
      </c>
      <c r="D26" s="75">
        <v>1</v>
      </c>
      <c r="E26" s="73">
        <v>2001</v>
      </c>
      <c r="F26" s="73" t="s">
        <v>314</v>
      </c>
      <c r="G26" s="73" t="s">
        <v>319</v>
      </c>
      <c r="H26" s="73" t="s">
        <v>313</v>
      </c>
      <c r="I26" s="73" t="s">
        <v>315</v>
      </c>
      <c r="J26" s="73" t="s">
        <v>237</v>
      </c>
      <c r="K26" s="73" t="s">
        <v>316</v>
      </c>
    </row>
    <row r="27" spans="2:12">
      <c r="B27" s="71" t="s">
        <v>43</v>
      </c>
      <c r="C27" s="71" t="s">
        <v>317</v>
      </c>
      <c r="D27" s="75">
        <v>1</v>
      </c>
      <c r="E27" s="73">
        <v>2017</v>
      </c>
      <c r="F27" s="73" t="s">
        <v>320</v>
      </c>
      <c r="G27" s="73" t="s">
        <v>321</v>
      </c>
      <c r="H27" s="73" t="s">
        <v>318</v>
      </c>
      <c r="I27" s="73" t="s">
        <v>322</v>
      </c>
      <c r="J27" s="73" t="s">
        <v>324</v>
      </c>
      <c r="K27" s="73" t="s">
        <v>323</v>
      </c>
    </row>
    <row r="28" spans="2:12">
      <c r="B28" s="71" t="s">
        <v>48</v>
      </c>
      <c r="C28" s="71" t="s">
        <v>327</v>
      </c>
      <c r="D28" s="75">
        <v>1</v>
      </c>
      <c r="E28" s="73">
        <v>2001</v>
      </c>
      <c r="F28" s="73" t="s">
        <v>328</v>
      </c>
      <c r="G28" s="73" t="s">
        <v>326</v>
      </c>
      <c r="H28" s="73" t="s">
        <v>329</v>
      </c>
      <c r="I28" s="73" t="s">
        <v>330</v>
      </c>
      <c r="J28" s="73" t="s">
        <v>325</v>
      </c>
      <c r="K28" s="73" t="s">
        <v>331</v>
      </c>
    </row>
    <row r="29" spans="2:12">
      <c r="B29" s="71" t="s">
        <v>47</v>
      </c>
      <c r="C29" s="71" t="s">
        <v>333</v>
      </c>
      <c r="D29" s="75">
        <v>1</v>
      </c>
      <c r="E29" s="73">
        <v>1985</v>
      </c>
      <c r="F29" s="73" t="s">
        <v>334</v>
      </c>
      <c r="G29" s="73" t="s">
        <v>336</v>
      </c>
      <c r="H29" s="73" t="s">
        <v>337</v>
      </c>
      <c r="I29" s="73" t="s">
        <v>335</v>
      </c>
      <c r="J29" s="73" t="s">
        <v>332</v>
      </c>
      <c r="K29" s="73" t="s">
        <v>338</v>
      </c>
    </row>
    <row r="30" spans="2:12">
      <c r="B30" s="71" t="s">
        <v>80</v>
      </c>
      <c r="C30" s="71" t="s">
        <v>340</v>
      </c>
      <c r="D30" s="75">
        <v>1</v>
      </c>
      <c r="E30" s="73">
        <v>2003</v>
      </c>
      <c r="F30" s="73" t="s">
        <v>342</v>
      </c>
      <c r="G30" s="73" t="s">
        <v>339</v>
      </c>
      <c r="H30" s="73" t="s">
        <v>341</v>
      </c>
      <c r="I30" s="73" t="s">
        <v>343</v>
      </c>
      <c r="J30" s="73" t="s">
        <v>325</v>
      </c>
      <c r="K30" s="84">
        <v>46852</v>
      </c>
      <c r="L30" s="73" t="s">
        <v>344</v>
      </c>
    </row>
    <row r="31" spans="2:12">
      <c r="B31" s="71" t="s">
        <v>50</v>
      </c>
      <c r="C31" s="71" t="s">
        <v>347</v>
      </c>
      <c r="D31" s="75">
        <v>1</v>
      </c>
      <c r="E31" s="73">
        <v>2014</v>
      </c>
      <c r="F31" s="73" t="s">
        <v>346</v>
      </c>
      <c r="G31" s="73" t="s">
        <v>345</v>
      </c>
      <c r="H31" s="73" t="s">
        <v>349</v>
      </c>
      <c r="I31" s="73" t="s">
        <v>350</v>
      </c>
      <c r="J31" s="73" t="s">
        <v>325</v>
      </c>
      <c r="K31" s="73" t="s">
        <v>348</v>
      </c>
    </row>
    <row r="32" spans="2:12">
      <c r="B32" s="80" t="s">
        <v>351</v>
      </c>
      <c r="C32" s="85" t="s">
        <v>352</v>
      </c>
      <c r="D32" s="75">
        <v>1</v>
      </c>
      <c r="E32" s="73">
        <v>2020</v>
      </c>
      <c r="F32" s="73" t="s">
        <v>354</v>
      </c>
      <c r="G32" s="73" t="s">
        <v>353</v>
      </c>
      <c r="H32" s="73" t="s">
        <v>357</v>
      </c>
      <c r="I32" s="73" t="s">
        <v>358</v>
      </c>
      <c r="J32" s="73" t="s">
        <v>356</v>
      </c>
      <c r="K32" s="73" t="s">
        <v>355</v>
      </c>
    </row>
    <row r="33" spans="2:12">
      <c r="B33" s="85"/>
    </row>
    <row r="34" spans="2:12">
      <c r="B34" s="72" t="s">
        <v>51</v>
      </c>
      <c r="C34" s="72"/>
      <c r="D34" s="73"/>
      <c r="E34" s="73"/>
      <c r="F34" s="73"/>
      <c r="G34" s="73"/>
      <c r="H34" s="73"/>
      <c r="I34" s="73"/>
      <c r="J34" s="73"/>
      <c r="K34" s="73"/>
    </row>
    <row r="35" spans="2:12">
      <c r="B35" s="71" t="s">
        <v>25</v>
      </c>
      <c r="C35" s="80" t="s">
        <v>360</v>
      </c>
      <c r="D35" s="75">
        <v>1</v>
      </c>
      <c r="E35" s="73">
        <v>2009</v>
      </c>
      <c r="F35" s="73" t="s">
        <v>359</v>
      </c>
      <c r="G35" s="73" t="s">
        <v>361</v>
      </c>
      <c r="H35" s="73" t="s">
        <v>362</v>
      </c>
      <c r="I35" s="80" t="s">
        <v>363</v>
      </c>
      <c r="J35" s="73" t="s">
        <v>237</v>
      </c>
      <c r="K35" s="73">
        <v>2024</v>
      </c>
    </row>
    <row r="36" spans="2:12">
      <c r="B36" s="80" t="s">
        <v>369</v>
      </c>
      <c r="C36" s="80">
        <v>761054</v>
      </c>
      <c r="D36" s="71" t="s">
        <v>364</v>
      </c>
      <c r="E36" s="73">
        <v>2017</v>
      </c>
      <c r="F36" s="73" t="s">
        <v>365</v>
      </c>
      <c r="G36" s="73" t="s">
        <v>366</v>
      </c>
      <c r="H36" s="73" t="s">
        <v>367</v>
      </c>
      <c r="I36" s="80" t="s">
        <v>368</v>
      </c>
      <c r="J36" s="73" t="s">
        <v>237</v>
      </c>
      <c r="K36" s="73" t="s">
        <v>370</v>
      </c>
    </row>
    <row r="37" spans="2:12">
      <c r="B37" s="80"/>
      <c r="C37" s="80"/>
    </row>
    <row r="38" spans="2:12">
      <c r="B38" s="72" t="s">
        <v>53</v>
      </c>
      <c r="C38" s="72"/>
    </row>
    <row r="39" spans="2:12">
      <c r="B39" s="80" t="s">
        <v>481</v>
      </c>
      <c r="C39" s="80" t="s">
        <v>371</v>
      </c>
      <c r="D39" s="86">
        <v>1</v>
      </c>
      <c r="E39" s="71">
        <v>2014</v>
      </c>
      <c r="F39" s="71" t="s">
        <v>374</v>
      </c>
      <c r="G39" s="71" t="s">
        <v>372</v>
      </c>
      <c r="H39" s="71" t="s">
        <v>375</v>
      </c>
      <c r="I39" s="71" t="s">
        <v>376</v>
      </c>
      <c r="J39" s="71" t="s">
        <v>245</v>
      </c>
      <c r="K39" s="71" t="s">
        <v>373</v>
      </c>
    </row>
    <row r="40" spans="2:12">
      <c r="B40" s="80"/>
      <c r="C40" s="80"/>
    </row>
    <row r="41" spans="2:12">
      <c r="B41" s="72" t="s">
        <v>55</v>
      </c>
      <c r="C41" s="72"/>
    </row>
    <row r="42" spans="2:12">
      <c r="B42" s="71" t="s">
        <v>40</v>
      </c>
      <c r="C42" s="71" t="s">
        <v>377</v>
      </c>
      <c r="D42" s="86">
        <v>1</v>
      </c>
      <c r="E42" s="71">
        <v>2013</v>
      </c>
      <c r="F42" s="71" t="s">
        <v>379</v>
      </c>
      <c r="G42" s="71" t="s">
        <v>378</v>
      </c>
      <c r="H42" s="71" t="s">
        <v>380</v>
      </c>
      <c r="I42" s="73" t="s">
        <v>381</v>
      </c>
      <c r="J42" s="71" t="s">
        <v>245</v>
      </c>
      <c r="K42" s="87">
        <v>44995</v>
      </c>
    </row>
    <row r="43" spans="2:12">
      <c r="B43" s="71" t="s">
        <v>17</v>
      </c>
      <c r="L43" s="71" t="s">
        <v>382</v>
      </c>
    </row>
    <row r="44" spans="2:12">
      <c r="B44" s="71" t="s">
        <v>383</v>
      </c>
      <c r="C44" s="71" t="s">
        <v>384</v>
      </c>
      <c r="D44" s="86">
        <v>1</v>
      </c>
      <c r="E44" s="71">
        <v>2016</v>
      </c>
      <c r="F44" s="71" t="s">
        <v>386</v>
      </c>
      <c r="G44" s="71" t="s">
        <v>385</v>
      </c>
      <c r="H44" s="71" t="s">
        <v>393</v>
      </c>
      <c r="I44" s="71" t="s">
        <v>387</v>
      </c>
      <c r="J44" s="71" t="s">
        <v>245</v>
      </c>
      <c r="K44" s="71" t="s">
        <v>389</v>
      </c>
    </row>
    <row r="45" spans="2:12">
      <c r="B45" s="71" t="s">
        <v>38</v>
      </c>
      <c r="L45" s="71" t="s">
        <v>388</v>
      </c>
    </row>
    <row r="47" spans="2:12">
      <c r="B47" s="72" t="s">
        <v>56</v>
      </c>
      <c r="C47" s="72"/>
    </row>
    <row r="48" spans="2:12">
      <c r="B48" s="71" t="s">
        <v>57</v>
      </c>
      <c r="C48" s="71" t="s">
        <v>390</v>
      </c>
      <c r="D48" s="86">
        <v>1</v>
      </c>
      <c r="E48" s="71">
        <v>2021</v>
      </c>
      <c r="F48" s="71" t="s">
        <v>392</v>
      </c>
      <c r="G48" s="71" t="s">
        <v>391</v>
      </c>
      <c r="H48" s="71" t="s">
        <v>394</v>
      </c>
      <c r="I48" s="71" t="s">
        <v>395</v>
      </c>
      <c r="J48" s="71" t="s">
        <v>245</v>
      </c>
      <c r="K48" s="71" t="s">
        <v>396</v>
      </c>
    </row>
    <row r="49" spans="2:12">
      <c r="B49" s="71" t="s">
        <v>58</v>
      </c>
      <c r="C49" s="71" t="s">
        <v>397</v>
      </c>
      <c r="D49" s="86" t="s">
        <v>398</v>
      </c>
      <c r="E49" s="71">
        <v>2013</v>
      </c>
      <c r="F49" s="71" t="s">
        <v>392</v>
      </c>
      <c r="G49" s="71" t="s">
        <v>399</v>
      </c>
      <c r="H49" s="71" t="s">
        <v>400</v>
      </c>
      <c r="I49" s="71" t="s">
        <v>401</v>
      </c>
      <c r="J49" s="71" t="s">
        <v>245</v>
      </c>
      <c r="K49" s="87">
        <v>46124</v>
      </c>
    </row>
    <row r="50" spans="2:12">
      <c r="B50" s="71" t="s">
        <v>482</v>
      </c>
      <c r="C50" s="71" t="s">
        <v>404</v>
      </c>
      <c r="D50" s="86" t="s">
        <v>472</v>
      </c>
      <c r="E50" s="71">
        <v>2002</v>
      </c>
      <c r="F50" s="71" t="s">
        <v>402</v>
      </c>
      <c r="G50" s="71" t="s">
        <v>406</v>
      </c>
      <c r="H50" s="71" t="s">
        <v>403</v>
      </c>
      <c r="I50" s="71" t="s">
        <v>405</v>
      </c>
      <c r="J50" s="71" t="s">
        <v>245</v>
      </c>
      <c r="K50" s="69" t="s">
        <v>407</v>
      </c>
    </row>
    <row r="51" spans="2:12">
      <c r="B51" s="71" t="s">
        <v>483</v>
      </c>
      <c r="C51" s="71" t="s">
        <v>409</v>
      </c>
      <c r="D51" s="86" t="s">
        <v>472</v>
      </c>
      <c r="E51" s="71">
        <v>2004</v>
      </c>
      <c r="F51" s="71" t="s">
        <v>411</v>
      </c>
      <c r="G51" s="71" t="s">
        <v>412</v>
      </c>
      <c r="H51" s="71" t="s">
        <v>408</v>
      </c>
      <c r="I51" s="71" t="s">
        <v>405</v>
      </c>
      <c r="J51" s="71" t="s">
        <v>245</v>
      </c>
      <c r="K51" s="71" t="s">
        <v>410</v>
      </c>
    </row>
    <row r="52" spans="2:12">
      <c r="B52" s="71" t="s">
        <v>484</v>
      </c>
      <c r="C52" s="71" t="s">
        <v>20</v>
      </c>
      <c r="D52" s="86" t="s">
        <v>472</v>
      </c>
      <c r="E52" s="71">
        <v>2015</v>
      </c>
      <c r="F52" s="71" t="s">
        <v>411</v>
      </c>
      <c r="G52" s="71" t="s">
        <v>413</v>
      </c>
      <c r="H52" s="71" t="s">
        <v>408</v>
      </c>
      <c r="I52" s="71" t="s">
        <v>414</v>
      </c>
      <c r="J52" s="71" t="s">
        <v>245</v>
      </c>
      <c r="K52" s="71" t="s">
        <v>410</v>
      </c>
      <c r="L52" s="71" t="s">
        <v>268</v>
      </c>
    </row>
    <row r="54" spans="2:12">
      <c r="B54" s="72" t="s">
        <v>59</v>
      </c>
    </row>
    <row r="55" spans="2:12">
      <c r="B55" s="71" t="s">
        <v>62</v>
      </c>
      <c r="C55" s="71" t="s">
        <v>416</v>
      </c>
      <c r="D55" s="86">
        <v>1</v>
      </c>
      <c r="E55" s="71">
        <v>2006</v>
      </c>
      <c r="F55" s="71" t="s">
        <v>418</v>
      </c>
      <c r="G55" s="71" t="s">
        <v>415</v>
      </c>
      <c r="H55" s="71" t="s">
        <v>423</v>
      </c>
      <c r="I55" s="71" t="s">
        <v>419</v>
      </c>
      <c r="J55" s="71" t="s">
        <v>245</v>
      </c>
      <c r="K55" s="71" t="s">
        <v>417</v>
      </c>
    </row>
    <row r="56" spans="2:12">
      <c r="B56" s="71" t="s">
        <v>61</v>
      </c>
      <c r="C56" s="71" t="s">
        <v>420</v>
      </c>
      <c r="D56" s="86">
        <v>1</v>
      </c>
      <c r="E56" s="71">
        <v>2007</v>
      </c>
      <c r="F56" s="71" t="s">
        <v>421</v>
      </c>
      <c r="G56" s="71" t="s">
        <v>422</v>
      </c>
      <c r="H56" s="71" t="s">
        <v>424</v>
      </c>
      <c r="I56" s="71" t="s">
        <v>425</v>
      </c>
      <c r="J56" s="71" t="s">
        <v>245</v>
      </c>
      <c r="K56" s="71" t="s">
        <v>417</v>
      </c>
    </row>
    <row r="58" spans="2:12">
      <c r="B58" s="72" t="s">
        <v>71</v>
      </c>
      <c r="C58" s="72"/>
    </row>
    <row r="59" spans="2:12">
      <c r="B59" s="71" t="s">
        <v>480</v>
      </c>
      <c r="C59" s="71" t="s">
        <v>427</v>
      </c>
      <c r="D59" s="86" t="s">
        <v>472</v>
      </c>
      <c r="E59" s="71">
        <v>2001</v>
      </c>
      <c r="F59" s="71" t="s">
        <v>432</v>
      </c>
      <c r="G59" s="71" t="s">
        <v>426</v>
      </c>
      <c r="H59" s="71" t="s">
        <v>429</v>
      </c>
      <c r="I59" s="71" t="s">
        <v>430</v>
      </c>
      <c r="J59" s="71" t="s">
        <v>428</v>
      </c>
      <c r="K59" s="71">
        <v>2018</v>
      </c>
    </row>
    <row r="60" spans="2:12">
      <c r="B60" s="71" t="s">
        <v>479</v>
      </c>
      <c r="C60" s="71" t="s">
        <v>433</v>
      </c>
      <c r="D60" s="86" t="s">
        <v>472</v>
      </c>
      <c r="E60" s="71">
        <v>2006</v>
      </c>
      <c r="F60" s="71" t="s">
        <v>432</v>
      </c>
      <c r="G60" s="71" t="s">
        <v>431</v>
      </c>
      <c r="H60" s="71" t="s">
        <v>429</v>
      </c>
      <c r="I60" s="71" t="s">
        <v>435</v>
      </c>
      <c r="J60" s="71" t="s">
        <v>434</v>
      </c>
      <c r="K60" s="71" t="s">
        <v>436</v>
      </c>
    </row>
    <row r="62" spans="2:12">
      <c r="B62" s="72" t="s">
        <v>455</v>
      </c>
      <c r="C62" s="72"/>
      <c r="D62" s="86"/>
      <c r="L62" s="72"/>
    </row>
    <row r="63" spans="2:12">
      <c r="B63" s="71" t="s">
        <v>75</v>
      </c>
      <c r="C63" s="71" t="s">
        <v>437</v>
      </c>
      <c r="D63" s="86" t="s">
        <v>472</v>
      </c>
      <c r="E63" s="71">
        <v>2002</v>
      </c>
      <c r="F63" s="71" t="s">
        <v>439</v>
      </c>
      <c r="G63" s="71" t="s">
        <v>438</v>
      </c>
      <c r="H63" s="71" t="s">
        <v>440</v>
      </c>
      <c r="I63" s="71" t="s">
        <v>442</v>
      </c>
      <c r="J63" s="71" t="s">
        <v>245</v>
      </c>
      <c r="K63" s="71" t="s">
        <v>441</v>
      </c>
      <c r="L63" s="88" t="s">
        <v>454</v>
      </c>
    </row>
    <row r="64" spans="2:12">
      <c r="B64" s="71" t="s">
        <v>76</v>
      </c>
      <c r="C64" s="71" t="s">
        <v>444</v>
      </c>
      <c r="D64" s="86" t="s">
        <v>472</v>
      </c>
      <c r="E64" s="71">
        <v>1995</v>
      </c>
      <c r="F64" s="71" t="s">
        <v>443</v>
      </c>
      <c r="G64" s="71" t="s">
        <v>445</v>
      </c>
      <c r="H64" s="71" t="s">
        <v>446</v>
      </c>
      <c r="I64" s="71" t="s">
        <v>447</v>
      </c>
      <c r="J64" s="71" t="s">
        <v>245</v>
      </c>
    </row>
    <row r="65" spans="2:11">
      <c r="B65" s="71" t="s">
        <v>77</v>
      </c>
      <c r="C65" s="71" t="s">
        <v>448</v>
      </c>
      <c r="D65" s="86" t="s">
        <v>472</v>
      </c>
      <c r="E65" s="71" t="s">
        <v>449</v>
      </c>
      <c r="F65" s="71" t="s">
        <v>450</v>
      </c>
      <c r="G65" s="71" t="s">
        <v>451</v>
      </c>
      <c r="H65" s="71" t="s">
        <v>452</v>
      </c>
      <c r="I65" s="71" t="s">
        <v>453</v>
      </c>
      <c r="J65" s="71" t="s">
        <v>245</v>
      </c>
      <c r="K65" s="71">
        <v>2021</v>
      </c>
    </row>
    <row r="66" spans="2:11">
      <c r="B66" s="71" t="s">
        <v>78</v>
      </c>
      <c r="C66" s="71">
        <v>21273</v>
      </c>
      <c r="D66" s="86" t="s">
        <v>472</v>
      </c>
      <c r="E66" s="71">
        <v>2006</v>
      </c>
      <c r="F66" s="71" t="s">
        <v>456</v>
      </c>
      <c r="G66" s="71" t="s">
        <v>457</v>
      </c>
      <c r="H66" s="71" t="s">
        <v>458</v>
      </c>
      <c r="I66" s="71" t="s">
        <v>459</v>
      </c>
      <c r="J66" s="71" t="s">
        <v>237</v>
      </c>
      <c r="K66" s="71">
        <v>2029</v>
      </c>
    </row>
    <row r="67" spans="2:11">
      <c r="B67" s="71" t="s">
        <v>79</v>
      </c>
      <c r="C67" s="71" t="s">
        <v>461</v>
      </c>
      <c r="D67" s="86" t="s">
        <v>472</v>
      </c>
      <c r="E67" s="71">
        <v>2022</v>
      </c>
      <c r="F67" s="71" t="s">
        <v>463</v>
      </c>
      <c r="G67" s="71" t="s">
        <v>460</v>
      </c>
      <c r="H67" s="71" t="s">
        <v>464</v>
      </c>
      <c r="I67" s="71" t="s">
        <v>465</v>
      </c>
      <c r="J67" s="71" t="s">
        <v>462</v>
      </c>
    </row>
    <row r="68" spans="2:11">
      <c r="B68" s="71" t="s">
        <v>84</v>
      </c>
      <c r="C68" s="71" t="s">
        <v>468</v>
      </c>
      <c r="D68" s="86" t="s">
        <v>472</v>
      </c>
      <c r="E68" s="71">
        <v>2019</v>
      </c>
      <c r="F68" s="71" t="s">
        <v>463</v>
      </c>
      <c r="G68" s="71" t="s">
        <v>466</v>
      </c>
      <c r="H68" s="71" t="s">
        <v>469</v>
      </c>
      <c r="I68" s="71" t="s">
        <v>470</v>
      </c>
      <c r="J68" s="71" t="s">
        <v>467</v>
      </c>
    </row>
    <row r="69" spans="2:11">
      <c r="B69" s="71" t="s">
        <v>85</v>
      </c>
      <c r="C69" s="71" t="s">
        <v>471</v>
      </c>
      <c r="D69" s="86" t="s">
        <v>472</v>
      </c>
      <c r="E69" s="71">
        <v>2000</v>
      </c>
      <c r="F69" s="71" t="s">
        <v>473</v>
      </c>
      <c r="G69" s="71" t="s">
        <v>474</v>
      </c>
      <c r="H69" s="71" t="s">
        <v>475</v>
      </c>
      <c r="I69" s="71" t="s">
        <v>476</v>
      </c>
      <c r="J69" s="71" t="s">
        <v>245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0EAE6-8721-F84A-81F3-B3126FE5034B}">
  <dimension ref="A1"/>
  <sheetViews>
    <sheetView workbookViewId="0"/>
  </sheetViews>
  <sheetFormatPr baseColWidth="10" defaultRowHeight="16"/>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FEADF-54ED-564D-961F-B1F6C17EFC27}">
  <dimension ref="A1"/>
  <sheetViews>
    <sheetView workbookViewId="0"/>
  </sheetViews>
  <sheetFormatPr baseColWidth="10" defaultRowHeight="16"/>
  <sheetData>
    <row r="1" spans="1:1">
      <c r="A1"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Drivers &amp; Assumptions</vt:lpstr>
      <vt:lpstr>Income Statement</vt:lpstr>
      <vt:lpstr>Balance Sheet</vt:lpstr>
      <vt:lpstr>CF Statement</vt:lpstr>
      <vt:lpstr>D&amp;A_CapEx</vt:lpstr>
      <vt:lpstr>WC (Days Evaluation)</vt:lpstr>
      <vt:lpstr>Interest Financing</vt:lpstr>
      <vt:lpstr>DCF</vt:lpstr>
      <vt:lpstr>Charts</vt:lpstr>
      <vt:lpstr>Drug Patents &amp; Info</vt:lpstr>
      <vt:lpstr>Management</vt:lpstr>
      <vt:lpstr>M&amp;A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Microsoft Office User</cp:lastModifiedBy>
  <dcterms:created xsi:type="dcterms:W3CDTF">2022-07-08T05:52:37Z</dcterms:created>
  <dcterms:modified xsi:type="dcterms:W3CDTF">2022-08-28T03:00:07Z</dcterms:modified>
</cp:coreProperties>
</file>